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X:\github\sperimentazione-propulsori\sperimentazione nei propulsori\"/>
    </mc:Choice>
  </mc:AlternateContent>
  <xr:revisionPtr revIDLastSave="0" documentId="13_ncr:1_{0427A21B-95DA-4EA0-BEB1-F6DCF036BC18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Short" sheetId="1" r:id="rId1"/>
    <sheet name="Long" sheetId="2" r:id="rId2"/>
    <sheet name="epsilon" sheetId="5" r:id="rId3"/>
    <sheet name="V" sheetId="8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60" i="8" l="1"/>
  <c r="K59" i="8"/>
  <c r="B45" i="8"/>
  <c r="F45" i="8"/>
  <c r="E45" i="8" s="1"/>
  <c r="F44" i="8"/>
  <c r="E44" i="8" s="1"/>
  <c r="C45" i="8"/>
  <c r="C44" i="8"/>
  <c r="E43" i="8"/>
  <c r="D57" i="8"/>
  <c r="B55" i="8"/>
  <c r="L8" i="8" s="1"/>
  <c r="F8" i="8" s="1"/>
  <c r="F24" i="8" s="1"/>
  <c r="E24" i="8" s="1"/>
  <c r="F34" i="5"/>
  <c r="E34" i="5" s="1"/>
  <c r="F33" i="5"/>
  <c r="F27" i="5"/>
  <c r="F26" i="5"/>
  <c r="E26" i="5" s="1"/>
  <c r="C34" i="5"/>
  <c r="C33" i="5"/>
  <c r="E33" i="5"/>
  <c r="B33" i="5"/>
  <c r="C27" i="5"/>
  <c r="C26" i="5"/>
  <c r="B26" i="5"/>
  <c r="E32" i="5"/>
  <c r="J32" i="5" s="1"/>
  <c r="E25" i="5"/>
  <c r="J25" i="5" s="1"/>
  <c r="E10" i="5"/>
  <c r="J10" i="5" s="1"/>
  <c r="E3" i="5"/>
  <c r="J3" i="5" s="1"/>
  <c r="E19" i="5"/>
  <c r="J19" i="5" s="1"/>
  <c r="B43" i="5"/>
  <c r="B11" i="5" s="1"/>
  <c r="K4" i="1"/>
  <c r="E24" i="2"/>
  <c r="B24" i="2"/>
  <c r="H30" i="1"/>
  <c r="E30" i="1"/>
  <c r="B16" i="1"/>
  <c r="E15" i="1"/>
  <c r="J15" i="1"/>
  <c r="E14" i="1"/>
  <c r="J14" i="1" s="1"/>
  <c r="B15" i="1" s="1"/>
  <c r="L14" i="1"/>
  <c r="I15" i="1"/>
  <c r="F15" i="1"/>
  <c r="I14" i="1"/>
  <c r="F9" i="2"/>
  <c r="E9" i="2"/>
  <c r="L9" i="2"/>
  <c r="C9" i="2" s="1"/>
  <c r="B9" i="2"/>
  <c r="F8" i="2"/>
  <c r="E8" i="2" s="1"/>
  <c r="C8" i="2"/>
  <c r="F3" i="2"/>
  <c r="E3" i="2" s="1"/>
  <c r="C3" i="2"/>
  <c r="L8" i="2"/>
  <c r="B20" i="2"/>
  <c r="I9" i="2"/>
  <c r="I8" i="2"/>
  <c r="E2" i="2"/>
  <c r="J2" i="2" s="1"/>
  <c r="F9" i="1"/>
  <c r="E9" i="1" s="1"/>
  <c r="J9" i="1" s="1"/>
  <c r="I9" i="1"/>
  <c r="I8" i="1"/>
  <c r="E8" i="1"/>
  <c r="E2" i="1"/>
  <c r="J2" i="1" s="1"/>
  <c r="B26" i="1"/>
  <c r="L15" i="8" l="1"/>
  <c r="F43" i="8"/>
  <c r="C8" i="8"/>
  <c r="L43" i="8"/>
  <c r="F37" i="8"/>
  <c r="E37" i="8" s="1"/>
  <c r="F15" i="8"/>
  <c r="E15" i="8" s="1"/>
  <c r="L37" i="8"/>
  <c r="F30" i="8"/>
  <c r="E30" i="8" s="1"/>
  <c r="L30" i="8"/>
  <c r="L24" i="8"/>
  <c r="J33" i="5"/>
  <c r="B34" i="5" s="1"/>
  <c r="K34" i="5" s="1"/>
  <c r="J34" i="5"/>
  <c r="B35" i="5" s="1"/>
  <c r="H47" i="5" s="1"/>
  <c r="H48" i="5" s="1"/>
  <c r="K33" i="5"/>
  <c r="E27" i="5"/>
  <c r="J27" i="5" s="1"/>
  <c r="K26" i="5"/>
  <c r="F12" i="5"/>
  <c r="F11" i="5"/>
  <c r="E11" i="5" s="1"/>
  <c r="C12" i="5"/>
  <c r="C11" i="5"/>
  <c r="K11" i="5"/>
  <c r="B4" i="5"/>
  <c r="B20" i="5"/>
  <c r="F20" i="5" s="1"/>
  <c r="E20" i="5" s="1"/>
  <c r="K15" i="1"/>
  <c r="K16" i="1"/>
  <c r="L15" i="1"/>
  <c r="B10" i="1"/>
  <c r="J8" i="1"/>
  <c r="B9" i="1" s="1"/>
  <c r="K10" i="1" s="1"/>
  <c r="L8" i="1"/>
  <c r="B3" i="1"/>
  <c r="J9" i="2"/>
  <c r="B10" i="2" s="1"/>
  <c r="J8" i="2"/>
  <c r="K9" i="2" s="1"/>
  <c r="B3" i="2"/>
  <c r="K3" i="2" s="1"/>
  <c r="J3" i="2"/>
  <c r="B4" i="2" s="1"/>
  <c r="C37" i="8" l="1"/>
  <c r="J37" i="8" s="1"/>
  <c r="B38" i="8" s="1"/>
  <c r="K38" i="8" s="1"/>
  <c r="C24" i="8"/>
  <c r="J24" i="8" s="1"/>
  <c r="B25" i="8" s="1"/>
  <c r="C30" i="8"/>
  <c r="J30" i="8" s="1"/>
  <c r="B31" i="8" s="1"/>
  <c r="L31" i="8" s="1"/>
  <c r="C15" i="8"/>
  <c r="J15" i="8" s="1"/>
  <c r="B16" i="8" s="1"/>
  <c r="C43" i="8"/>
  <c r="J43" i="8" s="1"/>
  <c r="B44" i="8" s="1"/>
  <c r="L38" i="8"/>
  <c r="K35" i="5"/>
  <c r="B28" i="5"/>
  <c r="G47" i="5" s="1"/>
  <c r="G48" i="5" s="1"/>
  <c r="J26" i="5"/>
  <c r="B27" i="5" s="1"/>
  <c r="J11" i="5"/>
  <c r="F4" i="5"/>
  <c r="E4" i="5" s="1"/>
  <c r="K20" i="5"/>
  <c r="K4" i="5"/>
  <c r="C4" i="5"/>
  <c r="C20" i="5"/>
  <c r="J20" i="5" s="1"/>
  <c r="B21" i="5" s="1"/>
  <c r="E47" i="5" s="1"/>
  <c r="K3" i="1"/>
  <c r="F3" i="1"/>
  <c r="E3" i="1" s="1"/>
  <c r="C3" i="1"/>
  <c r="L9" i="1"/>
  <c r="K9" i="1"/>
  <c r="K4" i="2"/>
  <c r="K10" i="2"/>
  <c r="L16" i="8" l="1"/>
  <c r="K16" i="8"/>
  <c r="F32" i="8"/>
  <c r="E32" i="8" s="1"/>
  <c r="F31" i="8"/>
  <c r="E31" i="8" s="1"/>
  <c r="C31" i="8"/>
  <c r="J31" i="8" s="1"/>
  <c r="B32" i="8" s="1"/>
  <c r="C32" i="8"/>
  <c r="J32" i="8" s="1"/>
  <c r="B33" i="8" s="1"/>
  <c r="K33" i="8" s="1"/>
  <c r="L44" i="8"/>
  <c r="K44" i="8"/>
  <c r="L25" i="8"/>
  <c r="K25" i="8"/>
  <c r="J45" i="8"/>
  <c r="B46" i="8" s="1"/>
  <c r="I59" i="8" s="1"/>
  <c r="I60" i="8" s="1"/>
  <c r="J44" i="8"/>
  <c r="F39" i="8"/>
  <c r="E39" i="8" s="1"/>
  <c r="C39" i="8"/>
  <c r="F38" i="8"/>
  <c r="E38" i="8" s="1"/>
  <c r="C38" i="8"/>
  <c r="K31" i="8"/>
  <c r="K28" i="5"/>
  <c r="J4" i="5"/>
  <c r="B5" i="5" s="1"/>
  <c r="E12" i="5" s="1"/>
  <c r="J12" i="5" s="1"/>
  <c r="J3" i="1"/>
  <c r="B4" i="1" s="1"/>
  <c r="F26" i="8" l="1"/>
  <c r="E26" i="8" s="1"/>
  <c r="C25" i="8"/>
  <c r="F25" i="8"/>
  <c r="E25" i="8" s="1"/>
  <c r="C26" i="8"/>
  <c r="C17" i="8"/>
  <c r="F17" i="8"/>
  <c r="C16" i="8"/>
  <c r="F16" i="8"/>
  <c r="J39" i="8"/>
  <c r="B40" i="8" s="1"/>
  <c r="H59" i="8" s="1"/>
  <c r="H60" i="8" s="1"/>
  <c r="L45" i="8"/>
  <c r="K45" i="8"/>
  <c r="K46" i="8"/>
  <c r="G59" i="8"/>
  <c r="G60" i="8" s="1"/>
  <c r="L32" i="8"/>
  <c r="K32" i="8"/>
  <c r="J38" i="8"/>
  <c r="B39" i="8" s="1"/>
  <c r="K27" i="5"/>
  <c r="B12" i="5"/>
  <c r="K12" i="5" s="1"/>
  <c r="F5" i="5"/>
  <c r="E5" i="5" s="1"/>
  <c r="K5" i="5"/>
  <c r="B48" i="5"/>
  <c r="K21" i="5" s="1"/>
  <c r="C5" i="5"/>
  <c r="B13" i="5"/>
  <c r="B30" i="1"/>
  <c r="J26" i="8" l="1"/>
  <c r="B27" i="8" s="1"/>
  <c r="L39" i="8"/>
  <c r="K39" i="8"/>
  <c r="J25" i="8"/>
  <c r="B26" i="8" s="1"/>
  <c r="K40" i="8"/>
  <c r="D47" i="5"/>
  <c r="D48" i="5" s="1"/>
  <c r="K13" i="5"/>
  <c r="J5" i="5"/>
  <c r="B6" i="5" s="1"/>
  <c r="E48" i="5"/>
  <c r="L26" i="8" l="1"/>
  <c r="K26" i="8"/>
  <c r="E59" i="8"/>
  <c r="E60" i="8"/>
  <c r="K27" i="8"/>
  <c r="K6" i="5"/>
  <c r="B47" i="5"/>
  <c r="E8" i="8"/>
  <c r="J8" i="8" s="1"/>
  <c r="B9" i="8" s="1"/>
  <c r="K9" i="8" l="1"/>
  <c r="L9" i="8"/>
  <c r="F9" i="8" s="1"/>
  <c r="E16" i="8" l="1"/>
  <c r="J16" i="8" s="1"/>
  <c r="B17" i="8" s="1"/>
  <c r="E17" i="8"/>
  <c r="C9" i="8"/>
  <c r="E9" i="8"/>
  <c r="C10" i="8"/>
  <c r="F10" i="8"/>
  <c r="E10" i="8" s="1"/>
  <c r="J9" i="8" l="1"/>
  <c r="B10" i="8" s="1"/>
  <c r="K10" i="8" s="1"/>
  <c r="J10" i="8"/>
  <c r="B11" i="8" s="1"/>
  <c r="J17" i="8"/>
  <c r="B18" i="8" s="1"/>
  <c r="K17" i="8"/>
  <c r="L17" i="8"/>
  <c r="B60" i="8" l="1"/>
  <c r="L10" i="8"/>
  <c r="D59" i="8"/>
  <c r="D60" i="8" s="1"/>
  <c r="K18" i="8"/>
  <c r="K11" i="8"/>
  <c r="B59" i="8"/>
</calcChain>
</file>

<file path=xl/sharedStrings.xml><?xml version="1.0" encoding="utf-8"?>
<sst xmlns="http://schemas.openxmlformats.org/spreadsheetml/2006/main" count="262" uniqueCount="37">
  <si>
    <t>iter</t>
  </si>
  <si>
    <t>Tgas</t>
  </si>
  <si>
    <t>k</t>
  </si>
  <si>
    <t>c</t>
  </si>
  <si>
    <t>Re</t>
  </si>
  <si>
    <t>n</t>
  </si>
  <si>
    <t>nu</t>
  </si>
  <si>
    <t>Pr</t>
  </si>
  <si>
    <t>m</t>
  </si>
  <si>
    <t>h</t>
  </si>
  <si>
    <t>D</t>
  </si>
  <si>
    <t>Ta</t>
  </si>
  <si>
    <t>K</t>
  </si>
  <si>
    <t>V</t>
  </si>
  <si>
    <t>m/s</t>
  </si>
  <si>
    <t>Tg</t>
  </si>
  <si>
    <t>sigma</t>
  </si>
  <si>
    <t>epsilon</t>
  </si>
  <si>
    <t>diff %</t>
  </si>
  <si>
    <t>Delta T</t>
  </si>
  <si>
    <t>Tf</t>
  </si>
  <si>
    <t>Usata correlazione per cilindro tra Re 40 e 4000, proprietà valutate a Tf</t>
  </si>
  <si>
    <t>Tf media tra Tgas e Tg</t>
  </si>
  <si>
    <t>Fonte TBD</t>
  </si>
  <si>
    <t>Caso 1</t>
  </si>
  <si>
    <t>Caso 2</t>
  </si>
  <si>
    <t>Caso 3</t>
  </si>
  <si>
    <t>Caso 4</t>
  </si>
  <si>
    <t>Caso 5</t>
  </si>
  <si>
    <t>50 m/s</t>
  </si>
  <si>
    <t>30 m/s</t>
  </si>
  <si>
    <t>1 m/s</t>
  </si>
  <si>
    <t>10 m/s</t>
  </si>
  <si>
    <t>25 m/s</t>
  </si>
  <si>
    <t>35 m/s</t>
  </si>
  <si>
    <t>75 m/s</t>
  </si>
  <si>
    <t>1 m/s (OLD)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</si>
</sst>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00"/>
    <numFmt numFmtId="166" formatCode="0.0"/>
    <numFmt numFmtId="179" formatCode="0.00000"/>
  </numFmts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1" fontId="0" fillId="0" borderId="0" xfId="0" applyNumberFormat="1"/>
    <xf numFmtId="1" fontId="0" fillId="0" borderId="0" xfId="0" applyNumberForma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1" fillId="0" borderId="0" xfId="0" applyFont="1"/>
    <xf numFmtId="166" fontId="0" fillId="0" borderId="0" xfId="0" applyNumberFormat="1"/>
    <xf numFmtId="179" fontId="0" fillId="0" borderId="0" xfId="0" applyNumberFormat="1"/>
    <xf numFmtId="164" fontId="0" fillId="0" borderId="0" xfId="0" quotePrefix="1" applyNumberFormat="1"/>
    <xf numFmtId="11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epsilon!$A$37</c:f>
              <c:strCache>
                <c:ptCount val="1"/>
                <c:pt idx="0">
                  <c:v>Caso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epsilon!$B$45</c:f>
              <c:numCache>
                <c:formatCode>General</c:formatCode>
                <c:ptCount val="1"/>
                <c:pt idx="0">
                  <c:v>0.1</c:v>
                </c:pt>
              </c:numCache>
            </c:numRef>
          </c:xVal>
          <c:yVal>
            <c:numRef>
              <c:f>epsilon!$B$48</c:f>
              <c:numCache>
                <c:formatCode>0</c:formatCode>
                <c:ptCount val="1"/>
                <c:pt idx="0">
                  <c:v>76.104066661289153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6B3-44FA-B19B-75E07357D271}"/>
            </c:ext>
          </c:extLst>
        </c:ser>
        <c:ser>
          <c:idx val="1"/>
          <c:order val="1"/>
          <c:tx>
            <c:strRef>
              <c:f>epsilon!$D$37</c:f>
              <c:strCache>
                <c:ptCount val="1"/>
                <c:pt idx="0">
                  <c:v>Caso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epsilon!$D$45</c:f>
              <c:numCache>
                <c:formatCode>General</c:formatCode>
                <c:ptCount val="1"/>
                <c:pt idx="0">
                  <c:v>0.15</c:v>
                </c:pt>
              </c:numCache>
            </c:numRef>
          </c:xVal>
          <c:yVal>
            <c:numRef>
              <c:f>epsilon!$D$48</c:f>
              <c:numCache>
                <c:formatCode>0</c:formatCode>
                <c:ptCount val="1"/>
                <c:pt idx="0">
                  <c:v>113.37930744070536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6B3-44FA-B19B-75E07357D271}"/>
            </c:ext>
          </c:extLst>
        </c:ser>
        <c:ser>
          <c:idx val="2"/>
          <c:order val="2"/>
          <c:tx>
            <c:strRef>
              <c:f>epsilon!$E$37</c:f>
              <c:strCache>
                <c:ptCount val="1"/>
                <c:pt idx="0">
                  <c:v>Caso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epsilon!$E$45</c:f>
              <c:numCache>
                <c:formatCode>General</c:formatCode>
                <c:ptCount val="1"/>
                <c:pt idx="0">
                  <c:v>0.2</c:v>
                </c:pt>
              </c:numCache>
            </c:numRef>
          </c:xVal>
          <c:yVal>
            <c:numRef>
              <c:f>epsilon!$E$48</c:f>
              <c:numCache>
                <c:formatCode>0</c:formatCode>
                <c:ptCount val="1"/>
                <c:pt idx="0">
                  <c:v>150.16379300715357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6B3-44FA-B19B-75E07357D271}"/>
            </c:ext>
          </c:extLst>
        </c:ser>
        <c:ser>
          <c:idx val="3"/>
          <c:order val="3"/>
          <c:tx>
            <c:strRef>
              <c:f>epsilon!$G$37</c:f>
              <c:strCache>
                <c:ptCount val="1"/>
                <c:pt idx="0">
                  <c:v>Caso 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epsilon!$G$45</c:f>
              <c:numCache>
                <c:formatCode>General</c:formatCode>
                <c:ptCount val="1"/>
                <c:pt idx="0">
                  <c:v>0.25</c:v>
                </c:pt>
              </c:numCache>
            </c:numRef>
          </c:xVal>
          <c:yVal>
            <c:numRef>
              <c:f>epsilon!$G$48</c:f>
              <c:numCache>
                <c:formatCode>0</c:formatCode>
                <c:ptCount val="1"/>
                <c:pt idx="0">
                  <c:v>186.66022200506245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6B3-44FA-B19B-75E07357D271}"/>
            </c:ext>
          </c:extLst>
        </c:ser>
        <c:ser>
          <c:idx val="4"/>
          <c:order val="4"/>
          <c:tx>
            <c:strRef>
              <c:f>epsilon!$H$37</c:f>
              <c:strCache>
                <c:ptCount val="1"/>
                <c:pt idx="0">
                  <c:v>Caso 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epsilon!$H$45</c:f>
              <c:numCache>
                <c:formatCode>General</c:formatCode>
                <c:ptCount val="1"/>
                <c:pt idx="0">
                  <c:v>0.3</c:v>
                </c:pt>
              </c:numCache>
            </c:numRef>
          </c:xVal>
          <c:yVal>
            <c:numRef>
              <c:f>epsilon!$H$48</c:f>
              <c:numCache>
                <c:formatCode>0</c:formatCode>
                <c:ptCount val="1"/>
                <c:pt idx="0">
                  <c:v>222.70826503003855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6B3-44FA-B19B-75E07357D2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3875583"/>
        <c:axId val="1433874143"/>
      </c:scatterChart>
      <c:valAx>
        <c:axId val="1433875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>
                    <a:solidFill>
                      <a:schemeClr val="tx1"/>
                    </a:solidFill>
                    <a:latin typeface="+mn-lt"/>
                    <a:cs typeface="Times New Roman" panose="02020603050405020304" pitchFamily="18" charset="0"/>
                  </a:rPr>
                  <a:t>ε</a:t>
                </a:r>
                <a:endParaRPr lang="it-IT" sz="1400">
                  <a:solidFill>
                    <a:schemeClr val="tx1"/>
                  </a:solidFill>
                  <a:latin typeface="+mn-lt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33874143"/>
        <c:crosses val="autoZero"/>
        <c:crossBetween val="midCat"/>
      </c:valAx>
      <c:valAx>
        <c:axId val="143387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>
                    <a:solidFill>
                      <a:schemeClr val="tx1"/>
                    </a:solidFill>
                    <a:latin typeface="+mn-lt"/>
                    <a:cs typeface="Times New Roman" panose="02020603050405020304" pitchFamily="18" charset="0"/>
                  </a:rPr>
                  <a:t>Δ</a:t>
                </a:r>
                <a:r>
                  <a:rPr lang="it-IT" sz="1400">
                    <a:solidFill>
                      <a:schemeClr val="tx1"/>
                    </a:solidFill>
                    <a:latin typeface="+mn-lt"/>
                    <a:cs typeface="Times New Roman" panose="02020603050405020304" pitchFamily="18" charset="0"/>
                  </a:rPr>
                  <a:t>T [K</a:t>
                </a:r>
                <a:r>
                  <a:rPr lang="it-IT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]</a:t>
                </a:r>
                <a:endParaRPr lang="it-IT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338755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862349349188494"/>
          <c:y val="5.0925925925925923E-2"/>
          <c:w val="0.77790240505651076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V!$A$49</c:f>
              <c:strCache>
                <c:ptCount val="1"/>
                <c:pt idx="0">
                  <c:v>1 m/s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V!$B$54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V!$B$60</c:f>
              <c:numCache>
                <c:formatCode>0</c:formatCode>
                <c:ptCount val="1"/>
                <c:pt idx="0">
                  <c:v>142.23817794868296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D4-4A0D-AEFD-C2B306FD719F}"/>
            </c:ext>
          </c:extLst>
        </c:ser>
        <c:ser>
          <c:idx val="1"/>
          <c:order val="1"/>
          <c:tx>
            <c:strRef>
              <c:f>V!$D$49</c:f>
              <c:strCache>
                <c:ptCount val="1"/>
                <c:pt idx="0">
                  <c:v>10 m/s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V!$D$54</c:f>
              <c:numCache>
                <c:formatCode>General</c:formatCode>
                <c:ptCount val="1"/>
                <c:pt idx="0">
                  <c:v>10</c:v>
                </c:pt>
              </c:numCache>
            </c:numRef>
          </c:xVal>
          <c:yVal>
            <c:numRef>
              <c:f>V!$D$60</c:f>
              <c:numCache>
                <c:formatCode>0</c:formatCode>
                <c:ptCount val="1"/>
                <c:pt idx="0">
                  <c:v>62.334994536963222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D4-4A0D-AEFD-C2B306FD719F}"/>
            </c:ext>
          </c:extLst>
        </c:ser>
        <c:ser>
          <c:idx val="2"/>
          <c:order val="2"/>
          <c:tx>
            <c:strRef>
              <c:f>V!$E$49</c:f>
              <c:strCache>
                <c:ptCount val="1"/>
                <c:pt idx="0">
                  <c:v>25 m/s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V!$E$54</c:f>
              <c:numCache>
                <c:formatCode>General</c:formatCode>
                <c:ptCount val="1"/>
                <c:pt idx="0">
                  <c:v>25</c:v>
                </c:pt>
              </c:numCache>
            </c:numRef>
          </c:xVal>
          <c:yVal>
            <c:numRef>
              <c:f>V!$E$60</c:f>
              <c:numCache>
                <c:formatCode>0</c:formatCode>
                <c:ptCount val="1"/>
                <c:pt idx="0">
                  <c:v>43.094478230515733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4D4-4A0D-AEFD-C2B306FD719F}"/>
            </c:ext>
          </c:extLst>
        </c:ser>
        <c:ser>
          <c:idx val="3"/>
          <c:order val="3"/>
          <c:tx>
            <c:strRef>
              <c:f>V!$G$49</c:f>
              <c:strCache>
                <c:ptCount val="1"/>
                <c:pt idx="0">
                  <c:v>35 m/s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V!$G$54</c:f>
              <c:numCache>
                <c:formatCode>General</c:formatCode>
                <c:ptCount val="1"/>
                <c:pt idx="0">
                  <c:v>35</c:v>
                </c:pt>
              </c:numCache>
            </c:numRef>
          </c:xVal>
          <c:yVal>
            <c:numRef>
              <c:f>V!$G$60</c:f>
              <c:numCache>
                <c:formatCode>0</c:formatCode>
                <c:ptCount val="1"/>
                <c:pt idx="0">
                  <c:v>36.848504998532917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4D4-4A0D-AEFD-C2B306FD719F}"/>
            </c:ext>
          </c:extLst>
        </c:ser>
        <c:ser>
          <c:idx val="4"/>
          <c:order val="4"/>
          <c:tx>
            <c:strRef>
              <c:f>V!$H$49</c:f>
              <c:strCache>
                <c:ptCount val="1"/>
                <c:pt idx="0">
                  <c:v>50 m/s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V!$H$54</c:f>
              <c:numCache>
                <c:formatCode>General</c:formatCode>
                <c:ptCount val="1"/>
                <c:pt idx="0">
                  <c:v>50</c:v>
                </c:pt>
              </c:numCache>
            </c:numRef>
          </c:xVal>
          <c:yVal>
            <c:numRef>
              <c:f>V!$H$60</c:f>
              <c:numCache>
                <c:formatCode>0</c:formatCode>
                <c:ptCount val="1"/>
                <c:pt idx="0">
                  <c:v>31.211836658026186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4D4-4A0D-AEFD-C2B306FD719F}"/>
            </c:ext>
          </c:extLst>
        </c:ser>
        <c:ser>
          <c:idx val="5"/>
          <c:order val="5"/>
          <c:tx>
            <c:strRef>
              <c:f>V!$K$49</c:f>
              <c:strCache>
                <c:ptCount val="1"/>
                <c:pt idx="0">
                  <c:v>1 m/s (OLD)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V!$B$54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V!$K$60</c:f>
              <c:numCache>
                <c:formatCode>0</c:formatCode>
                <c:ptCount val="1"/>
                <c:pt idx="0">
                  <c:v>150.16379300715357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4D4-4A0D-AEFD-C2B306FD71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3875583"/>
        <c:axId val="1433874143"/>
      </c:scatterChart>
      <c:valAx>
        <c:axId val="1433875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400">
                    <a:solidFill>
                      <a:schemeClr val="tx1"/>
                    </a:solidFill>
                    <a:latin typeface="+mn-lt"/>
                    <a:cs typeface="Times New Roman" panose="02020603050405020304" pitchFamily="18" charset="0"/>
                  </a:rPr>
                  <a:t>V</a:t>
                </a:r>
                <a:r>
                  <a:rPr lang="it-IT" sz="1400" baseline="-25000">
                    <a:solidFill>
                      <a:schemeClr val="tx1"/>
                    </a:solidFill>
                    <a:latin typeface="+mn-lt"/>
                    <a:cs typeface="Times New Roman" panose="02020603050405020304" pitchFamily="18" charset="0"/>
                  </a:rPr>
                  <a:t>G</a:t>
                </a:r>
                <a:r>
                  <a:rPr lang="it-IT" sz="1400" baseline="0">
                    <a:solidFill>
                      <a:schemeClr val="tx1"/>
                    </a:solidFill>
                    <a:latin typeface="+mn-lt"/>
                    <a:cs typeface="Times New Roman" panose="02020603050405020304" pitchFamily="18" charset="0"/>
                  </a:rPr>
                  <a:t> [m/s]</a:t>
                </a:r>
                <a:r>
                  <a:rPr lang="it-IT" sz="1400" baseline="-25000">
                    <a:solidFill>
                      <a:schemeClr val="tx1"/>
                    </a:solidFill>
                    <a:latin typeface="+mn-lt"/>
                    <a:cs typeface="Times New Roman" panose="02020603050405020304" pitchFamily="18" charset="0"/>
                  </a:rPr>
                  <a:t> </a:t>
                </a:r>
                <a:endParaRPr lang="it-IT" sz="1400">
                  <a:solidFill>
                    <a:schemeClr val="tx1"/>
                  </a:solidFill>
                  <a:latin typeface="+mn-lt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33874143"/>
        <c:crosses val="autoZero"/>
        <c:crossBetween val="midCat"/>
      </c:valAx>
      <c:valAx>
        <c:axId val="143387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>
                    <a:solidFill>
                      <a:schemeClr val="tx1"/>
                    </a:solidFill>
                    <a:latin typeface="+mn-lt"/>
                    <a:cs typeface="Times New Roman" panose="02020603050405020304" pitchFamily="18" charset="0"/>
                  </a:rPr>
                  <a:t>Δ</a:t>
                </a:r>
                <a:r>
                  <a:rPr lang="it-IT" sz="1400">
                    <a:solidFill>
                      <a:schemeClr val="tx1"/>
                    </a:solidFill>
                    <a:latin typeface="+mn-lt"/>
                    <a:cs typeface="Times New Roman" panose="02020603050405020304" pitchFamily="18" charset="0"/>
                  </a:rPr>
                  <a:t>T [K</a:t>
                </a:r>
                <a:r>
                  <a:rPr lang="it-IT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]</a:t>
                </a:r>
                <a:endParaRPr lang="it-IT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338755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ayout>
        <c:manualLayout>
          <c:xMode val="edge"/>
          <c:yMode val="edge"/>
          <c:x val="4.0974878140232492E-2"/>
          <c:y val="0.84982611548556453"/>
          <c:w val="0.24253425464674058"/>
          <c:h val="0.106106372120151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157303</xdr:colOff>
      <xdr:row>6</xdr:row>
      <xdr:rowOff>9528</xdr:rowOff>
    </xdr:from>
    <xdr:to>
      <xdr:col>29</xdr:col>
      <xdr:colOff>281996</xdr:colOff>
      <xdr:row>46</xdr:row>
      <xdr:rowOff>167696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0539DE7-3AB5-BB42-B900-71FA9BDFDE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5400000">
          <a:off x="11056216" y="1931265"/>
          <a:ext cx="7778168" cy="6220693"/>
        </a:xfrm>
        <a:prstGeom prst="rect">
          <a:avLst/>
        </a:prstGeom>
      </xdr:spPr>
    </xdr:pic>
    <xdr:clientData/>
  </xdr:twoCellAnchor>
  <xdr:twoCellAnchor>
    <xdr:from>
      <xdr:col>10</xdr:col>
      <xdr:colOff>142875</xdr:colOff>
      <xdr:row>37</xdr:row>
      <xdr:rowOff>14287</xdr:rowOff>
    </xdr:from>
    <xdr:to>
      <xdr:col>17</xdr:col>
      <xdr:colOff>447675</xdr:colOff>
      <xdr:row>51</xdr:row>
      <xdr:rowOff>90487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C3FFAEC-17AD-1C26-0CF2-07683EEF4C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366854</xdr:colOff>
      <xdr:row>1</xdr:row>
      <xdr:rowOff>0</xdr:rowOff>
    </xdr:from>
    <xdr:to>
      <xdr:col>24</xdr:col>
      <xdr:colOff>491547</xdr:colOff>
      <xdr:row>41</xdr:row>
      <xdr:rowOff>158168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49E97DB-E6BC-4AE8-84D5-6C44178011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5400000">
          <a:off x="8313017" y="778737"/>
          <a:ext cx="7778168" cy="6220693"/>
        </a:xfrm>
        <a:prstGeom prst="rect">
          <a:avLst/>
        </a:prstGeom>
      </xdr:spPr>
    </xdr:pic>
    <xdr:clientData/>
  </xdr:twoCellAnchor>
  <xdr:twoCellAnchor>
    <xdr:from>
      <xdr:col>13</xdr:col>
      <xdr:colOff>457200</xdr:colOff>
      <xdr:row>43</xdr:row>
      <xdr:rowOff>185737</xdr:rowOff>
    </xdr:from>
    <xdr:to>
      <xdr:col>21</xdr:col>
      <xdr:colOff>247650</xdr:colOff>
      <xdr:row>58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6858C25-F335-4317-BC59-72C0EA0CC5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1"/>
  <sheetViews>
    <sheetView workbookViewId="0">
      <selection activeCell="D11" sqref="D11"/>
    </sheetView>
  </sheetViews>
  <sheetFormatPr defaultRowHeight="15" x14ac:dyDescent="0.25"/>
  <cols>
    <col min="2" max="2" width="9.5703125" bestFit="1" customWidth="1"/>
    <col min="5" max="5" width="9.710937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5</v>
      </c>
      <c r="H1" t="s">
        <v>7</v>
      </c>
      <c r="I1" t="s">
        <v>8</v>
      </c>
      <c r="J1" t="s">
        <v>9</v>
      </c>
      <c r="K1" t="s">
        <v>18</v>
      </c>
    </row>
    <row r="2" spans="1:14" x14ac:dyDescent="0.25">
      <c r="A2">
        <v>0</v>
      </c>
      <c r="B2">
        <v>1500</v>
      </c>
      <c r="C2">
        <v>9.4600000000000004E-2</v>
      </c>
      <c r="D2">
        <v>0.8</v>
      </c>
      <c r="E2" s="3">
        <f>B25*B23/F2</f>
        <v>1.5277171540811871</v>
      </c>
      <c r="F2" s="1">
        <v>2.2910000000000001E-4</v>
      </c>
      <c r="G2">
        <v>0.38400000000000001</v>
      </c>
      <c r="H2">
        <v>1</v>
      </c>
      <c r="I2">
        <v>0</v>
      </c>
      <c r="J2" s="3">
        <f>C2/B23*D2*E2^G2*H2^I2</f>
        <v>254.44010951123281</v>
      </c>
      <c r="K2">
        <v>0</v>
      </c>
    </row>
    <row r="3" spans="1:14" x14ac:dyDescent="0.25">
      <c r="A3">
        <v>1</v>
      </c>
      <c r="B3" s="2">
        <f>B26+B27*B28*(B26^4-B24^4)/J2</f>
        <v>1506.2504593257388</v>
      </c>
      <c r="C3" s="4">
        <f>(0.1-0.0946)/100*(B3-B2)+C2</f>
        <v>9.4937524803589898E-2</v>
      </c>
      <c r="D3">
        <v>0.8</v>
      </c>
      <c r="E3" s="3">
        <f>B25*B23/F3</f>
        <v>1.5172032424375526</v>
      </c>
      <c r="F3" s="1">
        <f>(0.0002545-0.0002291)/100*(B3-B2)+F2</f>
        <v>2.3068761666873768E-4</v>
      </c>
      <c r="G3">
        <v>0.38400000000000001</v>
      </c>
      <c r="H3">
        <v>1</v>
      </c>
      <c r="I3">
        <v>0</v>
      </c>
      <c r="J3" s="3">
        <f>C3/B23*D3*E3^G3*H3^I3</f>
        <v>254.671679268303</v>
      </c>
      <c r="K3">
        <f>(B3-B2)/B2*100</f>
        <v>0.41669728838258679</v>
      </c>
    </row>
    <row r="4" spans="1:14" x14ac:dyDescent="0.25">
      <c r="A4">
        <v>2</v>
      </c>
      <c r="B4" s="2">
        <f>B26+B27*B28*(B26^4-B24^4)/J3</f>
        <v>1506.1137930071534</v>
      </c>
      <c r="J4" s="1"/>
      <c r="K4">
        <f>(B4-B3)/B3*100</f>
        <v>-9.0732797948217623E-3</v>
      </c>
    </row>
    <row r="6" spans="1:14" x14ac:dyDescent="0.25">
      <c r="A6" t="s">
        <v>29</v>
      </c>
      <c r="N6" t="s">
        <v>23</v>
      </c>
    </row>
    <row r="7" spans="1:14" x14ac:dyDescent="0.25">
      <c r="A7" t="s">
        <v>0</v>
      </c>
      <c r="B7" t="s">
        <v>1</v>
      </c>
      <c r="C7" t="s">
        <v>2</v>
      </c>
      <c r="D7" t="s">
        <v>3</v>
      </c>
      <c r="E7" t="s">
        <v>4</v>
      </c>
      <c r="F7" t="s">
        <v>6</v>
      </c>
      <c r="G7" t="s">
        <v>5</v>
      </c>
      <c r="H7" t="s">
        <v>7</v>
      </c>
      <c r="I7" t="s">
        <v>8</v>
      </c>
      <c r="J7" t="s">
        <v>9</v>
      </c>
      <c r="K7" t="s">
        <v>18</v>
      </c>
      <c r="L7" t="s">
        <v>20</v>
      </c>
      <c r="N7" t="s">
        <v>21</v>
      </c>
    </row>
    <row r="8" spans="1:14" x14ac:dyDescent="0.25">
      <c r="A8">
        <v>0</v>
      </c>
      <c r="B8">
        <v>1400</v>
      </c>
      <c r="C8">
        <v>8.7900000000000006E-2</v>
      </c>
      <c r="D8">
        <v>0.68300000000000005</v>
      </c>
      <c r="E8" s="3">
        <f>E25*B23/F8</f>
        <v>87.347142500623903</v>
      </c>
      <c r="F8" s="1">
        <v>2.0034999999999999E-4</v>
      </c>
      <c r="G8">
        <v>0.46600000000000003</v>
      </c>
      <c r="H8">
        <v>0.70599999999999996</v>
      </c>
      <c r="I8">
        <f>1/3</f>
        <v>0.33333333333333331</v>
      </c>
      <c r="J8" s="2">
        <f>C8/B23*D8*E8^G8*H8^I8</f>
        <v>1226.2104036057281</v>
      </c>
      <c r="K8">
        <v>0</v>
      </c>
      <c r="L8" s="2">
        <f>(B8+B26)/2</f>
        <v>1377.9749999999999</v>
      </c>
      <c r="N8" t="s">
        <v>22</v>
      </c>
    </row>
    <row r="9" spans="1:14" x14ac:dyDescent="0.25">
      <c r="A9">
        <v>1</v>
      </c>
      <c r="B9" s="2">
        <f>B26+B27*B28*(B26^4-B24^4)/J8</f>
        <v>1387.1375231346722</v>
      </c>
      <c r="C9" s="4">
        <v>8.7599999999999997E-2</v>
      </c>
      <c r="D9">
        <v>0.68300000000000005</v>
      </c>
      <c r="E9" s="3">
        <f>E25*B23/F9</f>
        <v>87.961799447097249</v>
      </c>
      <c r="F9" s="1">
        <f>0.00019895</f>
        <v>1.9895000000000001E-4</v>
      </c>
      <c r="G9">
        <v>0.46600000000000003</v>
      </c>
      <c r="H9">
        <v>0.70599999999999996</v>
      </c>
      <c r="I9">
        <f>1/3</f>
        <v>0.33333333333333331</v>
      </c>
      <c r="J9" s="2">
        <f>C9/B23*D9*E9^G9*H9^I9</f>
        <v>1226.0251680439217</v>
      </c>
      <c r="K9">
        <f>(B9-B8)/B8*100</f>
        <v>-0.91874834752341683</v>
      </c>
      <c r="L9" s="2">
        <f>(B9+B26)/2</f>
        <v>1371.5437615673359</v>
      </c>
    </row>
    <row r="10" spans="1:14" x14ac:dyDescent="0.25">
      <c r="A10">
        <v>2</v>
      </c>
      <c r="B10" s="2">
        <f>B26+B27*B28*(B26^4-B24^4)/J9</f>
        <v>1387.1422351410158</v>
      </c>
      <c r="J10" s="1"/>
      <c r="K10">
        <f>(B10-B9)/B9*100</f>
        <v>3.3969280371019475E-4</v>
      </c>
    </row>
    <row r="12" spans="1:14" x14ac:dyDescent="0.25">
      <c r="A12" t="s">
        <v>30</v>
      </c>
    </row>
    <row r="13" spans="1:14" x14ac:dyDescent="0.25">
      <c r="A13" t="s">
        <v>0</v>
      </c>
      <c r="B13" t="s">
        <v>1</v>
      </c>
      <c r="C13" t="s">
        <v>2</v>
      </c>
      <c r="D13" t="s">
        <v>3</v>
      </c>
      <c r="E13" t="s">
        <v>4</v>
      </c>
      <c r="F13" t="s">
        <v>6</v>
      </c>
      <c r="G13" t="s">
        <v>5</v>
      </c>
      <c r="H13" t="s">
        <v>7</v>
      </c>
      <c r="I13" t="s">
        <v>8</v>
      </c>
      <c r="J13" t="s">
        <v>9</v>
      </c>
      <c r="K13" t="s">
        <v>18</v>
      </c>
      <c r="L13" t="s">
        <v>20</v>
      </c>
      <c r="N13" t="s">
        <v>21</v>
      </c>
    </row>
    <row r="14" spans="1:14" x14ac:dyDescent="0.25">
      <c r="A14">
        <v>0</v>
      </c>
      <c r="B14" s="2">
        <v>1400</v>
      </c>
      <c r="C14" s="4">
        <v>8.7900000000000006E-2</v>
      </c>
      <c r="D14" s="3">
        <v>0.68300000000000005</v>
      </c>
      <c r="E14" s="3">
        <f>H25*B23/F14</f>
        <v>52.408285500374348</v>
      </c>
      <c r="F14" s="1">
        <v>2.0034999999999999E-4</v>
      </c>
      <c r="G14" s="5">
        <v>0.46600000000000003</v>
      </c>
      <c r="H14" s="5">
        <v>0.70599999999999996</v>
      </c>
      <c r="I14" s="5">
        <f>1/3</f>
        <v>0.33333333333333331</v>
      </c>
      <c r="J14" s="3">
        <f>C14/B23*D14*E14^G14*H14^I14</f>
        <v>966.45909896950366</v>
      </c>
      <c r="K14" s="3">
        <v>0</v>
      </c>
      <c r="L14" s="2">
        <f>(B14+B26)/2</f>
        <v>1377.9749999999999</v>
      </c>
      <c r="N14" t="s">
        <v>22</v>
      </c>
    </row>
    <row r="15" spans="1:14" x14ac:dyDescent="0.25">
      <c r="A15">
        <v>1</v>
      </c>
      <c r="B15" s="2">
        <f>B26+B27*B28*(B26^4-B24^4)/J14</f>
        <v>1395.5196676364326</v>
      </c>
      <c r="C15" s="4">
        <v>8.7599999999999997E-2</v>
      </c>
      <c r="D15" s="3">
        <v>0.68300000000000005</v>
      </c>
      <c r="E15" s="3">
        <f>H25*B23/F15</f>
        <v>52.777079668258359</v>
      </c>
      <c r="F15" s="1">
        <f>0.00019895</f>
        <v>1.9895000000000001E-4</v>
      </c>
      <c r="G15" s="5">
        <v>0.46600000000000003</v>
      </c>
      <c r="H15" s="5">
        <v>0.70599999999999996</v>
      </c>
      <c r="I15" s="5">
        <f>1/3</f>
        <v>0.33333333333333331</v>
      </c>
      <c r="J15" s="3">
        <f>C15/B23*D15*E15^G15*H15^I15</f>
        <v>966.31310233333568</v>
      </c>
      <c r="K15" s="3">
        <f>(B15-B14)/B14*100</f>
        <v>-0.32002374025481523</v>
      </c>
      <c r="L15" s="2">
        <f>(B15+B26)/2</f>
        <v>1375.7348338182162</v>
      </c>
    </row>
    <row r="16" spans="1:14" x14ac:dyDescent="0.25">
      <c r="A16">
        <v>2</v>
      </c>
      <c r="B16" s="2">
        <f>B26+B27*B28*(B26^4-B24^4)/J15</f>
        <v>1395.5256460696705</v>
      </c>
      <c r="C16" s="3"/>
      <c r="D16" s="3"/>
      <c r="E16" s="3"/>
      <c r="F16" s="3"/>
      <c r="G16" s="3"/>
      <c r="H16" s="3"/>
      <c r="I16" s="3"/>
      <c r="J16" s="3"/>
      <c r="K16" s="3">
        <f>(B16-B15)/B15*100</f>
        <v>4.2840193345807843E-4</v>
      </c>
      <c r="L16" s="2"/>
    </row>
    <row r="17" spans="1:17" x14ac:dyDescent="0.25">
      <c r="B17" s="2"/>
      <c r="J17" s="1"/>
    </row>
    <row r="18" spans="1:17" x14ac:dyDescent="0.25">
      <c r="B18" s="2"/>
      <c r="J18" s="1"/>
    </row>
    <row r="19" spans="1:17" x14ac:dyDescent="0.25">
      <c r="B19" s="2"/>
      <c r="J19" s="1"/>
    </row>
    <row r="20" spans="1:17" x14ac:dyDescent="0.25">
      <c r="A20" t="s">
        <v>24</v>
      </c>
      <c r="B20" s="2"/>
      <c r="E20" t="s">
        <v>25</v>
      </c>
      <c r="H20" t="s">
        <v>26</v>
      </c>
      <c r="J20" s="1"/>
      <c r="K20" t="s">
        <v>27</v>
      </c>
      <c r="N20" t="s">
        <v>28</v>
      </c>
    </row>
    <row r="21" spans="1:17" x14ac:dyDescent="0.25">
      <c r="B21" s="2"/>
      <c r="J21" s="1"/>
      <c r="Q21" s="6"/>
    </row>
    <row r="23" spans="1:17" x14ac:dyDescent="0.25">
      <c r="A23" t="s">
        <v>10</v>
      </c>
      <c r="B23" s="1">
        <v>3.5E-4</v>
      </c>
      <c r="C23" t="s">
        <v>8</v>
      </c>
    </row>
    <row r="24" spans="1:17" x14ac:dyDescent="0.25">
      <c r="A24" t="s">
        <v>11</v>
      </c>
      <c r="B24">
        <v>300</v>
      </c>
      <c r="C24" t="s">
        <v>12</v>
      </c>
    </row>
    <row r="25" spans="1:17" x14ac:dyDescent="0.25">
      <c r="A25" t="s">
        <v>13</v>
      </c>
      <c r="B25">
        <v>1</v>
      </c>
      <c r="C25" t="s">
        <v>14</v>
      </c>
      <c r="E25">
        <v>50</v>
      </c>
      <c r="F25" t="s">
        <v>14</v>
      </c>
      <c r="H25">
        <v>30</v>
      </c>
      <c r="I25" t="s">
        <v>14</v>
      </c>
      <c r="K25">
        <v>15</v>
      </c>
      <c r="N25">
        <v>42</v>
      </c>
    </row>
    <row r="26" spans="1:17" x14ac:dyDescent="0.25">
      <c r="A26" t="s">
        <v>15</v>
      </c>
      <c r="B26" s="3">
        <f>273.15+1082.8</f>
        <v>1355.9499999999998</v>
      </c>
      <c r="C26" t="s">
        <v>12</v>
      </c>
    </row>
    <row r="27" spans="1:17" x14ac:dyDescent="0.25">
      <c r="A27" t="s">
        <v>16</v>
      </c>
      <c r="B27" s="1">
        <v>5.6699999999999998E-8</v>
      </c>
    </row>
    <row r="28" spans="1:17" x14ac:dyDescent="0.25">
      <c r="A28" t="s">
        <v>17</v>
      </c>
      <c r="B28">
        <v>0.2</v>
      </c>
    </row>
    <row r="30" spans="1:17" x14ac:dyDescent="0.25">
      <c r="A30" t="s">
        <v>19</v>
      </c>
      <c r="B30" s="2">
        <f>B4-B26</f>
        <v>150.16379300715357</v>
      </c>
      <c r="E30" s="2">
        <f>B10-B26</f>
        <v>31.192235141015999</v>
      </c>
      <c r="H30" s="2">
        <f>B16-B26</f>
        <v>39.575646069670711</v>
      </c>
    </row>
    <row r="31" spans="1:17" x14ac:dyDescent="0.25">
      <c r="B31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9BB18-EC25-4230-9B15-8BF8D89AE242}">
  <dimension ref="A1:N24"/>
  <sheetViews>
    <sheetView workbookViewId="0">
      <selection activeCell="C8" sqref="C8"/>
    </sheetView>
  </sheetViews>
  <sheetFormatPr defaultRowHeight="15" x14ac:dyDescent="0.25"/>
  <cols>
    <col min="2" max="2" width="16.7109375" bestFit="1" customWidth="1"/>
    <col min="5" max="5" width="16.710937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5</v>
      </c>
      <c r="H1" t="s">
        <v>7</v>
      </c>
      <c r="I1" t="s">
        <v>8</v>
      </c>
      <c r="J1" t="s">
        <v>9</v>
      </c>
      <c r="K1" t="s">
        <v>18</v>
      </c>
    </row>
    <row r="2" spans="1:14" x14ac:dyDescent="0.25">
      <c r="A2">
        <v>0</v>
      </c>
      <c r="B2">
        <v>1600</v>
      </c>
      <c r="C2">
        <v>0.1</v>
      </c>
      <c r="D2">
        <v>0.8</v>
      </c>
      <c r="E2" s="3">
        <f>B19*B17/F2</f>
        <v>1.3752455795677798</v>
      </c>
      <c r="F2" s="1">
        <v>2.5450000000000001E-4</v>
      </c>
      <c r="G2">
        <v>0.38400000000000001</v>
      </c>
      <c r="H2">
        <v>1</v>
      </c>
      <c r="I2">
        <v>0</v>
      </c>
      <c r="J2" s="2">
        <f>C2/B17*D2*E2^G2*H2^I2</f>
        <v>258.32114772445925</v>
      </c>
      <c r="K2">
        <v>0</v>
      </c>
    </row>
    <row r="3" spans="1:14" x14ac:dyDescent="0.25">
      <c r="A3">
        <v>1</v>
      </c>
      <c r="B3" s="2">
        <f>B20+B21*B22*(B20^4-B18^4)/J2</f>
        <v>1616.7721812948753</v>
      </c>
      <c r="C3" s="4">
        <f>(0.105-0.1)/100*(B3-B2)+C2</f>
        <v>0.10083860906474376</v>
      </c>
      <c r="D3">
        <v>0.8</v>
      </c>
      <c r="E3" s="3">
        <f>B19*B17/F3</f>
        <v>1.3520781996879996</v>
      </c>
      <c r="F3" s="1">
        <f>(0.0002805-0.0002545)/100*(B3-B2)+F2</f>
        <v>2.5886076713666758E-4</v>
      </c>
      <c r="G3">
        <v>0.38400000000000001</v>
      </c>
      <c r="H3">
        <v>1</v>
      </c>
      <c r="I3">
        <v>0</v>
      </c>
      <c r="J3" s="2">
        <f>C3/B17*D3*E3^G3*H3^I3</f>
        <v>258.79357164865291</v>
      </c>
      <c r="K3">
        <f>(B3-B2)/B2*100</f>
        <v>1.0482613309297051</v>
      </c>
    </row>
    <row r="4" spans="1:14" x14ac:dyDescent="0.25">
      <c r="A4">
        <v>2</v>
      </c>
      <c r="B4" s="2">
        <f>B20+B21*B22*(B20^4-B18^4)/J3</f>
        <v>1616.4355212687369</v>
      </c>
      <c r="J4" s="1"/>
      <c r="K4">
        <f>(B4-B3)/B3*100</f>
        <v>-2.0822972465343231E-2</v>
      </c>
    </row>
    <row r="7" spans="1:14" x14ac:dyDescent="0.25">
      <c r="A7" t="s">
        <v>0</v>
      </c>
      <c r="B7" t="s">
        <v>1</v>
      </c>
      <c r="C7" t="s">
        <v>2</v>
      </c>
      <c r="D7" t="s">
        <v>3</v>
      </c>
      <c r="E7" t="s">
        <v>4</v>
      </c>
      <c r="F7" t="s">
        <v>6</v>
      </c>
      <c r="G7" t="s">
        <v>5</v>
      </c>
      <c r="H7" t="s">
        <v>7</v>
      </c>
      <c r="I7" t="s">
        <v>8</v>
      </c>
      <c r="J7" t="s">
        <v>9</v>
      </c>
      <c r="K7" t="s">
        <v>18</v>
      </c>
      <c r="L7" t="s">
        <v>20</v>
      </c>
      <c r="N7" t="s">
        <v>21</v>
      </c>
    </row>
    <row r="8" spans="1:14" x14ac:dyDescent="0.25">
      <c r="A8">
        <v>0</v>
      </c>
      <c r="B8">
        <v>1470</v>
      </c>
      <c r="C8" s="4">
        <f>(0.0946-0.0891)/100*(L8-1400)+0.0891</f>
        <v>9.1914625E-2</v>
      </c>
      <c r="D8">
        <v>0.68300000000000005</v>
      </c>
      <c r="E8" s="3">
        <f>E19*B17/F8</f>
        <v>80.431184687005484</v>
      </c>
      <c r="F8" s="1">
        <f>(0.0002291-0.0002055)/100*(L8-1400)+0.0002055</f>
        <v>2.1757729999999999E-4</v>
      </c>
      <c r="G8">
        <v>0.46600000000000003</v>
      </c>
      <c r="H8">
        <v>0.70499999999999996</v>
      </c>
      <c r="I8" s="5">
        <f>1/3</f>
        <v>0.33333333333333331</v>
      </c>
      <c r="J8" s="3">
        <f>C8/B17*D8*E8^G8*H8^I8</f>
        <v>1233.2793288156774</v>
      </c>
      <c r="K8">
        <v>0</v>
      </c>
      <c r="L8" s="2">
        <f>(B8+B20)/2</f>
        <v>1451.175</v>
      </c>
      <c r="N8" t="s">
        <v>22</v>
      </c>
    </row>
    <row r="9" spans="1:14" x14ac:dyDescent="0.25">
      <c r="A9">
        <v>1</v>
      </c>
      <c r="B9" s="2">
        <f>B20+B21*B22*(B20^4-B18^4)/J8</f>
        <v>1470.9788397322684</v>
      </c>
      <c r="C9" s="4">
        <f>(0.0946-0.0891)/100*(L9-1400)+0.0891</f>
        <v>9.1941543092637384E-2</v>
      </c>
      <c r="D9">
        <v>0.68300000000000005</v>
      </c>
      <c r="E9" s="3">
        <f>E19*B17/F9</f>
        <v>80.388509641694654</v>
      </c>
      <c r="F9" s="1">
        <f>(0.0002291-0.0002055)/100*(L9-1400)+0.0002055</f>
        <v>2.1769280308840769E-4</v>
      </c>
      <c r="G9">
        <v>0.46600000000000003</v>
      </c>
      <c r="H9">
        <v>0.70499999999999996</v>
      </c>
      <c r="I9" s="5">
        <f>1/3</f>
        <v>0.33333333333333331</v>
      </c>
      <c r="J9" s="3">
        <f>C9/B17*D9*E9^G9*H9^I9</f>
        <v>1233.3354464376876</v>
      </c>
      <c r="K9">
        <f>(B9-B8)/B8*100</f>
        <v>6.6587736889006641E-2</v>
      </c>
      <c r="L9" s="2">
        <f>(B9+B20)/2</f>
        <v>1451.6644198661343</v>
      </c>
    </row>
    <row r="10" spans="1:14" x14ac:dyDescent="0.25">
      <c r="A10">
        <v>2</v>
      </c>
      <c r="B10" s="2">
        <f>B20+B21*B22*(B20^4-B18^4)/J9</f>
        <v>1470.9770820931501</v>
      </c>
      <c r="J10" s="1"/>
      <c r="K10">
        <f>(B10-B9)/B9*100</f>
        <v>-1.1948772278842127E-4</v>
      </c>
    </row>
    <row r="17" spans="1:6" x14ac:dyDescent="0.25">
      <c r="A17" t="s">
        <v>10</v>
      </c>
      <c r="B17" s="1">
        <v>3.5E-4</v>
      </c>
      <c r="C17" t="s">
        <v>8</v>
      </c>
    </row>
    <row r="18" spans="1:6" x14ac:dyDescent="0.25">
      <c r="A18" t="s">
        <v>11</v>
      </c>
      <c r="B18">
        <v>300</v>
      </c>
      <c r="C18" t="s">
        <v>12</v>
      </c>
    </row>
    <row r="19" spans="1:6" x14ac:dyDescent="0.25">
      <c r="A19" t="s">
        <v>13</v>
      </c>
      <c r="B19">
        <v>1</v>
      </c>
      <c r="C19" t="s">
        <v>14</v>
      </c>
      <c r="E19">
        <v>50</v>
      </c>
      <c r="F19" t="s">
        <v>14</v>
      </c>
    </row>
    <row r="20" spans="1:6" x14ac:dyDescent="0.25">
      <c r="A20" t="s">
        <v>15</v>
      </c>
      <c r="B20" s="7">
        <f>273.15+1159.2</f>
        <v>1432.35</v>
      </c>
      <c r="C20" t="s">
        <v>12</v>
      </c>
    </row>
    <row r="21" spans="1:6" x14ac:dyDescent="0.25">
      <c r="A21" t="s">
        <v>16</v>
      </c>
      <c r="B21" s="1">
        <v>5.6699999999999998E-8</v>
      </c>
    </row>
    <row r="22" spans="1:6" x14ac:dyDescent="0.25">
      <c r="A22" t="s">
        <v>17</v>
      </c>
      <c r="B22">
        <v>0.2</v>
      </c>
    </row>
    <row r="24" spans="1:6" x14ac:dyDescent="0.25">
      <c r="A24" t="s">
        <v>19</v>
      </c>
      <c r="B24" s="2">
        <f>B4-B20</f>
        <v>184.08552126873701</v>
      </c>
      <c r="E24" s="2">
        <f>B10-B20</f>
        <v>38.627082093150193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C55CB-55C9-4319-BA48-9ED6D332350C}">
  <dimension ref="A1:Q56"/>
  <sheetViews>
    <sheetView topLeftCell="A19" workbookViewId="0">
      <selection activeCell="O23" sqref="O23"/>
    </sheetView>
  </sheetViews>
  <sheetFormatPr defaultRowHeight="15" x14ac:dyDescent="0.25"/>
  <cols>
    <col min="2" max="2" width="9.5703125" bestFit="1" customWidth="1"/>
    <col min="4" max="4" width="9.5703125" customWidth="1"/>
    <col min="5" max="5" width="9.7109375" bestFit="1" customWidth="1"/>
  </cols>
  <sheetData>
    <row r="1" spans="1:11" x14ac:dyDescent="0.25">
      <c r="A1">
        <v>0.1</v>
      </c>
    </row>
    <row r="2" spans="1:11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6</v>
      </c>
      <c r="G2" t="s">
        <v>5</v>
      </c>
      <c r="H2" t="s">
        <v>7</v>
      </c>
      <c r="I2" t="s">
        <v>8</v>
      </c>
      <c r="J2" t="s">
        <v>9</v>
      </c>
      <c r="K2" t="s">
        <v>18</v>
      </c>
    </row>
    <row r="3" spans="1:11" x14ac:dyDescent="0.25">
      <c r="A3">
        <v>0</v>
      </c>
      <c r="B3">
        <v>1500</v>
      </c>
      <c r="C3">
        <v>9.4600000000000004E-2</v>
      </c>
      <c r="D3">
        <v>0.8</v>
      </c>
      <c r="E3" s="3">
        <f>B$42*B$40/F3</f>
        <v>1.5277171540811871</v>
      </c>
      <c r="F3" s="1">
        <v>2.2910000000000001E-4</v>
      </c>
      <c r="G3">
        <v>0.38400000000000001</v>
      </c>
      <c r="H3">
        <v>1</v>
      </c>
      <c r="I3">
        <v>0</v>
      </c>
      <c r="J3" s="3">
        <f>C3/B$40*D3*E3^G3*H3^I3</f>
        <v>254.44010951123281</v>
      </c>
      <c r="K3">
        <v>0</v>
      </c>
    </row>
    <row r="4" spans="1:11" x14ac:dyDescent="0.25">
      <c r="A4">
        <v>1</v>
      </c>
      <c r="B4" s="2">
        <f>B$43+B$44*B$45*(B$43^4-B$41^4)/J3</f>
        <v>1431.1002296628694</v>
      </c>
      <c r="C4" s="4">
        <f>(-0.0891+0.0946)/100*(B$4-B$3)+C$3</f>
        <v>9.0810512631457813E-2</v>
      </c>
      <c r="D4">
        <v>0.8</v>
      </c>
      <c r="E4" s="3">
        <f>B$42*B$40/F4</f>
        <v>1.644430410840618</v>
      </c>
      <c r="F4" s="1">
        <f>(-0.0002055+0.0002291)/100*(B$4-B$3)+F$3</f>
        <v>2.1283965420043719E-4</v>
      </c>
      <c r="G4">
        <v>0.38400000000000001</v>
      </c>
      <c r="H4">
        <v>1</v>
      </c>
      <c r="I4">
        <v>0</v>
      </c>
      <c r="J4" s="3">
        <f>C4/B$40*D4*E4^G4*H4^I4</f>
        <v>251.25112893528171</v>
      </c>
      <c r="K4">
        <f>(B4-B3)/B3*100</f>
        <v>-4.5933180224753718</v>
      </c>
    </row>
    <row r="5" spans="1:11" x14ac:dyDescent="0.25">
      <c r="A5">
        <v>2</v>
      </c>
      <c r="B5" s="2">
        <f>B$43+B$44*B$45*(B$43^4-B$41^4)/J4</f>
        <v>1432.054066661289</v>
      </c>
      <c r="C5" s="4">
        <f>(-0.0891+0.0946)/100*(B$5-B$4)+C$4</f>
        <v>9.0862973666370889E-2</v>
      </c>
      <c r="D5">
        <v>0.8</v>
      </c>
      <c r="E5" s="3">
        <f>B$42*B$40/F5</f>
        <v>1.6426930499447034</v>
      </c>
      <c r="F5" s="1">
        <f>(-0.0002055+0.0002291)/100*(B$5-B$4)+F$4</f>
        <v>2.1306475973206421E-4</v>
      </c>
      <c r="G5">
        <v>0.38400000000000001</v>
      </c>
      <c r="H5">
        <v>1</v>
      </c>
      <c r="I5">
        <v>0</v>
      </c>
      <c r="J5" s="3">
        <f>C5/B$40*D5*E5^G5*H5^I5</f>
        <v>251.29425130887981</v>
      </c>
      <c r="K5">
        <f>(B5-B4)/B4*100</f>
        <v>6.6650607598899389E-2</v>
      </c>
    </row>
    <row r="6" spans="1:11" x14ac:dyDescent="0.25">
      <c r="A6">
        <v>3</v>
      </c>
      <c r="B6" s="2">
        <f>B$43+B$44*B$45*(B$43^4-B$41^4)/J5</f>
        <v>1432.04100711863</v>
      </c>
      <c r="C6" s="4"/>
      <c r="E6" s="3"/>
      <c r="F6" s="1"/>
      <c r="J6" s="3"/>
      <c r="K6">
        <f>(B6-B5)/B5*100</f>
        <v>-9.1194480453106442E-4</v>
      </c>
    </row>
    <row r="7" spans="1:11" x14ac:dyDescent="0.25">
      <c r="B7" s="2"/>
      <c r="C7" s="4"/>
      <c r="E7" s="3"/>
      <c r="F7" s="1"/>
      <c r="J7" s="3"/>
    </row>
    <row r="8" spans="1:11" x14ac:dyDescent="0.25">
      <c r="A8">
        <v>0.15</v>
      </c>
    </row>
    <row r="9" spans="1:11" x14ac:dyDescent="0.25">
      <c r="A9" t="s">
        <v>0</v>
      </c>
      <c r="B9" t="s">
        <v>1</v>
      </c>
      <c r="C9" t="s">
        <v>2</v>
      </c>
      <c r="D9" t="s">
        <v>3</v>
      </c>
      <c r="E9" t="s">
        <v>4</v>
      </c>
      <c r="F9" t="s">
        <v>6</v>
      </c>
      <c r="G9" t="s">
        <v>5</v>
      </c>
      <c r="H9" t="s">
        <v>7</v>
      </c>
      <c r="I9" t="s">
        <v>8</v>
      </c>
      <c r="J9" t="s">
        <v>9</v>
      </c>
      <c r="K9" t="s">
        <v>18</v>
      </c>
    </row>
    <row r="10" spans="1:11" x14ac:dyDescent="0.25">
      <c r="A10">
        <v>0</v>
      </c>
      <c r="B10">
        <v>1500</v>
      </c>
      <c r="C10">
        <v>9.4600000000000004E-2</v>
      </c>
      <c r="D10">
        <v>0.8</v>
      </c>
      <c r="E10" s="3">
        <f>B$42*B$40/F10</f>
        <v>1.5277171540811871</v>
      </c>
      <c r="F10" s="1">
        <v>2.2910000000000001E-4</v>
      </c>
      <c r="G10">
        <v>0.38400000000000001</v>
      </c>
      <c r="H10">
        <v>1</v>
      </c>
      <c r="I10">
        <v>0</v>
      </c>
      <c r="J10" s="3">
        <f>C10/B$40*D10*E10^G10*H10^I10</f>
        <v>254.44010951123281</v>
      </c>
      <c r="K10">
        <v>0</v>
      </c>
    </row>
    <row r="11" spans="1:11" x14ac:dyDescent="0.25">
      <c r="A11">
        <v>1</v>
      </c>
      <c r="B11" s="2">
        <f>B$43+B$44*D$45*(B$43^4-B$41^4)/J10</f>
        <v>1468.6753444943042</v>
      </c>
      <c r="C11" s="4">
        <f>(-0.0891+0.0946)/100*(B$11-B$10)+C$10</f>
        <v>9.2877143947186741E-2</v>
      </c>
      <c r="D11">
        <v>0.8</v>
      </c>
      <c r="E11" s="3">
        <f>B$42*B$40/F11</f>
        <v>1.5786574084575355</v>
      </c>
      <c r="F11" s="1">
        <f>(-0.0002055+0.0002291)/100*(B$11-B$10)+F$10</f>
        <v>2.2170738130065581E-4</v>
      </c>
      <c r="G11">
        <v>0.38400000000000001</v>
      </c>
      <c r="H11">
        <v>1</v>
      </c>
      <c r="I11">
        <v>0</v>
      </c>
      <c r="J11" s="3">
        <f>C11/B$40*D11*E11^G11*H11^I11</f>
        <v>252.9725189300714</v>
      </c>
      <c r="K11">
        <f>(B11-B10)/B10*100</f>
        <v>-2.0883103670463847</v>
      </c>
    </row>
    <row r="12" spans="1:11" x14ac:dyDescent="0.25">
      <c r="A12">
        <v>2</v>
      </c>
      <c r="B12" s="2">
        <f>B$43+B$44*D$45*(B$43^4-B$41^4)/J11</f>
        <v>1469.3293074407052</v>
      </c>
      <c r="C12" s="4">
        <f>(-0.0891+0.0946)/100*(B$11-B$10)+C$10</f>
        <v>9.2877143947186741E-2</v>
      </c>
      <c r="D12">
        <v>0.8</v>
      </c>
      <c r="E12" s="3">
        <f>B$42*B$40/F12</f>
        <v>1.5786574084575355</v>
      </c>
      <c r="F12" s="1">
        <f>(-0.0002055+0.0002291)/100*(B$11-B$10)+F$10</f>
        <v>2.2170738130065581E-4</v>
      </c>
      <c r="G12">
        <v>0.38400000000000001</v>
      </c>
      <c r="H12">
        <v>1</v>
      </c>
      <c r="I12">
        <v>0</v>
      </c>
      <c r="J12" s="3">
        <f>C12/B$40*D12*E12^G12*H12^I12</f>
        <v>252.9725189300714</v>
      </c>
      <c r="K12">
        <f>(B12-B11)/B11*100</f>
        <v>4.4527400071942065E-2</v>
      </c>
    </row>
    <row r="13" spans="1:11" x14ac:dyDescent="0.25">
      <c r="A13">
        <v>3</v>
      </c>
      <c r="B13" s="2">
        <f>B$43+B$44*D$45*(B$43^4-B$41^4)/J12</f>
        <v>1469.3293074407052</v>
      </c>
      <c r="C13" s="4"/>
      <c r="E13" s="3"/>
      <c r="F13" s="1"/>
      <c r="J13" s="3"/>
      <c r="K13">
        <f>(B13-B12)/B12*100</f>
        <v>0</v>
      </c>
    </row>
    <row r="14" spans="1:11" x14ac:dyDescent="0.25">
      <c r="B14" s="2"/>
      <c r="C14" s="4"/>
      <c r="E14" s="3"/>
      <c r="F14" s="1"/>
      <c r="J14" s="3"/>
    </row>
    <row r="15" spans="1:11" x14ac:dyDescent="0.25">
      <c r="B15" s="2"/>
      <c r="C15" s="4"/>
      <c r="E15" s="3"/>
      <c r="F15" s="1"/>
      <c r="J15" s="3"/>
    </row>
    <row r="17" spans="1:12" x14ac:dyDescent="0.25">
      <c r="A17">
        <v>0.2</v>
      </c>
    </row>
    <row r="18" spans="1:12" x14ac:dyDescent="0.25">
      <c r="A18" t="s">
        <v>0</v>
      </c>
      <c r="B18" t="s">
        <v>1</v>
      </c>
      <c r="C18" t="s">
        <v>2</v>
      </c>
      <c r="D18" t="s">
        <v>3</v>
      </c>
      <c r="E18" t="s">
        <v>4</v>
      </c>
      <c r="F18" t="s">
        <v>6</v>
      </c>
      <c r="G18" t="s">
        <v>5</v>
      </c>
      <c r="H18" t="s">
        <v>7</v>
      </c>
      <c r="I18" t="s">
        <v>8</v>
      </c>
      <c r="J18" t="s">
        <v>9</v>
      </c>
      <c r="K18" t="s">
        <v>18</v>
      </c>
    </row>
    <row r="19" spans="1:12" x14ac:dyDescent="0.25">
      <c r="A19">
        <v>0</v>
      </c>
      <c r="B19">
        <v>1500</v>
      </c>
      <c r="C19">
        <v>9.4600000000000004E-2</v>
      </c>
      <c r="D19">
        <v>0.8</v>
      </c>
      <c r="E19" s="3">
        <f>B$42*B$40/F19</f>
        <v>1.5277171540811871</v>
      </c>
      <c r="F19" s="1">
        <v>2.2910000000000001E-4</v>
      </c>
      <c r="G19">
        <v>0.38400000000000001</v>
      </c>
      <c r="H19">
        <v>1</v>
      </c>
      <c r="I19">
        <v>0</v>
      </c>
      <c r="J19" s="3">
        <f>C19/B40*D19*E19^G19*H19^I19</f>
        <v>254.44010951123281</v>
      </c>
      <c r="K19">
        <v>0</v>
      </c>
      <c r="L19" s="2"/>
    </row>
    <row r="20" spans="1:12" x14ac:dyDescent="0.25">
      <c r="A20">
        <v>1</v>
      </c>
      <c r="B20" s="2">
        <f>B$43+B$44*E$45*(B$43^4-B$41^4)/J19</f>
        <v>1506.2504593257388</v>
      </c>
      <c r="C20" s="4">
        <f>(0.1-0.0946)/100*(B$20-B$19)+C$19</f>
        <v>9.4937524803589898E-2</v>
      </c>
      <c r="D20">
        <v>0.8</v>
      </c>
      <c r="E20" s="3">
        <f>B42*B40/F20</f>
        <v>1.5172032424375526</v>
      </c>
      <c r="F20" s="1">
        <f>(0.0002545-0.0002291)/100*(B$20-B$19)+F$19</f>
        <v>2.3068761666873768E-4</v>
      </c>
      <c r="G20">
        <v>0.38400000000000001</v>
      </c>
      <c r="H20">
        <v>1</v>
      </c>
      <c r="I20">
        <v>0</v>
      </c>
      <c r="J20" s="3">
        <f>C20/B$40*D20*E20^G20*H20^I20</f>
        <v>254.671679268303</v>
      </c>
      <c r="K20">
        <f>(B20-B19)/B19*100</f>
        <v>0.41669728838258679</v>
      </c>
      <c r="L20" s="2"/>
    </row>
    <row r="21" spans="1:12" x14ac:dyDescent="0.25">
      <c r="A21">
        <v>2</v>
      </c>
      <c r="B21" s="2">
        <f>B$43+B$44*E$45*(B$43^4-B$41^4)/J20</f>
        <v>1506.1137930071534</v>
      </c>
      <c r="J21" s="1"/>
      <c r="K21">
        <f>(B21-B20)/B20*100</f>
        <v>-9.0732797948217623E-3</v>
      </c>
    </row>
    <row r="22" spans="1:12" x14ac:dyDescent="0.25">
      <c r="B22" s="2"/>
      <c r="J22" s="1"/>
    </row>
    <row r="23" spans="1:12" x14ac:dyDescent="0.25">
      <c r="A23">
        <v>0.25</v>
      </c>
    </row>
    <row r="24" spans="1:12" x14ac:dyDescent="0.25">
      <c r="A24" t="s">
        <v>0</v>
      </c>
      <c r="B24" t="s">
        <v>1</v>
      </c>
      <c r="C24" t="s">
        <v>2</v>
      </c>
      <c r="D24" t="s">
        <v>3</v>
      </c>
      <c r="E24" t="s">
        <v>4</v>
      </c>
      <c r="F24" t="s">
        <v>6</v>
      </c>
      <c r="G24" t="s">
        <v>5</v>
      </c>
      <c r="H24" t="s">
        <v>7</v>
      </c>
      <c r="I24" t="s">
        <v>8</v>
      </c>
      <c r="J24" t="s">
        <v>9</v>
      </c>
      <c r="K24" t="s">
        <v>18</v>
      </c>
    </row>
    <row r="25" spans="1:12" x14ac:dyDescent="0.25">
      <c r="A25">
        <v>0</v>
      </c>
      <c r="B25">
        <v>1500</v>
      </c>
      <c r="C25">
        <v>9.4600000000000004E-2</v>
      </c>
      <c r="D25">
        <v>0.8</v>
      </c>
      <c r="E25" s="3">
        <f>B$42*B$40/F25</f>
        <v>1.5277171540811871</v>
      </c>
      <c r="F25" s="1">
        <v>2.2910000000000001E-4</v>
      </c>
      <c r="G25">
        <v>0.38400000000000001</v>
      </c>
      <c r="H25">
        <v>1</v>
      </c>
      <c r="I25">
        <v>0</v>
      </c>
      <c r="J25" s="3">
        <f>C25/B$40*D25*E25^G25*H25^I25</f>
        <v>254.44010951123281</v>
      </c>
      <c r="K25">
        <v>0</v>
      </c>
    </row>
    <row r="26" spans="1:12" x14ac:dyDescent="0.25">
      <c r="A26">
        <v>1</v>
      </c>
      <c r="B26" s="2">
        <f>B$43+B$44*G$45*(B$43^4-B$41^4)/J25</f>
        <v>1543.8255741571736</v>
      </c>
      <c r="C26" s="4">
        <f>(0.1-0.0946)/100*(B$26-B$25)+C$25</f>
        <v>9.6966581004487379E-2</v>
      </c>
      <c r="D26">
        <v>0.8</v>
      </c>
      <c r="E26" s="3">
        <f>B$42*B$40/F26</f>
        <v>1.4569268171800673</v>
      </c>
      <c r="F26" s="1">
        <f>(0.0002545-0.0002291)/100*(B$26-B$25)+F$25</f>
        <v>2.402316958359221E-4</v>
      </c>
      <c r="G26">
        <v>0.38400000000000001</v>
      </c>
      <c r="H26">
        <v>1</v>
      </c>
      <c r="I26">
        <v>0</v>
      </c>
      <c r="J26" s="3">
        <f>C26/B$40*D26*E26^G26*H26^I26</f>
        <v>256.09677921491254</v>
      </c>
      <c r="K26">
        <f>(B26-B25)/B25*100</f>
        <v>2.9217049438115739</v>
      </c>
    </row>
    <row r="27" spans="1:12" x14ac:dyDescent="0.25">
      <c r="A27">
        <v>2</v>
      </c>
      <c r="B27" s="2">
        <f t="shared" ref="B27:B28" si="0">B$43+B$44*G$45*(B$43^4-B$41^4)/J26</f>
        <v>1542.6102220050623</v>
      </c>
      <c r="C27" s="4">
        <f>(0.1-0.0946)/100*(B$26-B$25)+C$25</f>
        <v>9.6966581004487379E-2</v>
      </c>
      <c r="D27">
        <v>0.8</v>
      </c>
      <c r="E27" s="3">
        <f>B$42*B$40/F27</f>
        <v>1.4569268171800673</v>
      </c>
      <c r="F27" s="1">
        <f>(0.0002545-0.0002291)/100*(B$26-B$25)+F$25</f>
        <v>2.402316958359221E-4</v>
      </c>
      <c r="G27">
        <v>0.38400000000000001</v>
      </c>
      <c r="H27">
        <v>1</v>
      </c>
      <c r="I27">
        <v>0</v>
      </c>
      <c r="J27" s="3">
        <f>C27/B$40*D27*E27^G27*H27^I27</f>
        <v>256.09677921491254</v>
      </c>
      <c r="K27">
        <f>(B27-B26)/B26*100</f>
        <v>-7.8723411015835631E-2</v>
      </c>
    </row>
    <row r="28" spans="1:12" x14ac:dyDescent="0.25">
      <c r="A28">
        <v>3</v>
      </c>
      <c r="B28" s="2">
        <f t="shared" si="0"/>
        <v>1542.6102220050623</v>
      </c>
      <c r="C28" s="4"/>
      <c r="E28" s="3"/>
      <c r="F28" s="1"/>
      <c r="J28" s="3"/>
      <c r="K28">
        <f>(B28-B27)/B27*100</f>
        <v>0</v>
      </c>
    </row>
    <row r="29" spans="1:12" x14ac:dyDescent="0.25">
      <c r="B29" s="2"/>
      <c r="C29" s="4"/>
      <c r="E29" s="3"/>
      <c r="F29" s="1"/>
      <c r="J29" s="3"/>
    </row>
    <row r="30" spans="1:12" x14ac:dyDescent="0.25">
      <c r="A30">
        <v>0.3</v>
      </c>
    </row>
    <row r="31" spans="1:12" x14ac:dyDescent="0.25">
      <c r="A31" t="s">
        <v>0</v>
      </c>
      <c r="B31" t="s">
        <v>1</v>
      </c>
      <c r="C31" t="s">
        <v>2</v>
      </c>
      <c r="D31" t="s">
        <v>3</v>
      </c>
      <c r="E31" t="s">
        <v>4</v>
      </c>
      <c r="F31" t="s">
        <v>6</v>
      </c>
      <c r="G31" t="s">
        <v>5</v>
      </c>
      <c r="H31" t="s">
        <v>7</v>
      </c>
      <c r="I31" t="s">
        <v>8</v>
      </c>
      <c r="J31" t="s">
        <v>9</v>
      </c>
      <c r="K31" t="s">
        <v>18</v>
      </c>
      <c r="L31" s="2"/>
    </row>
    <row r="32" spans="1:12" x14ac:dyDescent="0.25">
      <c r="A32">
        <v>0</v>
      </c>
      <c r="B32">
        <v>1500</v>
      </c>
      <c r="C32">
        <v>9.4600000000000004E-2</v>
      </c>
      <c r="D32">
        <v>0.8</v>
      </c>
      <c r="E32" s="3">
        <f>B$42*B$40/F32</f>
        <v>1.5277171540811871</v>
      </c>
      <c r="F32" s="1">
        <v>2.2910000000000001E-4</v>
      </c>
      <c r="G32">
        <v>0.38400000000000001</v>
      </c>
      <c r="H32">
        <v>1</v>
      </c>
      <c r="I32">
        <v>0</v>
      </c>
      <c r="J32" s="3">
        <f>C32/B$40*D32*E32^G32*H32^I32</f>
        <v>254.44010951123281</v>
      </c>
      <c r="K32">
        <v>0</v>
      </c>
      <c r="L32" s="2"/>
    </row>
    <row r="33" spans="1:17" x14ac:dyDescent="0.25">
      <c r="A33">
        <v>1</v>
      </c>
      <c r="B33" s="2">
        <f>B$43+B$44*H$45*(B$43^4-B$41^4)/J32</f>
        <v>1581.4006889886084</v>
      </c>
      <c r="C33" s="4">
        <f>(0.1-0.0946)/100*(B$33-B$32)+C$32</f>
        <v>9.8995637205384859E-2</v>
      </c>
      <c r="D33">
        <v>0.8</v>
      </c>
      <c r="E33" s="3">
        <f>B$42*B$40/F33</f>
        <v>1.401256787195023</v>
      </c>
      <c r="F33" s="1">
        <f>(0.0002545-0.0002291)/100*(B$33-B$32)+F$32</f>
        <v>2.4977577500310654E-4</v>
      </c>
      <c r="G33">
        <v>0.38400000000000001</v>
      </c>
      <c r="H33">
        <v>1</v>
      </c>
      <c r="I33">
        <v>0</v>
      </c>
      <c r="J33" s="3">
        <f>C33/B$40*D33*E33^G33*H33^I33</f>
        <v>257.57327860242344</v>
      </c>
      <c r="K33">
        <f>(B33-B32)/B32*100</f>
        <v>5.4267125992405605</v>
      </c>
      <c r="L33" s="2"/>
    </row>
    <row r="34" spans="1:17" x14ac:dyDescent="0.25">
      <c r="A34">
        <v>2</v>
      </c>
      <c r="B34" s="2">
        <f t="shared" ref="B34:B35" si="1">B$43+B$44*H$45*(B$43^4-B$41^4)/J33</f>
        <v>1578.6582650300384</v>
      </c>
      <c r="C34" s="4">
        <f>(0.1-0.0946)/100*(B$33-B$32)+C$32</f>
        <v>9.8995637205384859E-2</v>
      </c>
      <c r="D34">
        <v>0.8</v>
      </c>
      <c r="E34" s="3">
        <f>B$42*B$40/F34</f>
        <v>1.401256787195023</v>
      </c>
      <c r="F34" s="1">
        <f>(0.0002545-0.0002291)/100*(B$33-B$32)+F$32</f>
        <v>2.4977577500310654E-4</v>
      </c>
      <c r="G34">
        <v>0.38400000000000001</v>
      </c>
      <c r="H34">
        <v>1</v>
      </c>
      <c r="I34">
        <v>0</v>
      </c>
      <c r="J34" s="3">
        <f>C34/B$40*D34*E34^G34*H34^I34</f>
        <v>257.57327860242344</v>
      </c>
      <c r="K34">
        <f>(B34-B33)/B33*100</f>
        <v>-0.1734174000091003</v>
      </c>
    </row>
    <row r="35" spans="1:17" x14ac:dyDescent="0.25">
      <c r="A35">
        <v>3</v>
      </c>
      <c r="B35" s="2">
        <f t="shared" si="1"/>
        <v>1578.6582650300384</v>
      </c>
      <c r="C35" s="4"/>
      <c r="E35" s="3"/>
      <c r="F35" s="1"/>
      <c r="J35" s="3"/>
      <c r="K35">
        <f>(B35-B34)/B34*100</f>
        <v>0</v>
      </c>
    </row>
    <row r="36" spans="1:17" x14ac:dyDescent="0.25">
      <c r="B36" s="2"/>
      <c r="J36" s="1"/>
    </row>
    <row r="37" spans="1:17" x14ac:dyDescent="0.25">
      <c r="A37" t="s">
        <v>24</v>
      </c>
      <c r="B37" s="2"/>
      <c r="D37" t="s">
        <v>25</v>
      </c>
      <c r="E37" t="s">
        <v>26</v>
      </c>
      <c r="G37" t="s">
        <v>27</v>
      </c>
      <c r="H37" t="s">
        <v>28</v>
      </c>
      <c r="J37" s="1"/>
    </row>
    <row r="38" spans="1:17" x14ac:dyDescent="0.25">
      <c r="B38" s="2"/>
      <c r="J38" s="1"/>
      <c r="Q38" s="6"/>
    </row>
    <row r="40" spans="1:17" x14ac:dyDescent="0.25">
      <c r="A40" t="s">
        <v>10</v>
      </c>
      <c r="B40" s="1">
        <v>3.5E-4</v>
      </c>
      <c r="C40" t="s">
        <v>8</v>
      </c>
    </row>
    <row r="41" spans="1:17" x14ac:dyDescent="0.25">
      <c r="A41" t="s">
        <v>11</v>
      </c>
      <c r="B41">
        <v>300</v>
      </c>
      <c r="C41" t="s">
        <v>12</v>
      </c>
    </row>
    <row r="42" spans="1:17" x14ac:dyDescent="0.25">
      <c r="A42" t="s">
        <v>13</v>
      </c>
      <c r="B42">
        <v>1</v>
      </c>
      <c r="C42" t="s">
        <v>14</v>
      </c>
      <c r="E42">
        <v>1</v>
      </c>
      <c r="F42" t="s">
        <v>14</v>
      </c>
      <c r="H42">
        <v>1</v>
      </c>
    </row>
    <row r="43" spans="1:17" x14ac:dyDescent="0.25">
      <c r="A43" t="s">
        <v>15</v>
      </c>
      <c r="B43" s="2">
        <f>273.15+1082.8</f>
        <v>1355.9499999999998</v>
      </c>
      <c r="C43" t="s">
        <v>12</v>
      </c>
    </row>
    <row r="44" spans="1:17" x14ac:dyDescent="0.25">
      <c r="A44" t="s">
        <v>16</v>
      </c>
      <c r="B44" s="1">
        <v>5.6699999999999998E-8</v>
      </c>
    </row>
    <row r="45" spans="1:17" x14ac:dyDescent="0.25">
      <c r="A45" t="s">
        <v>17</v>
      </c>
      <c r="B45">
        <v>0.1</v>
      </c>
      <c r="D45">
        <v>0.15</v>
      </c>
      <c r="E45">
        <v>0.2</v>
      </c>
      <c r="G45">
        <v>0.25</v>
      </c>
      <c r="H45">
        <v>0.3</v>
      </c>
    </row>
    <row r="47" spans="1:17" x14ac:dyDescent="0.25">
      <c r="A47" t="s">
        <v>1</v>
      </c>
      <c r="B47" s="2">
        <f>B6</f>
        <v>1432.04100711863</v>
      </c>
      <c r="D47" s="2">
        <f>B13</f>
        <v>1469.3293074407052</v>
      </c>
      <c r="E47" s="2">
        <f>B21</f>
        <v>1506.1137930071534</v>
      </c>
      <c r="G47" s="2">
        <f>B28</f>
        <v>1542.6102220050623</v>
      </c>
      <c r="H47" s="2">
        <f>B35</f>
        <v>1578.6582650300384</v>
      </c>
    </row>
    <row r="48" spans="1:17" x14ac:dyDescent="0.25">
      <c r="A48" t="s">
        <v>19</v>
      </c>
      <c r="B48" s="2">
        <f>B5-B43</f>
        <v>76.104066661289153</v>
      </c>
      <c r="D48" s="2">
        <f>D47-B43</f>
        <v>113.37930744070536</v>
      </c>
      <c r="E48" s="2">
        <f>B21-B43</f>
        <v>150.16379300715357</v>
      </c>
      <c r="G48" s="2">
        <f>G47-B43</f>
        <v>186.66022200506245</v>
      </c>
      <c r="H48" s="2">
        <f>H47-B43</f>
        <v>222.70826503003855</v>
      </c>
    </row>
    <row r="49" spans="2:10" x14ac:dyDescent="0.25">
      <c r="B49" s="2"/>
    </row>
    <row r="53" spans="2:10" x14ac:dyDescent="0.25">
      <c r="E53" s="3"/>
      <c r="F53" s="1"/>
      <c r="J53" s="3"/>
    </row>
    <row r="54" spans="2:10" x14ac:dyDescent="0.25">
      <c r="B54" s="2"/>
      <c r="C54" s="4"/>
      <c r="E54" s="3"/>
      <c r="F54" s="1"/>
      <c r="J54" s="3"/>
    </row>
    <row r="55" spans="2:10" x14ac:dyDescent="0.25">
      <c r="B55" s="2"/>
      <c r="C55" s="4"/>
      <c r="E55" s="3"/>
      <c r="F55" s="1"/>
      <c r="J55" s="3"/>
    </row>
    <row r="56" spans="2:10" x14ac:dyDescent="0.25">
      <c r="B56" s="2"/>
      <c r="C56" s="4"/>
      <c r="E56" s="3"/>
      <c r="F56" s="1"/>
      <c r="J56" s="3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54362-9AA4-4FD7-9516-392CCFD22691}">
  <dimension ref="A1:Q68"/>
  <sheetViews>
    <sheetView tabSelected="1" topLeftCell="A26" workbookViewId="0">
      <selection activeCell="AA50" sqref="AA50"/>
    </sheetView>
  </sheetViews>
  <sheetFormatPr defaultRowHeight="15" x14ac:dyDescent="0.25"/>
  <cols>
    <col min="2" max="2" width="9.5703125" bestFit="1" customWidth="1"/>
    <col min="4" max="4" width="9.5703125" customWidth="1"/>
    <col min="5" max="5" width="9.7109375" bestFit="1" customWidth="1"/>
    <col min="11" max="11" width="10.5703125" bestFit="1" customWidth="1"/>
  </cols>
  <sheetData>
    <row r="1" spans="1:12" x14ac:dyDescent="0.25">
      <c r="B1">
        <v>1300</v>
      </c>
      <c r="C1">
        <v>8.3699999999999997E-2</v>
      </c>
      <c r="F1" s="1">
        <v>1.8210000000000001E-4</v>
      </c>
      <c r="H1">
        <v>0.70499999999999996</v>
      </c>
    </row>
    <row r="2" spans="1:12" x14ac:dyDescent="0.25">
      <c r="B2">
        <v>1400</v>
      </c>
      <c r="C2">
        <v>8.9099999999999999E-2</v>
      </c>
      <c r="F2" s="1">
        <v>2.0550000000000001E-4</v>
      </c>
      <c r="H2">
        <v>0.70499999999999996</v>
      </c>
    </row>
    <row r="3" spans="1:12" x14ac:dyDescent="0.25">
      <c r="B3">
        <v>1500</v>
      </c>
      <c r="C3">
        <v>9.4600000000000004E-2</v>
      </c>
      <c r="F3" s="1">
        <v>2.2910000000000001E-4</v>
      </c>
      <c r="H3">
        <v>0.70499999999999996</v>
      </c>
    </row>
    <row r="4" spans="1:12" x14ac:dyDescent="0.25">
      <c r="B4">
        <v>1600</v>
      </c>
      <c r="C4">
        <v>0.1</v>
      </c>
      <c r="F4" s="1">
        <v>2.5450000000000001E-4</v>
      </c>
      <c r="H4">
        <v>0.70499999999999996</v>
      </c>
    </row>
    <row r="6" spans="1:12" x14ac:dyDescent="0.25">
      <c r="A6">
        <v>0.1</v>
      </c>
    </row>
    <row r="7" spans="1:12" x14ac:dyDescent="0.25">
      <c r="A7" t="s">
        <v>0</v>
      </c>
      <c r="B7" t="s">
        <v>1</v>
      </c>
      <c r="C7" t="s">
        <v>2</v>
      </c>
      <c r="D7" t="s">
        <v>3</v>
      </c>
      <c r="E7" t="s">
        <v>4</v>
      </c>
      <c r="F7" t="s">
        <v>6</v>
      </c>
      <c r="G7" t="s">
        <v>5</v>
      </c>
      <c r="H7" t="s">
        <v>7</v>
      </c>
      <c r="I7" t="s">
        <v>8</v>
      </c>
      <c r="J7" t="s">
        <v>9</v>
      </c>
      <c r="K7" t="s">
        <v>18</v>
      </c>
      <c r="L7" t="s">
        <v>20</v>
      </c>
    </row>
    <row r="8" spans="1:12" x14ac:dyDescent="0.25">
      <c r="A8">
        <v>0</v>
      </c>
      <c r="B8">
        <v>1500</v>
      </c>
      <c r="C8" s="9">
        <f>(C$3-C$2)/100*(L$8-B$3)+C$3</f>
        <v>9.0638625E-2</v>
      </c>
      <c r="D8">
        <v>0.98899999999999999</v>
      </c>
      <c r="E8" s="3">
        <f>B$54*B$52/F8</f>
        <v>1.6501486783959236</v>
      </c>
      <c r="F8" s="10">
        <f>(F$3-F$2)/100*(L$8-B$3)+F$3</f>
        <v>2.1210209999999999E-4</v>
      </c>
      <c r="G8">
        <v>0.33</v>
      </c>
      <c r="H8">
        <v>0.70499999999999996</v>
      </c>
      <c r="I8">
        <v>0.33329999999999999</v>
      </c>
      <c r="J8" s="3">
        <f>C8/B$52*D8*E8^G8*H8^I8</f>
        <v>268.92154865650394</v>
      </c>
      <c r="K8">
        <v>0</v>
      </c>
      <c r="L8" s="2">
        <f>(B8+B$55)/2</f>
        <v>1427.9749999999999</v>
      </c>
    </row>
    <row r="9" spans="1:12" x14ac:dyDescent="0.25">
      <c r="A9">
        <v>1</v>
      </c>
      <c r="B9" s="2">
        <f>B$55+B$56*B$57*(B$55^4-B$53^4)/J8</f>
        <v>1498.1567719060961</v>
      </c>
      <c r="C9" s="4">
        <f>(C$3-C$2)/100*(L$9-B$3)+C$3</f>
        <v>9.0587936227417634E-2</v>
      </c>
      <c r="D9">
        <v>0.98899999999999999</v>
      </c>
      <c r="E9" s="3">
        <f>B$54*B$52/F9</f>
        <v>1.651842566715888</v>
      </c>
      <c r="F9" s="1">
        <f>(F$3-F$2)/100*(L$9-B$3)+F$3</f>
        <v>2.1188459908491931E-4</v>
      </c>
      <c r="G9">
        <v>0.33</v>
      </c>
      <c r="H9">
        <v>0.70499999999999996</v>
      </c>
      <c r="I9">
        <v>0.33329999999999999</v>
      </c>
      <c r="J9" s="3">
        <f>C9/B$52*D9*E9^G9*H9^I9</f>
        <v>268.8621710566826</v>
      </c>
      <c r="K9">
        <f>(B9-B8)/B8*100</f>
        <v>-0.12288187292692782</v>
      </c>
      <c r="L9" s="2">
        <f>(B9+B$55)/2</f>
        <v>1427.0533859530478</v>
      </c>
    </row>
    <row r="10" spans="1:12" x14ac:dyDescent="0.25">
      <c r="A10">
        <v>2</v>
      </c>
      <c r="B10" s="2">
        <f>B$55+B$56*B$57*(B$55^4-B$53^4)/J9</f>
        <v>1498.1881779486828</v>
      </c>
      <c r="C10" s="4">
        <f>(C$3-C$2)/100*(L$9-B$3)+C$3</f>
        <v>9.0587936227417634E-2</v>
      </c>
      <c r="D10">
        <v>0.98899999999999999</v>
      </c>
      <c r="E10" s="3">
        <f>B$54*B$52/F10</f>
        <v>1.651842566715888</v>
      </c>
      <c r="F10" s="1">
        <f>(F$3-F$2)/100*(L$9-B$3)+F$3</f>
        <v>2.1188459908491931E-4</v>
      </c>
      <c r="G10">
        <v>0.33</v>
      </c>
      <c r="H10">
        <v>0.70499999999999996</v>
      </c>
      <c r="I10">
        <v>0.33329999999999999</v>
      </c>
      <c r="J10" s="3">
        <f>C10/B$52*D10*E10^G10*H10^I10</f>
        <v>268.8621710566826</v>
      </c>
      <c r="K10">
        <f>(B10-B9)/B9*100</f>
        <v>2.0963121600910848E-3</v>
      </c>
      <c r="L10" s="2">
        <f>(B10+B$55)/2</f>
        <v>1427.0690889743414</v>
      </c>
    </row>
    <row r="11" spans="1:12" x14ac:dyDescent="0.25">
      <c r="A11">
        <v>3</v>
      </c>
      <c r="B11" s="2">
        <f>B$55+B$56*B$57*(B$55^4-B$53^4)/J10</f>
        <v>1498.1881779486828</v>
      </c>
      <c r="C11" s="4"/>
      <c r="E11" s="3"/>
      <c r="F11" s="1"/>
      <c r="J11" s="3"/>
      <c r="K11" s="8">
        <f>(B11-B10)/B10*100</f>
        <v>0</v>
      </c>
    </row>
    <row r="12" spans="1:12" x14ac:dyDescent="0.25">
      <c r="B12" s="2"/>
      <c r="C12" s="4"/>
      <c r="E12" s="3"/>
      <c r="F12" s="1"/>
      <c r="J12" s="3"/>
    </row>
    <row r="13" spans="1:12" x14ac:dyDescent="0.25">
      <c r="A13">
        <v>0.15</v>
      </c>
    </row>
    <row r="14" spans="1:12" x14ac:dyDescent="0.25">
      <c r="A14" t="s">
        <v>0</v>
      </c>
      <c r="B14" t="s">
        <v>1</v>
      </c>
      <c r="C14" t="s">
        <v>2</v>
      </c>
      <c r="D14" t="s">
        <v>3</v>
      </c>
      <c r="E14" t="s">
        <v>4</v>
      </c>
      <c r="F14" t="s">
        <v>6</v>
      </c>
      <c r="G14" t="s">
        <v>5</v>
      </c>
      <c r="H14" t="s">
        <v>7</v>
      </c>
      <c r="I14" t="s">
        <v>8</v>
      </c>
      <c r="J14" t="s">
        <v>9</v>
      </c>
      <c r="K14" t="s">
        <v>18</v>
      </c>
      <c r="L14" t="s">
        <v>20</v>
      </c>
    </row>
    <row r="15" spans="1:12" x14ac:dyDescent="0.25">
      <c r="A15">
        <v>0</v>
      </c>
      <c r="B15">
        <v>1500</v>
      </c>
      <c r="C15" s="4">
        <f>C$8</f>
        <v>9.0638625E-2</v>
      </c>
      <c r="D15">
        <v>0.91100000000000003</v>
      </c>
      <c r="E15" s="3">
        <f>D$54*B$52/F15</f>
        <v>16.501486783959237</v>
      </c>
      <c r="F15" s="1">
        <f>F$8</f>
        <v>2.1210209999999999E-4</v>
      </c>
      <c r="G15">
        <v>0.38500000000000001</v>
      </c>
      <c r="H15">
        <v>0.70499999999999996</v>
      </c>
      <c r="I15">
        <v>0.33329999999999999</v>
      </c>
      <c r="J15" s="3">
        <f>C15/B$52*D15*E15^G15*H15^I15</f>
        <v>617.89041478674767</v>
      </c>
      <c r="K15">
        <v>0</v>
      </c>
      <c r="L15" s="2">
        <f>(B15+B$55)/2</f>
        <v>1427.9749999999999</v>
      </c>
    </row>
    <row r="16" spans="1:12" x14ac:dyDescent="0.25">
      <c r="A16">
        <v>1</v>
      </c>
      <c r="B16" s="2">
        <f>B$55+B$56*B$57*(B$55^4-B$53^4)/J15</f>
        <v>1417.8419866941585</v>
      </c>
      <c r="C16" s="4">
        <f>(C$2-C$1)/100*(L$16-B$2)+C$2</f>
        <v>8.839238364074227E-2</v>
      </c>
      <c r="D16">
        <v>0.91100000000000003</v>
      </c>
      <c r="E16" s="3">
        <f t="shared" ref="E16:E17" si="0">D$54*B$52/F16</f>
        <v>17.289614571794669</v>
      </c>
      <c r="F16" s="1">
        <f>(F$2-F$1)/100*(L$16-B$2)+F$2</f>
        <v>2.0243366244321654E-4</v>
      </c>
      <c r="G16">
        <v>0.38500000000000001</v>
      </c>
      <c r="H16">
        <v>0.70499999999999996</v>
      </c>
      <c r="I16">
        <v>0.33329999999999999</v>
      </c>
      <c r="J16" s="3">
        <f>C16/B$52*D16*E16^G16*H16^I16</f>
        <v>613.49913663267887</v>
      </c>
      <c r="K16">
        <f>(B16-B15)/B15*100</f>
        <v>-5.4772008870560969</v>
      </c>
      <c r="L16" s="2">
        <f>(B16+B$55)/2</f>
        <v>1386.8959933470792</v>
      </c>
    </row>
    <row r="17" spans="1:12" x14ac:dyDescent="0.25">
      <c r="A17">
        <v>2</v>
      </c>
      <c r="B17" s="2">
        <f>B$55+B$56*B$57*(B$55^4-B$53^4)/J16</f>
        <v>1418.284994536963</v>
      </c>
      <c r="C17" s="4">
        <f>(C$2-C$1)/100*(L$16-B$2)+C$2</f>
        <v>8.839238364074227E-2</v>
      </c>
      <c r="D17">
        <v>0.91100000000000003</v>
      </c>
      <c r="E17" s="3">
        <f t="shared" si="0"/>
        <v>17.289614571794669</v>
      </c>
      <c r="F17" s="1">
        <f>(F$2-F$1)/100*(L$16-B$2)+F$2</f>
        <v>2.0243366244321654E-4</v>
      </c>
      <c r="G17">
        <v>0.38500000000000001</v>
      </c>
      <c r="H17">
        <v>0.70499999999999996</v>
      </c>
      <c r="I17">
        <v>0.33329999999999999</v>
      </c>
      <c r="J17" s="3">
        <f>C17/B$52*D17*E17^G17*H17^I17</f>
        <v>613.49913663267887</v>
      </c>
      <c r="K17">
        <f>(B17-B16)/B16*100</f>
        <v>3.1245219633917614E-2</v>
      </c>
      <c r="L17" s="2">
        <f>(B17+B$55)/2</f>
        <v>1387.1174972684814</v>
      </c>
    </row>
    <row r="18" spans="1:12" x14ac:dyDescent="0.25">
      <c r="A18">
        <v>3</v>
      </c>
      <c r="B18" s="2">
        <f>B$55+B$56*B$57*(B$55^4-B$53^4)/J17</f>
        <v>1418.284994536963</v>
      </c>
      <c r="C18" s="4"/>
      <c r="E18" s="3"/>
      <c r="F18" s="1"/>
      <c r="J18" s="3"/>
      <c r="K18" s="8">
        <f>(B18-B17)/B17*100</f>
        <v>0</v>
      </c>
    </row>
    <row r="19" spans="1:12" x14ac:dyDescent="0.25">
      <c r="B19" s="2"/>
      <c r="C19" s="4"/>
      <c r="E19" s="3"/>
      <c r="F19" s="1"/>
      <c r="J19" s="3"/>
    </row>
    <row r="20" spans="1:12" x14ac:dyDescent="0.25">
      <c r="B20" s="2"/>
      <c r="C20" s="4"/>
      <c r="E20" s="3"/>
      <c r="F20" s="1"/>
      <c r="J20" s="3"/>
    </row>
    <row r="22" spans="1:12" x14ac:dyDescent="0.25">
      <c r="A22">
        <v>0.2</v>
      </c>
    </row>
    <row r="23" spans="1:12" x14ac:dyDescent="0.25">
      <c r="A23" t="s">
        <v>0</v>
      </c>
      <c r="B23" t="s">
        <v>1</v>
      </c>
      <c r="C23" t="s">
        <v>2</v>
      </c>
      <c r="D23" t="s">
        <v>3</v>
      </c>
      <c r="E23" t="s">
        <v>4</v>
      </c>
      <c r="F23" t="s">
        <v>6</v>
      </c>
      <c r="G23" t="s">
        <v>5</v>
      </c>
      <c r="H23" t="s">
        <v>7</v>
      </c>
      <c r="I23" t="s">
        <v>8</v>
      </c>
      <c r="J23" t="s">
        <v>9</v>
      </c>
      <c r="K23" t="s">
        <v>18</v>
      </c>
      <c r="L23" t="s">
        <v>20</v>
      </c>
    </row>
    <row r="24" spans="1:12" x14ac:dyDescent="0.25">
      <c r="A24">
        <v>0</v>
      </c>
      <c r="B24">
        <v>1500</v>
      </c>
      <c r="C24" s="4">
        <f>C$8</f>
        <v>9.0638625E-2</v>
      </c>
      <c r="D24">
        <v>0.68300000000000005</v>
      </c>
      <c r="E24" s="3">
        <f>E$54*B$52/F24</f>
        <v>41.253716959898085</v>
      </c>
      <c r="F24" s="1">
        <f>F$8</f>
        <v>2.1210209999999999E-4</v>
      </c>
      <c r="G24">
        <v>0.46600000000000003</v>
      </c>
      <c r="H24">
        <v>0.70499999999999996</v>
      </c>
      <c r="I24">
        <v>0.33329999999999999</v>
      </c>
      <c r="J24" s="3">
        <f>C24/B$52*D24*E24^G24*H24^I24</f>
        <v>890.99075552939439</v>
      </c>
      <c r="K24">
        <v>0</v>
      </c>
      <c r="L24" s="2">
        <f>(B24+B$55)/2</f>
        <v>1427.9749999999999</v>
      </c>
    </row>
    <row r="25" spans="1:12" x14ac:dyDescent="0.25">
      <c r="A25">
        <v>1</v>
      </c>
      <c r="B25" s="2">
        <f>B$55+B$56*B$57*(B$55^4-B$53^4)/J24</f>
        <v>1398.8712818349695</v>
      </c>
      <c r="C25" s="4">
        <f>(C$2-C$1)/100*(L$25-B$2)+C$2</f>
        <v>8.788017460954417E-2</v>
      </c>
      <c r="D25">
        <v>0.68300000000000005</v>
      </c>
      <c r="E25" s="3">
        <f t="shared" ref="E25:E26" si="1">E$54*B$52/F25</f>
        <v>43.703217895933626</v>
      </c>
      <c r="F25" s="1">
        <f>(F$2-F$1)/100*(L$25-B$2)+F$2</f>
        <v>2.0021408997469143E-4</v>
      </c>
      <c r="G25">
        <v>0.46600000000000003</v>
      </c>
      <c r="H25">
        <v>0.70499999999999996</v>
      </c>
      <c r="I25">
        <v>0.33329999999999999</v>
      </c>
      <c r="J25" s="3">
        <f>C25/B$52*D25*E25^G25*H25^I25</f>
        <v>887.40987014317193</v>
      </c>
      <c r="K25">
        <f>(B25-B24)/B24*100</f>
        <v>-6.7419145443353647</v>
      </c>
      <c r="L25" s="2">
        <f>(B25+B$55)/2</f>
        <v>1377.4106409174847</v>
      </c>
    </row>
    <row r="26" spans="1:12" x14ac:dyDescent="0.25">
      <c r="A26">
        <v>2</v>
      </c>
      <c r="B26" s="2">
        <f>B$55+B$56*B$57*(B$55^4-B$53^4)/J25</f>
        <v>1399.0444782305156</v>
      </c>
      <c r="C26" s="4">
        <f>(C$2-C$1)/100*(L$25-B$2)+C$2</f>
        <v>8.788017460954417E-2</v>
      </c>
      <c r="D26">
        <v>0.68300000000000005</v>
      </c>
      <c r="E26" s="3">
        <f t="shared" si="1"/>
        <v>43.703217895933626</v>
      </c>
      <c r="F26" s="1">
        <f>(F$2-F$1)/100*(L$25-B$2)+F$2</f>
        <v>2.0021408997469143E-4</v>
      </c>
      <c r="G26">
        <v>0.46600000000000003</v>
      </c>
      <c r="H26">
        <v>0.70499999999999996</v>
      </c>
      <c r="I26">
        <v>0.33329999999999999</v>
      </c>
      <c r="J26" s="3">
        <f>C26/B$52*D26*E26^G26*H26^I26</f>
        <v>887.40987014317193</v>
      </c>
      <c r="K26">
        <f>(B26-B25)/B25*100</f>
        <v>1.2381153133606283E-2</v>
      </c>
      <c r="L26" s="2">
        <f>(B26+B$55)/2</f>
        <v>1377.4972391152578</v>
      </c>
    </row>
    <row r="27" spans="1:12" x14ac:dyDescent="0.25">
      <c r="A27">
        <v>3</v>
      </c>
      <c r="B27" s="2">
        <f>B$55+B$56*B$57*(B$55^4-B$53^4)/J26</f>
        <v>1399.0444782305156</v>
      </c>
      <c r="C27" s="4"/>
      <c r="E27" s="3"/>
      <c r="F27" s="1"/>
      <c r="J27" s="3"/>
      <c r="K27" s="8">
        <f>(B27-B26)/B26*100</f>
        <v>0</v>
      </c>
    </row>
    <row r="28" spans="1:12" x14ac:dyDescent="0.25">
      <c r="A28">
        <v>0.25</v>
      </c>
    </row>
    <row r="29" spans="1:12" x14ac:dyDescent="0.25">
      <c r="A29" t="s">
        <v>0</v>
      </c>
      <c r="B29" t="s">
        <v>1</v>
      </c>
      <c r="C29" t="s">
        <v>2</v>
      </c>
      <c r="D29" t="s">
        <v>3</v>
      </c>
      <c r="E29" t="s">
        <v>4</v>
      </c>
      <c r="F29" t="s">
        <v>6</v>
      </c>
      <c r="G29" t="s">
        <v>5</v>
      </c>
      <c r="H29" t="s">
        <v>7</v>
      </c>
      <c r="I29" t="s">
        <v>8</v>
      </c>
      <c r="J29" t="s">
        <v>9</v>
      </c>
      <c r="K29" t="s">
        <v>18</v>
      </c>
      <c r="L29" t="s">
        <v>20</v>
      </c>
    </row>
    <row r="30" spans="1:12" x14ac:dyDescent="0.25">
      <c r="A30">
        <v>0</v>
      </c>
      <c r="B30">
        <v>1500</v>
      </c>
      <c r="C30" s="4">
        <f>C$8</f>
        <v>9.0638625E-2</v>
      </c>
      <c r="D30">
        <v>0.68300000000000005</v>
      </c>
      <c r="E30" s="3">
        <f>G$54*B$52/F30</f>
        <v>57.755203743857329</v>
      </c>
      <c r="F30" s="1">
        <f>F$8</f>
        <v>2.1210209999999999E-4</v>
      </c>
      <c r="G30">
        <v>0.46600000000000003</v>
      </c>
      <c r="H30">
        <v>0.70499999999999996</v>
      </c>
      <c r="I30">
        <v>0.33329999999999999</v>
      </c>
      <c r="J30" s="3">
        <f>C30/B$52*D30*E30^G30*H30^I30</f>
        <v>1042.2427017050295</v>
      </c>
      <c r="K30">
        <v>0</v>
      </c>
      <c r="L30" s="2">
        <f>(B30+B$55)/2</f>
        <v>1427.9749999999999</v>
      </c>
    </row>
    <row r="31" spans="1:12" x14ac:dyDescent="0.25">
      <c r="A31">
        <v>1</v>
      </c>
      <c r="B31" s="2">
        <f>B$55+B$56*B$57*(B$55^4-B$53^4)/J30</f>
        <v>1392.6424760114585</v>
      </c>
      <c r="C31" s="4">
        <f>(C$2-C$1)/100*(L$31-B$2)+C$2</f>
        <v>8.7711996852309376E-2</v>
      </c>
      <c r="D31">
        <v>0.68300000000000005</v>
      </c>
      <c r="E31" s="3">
        <f t="shared" ref="E31:E32" si="2">G$54*B$52/F31</f>
        <v>61.408027512156515</v>
      </c>
      <c r="F31" s="1">
        <f>(F$2-F$1)/100*(L$31-B$2)+F$2</f>
        <v>1.9948531969334065E-4</v>
      </c>
      <c r="G31">
        <v>0.46600000000000003</v>
      </c>
      <c r="H31">
        <v>0.70499999999999996</v>
      </c>
      <c r="I31">
        <v>0.33329999999999999</v>
      </c>
      <c r="J31" s="3">
        <f>C31/B$52*D31*E31^G31*H31^I31</f>
        <v>1037.8294948995117</v>
      </c>
      <c r="K31">
        <f>(B31-B30)/B30*100</f>
        <v>-7.1571682659027678</v>
      </c>
      <c r="L31" s="2">
        <f>(B31+B$55)/2</f>
        <v>1374.2962380057293</v>
      </c>
    </row>
    <row r="32" spans="1:12" x14ac:dyDescent="0.25">
      <c r="A32">
        <v>2</v>
      </c>
      <c r="B32" s="2">
        <f>B$55+B$56*B$57*(B$55^4-B$53^4)/J31</f>
        <v>1392.7985049985327</v>
      </c>
      <c r="C32" s="4">
        <f>(C$2-C$1)/100*(L$31-B$2)+C$2</f>
        <v>8.7711996852309376E-2</v>
      </c>
      <c r="D32">
        <v>0.68300000000000005</v>
      </c>
      <c r="E32" s="3">
        <f t="shared" si="2"/>
        <v>61.408027512156515</v>
      </c>
      <c r="F32" s="1">
        <f>(F$2-F$1)/100*(L$31-B$2)+F$2</f>
        <v>1.9948531969334065E-4</v>
      </c>
      <c r="G32">
        <v>0.46600000000000003</v>
      </c>
      <c r="H32">
        <v>0.70499999999999996</v>
      </c>
      <c r="I32">
        <v>0.33329999999999999</v>
      </c>
      <c r="J32" s="3">
        <f>C32/B$52*D32*E32^G32*H32^I32</f>
        <v>1037.8294948995117</v>
      </c>
      <c r="K32">
        <f>(B32-B31)/B31*100</f>
        <v>1.1203807851755274E-2</v>
      </c>
      <c r="L32" s="2">
        <f>(B32+B$55)/2</f>
        <v>1374.3742524992663</v>
      </c>
    </row>
    <row r="33" spans="1:12" x14ac:dyDescent="0.25">
      <c r="A33">
        <v>3</v>
      </c>
      <c r="B33" s="2">
        <f>B$55+B$56*B$57*(B$55^4-B$53^4)/J32</f>
        <v>1392.7985049985327</v>
      </c>
      <c r="C33" s="4"/>
      <c r="E33" s="3"/>
      <c r="F33" s="1"/>
      <c r="J33" s="3"/>
      <c r="K33" s="8">
        <f>(B33-B32)/B32*100</f>
        <v>0</v>
      </c>
    </row>
    <row r="34" spans="1:12" x14ac:dyDescent="0.25">
      <c r="B34" s="2"/>
      <c r="C34" s="4"/>
      <c r="E34" s="3"/>
      <c r="F34" s="1"/>
      <c r="J34" s="3"/>
    </row>
    <row r="35" spans="1:12" x14ac:dyDescent="0.25">
      <c r="A35">
        <v>0.3</v>
      </c>
    </row>
    <row r="36" spans="1:12" x14ac:dyDescent="0.25">
      <c r="A36" t="s">
        <v>0</v>
      </c>
      <c r="B36" t="s">
        <v>1</v>
      </c>
      <c r="C36" t="s">
        <v>2</v>
      </c>
      <c r="D36" t="s">
        <v>3</v>
      </c>
      <c r="E36" t="s">
        <v>4</v>
      </c>
      <c r="F36" t="s">
        <v>6</v>
      </c>
      <c r="G36" t="s">
        <v>5</v>
      </c>
      <c r="H36" t="s">
        <v>7</v>
      </c>
      <c r="I36" t="s">
        <v>8</v>
      </c>
      <c r="J36" t="s">
        <v>9</v>
      </c>
      <c r="K36" t="s">
        <v>18</v>
      </c>
      <c r="L36" t="s">
        <v>20</v>
      </c>
    </row>
    <row r="37" spans="1:12" x14ac:dyDescent="0.25">
      <c r="A37">
        <v>0</v>
      </c>
      <c r="B37">
        <v>1500</v>
      </c>
      <c r="C37" s="4">
        <f>C$8</f>
        <v>9.0638625E-2</v>
      </c>
      <c r="D37">
        <v>0.68300000000000005</v>
      </c>
      <c r="E37" s="3">
        <f>H$54*B$52/F37</f>
        <v>82.507433919796171</v>
      </c>
      <c r="F37" s="1">
        <f>F$8</f>
        <v>2.1210209999999999E-4</v>
      </c>
      <c r="G37">
        <v>0.46600000000000003</v>
      </c>
      <c r="H37">
        <v>0.70499999999999996</v>
      </c>
      <c r="I37">
        <v>0.33329999999999999</v>
      </c>
      <c r="J37" s="3">
        <f>C37/B$52*D37*E37^G37*H37^I37</f>
        <v>1230.7027641451423</v>
      </c>
      <c r="K37">
        <v>0</v>
      </c>
      <c r="L37" s="2">
        <f>(B37+B$55)/2</f>
        <v>1427.9749999999999</v>
      </c>
    </row>
    <row r="38" spans="1:12" x14ac:dyDescent="0.25">
      <c r="A38">
        <v>1</v>
      </c>
      <c r="B38" s="2">
        <f>B$55+B$56*B$57*(B$55^4-B$53^4)/J37</f>
        <v>1387.0236811881568</v>
      </c>
      <c r="C38" s="4">
        <f>(C$2-C$1)/100*(L$38-B$2)+C$2</f>
        <v>8.7560289392080229E-2</v>
      </c>
      <c r="D38">
        <v>0.68300000000000005</v>
      </c>
      <c r="E38" s="3">
        <f t="shared" ref="E38:E39" si="3">H$54*B$52/F38</f>
        <v>88.01580753083212</v>
      </c>
      <c r="F38" s="1">
        <f>(F$2-F$1)/100*(L$38-B$2)+F$2</f>
        <v>1.9882792069901434E-4</v>
      </c>
      <c r="G38">
        <v>0.46600000000000003</v>
      </c>
      <c r="H38">
        <v>0.70499999999999996</v>
      </c>
      <c r="I38">
        <v>0.33329999999999999</v>
      </c>
      <c r="J38" s="3">
        <f>C38/B$52*D38*E38^G38*H38^I38</f>
        <v>1225.2552052426427</v>
      </c>
      <c r="K38">
        <f>(B38-B37)/B37*100</f>
        <v>-7.5317545874562102</v>
      </c>
      <c r="L38" s="2">
        <f>(B38+B$55)/2</f>
        <v>1371.4868405940783</v>
      </c>
    </row>
    <row r="39" spans="1:12" x14ac:dyDescent="0.25">
      <c r="A39">
        <v>2</v>
      </c>
      <c r="B39" s="2">
        <f>B$55+B$56*B$57*(B$55^4-B$53^4)/J38</f>
        <v>1387.161836658026</v>
      </c>
      <c r="C39" s="4">
        <f>(C$2-C$1)/100*(L$38-B$2)+C$2</f>
        <v>8.7560289392080229E-2</v>
      </c>
      <c r="D39">
        <v>0.68300000000000005</v>
      </c>
      <c r="E39" s="3">
        <f t="shared" si="3"/>
        <v>88.01580753083212</v>
      </c>
      <c r="F39" s="1">
        <f>(F$2-F$1)/100*(L$38-B$2)+F$2</f>
        <v>1.9882792069901434E-4</v>
      </c>
      <c r="G39">
        <v>0.46600000000000003</v>
      </c>
      <c r="H39">
        <v>0.70499999999999996</v>
      </c>
      <c r="I39">
        <v>0.33329999999999999</v>
      </c>
      <c r="J39" s="3">
        <f>C39/B$52*D39*E39^G39*H39^I39</f>
        <v>1225.2552052426427</v>
      </c>
      <c r="K39">
        <f>(B39-B38)/B38*100</f>
        <v>9.960570374026664E-3</v>
      </c>
      <c r="L39" s="2">
        <f>(B39+B$55)/2</f>
        <v>1371.5559183290129</v>
      </c>
    </row>
    <row r="40" spans="1:12" x14ac:dyDescent="0.25">
      <c r="A40">
        <v>3</v>
      </c>
      <c r="B40" s="2">
        <f>B$55+B$56*B$57*(B$55^4-B$53^4)/J39</f>
        <v>1387.161836658026</v>
      </c>
      <c r="C40" s="4"/>
      <c r="E40" s="3"/>
      <c r="F40" s="1"/>
      <c r="J40" s="3"/>
      <c r="K40" s="8">
        <f>(B40-B39)/B39*100</f>
        <v>0</v>
      </c>
    </row>
    <row r="41" spans="1:12" x14ac:dyDescent="0.25">
      <c r="B41" s="2"/>
      <c r="C41" s="4"/>
      <c r="E41" s="3"/>
      <c r="F41" s="1"/>
      <c r="J41" s="3"/>
    </row>
    <row r="42" spans="1:12" x14ac:dyDescent="0.25">
      <c r="A42" t="s">
        <v>0</v>
      </c>
      <c r="B42" t="s">
        <v>1</v>
      </c>
      <c r="C42" t="s">
        <v>2</v>
      </c>
      <c r="D42" t="s">
        <v>3</v>
      </c>
      <c r="E42" t="s">
        <v>4</v>
      </c>
      <c r="F42" t="s">
        <v>6</v>
      </c>
      <c r="G42" t="s">
        <v>5</v>
      </c>
      <c r="H42" t="s">
        <v>7</v>
      </c>
      <c r="I42" t="s">
        <v>8</v>
      </c>
      <c r="J42" t="s">
        <v>9</v>
      </c>
      <c r="K42" t="s">
        <v>18</v>
      </c>
      <c r="L42" t="s">
        <v>20</v>
      </c>
    </row>
    <row r="43" spans="1:12" x14ac:dyDescent="0.25">
      <c r="A43">
        <v>0</v>
      </c>
      <c r="B43">
        <v>1500</v>
      </c>
      <c r="C43" s="4">
        <f>C$8</f>
        <v>9.0638625E-2</v>
      </c>
      <c r="D43">
        <v>0.68300000000000005</v>
      </c>
      <c r="E43" s="3">
        <f>I$54*B$52/F43</f>
        <v>123.76115087969426</v>
      </c>
      <c r="F43" s="1">
        <f>F$8</f>
        <v>2.1210209999999999E-4</v>
      </c>
      <c r="G43">
        <v>0.46600000000000003</v>
      </c>
      <c r="H43">
        <v>0.70499999999999996</v>
      </c>
      <c r="I43">
        <v>0.33329999999999999</v>
      </c>
      <c r="J43" s="3">
        <f>C43/B$52*D43*E43^G43*H43^I43</f>
        <v>1486.6601583552049</v>
      </c>
      <c r="K43">
        <v>0</v>
      </c>
      <c r="L43" s="2">
        <f>(B43+B$55)/2</f>
        <v>1427.9749999999999</v>
      </c>
    </row>
    <row r="44" spans="1:12" x14ac:dyDescent="0.25">
      <c r="A44">
        <v>1</v>
      </c>
      <c r="B44" s="2">
        <f>B$55+B$56*B$57*(B$55^4-B$53^4)/J43</f>
        <v>1381.6737440012785</v>
      </c>
      <c r="C44" s="4">
        <f>(C$2-C$1)/100*(L$44-B$2)+C$2</f>
        <v>8.7415841088034518E-2</v>
      </c>
      <c r="D44">
        <v>0.68300000000000005</v>
      </c>
      <c r="E44" s="3">
        <f t="shared" ref="E44:E45" si="4">I$54*B$52/F44</f>
        <v>132.44065603433606</v>
      </c>
      <c r="F44" s="1">
        <f>(F$2-F$1)/100*(L$44-B$2)+F$2</f>
        <v>1.9820197804814956E-4</v>
      </c>
      <c r="G44">
        <v>0.46600000000000003</v>
      </c>
      <c r="H44">
        <v>0.70499999999999996</v>
      </c>
      <c r="I44">
        <v>0.33329999999999999</v>
      </c>
      <c r="J44" s="3">
        <f>C44/B$52*D44*E44^G44*H44^I44</f>
        <v>1479.8107205708488</v>
      </c>
      <c r="K44">
        <f>(B44-B43)/B43*100</f>
        <v>-7.888417066581435</v>
      </c>
      <c r="L44" s="2">
        <f>(B44+B$55)/2</f>
        <v>1368.8118720006391</v>
      </c>
    </row>
    <row r="45" spans="1:12" x14ac:dyDescent="0.25">
      <c r="A45">
        <v>2</v>
      </c>
      <c r="B45" s="2">
        <f>B$55+B$56*B$57*(B$55^4-B$53^4)/J44</f>
        <v>1381.7928086773672</v>
      </c>
      <c r="C45" s="4">
        <f>(C$2-C$1)/100*(L$44-B$2)+C$2</f>
        <v>8.7415841088034518E-2</v>
      </c>
      <c r="D45">
        <v>0.68300000000000005</v>
      </c>
      <c r="E45" s="3">
        <f t="shared" si="4"/>
        <v>132.44065603433606</v>
      </c>
      <c r="F45" s="1">
        <f>(F$2-F$1)/100*(L$44-B$2)+F$2</f>
        <v>1.9820197804814956E-4</v>
      </c>
      <c r="G45">
        <v>0.46600000000000003</v>
      </c>
      <c r="H45">
        <v>0.70499999999999996</v>
      </c>
      <c r="I45">
        <v>0.33329999999999999</v>
      </c>
      <c r="J45" s="3">
        <f>C45/B$52*D45*E45^G45*H45^I45</f>
        <v>1479.8107205708488</v>
      </c>
      <c r="K45">
        <f>(B45-B44)/B44*100</f>
        <v>8.6174233682675266E-3</v>
      </c>
      <c r="L45" s="2">
        <f>(B45+B$55)/2</f>
        <v>1368.8714043386835</v>
      </c>
    </row>
    <row r="46" spans="1:12" x14ac:dyDescent="0.25">
      <c r="A46">
        <v>3</v>
      </c>
      <c r="B46" s="2">
        <f>B$55+B$56*B$57*(B$55^4-B$53^4)/J45</f>
        <v>1381.7928086773672</v>
      </c>
      <c r="C46" s="4"/>
      <c r="E46" s="3"/>
      <c r="F46" s="1"/>
      <c r="J46" s="3"/>
      <c r="K46" s="8">
        <f>(B46-B45)/B45*100</f>
        <v>0</v>
      </c>
    </row>
    <row r="47" spans="1:12" x14ac:dyDescent="0.25">
      <c r="B47" s="2"/>
      <c r="C47" s="4"/>
      <c r="E47" s="3"/>
      <c r="F47" s="1"/>
      <c r="J47" s="3"/>
      <c r="K47" s="8"/>
    </row>
    <row r="48" spans="1:12" x14ac:dyDescent="0.25">
      <c r="B48" s="2"/>
      <c r="C48" s="4"/>
      <c r="E48" s="3"/>
      <c r="F48" s="1"/>
      <c r="J48" s="3"/>
      <c r="K48" s="8"/>
    </row>
    <row r="49" spans="1:17" x14ac:dyDescent="0.25">
      <c r="A49" t="s">
        <v>31</v>
      </c>
      <c r="B49" s="2"/>
      <c r="D49" t="s">
        <v>32</v>
      </c>
      <c r="E49" t="s">
        <v>33</v>
      </c>
      <c r="G49" t="s">
        <v>34</v>
      </c>
      <c r="H49" t="s">
        <v>29</v>
      </c>
      <c r="I49" t="s">
        <v>35</v>
      </c>
      <c r="J49" s="1"/>
      <c r="K49" t="s">
        <v>36</v>
      </c>
    </row>
    <row r="50" spans="1:17" x14ac:dyDescent="0.25">
      <c r="B50" s="2"/>
      <c r="J50" s="1"/>
      <c r="Q50" s="6"/>
    </row>
    <row r="52" spans="1:17" x14ac:dyDescent="0.25">
      <c r="A52" t="s">
        <v>10</v>
      </c>
      <c r="B52" s="1">
        <v>3.5E-4</v>
      </c>
      <c r="C52" t="s">
        <v>8</v>
      </c>
    </row>
    <row r="53" spans="1:17" x14ac:dyDescent="0.25">
      <c r="A53" t="s">
        <v>11</v>
      </c>
      <c r="B53">
        <v>300</v>
      </c>
      <c r="C53" t="s">
        <v>12</v>
      </c>
    </row>
    <row r="54" spans="1:17" x14ac:dyDescent="0.25">
      <c r="A54" t="s">
        <v>13</v>
      </c>
      <c r="B54">
        <v>1</v>
      </c>
      <c r="C54" t="s">
        <v>14</v>
      </c>
      <c r="D54">
        <v>10</v>
      </c>
      <c r="E54">
        <v>25</v>
      </c>
      <c r="F54" t="s">
        <v>14</v>
      </c>
      <c r="G54">
        <v>35</v>
      </c>
      <c r="H54">
        <v>50</v>
      </c>
      <c r="I54">
        <v>75</v>
      </c>
    </row>
    <row r="55" spans="1:17" x14ac:dyDescent="0.25">
      <c r="A55" t="s">
        <v>15</v>
      </c>
      <c r="B55" s="2">
        <f>273.15+1082.8</f>
        <v>1355.9499999999998</v>
      </c>
      <c r="C55" t="s">
        <v>12</v>
      </c>
    </row>
    <row r="56" spans="1:17" x14ac:dyDescent="0.25">
      <c r="A56" t="s">
        <v>16</v>
      </c>
      <c r="B56" s="1">
        <v>5.6699999999999998E-8</v>
      </c>
    </row>
    <row r="57" spans="1:17" x14ac:dyDescent="0.25">
      <c r="A57" t="s">
        <v>17</v>
      </c>
      <c r="B57">
        <v>0.2</v>
      </c>
      <c r="D57">
        <f>B57</f>
        <v>0.2</v>
      </c>
      <c r="E57">
        <v>0.2</v>
      </c>
      <c r="G57">
        <v>0.2</v>
      </c>
      <c r="H57">
        <v>0.2</v>
      </c>
      <c r="I57">
        <v>0.2</v>
      </c>
    </row>
    <row r="59" spans="1:17" x14ac:dyDescent="0.25">
      <c r="A59" t="s">
        <v>1</v>
      </c>
      <c r="B59" s="2">
        <f>B11</f>
        <v>1498.1881779486828</v>
      </c>
      <c r="D59" s="2">
        <f>B18</f>
        <v>1418.284994536963</v>
      </c>
      <c r="E59" s="2">
        <f>B26</f>
        <v>1399.0444782305156</v>
      </c>
      <c r="G59" s="2">
        <f>B33</f>
        <v>1392.7985049985327</v>
      </c>
      <c r="H59" s="2">
        <f>B40</f>
        <v>1387.161836658026</v>
      </c>
      <c r="I59" s="2">
        <f>B46</f>
        <v>1381.7928086773672</v>
      </c>
      <c r="K59" s="2">
        <f>Short!B4</f>
        <v>1506.1137930071534</v>
      </c>
    </row>
    <row r="60" spans="1:17" x14ac:dyDescent="0.25">
      <c r="A60" t="s">
        <v>19</v>
      </c>
      <c r="B60" s="2">
        <f>B10-B55</f>
        <v>142.23817794868296</v>
      </c>
      <c r="D60" s="2">
        <f>D59-B55</f>
        <v>62.334994536963222</v>
      </c>
      <c r="E60" s="2">
        <f>B26-B55</f>
        <v>43.094478230515733</v>
      </c>
      <c r="G60" s="2">
        <f>G59-B55</f>
        <v>36.848504998532917</v>
      </c>
      <c r="H60" s="2">
        <f>H59-B55</f>
        <v>31.211836658026186</v>
      </c>
      <c r="I60" s="2">
        <f>I59-B55</f>
        <v>25.842808677367429</v>
      </c>
      <c r="K60" s="2">
        <f>Short!B30</f>
        <v>150.16379300715357</v>
      </c>
    </row>
    <row r="61" spans="1:17" x14ac:dyDescent="0.25">
      <c r="B61" s="2"/>
    </row>
    <row r="65" spans="2:10" x14ac:dyDescent="0.25">
      <c r="E65" s="3"/>
      <c r="F65" s="1"/>
      <c r="J65" s="3"/>
    </row>
    <row r="66" spans="2:10" x14ac:dyDescent="0.25">
      <c r="B66" s="2"/>
      <c r="C66" s="4"/>
      <c r="E66" s="3"/>
      <c r="F66" s="1"/>
      <c r="J66" s="3"/>
    </row>
    <row r="67" spans="2:10" x14ac:dyDescent="0.25">
      <c r="B67" s="2"/>
      <c r="C67" s="4"/>
      <c r="E67" s="3"/>
      <c r="F67" s="1"/>
      <c r="J67" s="3"/>
    </row>
    <row r="68" spans="2:10" x14ac:dyDescent="0.25">
      <c r="B68" s="2"/>
      <c r="C68" s="4"/>
      <c r="E68" s="3"/>
      <c r="F68" s="1"/>
      <c r="J68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Short</vt:lpstr>
      <vt:lpstr>Long</vt:lpstr>
      <vt:lpstr>epsilon</vt:lpstr>
      <vt:lpstr>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bassi</dc:creator>
  <cp:lastModifiedBy>Andrea Bassi</cp:lastModifiedBy>
  <dcterms:created xsi:type="dcterms:W3CDTF">2015-06-05T18:19:34Z</dcterms:created>
  <dcterms:modified xsi:type="dcterms:W3CDTF">2024-06-04T21:34:57Z</dcterms:modified>
</cp:coreProperties>
</file>