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2.xml" ContentType="application/vnd.openxmlformats-officedocument.themeOverrid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3.xml" ContentType="application/vnd.openxmlformats-officedocument.themeOverrid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4.xml" ContentType="application/vnd.openxmlformats-officedocument.themeOverrid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5.xml" ContentType="application/vnd.openxmlformats-officedocument.themeOverrid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6.xml" ContentType="application/vnd.openxmlformats-officedocument.themeOverrid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1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2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43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7.xml" ContentType="application/vnd.openxmlformats-officedocument.themeOverride+xml"/>
  <Override PartName="/xl/charts/chart44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5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8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9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8.xml" ContentType="application/vnd.openxmlformats-officedocument.drawing+xml"/>
  <Override PartName="/xl/ctrlProps/ctrlProp7.xml" ContentType="application/vnd.ms-excel.controlproperties+xml"/>
  <Override PartName="/xl/charts/chart50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8.xml" ContentType="application/vnd.openxmlformats-officedocument.themeOverride+xml"/>
  <Override PartName="/xl/charts/chart5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5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7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9.xml" ContentType="application/vnd.openxmlformats-officedocument.themeOverrid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3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4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5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6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10.xml" ContentType="application/vnd.openxmlformats-officedocument.themeOverride+xml"/>
  <Override PartName="/xl/drawings/drawing10.xml" ContentType="application/vnd.openxmlformats-officedocument.drawing+xml"/>
  <Override PartName="/xl/ctrlProps/ctrlProp9.xml" ContentType="application/vnd.ms-excel.controlproperties+xml"/>
  <Override PartName="/xl/charts/chart67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11.xml" ContentType="application/vnd.openxmlformats-officedocument.themeOverride+xml"/>
  <Override PartName="/xl/charts/chart68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9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7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1.xml" ContentType="application/vnd.openxmlformats-officedocument.drawing+xml"/>
  <Override PartName="/xl/ctrlProps/ctrlProp10.xml" ContentType="application/vnd.ms-excel.controlproperties+xml"/>
  <Override PartName="/xl/charts/chart7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2.xml" ContentType="application/vnd.openxmlformats-officedocument.drawing+xml"/>
  <Override PartName="/xl/ctrlProps/ctrlProp11.xml" ContentType="application/vnd.ms-excel.controlproperties+xml"/>
  <Override PartName="/xl/charts/chart8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12.xml" ContentType="application/vnd.openxmlformats-officedocument.themeOverride+xml"/>
  <Override PartName="/xl/charts/chart8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88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89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90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13.xml" ContentType="application/vnd.openxmlformats-officedocument.drawing+xml"/>
  <Override PartName="/xl/ctrlProps/ctrlProp12.xml" ContentType="application/vnd.ms-excel.controlproperties+xml"/>
  <Override PartName="/xl/charts/chart91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13.xml" ContentType="application/vnd.openxmlformats-officedocument.themeOverride+xml"/>
  <Override PartName="/xl/charts/chart92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93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96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97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98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14.xml" ContentType="application/vnd.openxmlformats-officedocument.drawing+xml"/>
  <Override PartName="/xl/ctrlProps/ctrlProp13.xml" ContentType="application/vnd.ms-excel.controlproperties+xml"/>
  <Override PartName="/xl/charts/chart99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theme/themeOverride14.xml" ContentType="application/vnd.openxmlformats-officedocument.themeOverride+xml"/>
  <Override PartName="/xl/charts/chart100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101.xml" ContentType="application/vnd.openxmlformats-officedocument.drawingml.chart+xml"/>
  <Override PartName="/xl/drawings/drawing15.xml" ContentType="application/vnd.openxmlformats-officedocument.drawing+xml"/>
  <Override PartName="/xl/ctrlProps/ctrlProp14.xml" ContentType="application/vnd.ms-excel.controlproperties+xml"/>
  <Override PartName="/xl/charts/chart102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15.xml" ContentType="application/vnd.openxmlformats-officedocument.themeOverride+xml"/>
  <Override PartName="/xl/charts/chart103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104.xml" ContentType="application/vnd.openxmlformats-officedocument.drawingml.chart+xml"/>
  <Override PartName="/xl/drawings/drawing16.xml" ContentType="application/vnd.openxmlformats-officedocument.drawing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107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17.xml" ContentType="application/vnd.openxmlformats-officedocument.drawing+xml"/>
  <Override PartName="/xl/charts/chart10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ndna\Documents\Ph.D\e-reforming\Aspen\Optimization\GAMS_papermodels\GitHub\"/>
    </mc:Choice>
  </mc:AlternateContent>
  <xr:revisionPtr revIDLastSave="0" documentId="13_ncr:1_{FFF25483-3229-4A45-8806-D173E591E1AF}" xr6:coauthVersionLast="47" xr6:coauthVersionMax="47" xr10:uidLastSave="{00000000-0000-0000-0000-000000000000}"/>
  <bookViews>
    <workbookView xWindow="-120" yWindow="-120" windowWidth="38640" windowHeight="21240" firstSheet="10" activeTab="15" xr2:uid="{00000000-000D-0000-FFFF-FFFF00000000}"/>
  </bookViews>
  <sheets>
    <sheet name="CFs" sheetId="10" r:id="rId1"/>
    <sheet name="BGfix_1" sheetId="9" r:id="rId2"/>
    <sheet name="BGSY_1" sheetId="8" r:id="rId3"/>
    <sheet name="BGfix_b" sheetId="15" r:id="rId4"/>
    <sheet name="BGSY_b" sheetId="16" r:id="rId5"/>
    <sheet name="BGfix_d" sheetId="17" r:id="rId6"/>
    <sheet name="BGSY_d" sheetId="18" r:id="rId7"/>
    <sheet name="BGfix_2" sheetId="3" r:id="rId8"/>
    <sheet name="BGSY_2" sheetId="11" r:id="rId9"/>
    <sheet name="BGfix_b2" sheetId="12" r:id="rId10"/>
    <sheet name="BGSY_b2" sheetId="13" r:id="rId11"/>
    <sheet name="BGfix_d2" sheetId="19" r:id="rId12"/>
    <sheet name="BGSY_d2" sheetId="20" r:id="rId13"/>
    <sheet name="BGSY_big" sheetId="21" r:id="rId14"/>
    <sheet name="BGSY_2big" sheetId="14" r:id="rId15"/>
    <sheet name="comparison_all_small" sheetId="27" r:id="rId16"/>
    <sheet name="comparison_all_big" sheetId="28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0" l="1"/>
  <c r="X16" i="20"/>
  <c r="X15" i="20"/>
  <c r="X14" i="20"/>
  <c r="X13" i="20"/>
  <c r="X12" i="20"/>
  <c r="X11" i="20"/>
  <c r="X10" i="20"/>
  <c r="X9" i="20"/>
  <c r="X8" i="20"/>
  <c r="X7" i="20"/>
  <c r="X6" i="20"/>
  <c r="X5" i="20"/>
  <c r="X17" i="13" l="1"/>
  <c r="X16" i="13"/>
  <c r="X15" i="13"/>
  <c r="X14" i="13"/>
  <c r="X13" i="13"/>
  <c r="X12" i="13"/>
  <c r="X11" i="13"/>
  <c r="X10" i="13"/>
  <c r="X9" i="13"/>
  <c r="X8" i="13"/>
  <c r="X7" i="13"/>
  <c r="X6" i="13"/>
  <c r="X5" i="13"/>
  <c r="P92" i="13"/>
  <c r="P93" i="13"/>
  <c r="P99" i="13" s="1"/>
  <c r="P94" i="13"/>
  <c r="P100" i="13" s="1"/>
  <c r="P95" i="13"/>
  <c r="P101" i="13" s="1"/>
  <c r="P97" i="13"/>
  <c r="P98" i="13"/>
  <c r="P102" i="13"/>
  <c r="P103" i="13"/>
  <c r="P104" i="13"/>
  <c r="P112" i="13"/>
  <c r="P113" i="13"/>
  <c r="P115" i="13"/>
  <c r="P116" i="13"/>
  <c r="P122" i="13" s="1"/>
  <c r="P129" i="13" s="1"/>
  <c r="P117" i="13"/>
  <c r="P118" i="13"/>
  <c r="P124" i="13" s="1"/>
  <c r="P120" i="13"/>
  <c r="P121" i="13"/>
  <c r="P123" i="13"/>
  <c r="P125" i="13"/>
  <c r="P126" i="13"/>
  <c r="P132" i="13" s="1"/>
  <c r="P139" i="13" s="1"/>
  <c r="P127" i="13"/>
  <c r="P130" i="13" s="1"/>
  <c r="P106" i="13" l="1"/>
  <c r="P110" i="13" s="1"/>
  <c r="P131" i="13"/>
  <c r="P137" i="13" s="1"/>
  <c r="P141" i="13" s="1"/>
  <c r="P143" i="13" s="1"/>
  <c r="P108" i="13"/>
  <c r="P107" i="13"/>
  <c r="P128" i="13"/>
  <c r="P109" i="13"/>
  <c r="P105" i="13"/>
  <c r="P136" i="13"/>
  <c r="P133" i="13"/>
  <c r="P138" i="13"/>
  <c r="P140" i="13" l="1"/>
  <c r="P142" i="13" s="1"/>
  <c r="P92" i="12" l="1"/>
  <c r="P93" i="12"/>
  <c r="P99" i="12" s="1"/>
  <c r="P94" i="12"/>
  <c r="P100" i="12" s="1"/>
  <c r="P95" i="12"/>
  <c r="P101" i="12" s="1"/>
  <c r="P97" i="12"/>
  <c r="P98" i="12"/>
  <c r="P105" i="12" s="1"/>
  <c r="P102" i="12"/>
  <c r="P103" i="12"/>
  <c r="P104" i="12"/>
  <c r="P109" i="12" s="1"/>
  <c r="P115" i="12"/>
  <c r="P116" i="12"/>
  <c r="P122" i="12" s="1"/>
  <c r="P129" i="12" s="1"/>
  <c r="P117" i="12"/>
  <c r="P118" i="12"/>
  <c r="P124" i="12" s="1"/>
  <c r="P131" i="12" s="1"/>
  <c r="P120" i="12"/>
  <c r="P121" i="12"/>
  <c r="P123" i="12"/>
  <c r="P125" i="12"/>
  <c r="P126" i="12"/>
  <c r="P132" i="12" s="1"/>
  <c r="P139" i="12" s="1"/>
  <c r="P127" i="12"/>
  <c r="P128" i="12" s="1"/>
  <c r="P110" i="12" l="1"/>
  <c r="P107" i="12"/>
  <c r="P113" i="12"/>
  <c r="P108" i="12"/>
  <c r="P112" i="12"/>
  <c r="P106" i="12"/>
  <c r="P136" i="12" s="1"/>
  <c r="P140" i="12" s="1"/>
  <c r="P142" i="12" s="1"/>
  <c r="P138" i="12"/>
  <c r="P130" i="12"/>
  <c r="P137" i="12" s="1"/>
  <c r="P141" i="12" s="1"/>
  <c r="P133" i="12" l="1"/>
  <c r="P143" i="12" s="1"/>
  <c r="X17" i="18" l="1"/>
  <c r="X16" i="18"/>
  <c r="X15" i="18"/>
  <c r="X14" i="18"/>
  <c r="X13" i="18"/>
  <c r="X12" i="18"/>
  <c r="X11" i="18"/>
  <c r="X10" i="18"/>
  <c r="X9" i="18"/>
  <c r="X8" i="18"/>
  <c r="X7" i="18"/>
  <c r="X6" i="18"/>
  <c r="X5" i="18"/>
  <c r="X17" i="16" l="1"/>
  <c r="X16" i="16"/>
  <c r="X15" i="16"/>
  <c r="X14" i="16"/>
  <c r="X13" i="16"/>
  <c r="X12" i="16"/>
  <c r="X11" i="16"/>
  <c r="X10" i="16"/>
  <c r="X9" i="16"/>
  <c r="X8" i="16"/>
  <c r="X7" i="16"/>
  <c r="X6" i="16"/>
  <c r="X5" i="16"/>
  <c r="Z17" i="8" l="1"/>
  <c r="Z16" i="8"/>
  <c r="Z15" i="8"/>
  <c r="Z14" i="8"/>
  <c r="Z13" i="8"/>
  <c r="Z12" i="8"/>
  <c r="Z11" i="8"/>
  <c r="Z10" i="8"/>
  <c r="Z9" i="8"/>
  <c r="Z8" i="8"/>
  <c r="Z7" i="8"/>
  <c r="Z6" i="8"/>
  <c r="Z5" i="8"/>
  <c r="Z17" i="11" l="1"/>
  <c r="Z16" i="11"/>
  <c r="Z15" i="11"/>
  <c r="Z14" i="11"/>
  <c r="Z13" i="11"/>
  <c r="Z12" i="11"/>
  <c r="Z11" i="11"/>
  <c r="Z10" i="11"/>
  <c r="Z9" i="11"/>
  <c r="Z8" i="11"/>
  <c r="Z7" i="11"/>
  <c r="Z6" i="11"/>
  <c r="Z5" i="11"/>
  <c r="P92" i="11"/>
  <c r="P93" i="11"/>
  <c r="P99" i="11" s="1"/>
  <c r="P94" i="11"/>
  <c r="P100" i="11" s="1"/>
  <c r="P107" i="11" s="1"/>
  <c r="P95" i="11"/>
  <c r="P97" i="11"/>
  <c r="P98" i="11"/>
  <c r="P101" i="11"/>
  <c r="P102" i="11"/>
  <c r="P103" i="11"/>
  <c r="P109" i="11" s="1"/>
  <c r="P104" i="11"/>
  <c r="P112" i="11" s="1"/>
  <c r="P105" i="11"/>
  <c r="P115" i="11"/>
  <c r="P116" i="11"/>
  <c r="P122" i="11" s="1"/>
  <c r="P129" i="11" s="1"/>
  <c r="P117" i="11"/>
  <c r="P118" i="11"/>
  <c r="P120" i="11"/>
  <c r="P121" i="11"/>
  <c r="P128" i="11" s="1"/>
  <c r="P123" i="11"/>
  <c r="P130" i="11" s="1"/>
  <c r="P124" i="11"/>
  <c r="P131" i="11" s="1"/>
  <c r="P125" i="11"/>
  <c r="P126" i="11"/>
  <c r="P127" i="11"/>
  <c r="P132" i="11" s="1"/>
  <c r="P139" i="11" s="1"/>
  <c r="P106" i="11" l="1"/>
  <c r="P108" i="11"/>
  <c r="P137" i="11"/>
  <c r="P141" i="11" s="1"/>
  <c r="P143" i="11" s="1"/>
  <c r="P110" i="11"/>
  <c r="P136" i="11"/>
  <c r="P140" i="11" s="1"/>
  <c r="P142" i="11" s="1"/>
  <c r="P133" i="11"/>
  <c r="P138" i="11"/>
  <c r="P113" i="11"/>
  <c r="P92" i="3" l="1"/>
  <c r="P93" i="3"/>
  <c r="P94" i="3"/>
  <c r="P100" i="3" s="1"/>
  <c r="P95" i="3"/>
  <c r="P101" i="3" s="1"/>
  <c r="P108" i="3" s="1"/>
  <c r="P97" i="3"/>
  <c r="P98" i="3"/>
  <c r="P105" i="3" s="1"/>
  <c r="P99" i="3"/>
  <c r="P106" i="3" s="1"/>
  <c r="P102" i="3"/>
  <c r="P103" i="3"/>
  <c r="P109" i="3" s="1"/>
  <c r="P104" i="3"/>
  <c r="P112" i="3"/>
  <c r="P113" i="3"/>
  <c r="P115" i="3"/>
  <c r="P116" i="3"/>
  <c r="P122" i="3" s="1"/>
  <c r="P129" i="3" s="1"/>
  <c r="P117" i="3"/>
  <c r="P123" i="3" s="1"/>
  <c r="P130" i="3" s="1"/>
  <c r="P118" i="3"/>
  <c r="P120" i="3"/>
  <c r="P121" i="3"/>
  <c r="P124" i="3"/>
  <c r="P125" i="3"/>
  <c r="P126" i="3"/>
  <c r="P127" i="3"/>
  <c r="P131" i="3" s="1"/>
  <c r="P107" i="3" l="1"/>
  <c r="P128" i="3"/>
  <c r="P137" i="3"/>
  <c r="P136" i="3"/>
  <c r="P110" i="3"/>
  <c r="P133" i="3"/>
  <c r="P138" i="3"/>
  <c r="P132" i="3"/>
  <c r="P139" i="3" s="1"/>
  <c r="P140" i="3" l="1"/>
  <c r="P142" i="3" s="1"/>
  <c r="P141" i="3"/>
  <c r="P143" i="3" s="1"/>
  <c r="P92" i="16" l="1"/>
  <c r="P93" i="16"/>
  <c r="P94" i="16"/>
  <c r="P100" i="16" s="1"/>
  <c r="P95" i="16"/>
  <c r="P101" i="16" s="1"/>
  <c r="P97" i="16"/>
  <c r="P98" i="16"/>
  <c r="P99" i="16"/>
  <c r="P106" i="16" s="1"/>
  <c r="P102" i="16"/>
  <c r="P103" i="16"/>
  <c r="P104" i="16"/>
  <c r="P113" i="16"/>
  <c r="P115" i="16"/>
  <c r="P116" i="16"/>
  <c r="P122" i="16" s="1"/>
  <c r="P117" i="16"/>
  <c r="P123" i="16" s="1"/>
  <c r="P118" i="16"/>
  <c r="P120" i="16"/>
  <c r="P121" i="16"/>
  <c r="P124" i="16"/>
  <c r="P125" i="16"/>
  <c r="P126" i="16"/>
  <c r="P127" i="16"/>
  <c r="P128" i="16" s="1"/>
  <c r="P129" i="16" l="1"/>
  <c r="P105" i="16"/>
  <c r="P131" i="16"/>
  <c r="P130" i="16"/>
  <c r="P109" i="16"/>
  <c r="P132" i="16"/>
  <c r="P139" i="16" s="1"/>
  <c r="P108" i="16"/>
  <c r="P107" i="16"/>
  <c r="P136" i="16"/>
  <c r="P110" i="16"/>
  <c r="P133" i="16"/>
  <c r="P138" i="16"/>
  <c r="P112" i="16"/>
  <c r="P140" i="16" l="1"/>
  <c r="P137" i="16"/>
  <c r="P141" i="16" s="1"/>
  <c r="P143" i="16" s="1"/>
  <c r="P142" i="16"/>
  <c r="P92" i="15" l="1"/>
  <c r="P93" i="15"/>
  <c r="P99" i="15" s="1"/>
  <c r="P94" i="15"/>
  <c r="P100" i="15" s="1"/>
  <c r="P95" i="15"/>
  <c r="P101" i="15" s="1"/>
  <c r="P97" i="15"/>
  <c r="P98" i="15"/>
  <c r="P102" i="15"/>
  <c r="P103" i="15"/>
  <c r="P104" i="15"/>
  <c r="P109" i="15" s="1"/>
  <c r="P113" i="15"/>
  <c r="P115" i="15"/>
  <c r="P116" i="15"/>
  <c r="P117" i="15"/>
  <c r="P118" i="15"/>
  <c r="P120" i="15"/>
  <c r="P121" i="15"/>
  <c r="P122" i="15"/>
  <c r="P123" i="15"/>
  <c r="P124" i="15"/>
  <c r="P125" i="15"/>
  <c r="P126" i="15"/>
  <c r="P132" i="15" s="1"/>
  <c r="P139" i="15" s="1"/>
  <c r="P127" i="15"/>
  <c r="P108" i="15" l="1"/>
  <c r="P107" i="15"/>
  <c r="P106" i="15"/>
  <c r="P130" i="15"/>
  <c r="P128" i="15"/>
  <c r="P138" i="15" s="1"/>
  <c r="P136" i="15"/>
  <c r="P105" i="15"/>
  <c r="P110" i="15" s="1"/>
  <c r="P131" i="15"/>
  <c r="P112" i="15"/>
  <c r="P129" i="15"/>
  <c r="P137" i="15" s="1"/>
  <c r="P141" i="15" l="1"/>
  <c r="P140" i="15"/>
  <c r="P142" i="15" s="1"/>
  <c r="P133" i="15"/>
  <c r="P143" i="15" l="1"/>
  <c r="P92" i="8"/>
  <c r="P93" i="8"/>
  <c r="P94" i="8"/>
  <c r="P100" i="8" s="1"/>
  <c r="P95" i="8"/>
  <c r="P101" i="8" s="1"/>
  <c r="P97" i="8"/>
  <c r="P98" i="8"/>
  <c r="P105" i="8" s="1"/>
  <c r="P99" i="8"/>
  <c r="P102" i="8"/>
  <c r="P103" i="8"/>
  <c r="P104" i="8"/>
  <c r="P109" i="8" s="1"/>
  <c r="P112" i="8"/>
  <c r="P113" i="8"/>
  <c r="P115" i="8"/>
  <c r="P116" i="8"/>
  <c r="P122" i="8" s="1"/>
  <c r="P129" i="8" s="1"/>
  <c r="P117" i="8"/>
  <c r="P118" i="8"/>
  <c r="P124" i="8" s="1"/>
  <c r="P120" i="8"/>
  <c r="P121" i="8"/>
  <c r="P123" i="8"/>
  <c r="P125" i="8"/>
  <c r="P126" i="8"/>
  <c r="P127" i="8"/>
  <c r="P108" i="8" l="1"/>
  <c r="P132" i="8"/>
  <c r="P139" i="8" s="1"/>
  <c r="P107" i="8"/>
  <c r="P128" i="8"/>
  <c r="P106" i="8"/>
  <c r="P130" i="8"/>
  <c r="P137" i="8" s="1"/>
  <c r="P141" i="8" s="1"/>
  <c r="P143" i="8" s="1"/>
  <c r="P131" i="8"/>
  <c r="P136" i="8"/>
  <c r="P110" i="8"/>
  <c r="P133" i="8"/>
  <c r="P138" i="8"/>
  <c r="P140" i="8" l="1"/>
  <c r="P142" i="8" s="1"/>
  <c r="P92" i="9" l="1"/>
  <c r="P93" i="9"/>
  <c r="P99" i="9" s="1"/>
  <c r="P94" i="9"/>
  <c r="P100" i="9" s="1"/>
  <c r="P95" i="9"/>
  <c r="P101" i="9" s="1"/>
  <c r="P97" i="9"/>
  <c r="P98" i="9"/>
  <c r="P102" i="9"/>
  <c r="P103" i="9"/>
  <c r="P109" i="9" s="1"/>
  <c r="P104" i="9"/>
  <c r="P112" i="9"/>
  <c r="P113" i="9"/>
  <c r="P115" i="9"/>
  <c r="P116" i="9"/>
  <c r="P122" i="9" s="1"/>
  <c r="P129" i="9" s="1"/>
  <c r="P117" i="9"/>
  <c r="P123" i="9" s="1"/>
  <c r="P130" i="9" s="1"/>
  <c r="P118" i="9"/>
  <c r="P124" i="9" s="1"/>
  <c r="P131" i="9" s="1"/>
  <c r="P120" i="9"/>
  <c r="P121" i="9"/>
  <c r="P125" i="9"/>
  <c r="P126" i="9"/>
  <c r="P127" i="9"/>
  <c r="P132" i="9"/>
  <c r="P139" i="9" s="1"/>
  <c r="R11" i="28"/>
  <c r="L11" i="28"/>
  <c r="N11" i="28"/>
  <c r="P11" i="28"/>
  <c r="T11" i="28"/>
  <c r="U9" i="28"/>
  <c r="T9" i="28"/>
  <c r="S9" i="28"/>
  <c r="R9" i="28"/>
  <c r="Q9" i="28"/>
  <c r="P9" i="28"/>
  <c r="O9" i="28"/>
  <c r="N9" i="28"/>
  <c r="M9" i="28"/>
  <c r="L9" i="28"/>
  <c r="K9" i="28"/>
  <c r="U7" i="28"/>
  <c r="T7" i="28"/>
  <c r="S7" i="28"/>
  <c r="R7" i="28"/>
  <c r="Q7" i="28"/>
  <c r="P7" i="28"/>
  <c r="O7" i="28"/>
  <c r="N7" i="28"/>
  <c r="M7" i="28"/>
  <c r="M4" i="28" s="1"/>
  <c r="L7" i="28"/>
  <c r="L4" i="28" s="1"/>
  <c r="K7" i="28"/>
  <c r="U6" i="28"/>
  <c r="T6" i="28"/>
  <c r="S6" i="28"/>
  <c r="S4" i="28" s="1"/>
  <c r="R6" i="28"/>
  <c r="R4" i="28" s="1"/>
  <c r="Q6" i="28"/>
  <c r="Q4" i="28" s="1"/>
  <c r="P6" i="28"/>
  <c r="P4" i="28" s="1"/>
  <c r="O6" i="28"/>
  <c r="O4" i="28" s="1"/>
  <c r="N6" i="28"/>
  <c r="N4" i="28" s="1"/>
  <c r="M6" i="28"/>
  <c r="L6" i="28"/>
  <c r="K6" i="28"/>
  <c r="K4" i="28" s="1"/>
  <c r="U4" i="28"/>
  <c r="T4" i="28"/>
  <c r="U2" i="28"/>
  <c r="T2" i="28"/>
  <c r="S2" i="28"/>
  <c r="R2" i="28"/>
  <c r="Q2" i="28"/>
  <c r="P2" i="28"/>
  <c r="O2" i="28"/>
  <c r="N2" i="28"/>
  <c r="M2" i="28"/>
  <c r="L2" i="28"/>
  <c r="K2" i="28"/>
  <c r="T2" i="27"/>
  <c r="O104" i="20"/>
  <c r="O112" i="20" s="1"/>
  <c r="O97" i="20"/>
  <c r="O92" i="20"/>
  <c r="O97" i="19"/>
  <c r="O92" i="19"/>
  <c r="P105" i="9" l="1"/>
  <c r="P108" i="9"/>
  <c r="P107" i="9"/>
  <c r="P128" i="9"/>
  <c r="P106" i="9"/>
  <c r="P136" i="9" s="1"/>
  <c r="P137" i="9"/>
  <c r="P138" i="9"/>
  <c r="P133" i="9"/>
  <c r="P110" i="9"/>
  <c r="P140" i="9"/>
  <c r="O113" i="20"/>
  <c r="K102" i="14"/>
  <c r="L102" i="14"/>
  <c r="M102" i="14"/>
  <c r="N102" i="14"/>
  <c r="O102" i="14"/>
  <c r="K103" i="14"/>
  <c r="L103" i="14"/>
  <c r="M103" i="14"/>
  <c r="N103" i="14"/>
  <c r="O103" i="14"/>
  <c r="K104" i="14"/>
  <c r="L104" i="14"/>
  <c r="M104" i="14"/>
  <c r="N104" i="14"/>
  <c r="O104" i="14"/>
  <c r="J104" i="14"/>
  <c r="J103" i="14"/>
  <c r="J102" i="14"/>
  <c r="K102" i="21"/>
  <c r="L102" i="21"/>
  <c r="M102" i="21"/>
  <c r="N102" i="21"/>
  <c r="O102" i="21"/>
  <c r="K103" i="21"/>
  <c r="L103" i="21"/>
  <c r="M103" i="21"/>
  <c r="N103" i="21"/>
  <c r="O103" i="21"/>
  <c r="K104" i="21"/>
  <c r="L104" i="21"/>
  <c r="M104" i="21"/>
  <c r="N104" i="21"/>
  <c r="O104" i="21"/>
  <c r="J104" i="21"/>
  <c r="J103" i="21"/>
  <c r="J102" i="21"/>
  <c r="J93" i="21"/>
  <c r="K93" i="14"/>
  <c r="L93" i="14"/>
  <c r="M93" i="14"/>
  <c r="N93" i="14"/>
  <c r="O93" i="14"/>
  <c r="K94" i="14"/>
  <c r="L94" i="14"/>
  <c r="M94" i="14"/>
  <c r="N94" i="14"/>
  <c r="O94" i="14"/>
  <c r="K95" i="14"/>
  <c r="L95" i="14"/>
  <c r="M95" i="14"/>
  <c r="N95" i="14"/>
  <c r="O95" i="14"/>
  <c r="J95" i="14"/>
  <c r="J94" i="14"/>
  <c r="J93" i="14"/>
  <c r="K93" i="21"/>
  <c r="L93" i="21"/>
  <c r="M93" i="21"/>
  <c r="N93" i="21"/>
  <c r="O93" i="21"/>
  <c r="K94" i="21"/>
  <c r="L94" i="21"/>
  <c r="M94" i="21"/>
  <c r="N94" i="21"/>
  <c r="O94" i="21"/>
  <c r="K95" i="21"/>
  <c r="L95" i="21"/>
  <c r="M95" i="21"/>
  <c r="N95" i="21"/>
  <c r="O95" i="21"/>
  <c r="J95" i="21"/>
  <c r="J94" i="21"/>
  <c r="L93" i="20"/>
  <c r="M93" i="20"/>
  <c r="N93" i="20"/>
  <c r="O93" i="20"/>
  <c r="P93" i="20"/>
  <c r="L94" i="20"/>
  <c r="M94" i="20"/>
  <c r="N94" i="20"/>
  <c r="O94" i="20"/>
  <c r="P94" i="20"/>
  <c r="L95" i="20"/>
  <c r="M95" i="20"/>
  <c r="N95" i="20"/>
  <c r="O95" i="20"/>
  <c r="P95" i="20"/>
  <c r="K95" i="20"/>
  <c r="K94" i="20"/>
  <c r="K93" i="20"/>
  <c r="L93" i="19"/>
  <c r="M93" i="19"/>
  <c r="N93" i="19"/>
  <c r="O93" i="19"/>
  <c r="P93" i="19"/>
  <c r="L94" i="19"/>
  <c r="M94" i="19"/>
  <c r="N94" i="19"/>
  <c r="O94" i="19"/>
  <c r="P94" i="19"/>
  <c r="L95" i="19"/>
  <c r="M95" i="19"/>
  <c r="N95" i="19"/>
  <c r="O95" i="19"/>
  <c r="P95" i="19"/>
  <c r="K95" i="19"/>
  <c r="K94" i="19"/>
  <c r="K93" i="19"/>
  <c r="M95" i="13"/>
  <c r="N95" i="13"/>
  <c r="O95" i="13"/>
  <c r="Q95" i="13"/>
  <c r="L95" i="13"/>
  <c r="M94" i="13"/>
  <c r="N94" i="13"/>
  <c r="O94" i="13"/>
  <c r="Q94" i="13"/>
  <c r="L94" i="13"/>
  <c r="M93" i="13"/>
  <c r="N93" i="13"/>
  <c r="O93" i="13"/>
  <c r="Q93" i="13"/>
  <c r="L93" i="13"/>
  <c r="K95" i="3"/>
  <c r="L95" i="3"/>
  <c r="M95" i="3"/>
  <c r="N95" i="3"/>
  <c r="O95" i="3"/>
  <c r="Q95" i="3"/>
  <c r="J95" i="3"/>
  <c r="K95" i="11"/>
  <c r="M95" i="12"/>
  <c r="N95" i="12"/>
  <c r="O95" i="12"/>
  <c r="Q95" i="12"/>
  <c r="L95" i="12"/>
  <c r="M93" i="12"/>
  <c r="N93" i="12"/>
  <c r="O93" i="12"/>
  <c r="Q93" i="12"/>
  <c r="M94" i="12"/>
  <c r="N94" i="12"/>
  <c r="O94" i="12"/>
  <c r="Q94" i="12"/>
  <c r="L94" i="12"/>
  <c r="L93" i="12"/>
  <c r="J116" i="11"/>
  <c r="J93" i="11"/>
  <c r="K94" i="3"/>
  <c r="L94" i="3"/>
  <c r="M94" i="3"/>
  <c r="N94" i="3"/>
  <c r="O94" i="3"/>
  <c r="Q94" i="3"/>
  <c r="J94" i="3"/>
  <c r="K93" i="3"/>
  <c r="L93" i="3"/>
  <c r="M93" i="3"/>
  <c r="N93" i="3"/>
  <c r="O93" i="3"/>
  <c r="Q93" i="3"/>
  <c r="J93" i="3"/>
  <c r="J99" i="3" s="1"/>
  <c r="J116" i="3"/>
  <c r="J122" i="3" s="1"/>
  <c r="K127" i="14"/>
  <c r="K128" i="14" s="1"/>
  <c r="K138" i="14" s="1"/>
  <c r="L127" i="14"/>
  <c r="M127" i="14"/>
  <c r="M128" i="14" s="1"/>
  <c r="M138" i="14" s="1"/>
  <c r="N127" i="14"/>
  <c r="O127" i="14"/>
  <c r="J127" i="14"/>
  <c r="J132" i="14" s="1"/>
  <c r="J139" i="14" s="1"/>
  <c r="K126" i="14"/>
  <c r="L126" i="14"/>
  <c r="M126" i="14"/>
  <c r="N126" i="14"/>
  <c r="O126" i="14"/>
  <c r="J126" i="14"/>
  <c r="K125" i="14"/>
  <c r="L125" i="14"/>
  <c r="M125" i="14"/>
  <c r="N125" i="14"/>
  <c r="O125" i="14"/>
  <c r="J125" i="14"/>
  <c r="K127" i="21"/>
  <c r="K128" i="21" s="1"/>
  <c r="K138" i="21" s="1"/>
  <c r="L127" i="21"/>
  <c r="L128" i="21" s="1"/>
  <c r="M127" i="21"/>
  <c r="N127" i="21"/>
  <c r="N132" i="21" s="1"/>
  <c r="N139" i="21" s="1"/>
  <c r="O127" i="21"/>
  <c r="J127" i="21"/>
  <c r="J132" i="21" s="1"/>
  <c r="J139" i="21" s="1"/>
  <c r="K126" i="21"/>
  <c r="L126" i="21"/>
  <c r="M126" i="21"/>
  <c r="N126" i="21"/>
  <c r="O126" i="21"/>
  <c r="J126" i="21"/>
  <c r="K125" i="21"/>
  <c r="L125" i="21"/>
  <c r="M125" i="21"/>
  <c r="N125" i="21"/>
  <c r="O125" i="21"/>
  <c r="J125" i="21"/>
  <c r="O128" i="14"/>
  <c r="O124" i="14"/>
  <c r="O131" i="14" s="1"/>
  <c r="K124" i="14"/>
  <c r="K123" i="14"/>
  <c r="M122" i="14"/>
  <c r="O121" i="14"/>
  <c r="N121" i="14"/>
  <c r="M121" i="14"/>
  <c r="L121" i="14"/>
  <c r="L128" i="14" s="1"/>
  <c r="K121" i="14"/>
  <c r="J121" i="14"/>
  <c r="O120" i="14"/>
  <c r="N120" i="14"/>
  <c r="M120" i="14"/>
  <c r="L120" i="14"/>
  <c r="K120" i="14"/>
  <c r="J120" i="14"/>
  <c r="O118" i="14"/>
  <c r="N118" i="14"/>
  <c r="N124" i="14" s="1"/>
  <c r="M118" i="14"/>
  <c r="M124" i="14" s="1"/>
  <c r="L118" i="14"/>
  <c r="L124" i="14" s="1"/>
  <c r="L131" i="14" s="1"/>
  <c r="K118" i="14"/>
  <c r="J118" i="14"/>
  <c r="J124" i="14" s="1"/>
  <c r="J131" i="14" s="1"/>
  <c r="O117" i="14"/>
  <c r="O123" i="14" s="1"/>
  <c r="O130" i="14" s="1"/>
  <c r="N117" i="14"/>
  <c r="N123" i="14" s="1"/>
  <c r="M117" i="14"/>
  <c r="M123" i="14" s="1"/>
  <c r="L117" i="14"/>
  <c r="L123" i="14" s="1"/>
  <c r="K117" i="14"/>
  <c r="J117" i="14"/>
  <c r="J123" i="14" s="1"/>
  <c r="O116" i="14"/>
  <c r="O122" i="14" s="1"/>
  <c r="O129" i="14" s="1"/>
  <c r="N116" i="14"/>
  <c r="N122" i="14" s="1"/>
  <c r="M116" i="14"/>
  <c r="L116" i="14"/>
  <c r="L122" i="14" s="1"/>
  <c r="K116" i="14"/>
  <c r="K122" i="14" s="1"/>
  <c r="J116" i="14"/>
  <c r="J122" i="14" s="1"/>
  <c r="J129" i="14" s="1"/>
  <c r="O115" i="14"/>
  <c r="N115" i="14"/>
  <c r="M115" i="14"/>
  <c r="L115" i="14"/>
  <c r="K115" i="14"/>
  <c r="J115" i="14"/>
  <c r="O124" i="21"/>
  <c r="O131" i="21" s="1"/>
  <c r="J124" i="21"/>
  <c r="J131" i="21" s="1"/>
  <c r="O123" i="21"/>
  <c r="O130" i="21" s="1"/>
  <c r="K123" i="21"/>
  <c r="J123" i="21"/>
  <c r="M122" i="21"/>
  <c r="O121" i="21"/>
  <c r="N121" i="21"/>
  <c r="M121" i="21"/>
  <c r="L121" i="21"/>
  <c r="K121" i="21"/>
  <c r="J121" i="21"/>
  <c r="J128" i="21" s="1"/>
  <c r="O120" i="21"/>
  <c r="N120" i="21"/>
  <c r="M120" i="21"/>
  <c r="L120" i="21"/>
  <c r="K120" i="21"/>
  <c r="J120" i="21"/>
  <c r="O118" i="21"/>
  <c r="N118" i="21"/>
  <c r="N124" i="21" s="1"/>
  <c r="M118" i="21"/>
  <c r="M124" i="21" s="1"/>
  <c r="L118" i="21"/>
  <c r="L124" i="21" s="1"/>
  <c r="K118" i="21"/>
  <c r="K124" i="21" s="1"/>
  <c r="J118" i="21"/>
  <c r="O117" i="21"/>
  <c r="N117" i="21"/>
  <c r="N123" i="21" s="1"/>
  <c r="M117" i="21"/>
  <c r="M123" i="21" s="1"/>
  <c r="L117" i="21"/>
  <c r="L123" i="21" s="1"/>
  <c r="K117" i="21"/>
  <c r="J117" i="21"/>
  <c r="O116" i="21"/>
  <c r="O122" i="21" s="1"/>
  <c r="O129" i="21" s="1"/>
  <c r="N116" i="21"/>
  <c r="N122" i="21" s="1"/>
  <c r="M116" i="21"/>
  <c r="L116" i="21"/>
  <c r="L122" i="21" s="1"/>
  <c r="L129" i="21" s="1"/>
  <c r="K116" i="21"/>
  <c r="K122" i="21" s="1"/>
  <c r="J116" i="21"/>
  <c r="J122" i="21" s="1"/>
  <c r="O115" i="21"/>
  <c r="N115" i="21"/>
  <c r="M115" i="21"/>
  <c r="L115" i="21"/>
  <c r="K115" i="21"/>
  <c r="J115" i="21"/>
  <c r="O136" i="20"/>
  <c r="J136" i="20"/>
  <c r="P127" i="20"/>
  <c r="P131" i="20" s="1"/>
  <c r="O127" i="20"/>
  <c r="O128" i="20" s="1"/>
  <c r="N127" i="20"/>
  <c r="N129" i="20" s="1"/>
  <c r="M127" i="20"/>
  <c r="M129" i="20" s="1"/>
  <c r="L127" i="20"/>
  <c r="L129" i="20" s="1"/>
  <c r="K127" i="20"/>
  <c r="K128" i="20" s="1"/>
  <c r="K138" i="20" s="1"/>
  <c r="J127" i="20"/>
  <c r="J128" i="20" s="1"/>
  <c r="J138" i="20" s="1"/>
  <c r="P126" i="20"/>
  <c r="O126" i="20"/>
  <c r="N126" i="20"/>
  <c r="M126" i="20"/>
  <c r="L126" i="20"/>
  <c r="K126" i="20"/>
  <c r="J126" i="20"/>
  <c r="P125" i="20"/>
  <c r="O125" i="20"/>
  <c r="N125" i="20"/>
  <c r="M125" i="20"/>
  <c r="L125" i="20"/>
  <c r="K125" i="20"/>
  <c r="J125" i="20"/>
  <c r="P124" i="20"/>
  <c r="O124" i="20"/>
  <c r="N124" i="20"/>
  <c r="M124" i="20"/>
  <c r="L124" i="20"/>
  <c r="K124" i="20"/>
  <c r="J124" i="20"/>
  <c r="P123" i="20"/>
  <c r="O123" i="20"/>
  <c r="N123" i="20"/>
  <c r="M123" i="20"/>
  <c r="L123" i="20"/>
  <c r="K123" i="20"/>
  <c r="J123" i="20"/>
  <c r="P122" i="20"/>
  <c r="O122" i="20"/>
  <c r="N122" i="20"/>
  <c r="M122" i="20"/>
  <c r="L122" i="20"/>
  <c r="K122" i="20"/>
  <c r="J122" i="20"/>
  <c r="P121" i="20"/>
  <c r="O121" i="20"/>
  <c r="N121" i="20"/>
  <c r="M121" i="20"/>
  <c r="L121" i="20"/>
  <c r="K121" i="20"/>
  <c r="J121" i="20"/>
  <c r="P120" i="20"/>
  <c r="O120" i="20"/>
  <c r="N120" i="20"/>
  <c r="M120" i="20"/>
  <c r="L120" i="20"/>
  <c r="K120" i="20"/>
  <c r="J120" i="20"/>
  <c r="P118" i="20"/>
  <c r="O118" i="20"/>
  <c r="N118" i="20"/>
  <c r="M118" i="20"/>
  <c r="L118" i="20"/>
  <c r="K118" i="20"/>
  <c r="J118" i="20"/>
  <c r="P117" i="20"/>
  <c r="O117" i="20"/>
  <c r="N117" i="20"/>
  <c r="M117" i="20"/>
  <c r="L117" i="20"/>
  <c r="K117" i="20"/>
  <c r="J117" i="20"/>
  <c r="P116" i="20"/>
  <c r="O116" i="20"/>
  <c r="N116" i="20"/>
  <c r="M116" i="20"/>
  <c r="L116" i="20"/>
  <c r="K116" i="20"/>
  <c r="J116" i="20"/>
  <c r="P115" i="20"/>
  <c r="O115" i="20"/>
  <c r="N115" i="20"/>
  <c r="M115" i="20"/>
  <c r="L115" i="20"/>
  <c r="K115" i="20"/>
  <c r="J115" i="20"/>
  <c r="O136" i="19"/>
  <c r="J136" i="19"/>
  <c r="P127" i="19"/>
  <c r="P128" i="19" s="1"/>
  <c r="P138" i="19" s="1"/>
  <c r="O127" i="19"/>
  <c r="O128" i="19" s="1"/>
  <c r="O138" i="19" s="1"/>
  <c r="N127" i="19"/>
  <c r="N128" i="19" s="1"/>
  <c r="N138" i="19" s="1"/>
  <c r="M127" i="19"/>
  <c r="M129" i="19" s="1"/>
  <c r="L127" i="19"/>
  <c r="K127" i="19"/>
  <c r="J127" i="19"/>
  <c r="J131" i="19" s="1"/>
  <c r="P126" i="19"/>
  <c r="O126" i="19"/>
  <c r="N126" i="19"/>
  <c r="M126" i="19"/>
  <c r="L126" i="19"/>
  <c r="K126" i="19"/>
  <c r="J126" i="19"/>
  <c r="P125" i="19"/>
  <c r="O125" i="19"/>
  <c r="N125" i="19"/>
  <c r="M125" i="19"/>
  <c r="L125" i="19"/>
  <c r="K125" i="19"/>
  <c r="J125" i="19"/>
  <c r="P124" i="19"/>
  <c r="O124" i="19"/>
  <c r="N124" i="19"/>
  <c r="M124" i="19"/>
  <c r="L124" i="19"/>
  <c r="K124" i="19"/>
  <c r="J124" i="19"/>
  <c r="P123" i="19"/>
  <c r="O123" i="19"/>
  <c r="N123" i="19"/>
  <c r="M123" i="19"/>
  <c r="L123" i="19"/>
  <c r="K123" i="19"/>
  <c r="J123" i="19"/>
  <c r="P122" i="19"/>
  <c r="O122" i="19"/>
  <c r="N122" i="19"/>
  <c r="M122" i="19"/>
  <c r="L122" i="19"/>
  <c r="K122" i="19"/>
  <c r="J122" i="19"/>
  <c r="P121" i="19"/>
  <c r="O121" i="19"/>
  <c r="N121" i="19"/>
  <c r="M121" i="19"/>
  <c r="L121" i="19"/>
  <c r="K121" i="19"/>
  <c r="J121" i="19"/>
  <c r="P120" i="19"/>
  <c r="O120" i="19"/>
  <c r="N120" i="19"/>
  <c r="M120" i="19"/>
  <c r="L120" i="19"/>
  <c r="K120" i="19"/>
  <c r="J120" i="19"/>
  <c r="P118" i="19"/>
  <c r="O118" i="19"/>
  <c r="N118" i="19"/>
  <c r="M118" i="19"/>
  <c r="L118" i="19"/>
  <c r="K118" i="19"/>
  <c r="J118" i="19"/>
  <c r="P117" i="19"/>
  <c r="O117" i="19"/>
  <c r="N117" i="19"/>
  <c r="M117" i="19"/>
  <c r="L117" i="19"/>
  <c r="K117" i="19"/>
  <c r="J117" i="19"/>
  <c r="P116" i="19"/>
  <c r="O116" i="19"/>
  <c r="N116" i="19"/>
  <c r="M116" i="19"/>
  <c r="L116" i="19"/>
  <c r="K116" i="19"/>
  <c r="J116" i="19"/>
  <c r="P115" i="19"/>
  <c r="O115" i="19"/>
  <c r="N115" i="19"/>
  <c r="M115" i="19"/>
  <c r="L115" i="19"/>
  <c r="K115" i="19"/>
  <c r="J115" i="19"/>
  <c r="K136" i="13"/>
  <c r="J136" i="13"/>
  <c r="Q127" i="13"/>
  <c r="O127" i="13"/>
  <c r="N127" i="13"/>
  <c r="M127" i="13"/>
  <c r="L127" i="13"/>
  <c r="K127" i="13"/>
  <c r="J127" i="13"/>
  <c r="J132" i="13" s="1"/>
  <c r="J139" i="13" s="1"/>
  <c r="Q126" i="13"/>
  <c r="O126" i="13"/>
  <c r="N126" i="13"/>
  <c r="M126" i="13"/>
  <c r="L126" i="13"/>
  <c r="K126" i="13"/>
  <c r="J126" i="13"/>
  <c r="Q125" i="13"/>
  <c r="O125" i="13"/>
  <c r="N125" i="13"/>
  <c r="M125" i="13"/>
  <c r="L125" i="13"/>
  <c r="K125" i="13"/>
  <c r="J125" i="13"/>
  <c r="O124" i="13"/>
  <c r="Q121" i="13"/>
  <c r="O121" i="13"/>
  <c r="N121" i="13"/>
  <c r="M121" i="13"/>
  <c r="L121" i="13"/>
  <c r="K121" i="13"/>
  <c r="J121" i="13"/>
  <c r="J128" i="13" s="1"/>
  <c r="Q120" i="13"/>
  <c r="O120" i="13"/>
  <c r="N120" i="13"/>
  <c r="M120" i="13"/>
  <c r="L120" i="13"/>
  <c r="K120" i="13"/>
  <c r="J120" i="13"/>
  <c r="Q118" i="13"/>
  <c r="Q124" i="13" s="1"/>
  <c r="O118" i="13"/>
  <c r="N118" i="13"/>
  <c r="N124" i="13" s="1"/>
  <c r="M118" i="13"/>
  <c r="M124" i="13" s="1"/>
  <c r="L118" i="13"/>
  <c r="L124" i="13" s="1"/>
  <c r="K118" i="13"/>
  <c r="K124" i="13" s="1"/>
  <c r="J118" i="13"/>
  <c r="J124" i="13" s="1"/>
  <c r="Q117" i="13"/>
  <c r="Q123" i="13" s="1"/>
  <c r="O117" i="13"/>
  <c r="O123" i="13" s="1"/>
  <c r="N117" i="13"/>
  <c r="N123" i="13" s="1"/>
  <c r="M117" i="13"/>
  <c r="M123" i="13" s="1"/>
  <c r="L117" i="13"/>
  <c r="L123" i="13" s="1"/>
  <c r="K117" i="13"/>
  <c r="K123" i="13" s="1"/>
  <c r="J117" i="13"/>
  <c r="J123" i="13" s="1"/>
  <c r="Q116" i="13"/>
  <c r="Q122" i="13" s="1"/>
  <c r="O116" i="13"/>
  <c r="O122" i="13" s="1"/>
  <c r="N116" i="13"/>
  <c r="N122" i="13" s="1"/>
  <c r="M116" i="13"/>
  <c r="M122" i="13" s="1"/>
  <c r="L116" i="13"/>
  <c r="L122" i="13" s="1"/>
  <c r="K116" i="13"/>
  <c r="K122" i="13" s="1"/>
  <c r="J116" i="13"/>
  <c r="J122" i="13" s="1"/>
  <c r="Q115" i="13"/>
  <c r="O115" i="13"/>
  <c r="N115" i="13"/>
  <c r="M115" i="13"/>
  <c r="L115" i="13"/>
  <c r="K115" i="13"/>
  <c r="J115" i="13"/>
  <c r="K136" i="12"/>
  <c r="J136" i="12"/>
  <c r="Q127" i="12"/>
  <c r="O127" i="12"/>
  <c r="N127" i="12"/>
  <c r="M127" i="12"/>
  <c r="L127" i="12"/>
  <c r="K127" i="12"/>
  <c r="J127" i="12"/>
  <c r="Q126" i="12"/>
  <c r="O126" i="12"/>
  <c r="N126" i="12"/>
  <c r="M126" i="12"/>
  <c r="L126" i="12"/>
  <c r="K126" i="12"/>
  <c r="J126" i="12"/>
  <c r="Q125" i="12"/>
  <c r="O125" i="12"/>
  <c r="N125" i="12"/>
  <c r="M125" i="12"/>
  <c r="L125" i="12"/>
  <c r="K125" i="12"/>
  <c r="J125" i="12"/>
  <c r="Q121" i="12"/>
  <c r="O121" i="12"/>
  <c r="N121" i="12"/>
  <c r="M121" i="12"/>
  <c r="L121" i="12"/>
  <c r="K121" i="12"/>
  <c r="J121" i="12"/>
  <c r="Q120" i="12"/>
  <c r="O120" i="12"/>
  <c r="N120" i="12"/>
  <c r="M120" i="12"/>
  <c r="L120" i="12"/>
  <c r="K120" i="12"/>
  <c r="J120" i="12"/>
  <c r="Q118" i="12"/>
  <c r="Q124" i="12" s="1"/>
  <c r="O118" i="12"/>
  <c r="O124" i="12" s="1"/>
  <c r="N118" i="12"/>
  <c r="N124" i="12" s="1"/>
  <c r="M118" i="12"/>
  <c r="M124" i="12" s="1"/>
  <c r="L118" i="12"/>
  <c r="L124" i="12" s="1"/>
  <c r="K118" i="12"/>
  <c r="K124" i="12" s="1"/>
  <c r="J118" i="12"/>
  <c r="J124" i="12" s="1"/>
  <c r="Q117" i="12"/>
  <c r="Q123" i="12" s="1"/>
  <c r="O117" i="12"/>
  <c r="O123" i="12" s="1"/>
  <c r="N117" i="12"/>
  <c r="N123" i="12" s="1"/>
  <c r="M117" i="12"/>
  <c r="M123" i="12" s="1"/>
  <c r="L117" i="12"/>
  <c r="L123" i="12" s="1"/>
  <c r="K117" i="12"/>
  <c r="K123" i="12" s="1"/>
  <c r="J117" i="12"/>
  <c r="J123" i="12" s="1"/>
  <c r="Q116" i="12"/>
  <c r="Q122" i="12" s="1"/>
  <c r="O116" i="12"/>
  <c r="O122" i="12" s="1"/>
  <c r="N116" i="12"/>
  <c r="N122" i="12" s="1"/>
  <c r="M116" i="12"/>
  <c r="M122" i="12" s="1"/>
  <c r="L116" i="12"/>
  <c r="L122" i="12" s="1"/>
  <c r="K116" i="12"/>
  <c r="K122" i="12" s="1"/>
  <c r="K129" i="12" s="1"/>
  <c r="J116" i="12"/>
  <c r="J122" i="12" s="1"/>
  <c r="Q115" i="12"/>
  <c r="O115" i="12"/>
  <c r="N115" i="12"/>
  <c r="M115" i="12"/>
  <c r="L115" i="12"/>
  <c r="K115" i="12"/>
  <c r="J115" i="12"/>
  <c r="Q127" i="11"/>
  <c r="O127" i="11"/>
  <c r="N127" i="11"/>
  <c r="M127" i="11"/>
  <c r="L127" i="11"/>
  <c r="K127" i="11"/>
  <c r="J127" i="11"/>
  <c r="Q126" i="11"/>
  <c r="O126" i="11"/>
  <c r="N126" i="11"/>
  <c r="M126" i="11"/>
  <c r="L126" i="11"/>
  <c r="K126" i="11"/>
  <c r="J126" i="11"/>
  <c r="Q125" i="11"/>
  <c r="O125" i="11"/>
  <c r="N125" i="11"/>
  <c r="M125" i="11"/>
  <c r="L125" i="11"/>
  <c r="K125" i="11"/>
  <c r="J125" i="11"/>
  <c r="Q121" i="11"/>
  <c r="O121" i="11"/>
  <c r="N121" i="11"/>
  <c r="M121" i="11"/>
  <c r="L121" i="11"/>
  <c r="K121" i="11"/>
  <c r="J121" i="11"/>
  <c r="Q120" i="11"/>
  <c r="O120" i="11"/>
  <c r="N120" i="11"/>
  <c r="M120" i="11"/>
  <c r="L120" i="11"/>
  <c r="K120" i="11"/>
  <c r="J120" i="11"/>
  <c r="Q118" i="11"/>
  <c r="Q124" i="11" s="1"/>
  <c r="O118" i="11"/>
  <c r="O124" i="11" s="1"/>
  <c r="N118" i="11"/>
  <c r="N124" i="11" s="1"/>
  <c r="M118" i="11"/>
  <c r="M124" i="11" s="1"/>
  <c r="L118" i="11"/>
  <c r="L124" i="11" s="1"/>
  <c r="K118" i="11"/>
  <c r="K124" i="11" s="1"/>
  <c r="J118" i="11"/>
  <c r="J124" i="11" s="1"/>
  <c r="Q117" i="11"/>
  <c r="Q123" i="11" s="1"/>
  <c r="O117" i="11"/>
  <c r="O123" i="11" s="1"/>
  <c r="N117" i="11"/>
  <c r="N123" i="11" s="1"/>
  <c r="M117" i="11"/>
  <c r="M123" i="11" s="1"/>
  <c r="L117" i="11"/>
  <c r="L123" i="11" s="1"/>
  <c r="K117" i="11"/>
  <c r="K123" i="11" s="1"/>
  <c r="J117" i="11"/>
  <c r="J123" i="11" s="1"/>
  <c r="Q116" i="11"/>
  <c r="Q122" i="11" s="1"/>
  <c r="O116" i="11"/>
  <c r="O122" i="11" s="1"/>
  <c r="N116" i="11"/>
  <c r="N122" i="11" s="1"/>
  <c r="M116" i="11"/>
  <c r="M122" i="11" s="1"/>
  <c r="L116" i="11"/>
  <c r="L122" i="11" s="1"/>
  <c r="K116" i="11"/>
  <c r="K122" i="11" s="1"/>
  <c r="J122" i="11"/>
  <c r="Q115" i="11"/>
  <c r="O115" i="11"/>
  <c r="N115" i="11"/>
  <c r="M115" i="11"/>
  <c r="L115" i="11"/>
  <c r="K115" i="11"/>
  <c r="J115" i="11"/>
  <c r="J115" i="3"/>
  <c r="J116" i="9"/>
  <c r="J122" i="9" s="1"/>
  <c r="Q127" i="3"/>
  <c r="O127" i="3"/>
  <c r="N127" i="3"/>
  <c r="M127" i="3"/>
  <c r="L127" i="3"/>
  <c r="K127" i="3"/>
  <c r="J127" i="3"/>
  <c r="Q126" i="3"/>
  <c r="O126" i="3"/>
  <c r="N126" i="3"/>
  <c r="M126" i="3"/>
  <c r="L126" i="3"/>
  <c r="K126" i="3"/>
  <c r="J126" i="3"/>
  <c r="Q125" i="3"/>
  <c r="O125" i="3"/>
  <c r="N125" i="3"/>
  <c r="M125" i="3"/>
  <c r="L125" i="3"/>
  <c r="K125" i="3"/>
  <c r="J125" i="3"/>
  <c r="M124" i="3"/>
  <c r="Q121" i="3"/>
  <c r="O121" i="3"/>
  <c r="N121" i="3"/>
  <c r="M121" i="3"/>
  <c r="L121" i="3"/>
  <c r="K121" i="3"/>
  <c r="J121" i="3"/>
  <c r="Q120" i="3"/>
  <c r="O120" i="3"/>
  <c r="N120" i="3"/>
  <c r="M120" i="3"/>
  <c r="L120" i="3"/>
  <c r="K120" i="3"/>
  <c r="J120" i="3"/>
  <c r="Q118" i="3"/>
  <c r="Q124" i="3" s="1"/>
  <c r="O118" i="3"/>
  <c r="O124" i="3" s="1"/>
  <c r="N118" i="3"/>
  <c r="N124" i="3" s="1"/>
  <c r="M118" i="3"/>
  <c r="L118" i="3"/>
  <c r="L124" i="3" s="1"/>
  <c r="K118" i="3"/>
  <c r="K124" i="3" s="1"/>
  <c r="J118" i="3"/>
  <c r="J124" i="3" s="1"/>
  <c r="Q117" i="3"/>
  <c r="Q123" i="3" s="1"/>
  <c r="O117" i="3"/>
  <c r="O123" i="3" s="1"/>
  <c r="N117" i="3"/>
  <c r="N123" i="3" s="1"/>
  <c r="M117" i="3"/>
  <c r="M123" i="3" s="1"/>
  <c r="L117" i="3"/>
  <c r="L123" i="3" s="1"/>
  <c r="K117" i="3"/>
  <c r="K123" i="3" s="1"/>
  <c r="J117" i="3"/>
  <c r="J123" i="3" s="1"/>
  <c r="Q116" i="3"/>
  <c r="Q122" i="3" s="1"/>
  <c r="O116" i="3"/>
  <c r="O122" i="3" s="1"/>
  <c r="N116" i="3"/>
  <c r="N122" i="3" s="1"/>
  <c r="M116" i="3"/>
  <c r="M122" i="3" s="1"/>
  <c r="L116" i="3"/>
  <c r="L122" i="3" s="1"/>
  <c r="K116" i="3"/>
  <c r="K122" i="3" s="1"/>
  <c r="Q115" i="3"/>
  <c r="O115" i="3"/>
  <c r="N115" i="3"/>
  <c r="M115" i="3"/>
  <c r="L115" i="3"/>
  <c r="K115" i="3"/>
  <c r="K132" i="12" l="1"/>
  <c r="K139" i="12" s="1"/>
  <c r="Q130" i="13"/>
  <c r="P142" i="9"/>
  <c r="K131" i="12"/>
  <c r="N129" i="19"/>
  <c r="N130" i="19"/>
  <c r="J132" i="19"/>
  <c r="J139" i="19" s="1"/>
  <c r="Q128" i="13"/>
  <c r="K132" i="13"/>
  <c r="K139" i="13" s="1"/>
  <c r="N132" i="19"/>
  <c r="N139" i="19" s="1"/>
  <c r="O128" i="13"/>
  <c r="O138" i="13" s="1"/>
  <c r="O129" i="12"/>
  <c r="O128" i="3"/>
  <c r="P141" i="9"/>
  <c r="P143" i="9"/>
  <c r="Q132" i="12"/>
  <c r="Q139" i="12" s="1"/>
  <c r="J131" i="11"/>
  <c r="Q131" i="3"/>
  <c r="Q130" i="12"/>
  <c r="Q131" i="13"/>
  <c r="P132" i="20"/>
  <c r="P139" i="20" s="1"/>
  <c r="Q131" i="12"/>
  <c r="Q128" i="3"/>
  <c r="Q138" i="3" s="1"/>
  <c r="M128" i="13"/>
  <c r="M131" i="19"/>
  <c r="M129" i="3"/>
  <c r="J132" i="3"/>
  <c r="J139" i="3" s="1"/>
  <c r="P132" i="19"/>
  <c r="P139" i="19" s="1"/>
  <c r="K132" i="3"/>
  <c r="K139" i="3" s="1"/>
  <c r="M130" i="20"/>
  <c r="M137" i="20" s="1"/>
  <c r="L132" i="20"/>
  <c r="L139" i="20" s="1"/>
  <c r="M132" i="13"/>
  <c r="M139" i="13" s="1"/>
  <c r="N131" i="19"/>
  <c r="N137" i="19" s="1"/>
  <c r="N141" i="19" s="1"/>
  <c r="O131" i="11"/>
  <c r="N129" i="12"/>
  <c r="L132" i="12"/>
  <c r="L139" i="12" s="1"/>
  <c r="K131" i="3"/>
  <c r="M128" i="3"/>
  <c r="M138" i="3" s="1"/>
  <c r="M131" i="3"/>
  <c r="N128" i="11"/>
  <c r="N138" i="11" s="1"/>
  <c r="N129" i="11"/>
  <c r="L132" i="19"/>
  <c r="L139" i="19" s="1"/>
  <c r="M132" i="11"/>
  <c r="M139" i="11" s="1"/>
  <c r="J131" i="12"/>
  <c r="L128" i="12"/>
  <c r="L138" i="12" s="1"/>
  <c r="J132" i="20"/>
  <c r="J139" i="20" s="1"/>
  <c r="J140" i="20" s="1"/>
  <c r="J142" i="20" s="1"/>
  <c r="M130" i="3"/>
  <c r="M130" i="11"/>
  <c r="N132" i="11"/>
  <c r="N139" i="11" s="1"/>
  <c r="J130" i="13"/>
  <c r="P130" i="20"/>
  <c r="K132" i="20"/>
  <c r="K139" i="20" s="1"/>
  <c r="K132" i="19"/>
  <c r="K139" i="19" s="1"/>
  <c r="M129" i="11"/>
  <c r="J128" i="3"/>
  <c r="J138" i="3" s="1"/>
  <c r="J130" i="3"/>
  <c r="M131" i="11"/>
  <c r="N131" i="12"/>
  <c r="Q128" i="12"/>
  <c r="Q138" i="12" s="1"/>
  <c r="O132" i="13"/>
  <c r="O139" i="13" s="1"/>
  <c r="J129" i="19"/>
  <c r="J129" i="20"/>
  <c r="N132" i="20"/>
  <c r="N139" i="20" s="1"/>
  <c r="K129" i="13"/>
  <c r="O131" i="12"/>
  <c r="J129" i="12"/>
  <c r="K129" i="20"/>
  <c r="M131" i="20"/>
  <c r="O132" i="20"/>
  <c r="O139" i="20" s="1"/>
  <c r="J130" i="12"/>
  <c r="O132" i="12"/>
  <c r="O139" i="12" s="1"/>
  <c r="J131" i="13"/>
  <c r="P129" i="20"/>
  <c r="K129" i="11"/>
  <c r="K132" i="11"/>
  <c r="K139" i="11" s="1"/>
  <c r="O130" i="12"/>
  <c r="L131" i="20"/>
  <c r="K128" i="3"/>
  <c r="K138" i="3" s="1"/>
  <c r="L132" i="11"/>
  <c r="L139" i="11" s="1"/>
  <c r="K128" i="12"/>
  <c r="L129" i="13"/>
  <c r="O132" i="19"/>
  <c r="O139" i="19" s="1"/>
  <c r="O140" i="19" s="1"/>
  <c r="O142" i="19" s="1"/>
  <c r="N132" i="3"/>
  <c r="N139" i="3" s="1"/>
  <c r="N130" i="3"/>
  <c r="O129" i="11"/>
  <c r="O130" i="3"/>
  <c r="Q130" i="3"/>
  <c r="J130" i="11"/>
  <c r="O132" i="11"/>
  <c r="O139" i="11" s="1"/>
  <c r="N128" i="12"/>
  <c r="N138" i="12" s="1"/>
  <c r="O128" i="12"/>
  <c r="O138" i="12" s="1"/>
  <c r="Q129" i="13"/>
  <c r="Q137" i="13" s="1"/>
  <c r="L128" i="3"/>
  <c r="L138" i="3" s="1"/>
  <c r="L132" i="3"/>
  <c r="L139" i="3" s="1"/>
  <c r="K131" i="11"/>
  <c r="L132" i="13"/>
  <c r="L139" i="13" s="1"/>
  <c r="O129" i="19"/>
  <c r="L129" i="12"/>
  <c r="L130" i="13"/>
  <c r="O130" i="11"/>
  <c r="L130" i="19"/>
  <c r="L130" i="20"/>
  <c r="O131" i="3"/>
  <c r="K129" i="3"/>
  <c r="K128" i="11"/>
  <c r="K138" i="11" s="1"/>
  <c r="Q129" i="12"/>
  <c r="Q137" i="12" s="1"/>
  <c r="K130" i="12"/>
  <c r="K137" i="12" s="1"/>
  <c r="N132" i="12"/>
  <c r="N139" i="12" s="1"/>
  <c r="P128" i="20"/>
  <c r="P138" i="20" s="1"/>
  <c r="O130" i="13"/>
  <c r="O131" i="13"/>
  <c r="Q129" i="3"/>
  <c r="J129" i="11"/>
  <c r="L130" i="12"/>
  <c r="L131" i="12"/>
  <c r="J132" i="12"/>
  <c r="J139" i="12" s="1"/>
  <c r="L128" i="13"/>
  <c r="L138" i="13" s="1"/>
  <c r="J130" i="19"/>
  <c r="N132" i="13"/>
  <c r="N139" i="13" s="1"/>
  <c r="O128" i="11"/>
  <c r="O138" i="11" s="1"/>
  <c r="K130" i="3"/>
  <c r="L131" i="13"/>
  <c r="M132" i="19"/>
  <c r="M139" i="19" s="1"/>
  <c r="O130" i="19"/>
  <c r="M132" i="20"/>
  <c r="M139" i="20" s="1"/>
  <c r="N128" i="14"/>
  <c r="M129" i="14"/>
  <c r="M137" i="14" s="1"/>
  <c r="M141" i="14" s="1"/>
  <c r="K132" i="14"/>
  <c r="K139" i="14" s="1"/>
  <c r="K129" i="14"/>
  <c r="K133" i="14" s="1"/>
  <c r="M131" i="14"/>
  <c r="L129" i="14"/>
  <c r="L137" i="14" s="1"/>
  <c r="N131" i="14"/>
  <c r="N129" i="14"/>
  <c r="K130" i="14"/>
  <c r="K131" i="14"/>
  <c r="N132" i="14"/>
  <c r="N139" i="14" s="1"/>
  <c r="M132" i="14"/>
  <c r="M139" i="14" s="1"/>
  <c r="M130" i="14"/>
  <c r="L132" i="14"/>
  <c r="L139" i="14" s="1"/>
  <c r="L130" i="14"/>
  <c r="N130" i="14"/>
  <c r="N137" i="14" s="1"/>
  <c r="J130" i="14"/>
  <c r="J128" i="14"/>
  <c r="O137" i="21"/>
  <c r="L130" i="21"/>
  <c r="M130" i="21"/>
  <c r="N130" i="21"/>
  <c r="M128" i="21"/>
  <c r="M138" i="21" s="1"/>
  <c r="K131" i="21"/>
  <c r="O128" i="21"/>
  <c r="M132" i="21"/>
  <c r="M139" i="21" s="1"/>
  <c r="L131" i="21"/>
  <c r="L133" i="21" s="1"/>
  <c r="M129" i="21"/>
  <c r="L132" i="21"/>
  <c r="L139" i="21" s="1"/>
  <c r="N128" i="21"/>
  <c r="N138" i="21" s="1"/>
  <c r="M131" i="21"/>
  <c r="K132" i="21"/>
  <c r="K139" i="21" s="1"/>
  <c r="L137" i="21"/>
  <c r="N129" i="21"/>
  <c r="N133" i="21" s="1"/>
  <c r="N131" i="21"/>
  <c r="K130" i="21"/>
  <c r="K129" i="21"/>
  <c r="J130" i="21"/>
  <c r="J129" i="21"/>
  <c r="O132" i="21"/>
  <c r="O139" i="21" s="1"/>
  <c r="J138" i="14"/>
  <c r="J133" i="14"/>
  <c r="O138" i="14"/>
  <c r="O133" i="14"/>
  <c r="L138" i="14"/>
  <c r="J137" i="14"/>
  <c r="J141" i="14" s="1"/>
  <c r="N138" i="14"/>
  <c r="N133" i="14"/>
  <c r="O137" i="14"/>
  <c r="O132" i="14"/>
  <c r="O139" i="14" s="1"/>
  <c r="J138" i="21"/>
  <c r="J133" i="21"/>
  <c r="M133" i="21"/>
  <c r="J137" i="21"/>
  <c r="J141" i="21" s="1"/>
  <c r="J143" i="21" s="1"/>
  <c r="K133" i="21"/>
  <c r="K137" i="21"/>
  <c r="K141" i="21" s="1"/>
  <c r="O138" i="21"/>
  <c r="O133" i="21"/>
  <c r="L138" i="21"/>
  <c r="O138" i="20"/>
  <c r="O140" i="20" s="1"/>
  <c r="O142" i="20" s="1"/>
  <c r="L130" i="3"/>
  <c r="Q132" i="3"/>
  <c r="Q139" i="3" s="1"/>
  <c r="J129" i="13"/>
  <c r="N128" i="13"/>
  <c r="N138" i="13" s="1"/>
  <c r="P129" i="19"/>
  <c r="K130" i="19"/>
  <c r="O129" i="20"/>
  <c r="L131" i="11"/>
  <c r="L129" i="11"/>
  <c r="N131" i="11"/>
  <c r="Q128" i="11"/>
  <c r="Q138" i="11" s="1"/>
  <c r="M129" i="12"/>
  <c r="Q132" i="13"/>
  <c r="Q139" i="13" s="1"/>
  <c r="M130" i="19"/>
  <c r="M137" i="19" s="1"/>
  <c r="J130" i="20"/>
  <c r="N131" i="13"/>
  <c r="K130" i="20"/>
  <c r="K137" i="20" s="1"/>
  <c r="K141" i="20" s="1"/>
  <c r="Q131" i="11"/>
  <c r="K130" i="11"/>
  <c r="N129" i="13"/>
  <c r="M129" i="13"/>
  <c r="J128" i="19"/>
  <c r="J138" i="19" s="1"/>
  <c r="J140" i="19" s="1"/>
  <c r="J142" i="19" s="1"/>
  <c r="P130" i="19"/>
  <c r="N130" i="20"/>
  <c r="M132" i="12"/>
  <c r="M139" i="12" s="1"/>
  <c r="M130" i="12"/>
  <c r="O129" i="13"/>
  <c r="K128" i="19"/>
  <c r="K138" i="19" s="1"/>
  <c r="O130" i="20"/>
  <c r="N130" i="11"/>
  <c r="L128" i="19"/>
  <c r="L138" i="19" s="1"/>
  <c r="L131" i="19"/>
  <c r="K131" i="20"/>
  <c r="J129" i="3"/>
  <c r="L131" i="3"/>
  <c r="N128" i="3"/>
  <c r="N138" i="3" s="1"/>
  <c r="Q132" i="11"/>
  <c r="Q139" i="11" s="1"/>
  <c r="M128" i="19"/>
  <c r="M138" i="19" s="1"/>
  <c r="N131" i="20"/>
  <c r="L130" i="11"/>
  <c r="J132" i="11"/>
  <c r="J139" i="11" s="1"/>
  <c r="M131" i="12"/>
  <c r="K130" i="13"/>
  <c r="M130" i="13"/>
  <c r="O131" i="19"/>
  <c r="L128" i="20"/>
  <c r="L138" i="20" s="1"/>
  <c r="O131" i="20"/>
  <c r="J131" i="3"/>
  <c r="Q129" i="11"/>
  <c r="L129" i="3"/>
  <c r="N131" i="3"/>
  <c r="N130" i="12"/>
  <c r="N130" i="13"/>
  <c r="K131" i="19"/>
  <c r="P131" i="19"/>
  <c r="M128" i="20"/>
  <c r="M138" i="20" s="1"/>
  <c r="K131" i="13"/>
  <c r="J131" i="20"/>
  <c r="N128" i="20"/>
  <c r="N138" i="20" s="1"/>
  <c r="N129" i="3"/>
  <c r="M131" i="13"/>
  <c r="K129" i="19"/>
  <c r="O129" i="3"/>
  <c r="Q130" i="11"/>
  <c r="L129" i="19"/>
  <c r="M132" i="3"/>
  <c r="M139" i="3" s="1"/>
  <c r="L128" i="11"/>
  <c r="L138" i="11" s="1"/>
  <c r="M128" i="12"/>
  <c r="M138" i="12" s="1"/>
  <c r="K128" i="13"/>
  <c r="K138" i="13" s="1"/>
  <c r="K140" i="13" s="1"/>
  <c r="K142" i="13" s="1"/>
  <c r="J138" i="13"/>
  <c r="J140" i="13" s="1"/>
  <c r="J142" i="13" s="1"/>
  <c r="M138" i="13"/>
  <c r="Q138" i="13"/>
  <c r="J128" i="12"/>
  <c r="J128" i="11"/>
  <c r="M128" i="11"/>
  <c r="O138" i="3"/>
  <c r="O132" i="3"/>
  <c r="O139" i="3" s="1"/>
  <c r="P137" i="20" l="1"/>
  <c r="Q133" i="12"/>
  <c r="N137" i="12"/>
  <c r="J137" i="11"/>
  <c r="M137" i="3"/>
  <c r="J137" i="19"/>
  <c r="J141" i="19" s="1"/>
  <c r="Q141" i="13"/>
  <c r="J137" i="13"/>
  <c r="J141" i="13" s="1"/>
  <c r="O137" i="3"/>
  <c r="Q133" i="3"/>
  <c r="L137" i="13"/>
  <c r="L141" i="13" s="1"/>
  <c r="N133" i="19"/>
  <c r="N143" i="19" s="1"/>
  <c r="K133" i="12"/>
  <c r="M137" i="11"/>
  <c r="K133" i="3"/>
  <c r="O137" i="12"/>
  <c r="O141" i="12" s="1"/>
  <c r="O143" i="12" s="1"/>
  <c r="O133" i="12"/>
  <c r="N133" i="3"/>
  <c r="K137" i="11"/>
  <c r="K141" i="11" s="1"/>
  <c r="N133" i="11"/>
  <c r="L137" i="20"/>
  <c r="L141" i="20" s="1"/>
  <c r="O137" i="11"/>
  <c r="O141" i="11" s="1"/>
  <c r="J137" i="12"/>
  <c r="L137" i="12"/>
  <c r="L141" i="12" s="1"/>
  <c r="L133" i="3"/>
  <c r="J133" i="13"/>
  <c r="K137" i="19"/>
  <c r="K141" i="19" s="1"/>
  <c r="L137" i="11"/>
  <c r="L141" i="11" s="1"/>
  <c r="O133" i="13"/>
  <c r="O133" i="11"/>
  <c r="K137" i="3"/>
  <c r="K141" i="3" s="1"/>
  <c r="J133" i="19"/>
  <c r="J143" i="19" s="1"/>
  <c r="N137" i="11"/>
  <c r="N141" i="11" s="1"/>
  <c r="M137" i="13"/>
  <c r="M141" i="13" s="1"/>
  <c r="K133" i="19"/>
  <c r="L133" i="12"/>
  <c r="M133" i="20"/>
  <c r="K137" i="13"/>
  <c r="K141" i="13" s="1"/>
  <c r="O137" i="13"/>
  <c r="O141" i="13" s="1"/>
  <c r="K133" i="13"/>
  <c r="P137" i="19"/>
  <c r="P141" i="19" s="1"/>
  <c r="K138" i="12"/>
  <c r="K140" i="12" s="1"/>
  <c r="K142" i="12" s="1"/>
  <c r="P133" i="20"/>
  <c r="Q133" i="13"/>
  <c r="Q143" i="13" s="1"/>
  <c r="N137" i="13"/>
  <c r="N141" i="13" s="1"/>
  <c r="L137" i="3"/>
  <c r="L141" i="3" s="1"/>
  <c r="L143" i="3" s="1"/>
  <c r="J133" i="3"/>
  <c r="K133" i="11"/>
  <c r="J137" i="3"/>
  <c r="J141" i="3" s="1"/>
  <c r="L133" i="19"/>
  <c r="K133" i="20"/>
  <c r="K143" i="20" s="1"/>
  <c r="L133" i="13"/>
  <c r="N141" i="12"/>
  <c r="N133" i="20"/>
  <c r="O133" i="19"/>
  <c r="M141" i="19"/>
  <c r="N133" i="13"/>
  <c r="L133" i="20"/>
  <c r="M133" i="3"/>
  <c r="Q141" i="12"/>
  <c r="Q143" i="12" s="1"/>
  <c r="Q137" i="3"/>
  <c r="Q141" i="3" s="1"/>
  <c r="Q143" i="3" s="1"/>
  <c r="N133" i="12"/>
  <c r="M141" i="20"/>
  <c r="J137" i="20"/>
  <c r="J141" i="20" s="1"/>
  <c r="M133" i="12"/>
  <c r="L133" i="11"/>
  <c r="P141" i="20"/>
  <c r="P133" i="19"/>
  <c r="K137" i="14"/>
  <c r="K141" i="14" s="1"/>
  <c r="K143" i="14" s="1"/>
  <c r="M133" i="14"/>
  <c r="M143" i="14" s="1"/>
  <c r="L133" i="14"/>
  <c r="O141" i="14"/>
  <c r="O143" i="14" s="1"/>
  <c r="J143" i="14"/>
  <c r="L141" i="21"/>
  <c r="M137" i="21"/>
  <c r="M141" i="21" s="1"/>
  <c r="M143" i="21" s="1"/>
  <c r="N137" i="21"/>
  <c r="N141" i="21" s="1"/>
  <c r="N143" i="21" s="1"/>
  <c r="O141" i="21"/>
  <c r="O143" i="21" s="1"/>
  <c r="L143" i="21"/>
  <c r="L141" i="14"/>
  <c r="N141" i="14"/>
  <c r="N143" i="14" s="1"/>
  <c r="K143" i="21"/>
  <c r="O137" i="19"/>
  <c r="O141" i="19" s="1"/>
  <c r="M133" i="13"/>
  <c r="M133" i="19"/>
  <c r="O137" i="20"/>
  <c r="O141" i="20" s="1"/>
  <c r="M137" i="12"/>
  <c r="M141" i="12" s="1"/>
  <c r="Q137" i="11"/>
  <c r="Q141" i="11" s="1"/>
  <c r="J133" i="20"/>
  <c r="L137" i="19"/>
  <c r="L141" i="19" s="1"/>
  <c r="N137" i="3"/>
  <c r="N141" i="3" s="1"/>
  <c r="N143" i="3" s="1"/>
  <c r="O141" i="3"/>
  <c r="O133" i="3"/>
  <c r="O133" i="20"/>
  <c r="Q133" i="11"/>
  <c r="N137" i="20"/>
  <c r="N141" i="20" s="1"/>
  <c r="J138" i="12"/>
  <c r="J140" i="12" s="1"/>
  <c r="J142" i="12" s="1"/>
  <c r="J133" i="12"/>
  <c r="J138" i="11"/>
  <c r="J133" i="11"/>
  <c r="M138" i="11"/>
  <c r="M133" i="11"/>
  <c r="M141" i="3"/>
  <c r="K143" i="19" l="1"/>
  <c r="N143" i="20"/>
  <c r="K143" i="3"/>
  <c r="J143" i="13"/>
  <c r="M141" i="11"/>
  <c r="M143" i="11" s="1"/>
  <c r="N143" i="13"/>
  <c r="M143" i="3"/>
  <c r="Q143" i="11"/>
  <c r="K141" i="12"/>
  <c r="K143" i="12" s="1"/>
  <c r="L143" i="19"/>
  <c r="J143" i="20"/>
  <c r="J143" i="3"/>
  <c r="M143" i="19"/>
  <c r="M143" i="20"/>
  <c r="P143" i="19"/>
  <c r="L143" i="20"/>
  <c r="O143" i="13"/>
  <c r="P143" i="20"/>
  <c r="L143" i="13"/>
  <c r="O143" i="19"/>
  <c r="N143" i="12"/>
  <c r="K143" i="13"/>
  <c r="L143" i="12"/>
  <c r="M143" i="13"/>
  <c r="M143" i="12"/>
  <c r="L143" i="14"/>
  <c r="J141" i="12"/>
  <c r="J143" i="12" s="1"/>
  <c r="O143" i="20"/>
  <c r="O143" i="3"/>
  <c r="K143" i="11"/>
  <c r="L143" i="11"/>
  <c r="O143" i="11"/>
  <c r="N143" i="11"/>
  <c r="J141" i="11"/>
  <c r="J143" i="11" l="1"/>
  <c r="T4" i="27" l="1"/>
  <c r="T7" i="27"/>
  <c r="T6" i="27"/>
  <c r="T9" i="27"/>
  <c r="P33" i="28"/>
  <c r="Q33" i="28"/>
  <c r="R33" i="28"/>
  <c r="S33" i="28"/>
  <c r="T33" i="28"/>
  <c r="U33" i="28"/>
  <c r="P34" i="28"/>
  <c r="Q34" i="28"/>
  <c r="R34" i="28"/>
  <c r="S34" i="28"/>
  <c r="T34" i="28"/>
  <c r="U34" i="28"/>
  <c r="P35" i="28"/>
  <c r="Q35" i="28"/>
  <c r="R35" i="28"/>
  <c r="S35" i="28"/>
  <c r="T35" i="28"/>
  <c r="U35" i="28"/>
  <c r="P36" i="28"/>
  <c r="Q36" i="28"/>
  <c r="R36" i="28"/>
  <c r="S36" i="28"/>
  <c r="T36" i="28"/>
  <c r="U36" i="28"/>
  <c r="P37" i="28"/>
  <c r="Q37" i="28"/>
  <c r="R37" i="28"/>
  <c r="S37" i="28"/>
  <c r="T37" i="28"/>
  <c r="U37" i="28"/>
  <c r="P38" i="28"/>
  <c r="Q38" i="28"/>
  <c r="R38" i="28"/>
  <c r="S38" i="28"/>
  <c r="T38" i="28"/>
  <c r="U38" i="28"/>
  <c r="P39" i="28"/>
  <c r="Q39" i="28"/>
  <c r="R39" i="28"/>
  <c r="S39" i="28"/>
  <c r="T39" i="28"/>
  <c r="U39" i="28"/>
  <c r="P40" i="28"/>
  <c r="Q40" i="28"/>
  <c r="R40" i="28"/>
  <c r="S40" i="28"/>
  <c r="T40" i="28"/>
  <c r="U40" i="28"/>
  <c r="P41" i="28"/>
  <c r="Q41" i="28"/>
  <c r="R41" i="28"/>
  <c r="S41" i="28"/>
  <c r="T41" i="28"/>
  <c r="U41" i="28"/>
  <c r="P42" i="28"/>
  <c r="Q42" i="28"/>
  <c r="R42" i="28"/>
  <c r="S42" i="28"/>
  <c r="T42" i="28"/>
  <c r="U42" i="28"/>
  <c r="P43" i="28"/>
  <c r="Q43" i="28"/>
  <c r="R43" i="28"/>
  <c r="S43" i="28"/>
  <c r="T43" i="28"/>
  <c r="U43" i="28"/>
  <c r="P44" i="28"/>
  <c r="Q44" i="28"/>
  <c r="R44" i="28"/>
  <c r="S44" i="28"/>
  <c r="T44" i="28"/>
  <c r="U44" i="28"/>
  <c r="P45" i="28"/>
  <c r="Q45" i="28"/>
  <c r="R45" i="28"/>
  <c r="S45" i="28"/>
  <c r="T45" i="28"/>
  <c r="U45" i="28"/>
  <c r="P46" i="28"/>
  <c r="Q46" i="28"/>
  <c r="R46" i="28"/>
  <c r="S46" i="28"/>
  <c r="T46" i="28"/>
  <c r="U46" i="28"/>
  <c r="P47" i="28"/>
  <c r="Q47" i="28"/>
  <c r="R47" i="28"/>
  <c r="S47" i="28"/>
  <c r="T47" i="28"/>
  <c r="U47" i="28"/>
  <c r="P48" i="28"/>
  <c r="Q48" i="28"/>
  <c r="R48" i="28"/>
  <c r="S48" i="28"/>
  <c r="T48" i="28"/>
  <c r="U48" i="28"/>
  <c r="P49" i="28"/>
  <c r="Q49" i="28"/>
  <c r="R49" i="28"/>
  <c r="S49" i="28"/>
  <c r="T49" i="28"/>
  <c r="U49" i="28"/>
  <c r="P50" i="28"/>
  <c r="Q50" i="28"/>
  <c r="R50" i="28"/>
  <c r="S50" i="28"/>
  <c r="T50" i="28"/>
  <c r="U50" i="28"/>
  <c r="P51" i="28"/>
  <c r="Q51" i="28"/>
  <c r="R51" i="28"/>
  <c r="S51" i="28"/>
  <c r="T51" i="28"/>
  <c r="U51" i="28"/>
  <c r="P52" i="28"/>
  <c r="Q52" i="28"/>
  <c r="R52" i="28"/>
  <c r="S52" i="28"/>
  <c r="T52" i="28"/>
  <c r="U52" i="28"/>
  <c r="P53" i="28"/>
  <c r="Q53" i="28"/>
  <c r="R53" i="28"/>
  <c r="S53" i="28"/>
  <c r="T53" i="28"/>
  <c r="U53" i="28"/>
  <c r="P54" i="28"/>
  <c r="Q54" i="28"/>
  <c r="R54" i="28"/>
  <c r="S54" i="28"/>
  <c r="T54" i="28"/>
  <c r="U54" i="28"/>
  <c r="Q32" i="28"/>
  <c r="R32" i="28"/>
  <c r="S32" i="28"/>
  <c r="T32" i="28"/>
  <c r="U32" i="28"/>
  <c r="P32" i="28"/>
  <c r="J33" i="28"/>
  <c r="K33" i="28"/>
  <c r="L33" i="28"/>
  <c r="M33" i="28"/>
  <c r="N33" i="28"/>
  <c r="O33" i="28"/>
  <c r="J34" i="28"/>
  <c r="J7" i="28" s="1"/>
  <c r="K34" i="28"/>
  <c r="L34" i="28"/>
  <c r="M34" i="28"/>
  <c r="N34" i="28"/>
  <c r="O34" i="28"/>
  <c r="J35" i="28"/>
  <c r="K35" i="28"/>
  <c r="L35" i="28"/>
  <c r="M35" i="28"/>
  <c r="N35" i="28"/>
  <c r="O35" i="28"/>
  <c r="J36" i="28"/>
  <c r="K36" i="28"/>
  <c r="L36" i="28"/>
  <c r="M36" i="28"/>
  <c r="N36" i="28"/>
  <c r="O36" i="28"/>
  <c r="J37" i="28"/>
  <c r="K37" i="28"/>
  <c r="L37" i="28"/>
  <c r="M37" i="28"/>
  <c r="N37" i="28"/>
  <c r="O37" i="28"/>
  <c r="J38" i="28"/>
  <c r="K38" i="28"/>
  <c r="L38" i="28"/>
  <c r="M38" i="28"/>
  <c r="N38" i="28"/>
  <c r="O38" i="28"/>
  <c r="J39" i="28"/>
  <c r="K39" i="28"/>
  <c r="L39" i="28"/>
  <c r="M39" i="28"/>
  <c r="N39" i="28"/>
  <c r="O39" i="28"/>
  <c r="J40" i="28"/>
  <c r="K40" i="28"/>
  <c r="L40" i="28"/>
  <c r="M40" i="28"/>
  <c r="N40" i="28"/>
  <c r="O40" i="28"/>
  <c r="J41" i="28"/>
  <c r="K41" i="28"/>
  <c r="L41" i="28"/>
  <c r="M41" i="28"/>
  <c r="N41" i="28"/>
  <c r="O41" i="28"/>
  <c r="J42" i="28"/>
  <c r="K42" i="28"/>
  <c r="L42" i="28"/>
  <c r="M42" i="28"/>
  <c r="N42" i="28"/>
  <c r="O42" i="28"/>
  <c r="J43" i="28"/>
  <c r="K43" i="28"/>
  <c r="L43" i="28"/>
  <c r="M43" i="28"/>
  <c r="N43" i="28"/>
  <c r="O43" i="28"/>
  <c r="J44" i="28"/>
  <c r="K44" i="28"/>
  <c r="L44" i="28"/>
  <c r="M44" i="28"/>
  <c r="N44" i="28"/>
  <c r="O44" i="28"/>
  <c r="J45" i="28"/>
  <c r="K45" i="28"/>
  <c r="L45" i="28"/>
  <c r="M45" i="28"/>
  <c r="N45" i="28"/>
  <c r="O45" i="28"/>
  <c r="J46" i="28"/>
  <c r="K46" i="28"/>
  <c r="L46" i="28"/>
  <c r="M46" i="28"/>
  <c r="N46" i="28"/>
  <c r="O46" i="28"/>
  <c r="J47" i="28"/>
  <c r="K47" i="28"/>
  <c r="L47" i="28"/>
  <c r="M47" i="28"/>
  <c r="N47" i="28"/>
  <c r="O47" i="28"/>
  <c r="J48" i="28"/>
  <c r="K48" i="28"/>
  <c r="L48" i="28"/>
  <c r="M48" i="28"/>
  <c r="N48" i="28"/>
  <c r="O48" i="28"/>
  <c r="J49" i="28"/>
  <c r="K49" i="28"/>
  <c r="L49" i="28"/>
  <c r="M49" i="28"/>
  <c r="N49" i="28"/>
  <c r="O49" i="28"/>
  <c r="J50" i="28"/>
  <c r="K50" i="28"/>
  <c r="L50" i="28"/>
  <c r="M50" i="28"/>
  <c r="N50" i="28"/>
  <c r="O50" i="28"/>
  <c r="J51" i="28"/>
  <c r="K51" i="28"/>
  <c r="L51" i="28"/>
  <c r="M51" i="28"/>
  <c r="N51" i="28"/>
  <c r="O51" i="28"/>
  <c r="J52" i="28"/>
  <c r="K52" i="28"/>
  <c r="L52" i="28"/>
  <c r="M52" i="28"/>
  <c r="N52" i="28"/>
  <c r="O52" i="28"/>
  <c r="J53" i="28"/>
  <c r="K53" i="28"/>
  <c r="L53" i="28"/>
  <c r="M53" i="28"/>
  <c r="N53" i="28"/>
  <c r="O53" i="28"/>
  <c r="J54" i="28"/>
  <c r="J11" i="28" s="1"/>
  <c r="K54" i="28"/>
  <c r="L54" i="28"/>
  <c r="M54" i="28"/>
  <c r="N54" i="28"/>
  <c r="O54" i="28"/>
  <c r="K32" i="28"/>
  <c r="L32" i="28"/>
  <c r="M32" i="28"/>
  <c r="N32" i="28"/>
  <c r="O32" i="28"/>
  <c r="J32" i="28"/>
  <c r="I54" i="28"/>
  <c r="H54" i="28"/>
  <c r="I53" i="28"/>
  <c r="H53" i="28"/>
  <c r="I52" i="28"/>
  <c r="H52" i="28"/>
  <c r="I51" i="28"/>
  <c r="H51" i="28"/>
  <c r="I50" i="28"/>
  <c r="H50" i="28"/>
  <c r="I49" i="28"/>
  <c r="H49" i="28"/>
  <c r="I48" i="28"/>
  <c r="H48" i="28"/>
  <c r="I47" i="28"/>
  <c r="H47" i="28"/>
  <c r="I46" i="28"/>
  <c r="H46" i="28"/>
  <c r="I45" i="28"/>
  <c r="H45" i="28"/>
  <c r="I44" i="28"/>
  <c r="H44" i="28"/>
  <c r="I43" i="28"/>
  <c r="H43" i="28"/>
  <c r="I42" i="28"/>
  <c r="H42" i="28"/>
  <c r="I41" i="28"/>
  <c r="H41" i="28"/>
  <c r="I40" i="28"/>
  <c r="H40" i="28"/>
  <c r="I39" i="28"/>
  <c r="H39" i="28"/>
  <c r="I38" i="28"/>
  <c r="H38" i="28"/>
  <c r="I37" i="28"/>
  <c r="H37" i="28"/>
  <c r="I36" i="28"/>
  <c r="H36" i="28"/>
  <c r="I35" i="28"/>
  <c r="H35" i="28"/>
  <c r="I34" i="28"/>
  <c r="H34" i="28"/>
  <c r="I33" i="28"/>
  <c r="H33" i="28"/>
  <c r="I32" i="28"/>
  <c r="H32" i="28"/>
  <c r="H31" i="28"/>
  <c r="U30" i="28"/>
  <c r="T30" i="28"/>
  <c r="S30" i="28"/>
  <c r="R30" i="28"/>
  <c r="Q30" i="28"/>
  <c r="P30" i="28"/>
  <c r="O30" i="28"/>
  <c r="N30" i="28"/>
  <c r="M30" i="28"/>
  <c r="L30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U24" i="28"/>
  <c r="T24" i="28"/>
  <c r="S24" i="28"/>
  <c r="R24" i="28"/>
  <c r="Q24" i="28"/>
  <c r="P24" i="28"/>
  <c r="O24" i="28"/>
  <c r="N24" i="28"/>
  <c r="M24" i="28"/>
  <c r="L24" i="28"/>
  <c r="K24" i="28"/>
  <c r="J24" i="28"/>
  <c r="I24" i="28"/>
  <c r="H24" i="28"/>
  <c r="U23" i="28"/>
  <c r="T23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H19" i="28"/>
  <c r="T32" i="27"/>
  <c r="U32" i="27"/>
  <c r="T33" i="27"/>
  <c r="U33" i="27"/>
  <c r="T34" i="27"/>
  <c r="U34" i="27"/>
  <c r="U7" i="27" s="1"/>
  <c r="T35" i="27"/>
  <c r="U35" i="27"/>
  <c r="T36" i="27"/>
  <c r="U36" i="27"/>
  <c r="T37" i="27"/>
  <c r="U37" i="27"/>
  <c r="T38" i="27"/>
  <c r="U38" i="27"/>
  <c r="T39" i="27"/>
  <c r="U39" i="27"/>
  <c r="T40" i="27"/>
  <c r="U40" i="27"/>
  <c r="T41" i="27"/>
  <c r="U41" i="27"/>
  <c r="T42" i="27"/>
  <c r="U42" i="27"/>
  <c r="T43" i="27"/>
  <c r="U43" i="27"/>
  <c r="U9" i="27" s="1"/>
  <c r="T44" i="27"/>
  <c r="U44" i="27"/>
  <c r="T45" i="27"/>
  <c r="U45" i="27"/>
  <c r="T46" i="27"/>
  <c r="U46" i="27"/>
  <c r="T47" i="27"/>
  <c r="U47" i="27"/>
  <c r="T48" i="27"/>
  <c r="U48" i="27"/>
  <c r="T49" i="27"/>
  <c r="U49" i="27"/>
  <c r="T50" i="27"/>
  <c r="U50" i="27"/>
  <c r="T51" i="27"/>
  <c r="U51" i="27"/>
  <c r="T52" i="27"/>
  <c r="U52" i="27"/>
  <c r="T53" i="27"/>
  <c r="U53" i="27"/>
  <c r="T54" i="27"/>
  <c r="U54" i="27"/>
  <c r="T11" i="27" s="1"/>
  <c r="R33" i="27"/>
  <c r="S33" i="27"/>
  <c r="R34" i="27"/>
  <c r="R7" i="27" s="1"/>
  <c r="S34" i="27"/>
  <c r="S7" i="27" s="1"/>
  <c r="R35" i="27"/>
  <c r="S35" i="27"/>
  <c r="R36" i="27"/>
  <c r="S36" i="27"/>
  <c r="R37" i="27"/>
  <c r="S37" i="27"/>
  <c r="R38" i="27"/>
  <c r="S38" i="27"/>
  <c r="R39" i="27"/>
  <c r="S39" i="27"/>
  <c r="R40" i="27"/>
  <c r="S40" i="27"/>
  <c r="R41" i="27"/>
  <c r="S41" i="27"/>
  <c r="R42" i="27"/>
  <c r="S42" i="27"/>
  <c r="R43" i="27"/>
  <c r="S43" i="27"/>
  <c r="R44" i="27"/>
  <c r="S44" i="27"/>
  <c r="R45" i="27"/>
  <c r="S45" i="27"/>
  <c r="R46" i="27"/>
  <c r="S46" i="27"/>
  <c r="R47" i="27"/>
  <c r="S47" i="27"/>
  <c r="R48" i="27"/>
  <c r="S48" i="27"/>
  <c r="R49" i="27"/>
  <c r="S49" i="27"/>
  <c r="R50" i="27"/>
  <c r="S50" i="27"/>
  <c r="R51" i="27"/>
  <c r="S51" i="27"/>
  <c r="R52" i="27"/>
  <c r="S52" i="27"/>
  <c r="R53" i="27"/>
  <c r="S53" i="27"/>
  <c r="R54" i="27"/>
  <c r="S54" i="27"/>
  <c r="S32" i="27"/>
  <c r="R32" i="27"/>
  <c r="Q33" i="27"/>
  <c r="Q34" i="27"/>
  <c r="Q7" i="27" s="1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32" i="27"/>
  <c r="P33" i="27"/>
  <c r="P34" i="27"/>
  <c r="P7" i="27" s="1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32" i="27"/>
  <c r="O54" i="27"/>
  <c r="N54" i="27"/>
  <c r="M54" i="27"/>
  <c r="L54" i="27"/>
  <c r="I54" i="27"/>
  <c r="H54" i="27"/>
  <c r="O53" i="27"/>
  <c r="N53" i="27"/>
  <c r="M53" i="27"/>
  <c r="L53" i="27"/>
  <c r="K53" i="27"/>
  <c r="J53" i="27"/>
  <c r="I53" i="27"/>
  <c r="H53" i="27"/>
  <c r="O52" i="27"/>
  <c r="N52" i="27"/>
  <c r="M52" i="27"/>
  <c r="L52" i="27"/>
  <c r="K52" i="27"/>
  <c r="J52" i="27"/>
  <c r="I52" i="27"/>
  <c r="H52" i="27"/>
  <c r="O51" i="27"/>
  <c r="N51" i="27"/>
  <c r="M51" i="27"/>
  <c r="L51" i="27"/>
  <c r="K51" i="27"/>
  <c r="J51" i="27"/>
  <c r="I51" i="27"/>
  <c r="H51" i="27"/>
  <c r="O50" i="27"/>
  <c r="N50" i="27"/>
  <c r="M50" i="27"/>
  <c r="L50" i="27"/>
  <c r="K50" i="27"/>
  <c r="J50" i="27"/>
  <c r="I50" i="27"/>
  <c r="H50" i="27"/>
  <c r="O49" i="27"/>
  <c r="N49" i="27"/>
  <c r="M49" i="27"/>
  <c r="L49" i="27"/>
  <c r="K49" i="27"/>
  <c r="J49" i="27"/>
  <c r="I49" i="27"/>
  <c r="H49" i="27"/>
  <c r="O48" i="27"/>
  <c r="N48" i="27"/>
  <c r="M48" i="27"/>
  <c r="L48" i="27"/>
  <c r="K48" i="27"/>
  <c r="J48" i="27"/>
  <c r="I48" i="27"/>
  <c r="H48" i="27"/>
  <c r="O47" i="27"/>
  <c r="N47" i="27"/>
  <c r="M47" i="27"/>
  <c r="L47" i="27"/>
  <c r="K47" i="27"/>
  <c r="J47" i="27"/>
  <c r="I47" i="27"/>
  <c r="H47" i="27"/>
  <c r="O46" i="27"/>
  <c r="N46" i="27"/>
  <c r="M46" i="27"/>
  <c r="L46" i="27"/>
  <c r="K46" i="27"/>
  <c r="J46" i="27"/>
  <c r="I46" i="27"/>
  <c r="H46" i="27"/>
  <c r="O45" i="27"/>
  <c r="N45" i="27"/>
  <c r="M45" i="27"/>
  <c r="L45" i="27"/>
  <c r="K45" i="27"/>
  <c r="J45" i="27"/>
  <c r="I45" i="27"/>
  <c r="H45" i="27"/>
  <c r="O44" i="27"/>
  <c r="N44" i="27"/>
  <c r="M44" i="27"/>
  <c r="L44" i="27"/>
  <c r="K44" i="27"/>
  <c r="J44" i="27"/>
  <c r="I44" i="27"/>
  <c r="H44" i="27"/>
  <c r="O43" i="27"/>
  <c r="O9" i="27" s="1"/>
  <c r="N43" i="27"/>
  <c r="M43" i="27"/>
  <c r="L43" i="27"/>
  <c r="L9" i="27" s="1"/>
  <c r="K43" i="27"/>
  <c r="K9" i="27" s="1"/>
  <c r="J43" i="27"/>
  <c r="J9" i="27" s="1"/>
  <c r="I43" i="27"/>
  <c r="H43" i="27"/>
  <c r="O42" i="27"/>
  <c r="N42" i="27"/>
  <c r="M42" i="27"/>
  <c r="L42" i="27"/>
  <c r="K42" i="27"/>
  <c r="J42" i="27"/>
  <c r="I42" i="27"/>
  <c r="H42" i="27"/>
  <c r="O41" i="27"/>
  <c r="N41" i="27"/>
  <c r="M41" i="27"/>
  <c r="L41" i="27"/>
  <c r="K41" i="27"/>
  <c r="J41" i="27"/>
  <c r="I41" i="27"/>
  <c r="H41" i="27"/>
  <c r="O40" i="27"/>
  <c r="N40" i="27"/>
  <c r="M40" i="27"/>
  <c r="L40" i="27"/>
  <c r="K40" i="27"/>
  <c r="J40" i="27"/>
  <c r="I40" i="27"/>
  <c r="H40" i="27"/>
  <c r="O39" i="27"/>
  <c r="N39" i="27"/>
  <c r="M39" i="27"/>
  <c r="L39" i="27"/>
  <c r="K39" i="27"/>
  <c r="J39" i="27"/>
  <c r="I39" i="27"/>
  <c r="H39" i="27"/>
  <c r="O38" i="27"/>
  <c r="N38" i="27"/>
  <c r="M38" i="27"/>
  <c r="L38" i="27"/>
  <c r="K38" i="27"/>
  <c r="J38" i="27"/>
  <c r="I38" i="27"/>
  <c r="H38" i="27"/>
  <c r="O37" i="27"/>
  <c r="N37" i="27"/>
  <c r="M37" i="27"/>
  <c r="L37" i="27"/>
  <c r="K37" i="27"/>
  <c r="J37" i="27"/>
  <c r="I37" i="27"/>
  <c r="H37" i="27"/>
  <c r="O36" i="27"/>
  <c r="N36" i="27"/>
  <c r="M36" i="27"/>
  <c r="L36" i="27"/>
  <c r="K36" i="27"/>
  <c r="J36" i="27"/>
  <c r="I36" i="27"/>
  <c r="H36" i="27"/>
  <c r="O35" i="27"/>
  <c r="N35" i="27"/>
  <c r="M35" i="27"/>
  <c r="L35" i="27"/>
  <c r="K35" i="27"/>
  <c r="J35" i="27"/>
  <c r="I35" i="27"/>
  <c r="H35" i="27"/>
  <c r="O34" i="27"/>
  <c r="O7" i="27" s="1"/>
  <c r="N34" i="27"/>
  <c r="N7" i="27" s="1"/>
  <c r="M34" i="27"/>
  <c r="M7" i="27" s="1"/>
  <c r="L34" i="27"/>
  <c r="L7" i="27" s="1"/>
  <c r="K34" i="27"/>
  <c r="K7" i="27" s="1"/>
  <c r="J34" i="27"/>
  <c r="J7" i="27" s="1"/>
  <c r="I34" i="27"/>
  <c r="H34" i="27"/>
  <c r="O33" i="27"/>
  <c r="N33" i="27"/>
  <c r="M33" i="27"/>
  <c r="L33" i="27"/>
  <c r="K33" i="27"/>
  <c r="J33" i="27"/>
  <c r="I33" i="27"/>
  <c r="H33" i="27"/>
  <c r="O32" i="27"/>
  <c r="O2" i="27" s="1"/>
  <c r="N32" i="27"/>
  <c r="M32" i="27"/>
  <c r="L32" i="27"/>
  <c r="L6" i="27" s="1"/>
  <c r="K32" i="27"/>
  <c r="J32" i="27"/>
  <c r="I32" i="27"/>
  <c r="H32" i="27"/>
  <c r="H31" i="27"/>
  <c r="U30" i="27"/>
  <c r="T30" i="27"/>
  <c r="S30" i="27"/>
  <c r="R30" i="27"/>
  <c r="Q30" i="27"/>
  <c r="P30" i="27"/>
  <c r="O30" i="27"/>
  <c r="N30" i="27"/>
  <c r="M30" i="27"/>
  <c r="L30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U24" i="27"/>
  <c r="T24" i="27"/>
  <c r="S24" i="27"/>
  <c r="R24" i="27"/>
  <c r="Q24" i="27"/>
  <c r="P24" i="27"/>
  <c r="O24" i="27"/>
  <c r="N24" i="27"/>
  <c r="M24" i="27"/>
  <c r="L24" i="27"/>
  <c r="K24" i="27"/>
  <c r="J24" i="27"/>
  <c r="I24" i="27"/>
  <c r="H24" i="27"/>
  <c r="U23" i="27"/>
  <c r="T23" i="27"/>
  <c r="S23" i="27"/>
  <c r="R23" i="27"/>
  <c r="Q23" i="27"/>
  <c r="P23" i="27"/>
  <c r="O23" i="27"/>
  <c r="N23" i="27"/>
  <c r="M23" i="27"/>
  <c r="L23" i="27"/>
  <c r="K23" i="27"/>
  <c r="J23" i="27"/>
  <c r="I23" i="27"/>
  <c r="H23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H22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H19" i="27"/>
  <c r="P127" i="18"/>
  <c r="O127" i="18"/>
  <c r="N127" i="18"/>
  <c r="M127" i="18"/>
  <c r="L127" i="18"/>
  <c r="K127" i="18"/>
  <c r="J127" i="18"/>
  <c r="P126" i="18"/>
  <c r="O126" i="18"/>
  <c r="N126" i="18"/>
  <c r="M126" i="18"/>
  <c r="L126" i="18"/>
  <c r="K126" i="18"/>
  <c r="J126" i="18"/>
  <c r="P125" i="18"/>
  <c r="O125" i="18"/>
  <c r="N125" i="18"/>
  <c r="M125" i="18"/>
  <c r="L125" i="18"/>
  <c r="K125" i="18"/>
  <c r="J125" i="18"/>
  <c r="J124" i="18"/>
  <c r="P123" i="18"/>
  <c r="O123" i="18"/>
  <c r="L123" i="18"/>
  <c r="K123" i="18"/>
  <c r="P122" i="18"/>
  <c r="P121" i="18"/>
  <c r="O121" i="18"/>
  <c r="N121" i="18"/>
  <c r="M121" i="18"/>
  <c r="L121" i="18"/>
  <c r="K121" i="18"/>
  <c r="J121" i="18"/>
  <c r="P120" i="18"/>
  <c r="O120" i="18"/>
  <c r="N120" i="18"/>
  <c r="M120" i="18"/>
  <c r="L120" i="18"/>
  <c r="K120" i="18"/>
  <c r="J120" i="18"/>
  <c r="P118" i="18"/>
  <c r="P124" i="18" s="1"/>
  <c r="O118" i="18"/>
  <c r="O124" i="18" s="1"/>
  <c r="N118" i="18"/>
  <c r="N124" i="18" s="1"/>
  <c r="M118" i="18"/>
  <c r="M124" i="18" s="1"/>
  <c r="L118" i="18"/>
  <c r="L124" i="18" s="1"/>
  <c r="K118" i="18"/>
  <c r="K124" i="18" s="1"/>
  <c r="J118" i="18"/>
  <c r="P117" i="18"/>
  <c r="O117" i="18"/>
  <c r="N117" i="18"/>
  <c r="N123" i="18" s="1"/>
  <c r="N130" i="18" s="1"/>
  <c r="M117" i="18"/>
  <c r="M123" i="18" s="1"/>
  <c r="L117" i="18"/>
  <c r="K117" i="18"/>
  <c r="J117" i="18"/>
  <c r="J123" i="18" s="1"/>
  <c r="P116" i="18"/>
  <c r="O116" i="18"/>
  <c r="O122" i="18" s="1"/>
  <c r="N116" i="18"/>
  <c r="N122" i="18" s="1"/>
  <c r="M116" i="18"/>
  <c r="M122" i="18" s="1"/>
  <c r="L116" i="18"/>
  <c r="L122" i="18" s="1"/>
  <c r="K116" i="18"/>
  <c r="K122" i="18" s="1"/>
  <c r="J116" i="18"/>
  <c r="J122" i="18" s="1"/>
  <c r="P115" i="18"/>
  <c r="O115" i="18"/>
  <c r="N115" i="18"/>
  <c r="M115" i="18"/>
  <c r="L115" i="18"/>
  <c r="K115" i="18"/>
  <c r="J115" i="18"/>
  <c r="P104" i="18"/>
  <c r="P113" i="18" s="1"/>
  <c r="O104" i="18"/>
  <c r="O113" i="18" s="1"/>
  <c r="N104" i="18"/>
  <c r="N112" i="18" s="1"/>
  <c r="M104" i="18"/>
  <c r="M113" i="18" s="1"/>
  <c r="L104" i="18"/>
  <c r="L112" i="18" s="1"/>
  <c r="K104" i="18"/>
  <c r="J104" i="18"/>
  <c r="P103" i="18"/>
  <c r="O103" i="18"/>
  <c r="N103" i="18"/>
  <c r="M103" i="18"/>
  <c r="L103" i="18"/>
  <c r="K103" i="18"/>
  <c r="J103" i="18"/>
  <c r="P102" i="18"/>
  <c r="O102" i="18"/>
  <c r="N102" i="18"/>
  <c r="M102" i="18"/>
  <c r="L102" i="18"/>
  <c r="K102" i="18"/>
  <c r="J102" i="18"/>
  <c r="P101" i="18"/>
  <c r="O101" i="18"/>
  <c r="M101" i="18"/>
  <c r="L100" i="18"/>
  <c r="K100" i="18"/>
  <c r="J100" i="18"/>
  <c r="N99" i="18"/>
  <c r="M99" i="18"/>
  <c r="K99" i="18"/>
  <c r="P98" i="18"/>
  <c r="O98" i="18"/>
  <c r="N98" i="18"/>
  <c r="M98" i="18"/>
  <c r="L98" i="18"/>
  <c r="K98" i="18"/>
  <c r="J98" i="18"/>
  <c r="P97" i="18"/>
  <c r="O97" i="18"/>
  <c r="N97" i="18"/>
  <c r="M97" i="18"/>
  <c r="L97" i="18"/>
  <c r="K97" i="18"/>
  <c r="J97" i="18"/>
  <c r="P95" i="18"/>
  <c r="O95" i="18"/>
  <c r="N95" i="18"/>
  <c r="N101" i="18" s="1"/>
  <c r="M95" i="18"/>
  <c r="L95" i="18"/>
  <c r="L101" i="18" s="1"/>
  <c r="K95" i="18"/>
  <c r="K101" i="18" s="1"/>
  <c r="J95" i="18"/>
  <c r="J101" i="18" s="1"/>
  <c r="P94" i="18"/>
  <c r="P100" i="18" s="1"/>
  <c r="O94" i="18"/>
  <c r="O100" i="18" s="1"/>
  <c r="N94" i="18"/>
  <c r="N100" i="18" s="1"/>
  <c r="M94" i="18"/>
  <c r="M100" i="18" s="1"/>
  <c r="L94" i="18"/>
  <c r="K94" i="18"/>
  <c r="J94" i="18"/>
  <c r="P93" i="18"/>
  <c r="P99" i="18" s="1"/>
  <c r="O93" i="18"/>
  <c r="O99" i="18" s="1"/>
  <c r="N93" i="18"/>
  <c r="M93" i="18"/>
  <c r="L93" i="18"/>
  <c r="L99" i="18" s="1"/>
  <c r="K93" i="18"/>
  <c r="J93" i="18"/>
  <c r="J99" i="18" s="1"/>
  <c r="P92" i="18"/>
  <c r="O92" i="18"/>
  <c r="N92" i="18"/>
  <c r="M92" i="18"/>
  <c r="L92" i="18"/>
  <c r="K92" i="18"/>
  <c r="J92" i="18"/>
  <c r="P127" i="17"/>
  <c r="O127" i="17"/>
  <c r="N127" i="17"/>
  <c r="M127" i="17"/>
  <c r="L127" i="17"/>
  <c r="K127" i="17"/>
  <c r="K128" i="17" s="1"/>
  <c r="K138" i="17" s="1"/>
  <c r="J127" i="17"/>
  <c r="J128" i="17" s="1"/>
  <c r="P126" i="17"/>
  <c r="O126" i="17"/>
  <c r="N126" i="17"/>
  <c r="M126" i="17"/>
  <c r="L126" i="17"/>
  <c r="K126" i="17"/>
  <c r="J126" i="17"/>
  <c r="P125" i="17"/>
  <c r="O125" i="17"/>
  <c r="N125" i="17"/>
  <c r="M125" i="17"/>
  <c r="L125" i="17"/>
  <c r="K125" i="17"/>
  <c r="J125" i="17"/>
  <c r="O124" i="17"/>
  <c r="L124" i="17"/>
  <c r="J124" i="17"/>
  <c r="O123" i="17"/>
  <c r="K123" i="17"/>
  <c r="J123" i="17"/>
  <c r="P122" i="17"/>
  <c r="O122" i="17"/>
  <c r="M122" i="17"/>
  <c r="J122" i="17"/>
  <c r="P121" i="17"/>
  <c r="O121" i="17"/>
  <c r="N121" i="17"/>
  <c r="M121" i="17"/>
  <c r="L121" i="17"/>
  <c r="K121" i="17"/>
  <c r="J121" i="17"/>
  <c r="P120" i="17"/>
  <c r="O120" i="17"/>
  <c r="N120" i="17"/>
  <c r="M120" i="17"/>
  <c r="L120" i="17"/>
  <c r="K120" i="17"/>
  <c r="J120" i="17"/>
  <c r="P118" i="17"/>
  <c r="P124" i="17" s="1"/>
  <c r="O118" i="17"/>
  <c r="N118" i="17"/>
  <c r="N124" i="17" s="1"/>
  <c r="M118" i="17"/>
  <c r="M124" i="17" s="1"/>
  <c r="L118" i="17"/>
  <c r="K118" i="17"/>
  <c r="K124" i="17" s="1"/>
  <c r="J118" i="17"/>
  <c r="P117" i="17"/>
  <c r="P123" i="17" s="1"/>
  <c r="O117" i="17"/>
  <c r="N117" i="17"/>
  <c r="N123" i="17" s="1"/>
  <c r="M117" i="17"/>
  <c r="M123" i="17" s="1"/>
  <c r="L117" i="17"/>
  <c r="L123" i="17" s="1"/>
  <c r="K117" i="17"/>
  <c r="J117" i="17"/>
  <c r="P116" i="17"/>
  <c r="O116" i="17"/>
  <c r="N116" i="17"/>
  <c r="N122" i="17" s="1"/>
  <c r="M116" i="17"/>
  <c r="L116" i="17"/>
  <c r="L122" i="17" s="1"/>
  <c r="K116" i="17"/>
  <c r="K122" i="17" s="1"/>
  <c r="J116" i="17"/>
  <c r="P115" i="17"/>
  <c r="O115" i="17"/>
  <c r="N115" i="17"/>
  <c r="M115" i="17"/>
  <c r="L115" i="17"/>
  <c r="K115" i="17"/>
  <c r="J115" i="17"/>
  <c r="P104" i="17"/>
  <c r="P113" i="17" s="1"/>
  <c r="O104" i="17"/>
  <c r="O113" i="17" s="1"/>
  <c r="N104" i="17"/>
  <c r="N113" i="17" s="1"/>
  <c r="M104" i="17"/>
  <c r="M113" i="17" s="1"/>
  <c r="L104" i="17"/>
  <c r="L113" i="17" s="1"/>
  <c r="K104" i="17"/>
  <c r="K113" i="17" s="1"/>
  <c r="J113" i="17" s="1"/>
  <c r="J104" i="17"/>
  <c r="P103" i="17"/>
  <c r="O103" i="17"/>
  <c r="N103" i="17"/>
  <c r="M103" i="17"/>
  <c r="L103" i="17"/>
  <c r="K103" i="17"/>
  <c r="J103" i="17"/>
  <c r="P102" i="17"/>
  <c r="O102" i="17"/>
  <c r="N102" i="17"/>
  <c r="M102" i="17"/>
  <c r="L102" i="17"/>
  <c r="K102" i="17"/>
  <c r="J102" i="17"/>
  <c r="N101" i="17"/>
  <c r="M101" i="17"/>
  <c r="L101" i="17"/>
  <c r="J101" i="17"/>
  <c r="N100" i="17"/>
  <c r="L100" i="17"/>
  <c r="J100" i="17"/>
  <c r="L99" i="17"/>
  <c r="K99" i="17"/>
  <c r="J99" i="17"/>
  <c r="P98" i="17"/>
  <c r="O98" i="17"/>
  <c r="N98" i="17"/>
  <c r="M98" i="17"/>
  <c r="L98" i="17"/>
  <c r="K98" i="17"/>
  <c r="J98" i="17"/>
  <c r="P97" i="17"/>
  <c r="O97" i="17"/>
  <c r="N97" i="17"/>
  <c r="M97" i="17"/>
  <c r="L97" i="17"/>
  <c r="K97" i="17"/>
  <c r="J97" i="17"/>
  <c r="P95" i="17"/>
  <c r="P101" i="17" s="1"/>
  <c r="O95" i="17"/>
  <c r="O101" i="17" s="1"/>
  <c r="N95" i="17"/>
  <c r="M95" i="17"/>
  <c r="L95" i="17"/>
  <c r="K95" i="17"/>
  <c r="K101" i="17" s="1"/>
  <c r="J95" i="17"/>
  <c r="P94" i="17"/>
  <c r="P100" i="17" s="1"/>
  <c r="O94" i="17"/>
  <c r="O100" i="17" s="1"/>
  <c r="N94" i="17"/>
  <c r="M94" i="17"/>
  <c r="M100" i="17" s="1"/>
  <c r="L94" i="17"/>
  <c r="K94" i="17"/>
  <c r="K100" i="17" s="1"/>
  <c r="J94" i="17"/>
  <c r="P93" i="17"/>
  <c r="P99" i="17" s="1"/>
  <c r="O93" i="17"/>
  <c r="O99" i="17" s="1"/>
  <c r="N93" i="17"/>
  <c r="N99" i="17" s="1"/>
  <c r="M93" i="17"/>
  <c r="M99" i="17" s="1"/>
  <c r="L93" i="17"/>
  <c r="K93" i="17"/>
  <c r="J93" i="17"/>
  <c r="P92" i="17"/>
  <c r="O92" i="17"/>
  <c r="N92" i="17"/>
  <c r="M92" i="17"/>
  <c r="L92" i="17"/>
  <c r="K92" i="17"/>
  <c r="J92" i="17"/>
  <c r="Q127" i="16"/>
  <c r="O127" i="16"/>
  <c r="N127" i="16"/>
  <c r="M127" i="16"/>
  <c r="L127" i="16"/>
  <c r="K127" i="16"/>
  <c r="J127" i="16"/>
  <c r="Q126" i="16"/>
  <c r="O126" i="16"/>
  <c r="N126" i="16"/>
  <c r="M126" i="16"/>
  <c r="L126" i="16"/>
  <c r="K126" i="16"/>
  <c r="J126" i="16"/>
  <c r="Q125" i="16"/>
  <c r="O125" i="16"/>
  <c r="N125" i="16"/>
  <c r="M125" i="16"/>
  <c r="L125" i="16"/>
  <c r="K125" i="16"/>
  <c r="J125" i="16"/>
  <c r="K123" i="16"/>
  <c r="Q121" i="16"/>
  <c r="O121" i="16"/>
  <c r="N121" i="16"/>
  <c r="M121" i="16"/>
  <c r="L121" i="16"/>
  <c r="K121" i="16"/>
  <c r="J121" i="16"/>
  <c r="Q120" i="16"/>
  <c r="O120" i="16"/>
  <c r="N120" i="16"/>
  <c r="M120" i="16"/>
  <c r="L120" i="16"/>
  <c r="K120" i="16"/>
  <c r="J120" i="16"/>
  <c r="Q118" i="16"/>
  <c r="Q124" i="16" s="1"/>
  <c r="O118" i="16"/>
  <c r="O124" i="16" s="1"/>
  <c r="N118" i="16"/>
  <c r="N124" i="16" s="1"/>
  <c r="M118" i="16"/>
  <c r="M124" i="16" s="1"/>
  <c r="L118" i="16"/>
  <c r="L124" i="16" s="1"/>
  <c r="K118" i="16"/>
  <c r="K124" i="16" s="1"/>
  <c r="J118" i="16"/>
  <c r="J124" i="16" s="1"/>
  <c r="Q117" i="16"/>
  <c r="Q123" i="16" s="1"/>
  <c r="O117" i="16"/>
  <c r="O123" i="16" s="1"/>
  <c r="N117" i="16"/>
  <c r="N123" i="16" s="1"/>
  <c r="M117" i="16"/>
  <c r="M123" i="16" s="1"/>
  <c r="L117" i="16"/>
  <c r="L123" i="16" s="1"/>
  <c r="K117" i="16"/>
  <c r="J117" i="16"/>
  <c r="J123" i="16" s="1"/>
  <c r="Q116" i="16"/>
  <c r="Q122" i="16" s="1"/>
  <c r="O116" i="16"/>
  <c r="O122" i="16" s="1"/>
  <c r="N116" i="16"/>
  <c r="N122" i="16" s="1"/>
  <c r="M116" i="16"/>
  <c r="M122" i="16" s="1"/>
  <c r="L116" i="16"/>
  <c r="L122" i="16" s="1"/>
  <c r="K116" i="16"/>
  <c r="K122" i="16" s="1"/>
  <c r="J116" i="16"/>
  <c r="J122" i="16" s="1"/>
  <c r="Q115" i="16"/>
  <c r="O115" i="16"/>
  <c r="N115" i="16"/>
  <c r="M115" i="16"/>
  <c r="L115" i="16"/>
  <c r="K115" i="16"/>
  <c r="J115" i="16"/>
  <c r="Q104" i="16"/>
  <c r="Q113" i="16" s="1"/>
  <c r="O104" i="16"/>
  <c r="O113" i="16" s="1"/>
  <c r="N104" i="16"/>
  <c r="N113" i="16" s="1"/>
  <c r="M104" i="16"/>
  <c r="M113" i="16" s="1"/>
  <c r="L104" i="16"/>
  <c r="L113" i="16" s="1"/>
  <c r="K104" i="16"/>
  <c r="J104" i="16"/>
  <c r="Q103" i="16"/>
  <c r="O103" i="16"/>
  <c r="N103" i="16"/>
  <c r="M103" i="16"/>
  <c r="L103" i="16"/>
  <c r="K103" i="16"/>
  <c r="J103" i="16"/>
  <c r="Q102" i="16"/>
  <c r="O102" i="16"/>
  <c r="N102" i="16"/>
  <c r="M102" i="16"/>
  <c r="L102" i="16"/>
  <c r="K102" i="16"/>
  <c r="J102" i="16"/>
  <c r="J101" i="16"/>
  <c r="L100" i="16"/>
  <c r="K99" i="16"/>
  <c r="Q98" i="16"/>
  <c r="O98" i="16"/>
  <c r="N98" i="16"/>
  <c r="M98" i="16"/>
  <c r="L98" i="16"/>
  <c r="K98" i="16"/>
  <c r="J98" i="16"/>
  <c r="Q97" i="16"/>
  <c r="O97" i="16"/>
  <c r="N97" i="16"/>
  <c r="M97" i="16"/>
  <c r="L97" i="16"/>
  <c r="K97" i="16"/>
  <c r="J97" i="16"/>
  <c r="Q95" i="16"/>
  <c r="Q101" i="16" s="1"/>
  <c r="O95" i="16"/>
  <c r="O101" i="16" s="1"/>
  <c r="N95" i="16"/>
  <c r="N101" i="16" s="1"/>
  <c r="M95" i="16"/>
  <c r="M101" i="16" s="1"/>
  <c r="L95" i="16"/>
  <c r="L101" i="16" s="1"/>
  <c r="K95" i="16"/>
  <c r="K101" i="16" s="1"/>
  <c r="J95" i="16"/>
  <c r="Q94" i="16"/>
  <c r="Q100" i="16" s="1"/>
  <c r="O94" i="16"/>
  <c r="O100" i="16" s="1"/>
  <c r="N94" i="16"/>
  <c r="N100" i="16" s="1"/>
  <c r="M94" i="16"/>
  <c r="M100" i="16" s="1"/>
  <c r="L94" i="16"/>
  <c r="K94" i="16"/>
  <c r="K100" i="16" s="1"/>
  <c r="J94" i="16"/>
  <c r="J100" i="16" s="1"/>
  <c r="Q93" i="16"/>
  <c r="Q99" i="16" s="1"/>
  <c r="O93" i="16"/>
  <c r="O99" i="16" s="1"/>
  <c r="N93" i="16"/>
  <c r="N99" i="16" s="1"/>
  <c r="M93" i="16"/>
  <c r="M99" i="16" s="1"/>
  <c r="L93" i="16"/>
  <c r="L99" i="16" s="1"/>
  <c r="K93" i="16"/>
  <c r="J93" i="16"/>
  <c r="J99" i="16" s="1"/>
  <c r="Q92" i="16"/>
  <c r="O92" i="16"/>
  <c r="N92" i="16"/>
  <c r="M92" i="16"/>
  <c r="L92" i="16"/>
  <c r="K92" i="16"/>
  <c r="J92" i="16"/>
  <c r="Q127" i="15"/>
  <c r="O127" i="15"/>
  <c r="N127" i="15"/>
  <c r="M127" i="15"/>
  <c r="L127" i="15"/>
  <c r="K127" i="15"/>
  <c r="J127" i="15"/>
  <c r="Q126" i="15"/>
  <c r="O126" i="15"/>
  <c r="N126" i="15"/>
  <c r="M126" i="15"/>
  <c r="L126" i="15"/>
  <c r="K126" i="15"/>
  <c r="J126" i="15"/>
  <c r="Q125" i="15"/>
  <c r="O125" i="15"/>
  <c r="N125" i="15"/>
  <c r="M125" i="15"/>
  <c r="L125" i="15"/>
  <c r="K125" i="15"/>
  <c r="J125" i="15"/>
  <c r="J123" i="15"/>
  <c r="Q121" i="15"/>
  <c r="O121" i="15"/>
  <c r="N121" i="15"/>
  <c r="M121" i="15"/>
  <c r="L121" i="15"/>
  <c r="K121" i="15"/>
  <c r="J121" i="15"/>
  <c r="Q120" i="15"/>
  <c r="O120" i="15"/>
  <c r="N120" i="15"/>
  <c r="M120" i="15"/>
  <c r="L120" i="15"/>
  <c r="K120" i="15"/>
  <c r="J120" i="15"/>
  <c r="Q118" i="15"/>
  <c r="Q124" i="15" s="1"/>
  <c r="O118" i="15"/>
  <c r="O124" i="15" s="1"/>
  <c r="N118" i="15"/>
  <c r="N124" i="15" s="1"/>
  <c r="M118" i="15"/>
  <c r="M124" i="15" s="1"/>
  <c r="L118" i="15"/>
  <c r="L124" i="15" s="1"/>
  <c r="K118" i="15"/>
  <c r="K124" i="15" s="1"/>
  <c r="J118" i="15"/>
  <c r="J124" i="15" s="1"/>
  <c r="Q117" i="15"/>
  <c r="Q123" i="15" s="1"/>
  <c r="O117" i="15"/>
  <c r="O123" i="15" s="1"/>
  <c r="N117" i="15"/>
  <c r="N123" i="15" s="1"/>
  <c r="M117" i="15"/>
  <c r="M123" i="15" s="1"/>
  <c r="L117" i="15"/>
  <c r="L123" i="15" s="1"/>
  <c r="K117" i="15"/>
  <c r="K123" i="15" s="1"/>
  <c r="J117" i="15"/>
  <c r="Q116" i="15"/>
  <c r="Q122" i="15" s="1"/>
  <c r="O116" i="15"/>
  <c r="O122" i="15" s="1"/>
  <c r="N116" i="15"/>
  <c r="N122" i="15" s="1"/>
  <c r="M116" i="15"/>
  <c r="M122" i="15" s="1"/>
  <c r="L116" i="15"/>
  <c r="L122" i="15" s="1"/>
  <c r="K116" i="15"/>
  <c r="K122" i="15" s="1"/>
  <c r="J116" i="15"/>
  <c r="J122" i="15" s="1"/>
  <c r="Q115" i="15"/>
  <c r="O115" i="15"/>
  <c r="N115" i="15"/>
  <c r="M115" i="15"/>
  <c r="L115" i="15"/>
  <c r="K115" i="15"/>
  <c r="J115" i="15"/>
  <c r="Q104" i="15"/>
  <c r="Q113" i="15" s="1"/>
  <c r="O104" i="15"/>
  <c r="O113" i="15" s="1"/>
  <c r="N104" i="15"/>
  <c r="N113" i="15" s="1"/>
  <c r="M104" i="15"/>
  <c r="L104" i="15"/>
  <c r="L112" i="15" s="1"/>
  <c r="K104" i="15"/>
  <c r="J104" i="15"/>
  <c r="Q103" i="15"/>
  <c r="O103" i="15"/>
  <c r="N103" i="15"/>
  <c r="M103" i="15"/>
  <c r="L103" i="15"/>
  <c r="K103" i="15"/>
  <c r="J103" i="15"/>
  <c r="Q102" i="15"/>
  <c r="O102" i="15"/>
  <c r="N102" i="15"/>
  <c r="M102" i="15"/>
  <c r="L102" i="15"/>
  <c r="K102" i="15"/>
  <c r="J102" i="15"/>
  <c r="Q101" i="15"/>
  <c r="L101" i="15"/>
  <c r="N100" i="15"/>
  <c r="L100" i="15"/>
  <c r="Q98" i="15"/>
  <c r="O98" i="15"/>
  <c r="N98" i="15"/>
  <c r="M98" i="15"/>
  <c r="L98" i="15"/>
  <c r="K98" i="15"/>
  <c r="J98" i="15"/>
  <c r="Q97" i="15"/>
  <c r="O97" i="15"/>
  <c r="N97" i="15"/>
  <c r="M97" i="15"/>
  <c r="L97" i="15"/>
  <c r="K97" i="15"/>
  <c r="J97" i="15"/>
  <c r="Q95" i="15"/>
  <c r="O95" i="15"/>
  <c r="O101" i="15" s="1"/>
  <c r="N95" i="15"/>
  <c r="N101" i="15" s="1"/>
  <c r="M95" i="15"/>
  <c r="M101" i="15" s="1"/>
  <c r="L95" i="15"/>
  <c r="K95" i="15"/>
  <c r="K101" i="15" s="1"/>
  <c r="J95" i="15"/>
  <c r="J101" i="15" s="1"/>
  <c r="Q94" i="15"/>
  <c r="Q100" i="15" s="1"/>
  <c r="O94" i="15"/>
  <c r="O100" i="15" s="1"/>
  <c r="N94" i="15"/>
  <c r="M94" i="15"/>
  <c r="M100" i="15" s="1"/>
  <c r="L94" i="15"/>
  <c r="K94" i="15"/>
  <c r="K100" i="15" s="1"/>
  <c r="J94" i="15"/>
  <c r="J100" i="15" s="1"/>
  <c r="Q93" i="15"/>
  <c r="Q99" i="15" s="1"/>
  <c r="O93" i="15"/>
  <c r="O99" i="15" s="1"/>
  <c r="N93" i="15"/>
  <c r="N99" i="15" s="1"/>
  <c r="M93" i="15"/>
  <c r="M99" i="15" s="1"/>
  <c r="L93" i="15"/>
  <c r="L99" i="15" s="1"/>
  <c r="K93" i="15"/>
  <c r="K99" i="15" s="1"/>
  <c r="J93" i="15"/>
  <c r="J99" i="15" s="1"/>
  <c r="Q92" i="15"/>
  <c r="O92" i="15"/>
  <c r="N92" i="15"/>
  <c r="M92" i="15"/>
  <c r="L92" i="15"/>
  <c r="K92" i="15"/>
  <c r="J92" i="15"/>
  <c r="Q127" i="8"/>
  <c r="O127" i="8"/>
  <c r="N127" i="8"/>
  <c r="M127" i="8"/>
  <c r="L127" i="8"/>
  <c r="K127" i="8"/>
  <c r="J127" i="8"/>
  <c r="Q126" i="8"/>
  <c r="O126" i="8"/>
  <c r="N126" i="8"/>
  <c r="M126" i="8"/>
  <c r="L126" i="8"/>
  <c r="K126" i="8"/>
  <c r="J126" i="8"/>
  <c r="Q125" i="8"/>
  <c r="O125" i="8"/>
  <c r="N125" i="8"/>
  <c r="M125" i="8"/>
  <c r="L125" i="8"/>
  <c r="K125" i="8"/>
  <c r="J125" i="8"/>
  <c r="Q121" i="8"/>
  <c r="O121" i="8"/>
  <c r="N121" i="8"/>
  <c r="M121" i="8"/>
  <c r="L121" i="8"/>
  <c r="K121" i="8"/>
  <c r="J121" i="8"/>
  <c r="Q120" i="8"/>
  <c r="O120" i="8"/>
  <c r="N120" i="8"/>
  <c r="M120" i="8"/>
  <c r="L120" i="8"/>
  <c r="K120" i="8"/>
  <c r="J120" i="8"/>
  <c r="Q118" i="8"/>
  <c r="Q124" i="8" s="1"/>
  <c r="O118" i="8"/>
  <c r="O124" i="8" s="1"/>
  <c r="N118" i="8"/>
  <c r="N124" i="8" s="1"/>
  <c r="M118" i="8"/>
  <c r="M124" i="8" s="1"/>
  <c r="L118" i="8"/>
  <c r="L124" i="8" s="1"/>
  <c r="K118" i="8"/>
  <c r="K124" i="8" s="1"/>
  <c r="J118" i="8"/>
  <c r="J124" i="8" s="1"/>
  <c r="Q117" i="8"/>
  <c r="Q123" i="8" s="1"/>
  <c r="O117" i="8"/>
  <c r="O123" i="8" s="1"/>
  <c r="N117" i="8"/>
  <c r="N123" i="8" s="1"/>
  <c r="M117" i="8"/>
  <c r="M123" i="8" s="1"/>
  <c r="L117" i="8"/>
  <c r="L123" i="8" s="1"/>
  <c r="K117" i="8"/>
  <c r="K123" i="8" s="1"/>
  <c r="J117" i="8"/>
  <c r="J123" i="8" s="1"/>
  <c r="Q116" i="8"/>
  <c r="Q122" i="8" s="1"/>
  <c r="O116" i="8"/>
  <c r="O122" i="8" s="1"/>
  <c r="N116" i="8"/>
  <c r="N122" i="8" s="1"/>
  <c r="M116" i="8"/>
  <c r="M122" i="8" s="1"/>
  <c r="L116" i="8"/>
  <c r="L122" i="8" s="1"/>
  <c r="K116" i="8"/>
  <c r="K122" i="8" s="1"/>
  <c r="J116" i="8"/>
  <c r="J122" i="8" s="1"/>
  <c r="Q115" i="8"/>
  <c r="O115" i="8"/>
  <c r="N115" i="8"/>
  <c r="M115" i="8"/>
  <c r="L115" i="8"/>
  <c r="K115" i="8"/>
  <c r="J115" i="8"/>
  <c r="Q104" i="8"/>
  <c r="Q113" i="8" s="1"/>
  <c r="O104" i="8"/>
  <c r="N104" i="8"/>
  <c r="N112" i="8" s="1"/>
  <c r="M104" i="8"/>
  <c r="L104" i="8"/>
  <c r="K104" i="8"/>
  <c r="K113" i="8" s="1"/>
  <c r="J113" i="8" s="1"/>
  <c r="J104" i="8"/>
  <c r="J112" i="8" s="1"/>
  <c r="Q103" i="8"/>
  <c r="O103" i="8"/>
  <c r="N103" i="8"/>
  <c r="M103" i="8"/>
  <c r="L103" i="8"/>
  <c r="K103" i="8"/>
  <c r="J103" i="8"/>
  <c r="Q102" i="8"/>
  <c r="O102" i="8"/>
  <c r="N102" i="8"/>
  <c r="M102" i="8"/>
  <c r="L102" i="8"/>
  <c r="K102" i="8"/>
  <c r="J102" i="8"/>
  <c r="M101" i="8"/>
  <c r="Q98" i="8"/>
  <c r="O98" i="8"/>
  <c r="N98" i="8"/>
  <c r="M98" i="8"/>
  <c r="L98" i="8"/>
  <c r="K98" i="8"/>
  <c r="J98" i="8"/>
  <c r="Q97" i="8"/>
  <c r="O97" i="8"/>
  <c r="N97" i="8"/>
  <c r="M97" i="8"/>
  <c r="L97" i="8"/>
  <c r="K97" i="8"/>
  <c r="J97" i="8"/>
  <c r="Q95" i="8"/>
  <c r="Q101" i="8" s="1"/>
  <c r="O95" i="8"/>
  <c r="O101" i="8" s="1"/>
  <c r="N95" i="8"/>
  <c r="N101" i="8" s="1"/>
  <c r="M95" i="8"/>
  <c r="L95" i="8"/>
  <c r="L101" i="8" s="1"/>
  <c r="K95" i="8"/>
  <c r="K101" i="8" s="1"/>
  <c r="J95" i="8"/>
  <c r="J101" i="8" s="1"/>
  <c r="Q94" i="8"/>
  <c r="Q100" i="8" s="1"/>
  <c r="O94" i="8"/>
  <c r="O100" i="8" s="1"/>
  <c r="N94" i="8"/>
  <c r="N100" i="8" s="1"/>
  <c r="M94" i="8"/>
  <c r="M100" i="8" s="1"/>
  <c r="L94" i="8"/>
  <c r="L100" i="8" s="1"/>
  <c r="K94" i="8"/>
  <c r="K100" i="8" s="1"/>
  <c r="J94" i="8"/>
  <c r="J100" i="8" s="1"/>
  <c r="Q93" i="8"/>
  <c r="Q99" i="8" s="1"/>
  <c r="O93" i="8"/>
  <c r="O99" i="8" s="1"/>
  <c r="N93" i="8"/>
  <c r="N99" i="8" s="1"/>
  <c r="M93" i="8"/>
  <c r="M99" i="8" s="1"/>
  <c r="L93" i="8"/>
  <c r="L99" i="8" s="1"/>
  <c r="K93" i="8"/>
  <c r="K99" i="8" s="1"/>
  <c r="J93" i="8"/>
  <c r="J99" i="8" s="1"/>
  <c r="Q92" i="8"/>
  <c r="O92" i="8"/>
  <c r="N92" i="8"/>
  <c r="M92" i="8"/>
  <c r="L92" i="8"/>
  <c r="K92" i="8"/>
  <c r="J92" i="8"/>
  <c r="Q127" i="9"/>
  <c r="O127" i="9"/>
  <c r="N127" i="9"/>
  <c r="M127" i="9"/>
  <c r="L127" i="9"/>
  <c r="K127" i="9"/>
  <c r="J127" i="9"/>
  <c r="Q126" i="9"/>
  <c r="O126" i="9"/>
  <c r="N126" i="9"/>
  <c r="M126" i="9"/>
  <c r="L126" i="9"/>
  <c r="K126" i="9"/>
  <c r="J126" i="9"/>
  <c r="Q125" i="9"/>
  <c r="O125" i="9"/>
  <c r="N125" i="9"/>
  <c r="M125" i="9"/>
  <c r="L125" i="9"/>
  <c r="K125" i="9"/>
  <c r="J125" i="9"/>
  <c r="Q121" i="9"/>
  <c r="O121" i="9"/>
  <c r="N121" i="9"/>
  <c r="M121" i="9"/>
  <c r="L121" i="9"/>
  <c r="K121" i="9"/>
  <c r="J121" i="9"/>
  <c r="Q120" i="9"/>
  <c r="O120" i="9"/>
  <c r="N120" i="9"/>
  <c r="M120" i="9"/>
  <c r="L120" i="9"/>
  <c r="K120" i="9"/>
  <c r="J120" i="9"/>
  <c r="Q118" i="9"/>
  <c r="Q124" i="9" s="1"/>
  <c r="O118" i="9"/>
  <c r="O124" i="9" s="1"/>
  <c r="N118" i="9"/>
  <c r="N124" i="9" s="1"/>
  <c r="M118" i="9"/>
  <c r="M124" i="9" s="1"/>
  <c r="L118" i="9"/>
  <c r="L124" i="9" s="1"/>
  <c r="K118" i="9"/>
  <c r="K124" i="9" s="1"/>
  <c r="J118" i="9"/>
  <c r="J124" i="9" s="1"/>
  <c r="Q117" i="9"/>
  <c r="Q123" i="9" s="1"/>
  <c r="O117" i="9"/>
  <c r="O123" i="9" s="1"/>
  <c r="N117" i="9"/>
  <c r="N123" i="9" s="1"/>
  <c r="M117" i="9"/>
  <c r="M123" i="9" s="1"/>
  <c r="L117" i="9"/>
  <c r="L123" i="9" s="1"/>
  <c r="K117" i="9"/>
  <c r="K123" i="9" s="1"/>
  <c r="J117" i="9"/>
  <c r="J123" i="9" s="1"/>
  <c r="Q116" i="9"/>
  <c r="Q122" i="9" s="1"/>
  <c r="O116" i="9"/>
  <c r="O122" i="9" s="1"/>
  <c r="N116" i="9"/>
  <c r="N122" i="9" s="1"/>
  <c r="M116" i="9"/>
  <c r="M122" i="9" s="1"/>
  <c r="L116" i="9"/>
  <c r="L122" i="9" s="1"/>
  <c r="K116" i="9"/>
  <c r="K122" i="9" s="1"/>
  <c r="Q115" i="9"/>
  <c r="O115" i="9"/>
  <c r="N115" i="9"/>
  <c r="M115" i="9"/>
  <c r="L115" i="9"/>
  <c r="K115" i="9"/>
  <c r="J115" i="9"/>
  <c r="Q104" i="9"/>
  <c r="O104" i="9"/>
  <c r="O112" i="9" s="1"/>
  <c r="N104" i="9"/>
  <c r="N113" i="9" s="1"/>
  <c r="M104" i="9"/>
  <c r="M113" i="9" s="1"/>
  <c r="L104" i="9"/>
  <c r="L113" i="9" s="1"/>
  <c r="K113" i="9" s="1"/>
  <c r="K104" i="9"/>
  <c r="K112" i="9" s="1"/>
  <c r="J104" i="9"/>
  <c r="J112" i="9" s="1"/>
  <c r="Q103" i="9"/>
  <c r="O103" i="9"/>
  <c r="N103" i="9"/>
  <c r="M103" i="9"/>
  <c r="L103" i="9"/>
  <c r="K103" i="9"/>
  <c r="J103" i="9"/>
  <c r="Q102" i="9"/>
  <c r="O102" i="9"/>
  <c r="N102" i="9"/>
  <c r="M102" i="9"/>
  <c r="L102" i="9"/>
  <c r="K102" i="9"/>
  <c r="J102" i="9"/>
  <c r="O99" i="9"/>
  <c r="Q98" i="9"/>
  <c r="O98" i="9"/>
  <c r="N98" i="9"/>
  <c r="M98" i="9"/>
  <c r="L98" i="9"/>
  <c r="K98" i="9"/>
  <c r="J98" i="9"/>
  <c r="Q97" i="9"/>
  <c r="O97" i="9"/>
  <c r="N97" i="9"/>
  <c r="M97" i="9"/>
  <c r="L97" i="9"/>
  <c r="K97" i="9"/>
  <c r="J97" i="9"/>
  <c r="Q95" i="9"/>
  <c r="Q101" i="9" s="1"/>
  <c r="O95" i="9"/>
  <c r="O101" i="9" s="1"/>
  <c r="N95" i="9"/>
  <c r="N101" i="9" s="1"/>
  <c r="M95" i="9"/>
  <c r="M101" i="9" s="1"/>
  <c r="L95" i="9"/>
  <c r="L101" i="9" s="1"/>
  <c r="K95" i="9"/>
  <c r="K101" i="9" s="1"/>
  <c r="J95" i="9"/>
  <c r="J101" i="9" s="1"/>
  <c r="Q94" i="9"/>
  <c r="Q100" i="9" s="1"/>
  <c r="O94" i="9"/>
  <c r="O100" i="9" s="1"/>
  <c r="N94" i="9"/>
  <c r="N100" i="9" s="1"/>
  <c r="M94" i="9"/>
  <c r="M100" i="9" s="1"/>
  <c r="L94" i="9"/>
  <c r="L100" i="9" s="1"/>
  <c r="K94" i="9"/>
  <c r="J94" i="9"/>
  <c r="J100" i="9" s="1"/>
  <c r="Q93" i="9"/>
  <c r="Q99" i="9" s="1"/>
  <c r="O93" i="9"/>
  <c r="N93" i="9"/>
  <c r="N99" i="9" s="1"/>
  <c r="M93" i="9"/>
  <c r="M99" i="9" s="1"/>
  <c r="L93" i="9"/>
  <c r="L99" i="9" s="1"/>
  <c r="K93" i="9"/>
  <c r="K99" i="9" s="1"/>
  <c r="J93" i="9"/>
  <c r="J99" i="9" s="1"/>
  <c r="Q92" i="9"/>
  <c r="O92" i="9"/>
  <c r="N92" i="9"/>
  <c r="M92" i="9"/>
  <c r="L92" i="9"/>
  <c r="K92" i="9"/>
  <c r="J92" i="9"/>
  <c r="J98" i="11"/>
  <c r="J94" i="11"/>
  <c r="J99" i="11"/>
  <c r="N63" i="10"/>
  <c r="N64" i="10"/>
  <c r="N65" i="10"/>
  <c r="N67" i="10"/>
  <c r="N69" i="10"/>
  <c r="N70" i="10"/>
  <c r="N73" i="10"/>
  <c r="N74" i="10"/>
  <c r="N62" i="10"/>
  <c r="W8" i="17"/>
  <c r="K107" i="8" l="1"/>
  <c r="J131" i="16"/>
  <c r="U2" i="27"/>
  <c r="U6" i="27"/>
  <c r="U4" i="27" s="1"/>
  <c r="R11" i="27"/>
  <c r="S9" i="27"/>
  <c r="S2" i="27"/>
  <c r="S6" i="27"/>
  <c r="S4" i="27" s="1"/>
  <c r="R9" i="27"/>
  <c r="R2" i="27"/>
  <c r="R6" i="27"/>
  <c r="R4" i="27" s="1"/>
  <c r="N9" i="27"/>
  <c r="N2" i="27"/>
  <c r="N11" i="27"/>
  <c r="P2" i="27"/>
  <c r="O6" i="27"/>
  <c r="O4" i="27" s="1"/>
  <c r="Q9" i="27"/>
  <c r="Q2" i="27"/>
  <c r="P11" i="27"/>
  <c r="Q6" i="27"/>
  <c r="Q4" i="27" s="1"/>
  <c r="P9" i="27"/>
  <c r="P6" i="27"/>
  <c r="P4" i="27" s="1"/>
  <c r="L11" i="27"/>
  <c r="M2" i="27"/>
  <c r="N6" i="27"/>
  <c r="N4" i="27" s="1"/>
  <c r="Q129" i="16"/>
  <c r="M9" i="27"/>
  <c r="L2" i="27"/>
  <c r="Q129" i="15"/>
  <c r="L4" i="27"/>
  <c r="K106" i="15"/>
  <c r="N131" i="15"/>
  <c r="J130" i="15"/>
  <c r="K130" i="15"/>
  <c r="L130" i="15"/>
  <c r="M128" i="15"/>
  <c r="M138" i="15" s="1"/>
  <c r="M6" i="27"/>
  <c r="M4" i="27" s="1"/>
  <c r="K54" i="27"/>
  <c r="K2" i="27"/>
  <c r="K6" i="27"/>
  <c r="K4" i="27" s="1"/>
  <c r="J6" i="28"/>
  <c r="J4" i="28" s="1"/>
  <c r="J2" i="28"/>
  <c r="J2" i="27"/>
  <c r="J6" i="27"/>
  <c r="J4" i="27" s="1"/>
  <c r="K128" i="9"/>
  <c r="K138" i="9" s="1"/>
  <c r="Q130" i="9"/>
  <c r="J9" i="28"/>
  <c r="K100" i="9"/>
  <c r="J107" i="8"/>
  <c r="J130" i="18"/>
  <c r="M130" i="18"/>
  <c r="M131" i="18"/>
  <c r="K113" i="16"/>
  <c r="J113" i="16"/>
  <c r="L107" i="8"/>
  <c r="J112" i="18"/>
  <c r="K112" i="18"/>
  <c r="P112" i="18"/>
  <c r="K109" i="18"/>
  <c r="M107" i="8"/>
  <c r="N107" i="8"/>
  <c r="K130" i="8"/>
  <c r="J112" i="15"/>
  <c r="P132" i="18"/>
  <c r="P139" i="18" s="1"/>
  <c r="M130" i="8"/>
  <c r="L128" i="18"/>
  <c r="L138" i="18" s="1"/>
  <c r="L128" i="17"/>
  <c r="L138" i="17" s="1"/>
  <c r="K128" i="16"/>
  <c r="K138" i="16" s="1"/>
  <c r="L128" i="16"/>
  <c r="L138" i="16" s="1"/>
  <c r="N128" i="16"/>
  <c r="N138" i="16" s="1"/>
  <c r="O128" i="15"/>
  <c r="O138" i="15" s="1"/>
  <c r="Q130" i="8"/>
  <c r="K106" i="18"/>
  <c r="J128" i="18"/>
  <c r="J138" i="18" s="1"/>
  <c r="K129" i="16"/>
  <c r="O128" i="17"/>
  <c r="O107" i="8"/>
  <c r="L130" i="8"/>
  <c r="L128" i="8"/>
  <c r="L138" i="8" s="1"/>
  <c r="M128" i="9"/>
  <c r="M138" i="9" s="1"/>
  <c r="N128" i="9"/>
  <c r="N138" i="9" s="1"/>
  <c r="M105" i="8"/>
  <c r="O105" i="8"/>
  <c r="J128" i="8"/>
  <c r="J138" i="8" s="1"/>
  <c r="K128" i="8"/>
  <c r="K138" i="8" s="1"/>
  <c r="L105" i="8"/>
  <c r="O107" i="18"/>
  <c r="P107" i="18"/>
  <c r="O105" i="18"/>
  <c r="N131" i="17"/>
  <c r="O108" i="18"/>
  <c r="J113" i="9"/>
  <c r="L128" i="15"/>
  <c r="L138" i="15" s="1"/>
  <c r="P106" i="18"/>
  <c r="L132" i="9"/>
  <c r="L139" i="9" s="1"/>
  <c r="J105" i="16"/>
  <c r="K132" i="16"/>
  <c r="K139" i="16" s="1"/>
  <c r="N108" i="17"/>
  <c r="P108" i="18"/>
  <c r="L131" i="15"/>
  <c r="N132" i="15"/>
  <c r="N139" i="15" s="1"/>
  <c r="K132" i="17"/>
  <c r="K139" i="17" s="1"/>
  <c r="P131" i="18"/>
  <c r="P130" i="18"/>
  <c r="O108" i="16"/>
  <c r="P105" i="18"/>
  <c r="J54" i="27"/>
  <c r="K129" i="17"/>
  <c r="K107" i="18"/>
  <c r="L129" i="17"/>
  <c r="O109" i="18"/>
  <c r="Q105" i="9"/>
  <c r="Q107" i="8"/>
  <c r="Q109" i="8"/>
  <c r="K132" i="8"/>
  <c r="K139" i="8" s="1"/>
  <c r="K105" i="18"/>
  <c r="J108" i="15"/>
  <c r="N129" i="15"/>
  <c r="K108" i="18"/>
  <c r="Q106" i="9"/>
  <c r="J109" i="15"/>
  <c r="Q107" i="9"/>
  <c r="N130" i="15"/>
  <c r="N128" i="15"/>
  <c r="N138" i="15" s="1"/>
  <c r="K131" i="17"/>
  <c r="O106" i="18"/>
  <c r="Q130" i="15"/>
  <c r="J132" i="9"/>
  <c r="J139" i="9" s="1"/>
  <c r="Q105" i="8"/>
  <c r="M106" i="18"/>
  <c r="M109" i="15"/>
  <c r="J129" i="15"/>
  <c r="L109" i="18"/>
  <c r="N106" i="8"/>
  <c r="Q108" i="8"/>
  <c r="N109" i="8"/>
  <c r="O128" i="16"/>
  <c r="O138" i="16" s="1"/>
  <c r="J108" i="17"/>
  <c r="Q128" i="16"/>
  <c r="Q138" i="16" s="1"/>
  <c r="P132" i="17"/>
  <c r="P139" i="17" s="1"/>
  <c r="Q108" i="9"/>
  <c r="O106" i="9"/>
  <c r="O105" i="16"/>
  <c r="K106" i="16"/>
  <c r="K108" i="9"/>
  <c r="O105" i="17"/>
  <c r="J132" i="15"/>
  <c r="J139" i="15" s="1"/>
  <c r="L129" i="15"/>
  <c r="N105" i="8"/>
  <c r="M129" i="15"/>
  <c r="Q130" i="16"/>
  <c r="L109" i="15"/>
  <c r="M131" i="15"/>
  <c r="O132" i="15"/>
  <c r="O139" i="15" s="1"/>
  <c r="M109" i="16"/>
  <c r="J131" i="17"/>
  <c r="J106" i="18"/>
  <c r="K112" i="8"/>
  <c r="L108" i="15"/>
  <c r="N109" i="15"/>
  <c r="O112" i="15"/>
  <c r="O131" i="15"/>
  <c r="K107" i="16"/>
  <c r="M105" i="9"/>
  <c r="J106" i="8"/>
  <c r="J109" i="8"/>
  <c r="O109" i="15"/>
  <c r="J109" i="18"/>
  <c r="M112" i="9"/>
  <c r="K109" i="8"/>
  <c r="L113" i="15"/>
  <c r="N132" i="17"/>
  <c r="M106" i="9"/>
  <c r="O132" i="17"/>
  <c r="O139" i="17" s="1"/>
  <c r="J107" i="18"/>
  <c r="M109" i="18"/>
  <c r="K105" i="16"/>
  <c r="M109" i="9"/>
  <c r="Q106" i="8"/>
  <c r="O109" i="8"/>
  <c r="J131" i="8"/>
  <c r="Q106" i="15"/>
  <c r="P128" i="17"/>
  <c r="P138" i="17" s="1"/>
  <c r="M130" i="15"/>
  <c r="K128" i="15"/>
  <c r="K138" i="15" s="1"/>
  <c r="K108" i="16"/>
  <c r="J129" i="17"/>
  <c r="P109" i="18"/>
  <c r="L105" i="15"/>
  <c r="K132" i="15"/>
  <c r="K139" i="15" s="1"/>
  <c r="M107" i="9"/>
  <c r="M108" i="9"/>
  <c r="L106" i="15"/>
  <c r="L132" i="15"/>
  <c r="L139" i="15" s="1"/>
  <c r="Q128" i="15"/>
  <c r="Q138" i="15" s="1"/>
  <c r="O107" i="15"/>
  <c r="L107" i="15"/>
  <c r="M132" i="15"/>
  <c r="M139" i="15" s="1"/>
  <c r="K109" i="16"/>
  <c r="J108" i="18"/>
  <c r="K129" i="9"/>
  <c r="M128" i="8"/>
  <c r="M138" i="8" s="1"/>
  <c r="K129" i="15"/>
  <c r="L130" i="16"/>
  <c r="K108" i="17"/>
  <c r="O129" i="17"/>
  <c r="N131" i="9"/>
  <c r="Q128" i="9"/>
  <c r="Q138" i="9" s="1"/>
  <c r="K132" i="9"/>
  <c r="K139" i="9" s="1"/>
  <c r="M108" i="8"/>
  <c r="J129" i="8"/>
  <c r="J132" i="8"/>
  <c r="J139" i="8" s="1"/>
  <c r="N112" i="15"/>
  <c r="Q132" i="15"/>
  <c r="Q139" i="15" s="1"/>
  <c r="O106" i="16"/>
  <c r="O131" i="16"/>
  <c r="L132" i="17"/>
  <c r="L139" i="17" s="1"/>
  <c r="K131" i="18"/>
  <c r="M128" i="18"/>
  <c r="M138" i="18" s="1"/>
  <c r="J106" i="9"/>
  <c r="L108" i="9"/>
  <c r="N105" i="9"/>
  <c r="M129" i="9"/>
  <c r="M131" i="8"/>
  <c r="J107" i="9"/>
  <c r="N129" i="9"/>
  <c r="Q131" i="9"/>
  <c r="M107" i="15"/>
  <c r="J105" i="15"/>
  <c r="K129" i="18"/>
  <c r="K132" i="18"/>
  <c r="K139" i="18" s="1"/>
  <c r="N108" i="9"/>
  <c r="N132" i="9"/>
  <c r="N139" i="9" s="1"/>
  <c r="M129" i="8"/>
  <c r="M132" i="8"/>
  <c r="M139" i="8" s="1"/>
  <c r="O109" i="16"/>
  <c r="L132" i="18"/>
  <c r="L139" i="18" s="1"/>
  <c r="K106" i="9"/>
  <c r="K109" i="9"/>
  <c r="Q129" i="9"/>
  <c r="N130" i="9"/>
  <c r="O132" i="9"/>
  <c r="O139" i="9" s="1"/>
  <c r="N129" i="8"/>
  <c r="Q131" i="8"/>
  <c r="N105" i="15"/>
  <c r="L108" i="16"/>
  <c r="Q109" i="16"/>
  <c r="N106" i="17"/>
  <c r="K106" i="17"/>
  <c r="M129" i="18"/>
  <c r="M137" i="18" s="1"/>
  <c r="M132" i="18"/>
  <c r="M139" i="18" s="1"/>
  <c r="N106" i="9"/>
  <c r="L109" i="9"/>
  <c r="N112" i="9"/>
  <c r="Q132" i="9"/>
  <c r="Q139" i="9" s="1"/>
  <c r="J130" i="8"/>
  <c r="O132" i="8"/>
  <c r="O139" i="8" s="1"/>
  <c r="K109" i="15"/>
  <c r="O105" i="15"/>
  <c r="J109" i="16"/>
  <c r="Q132" i="16"/>
  <c r="Q139" i="16" s="1"/>
  <c r="K109" i="17"/>
  <c r="L131" i="17"/>
  <c r="N129" i="18"/>
  <c r="K130" i="18"/>
  <c r="N132" i="18"/>
  <c r="N139" i="18" s="1"/>
  <c r="K130" i="9"/>
  <c r="K131" i="9"/>
  <c r="Q132" i="8"/>
  <c r="Q139" i="8" s="1"/>
  <c r="N107" i="16"/>
  <c r="L131" i="16"/>
  <c r="O131" i="17"/>
  <c r="M105" i="18"/>
  <c r="L130" i="18"/>
  <c r="K107" i="9"/>
  <c r="N109" i="9"/>
  <c r="J107" i="15"/>
  <c r="O107" i="16"/>
  <c r="M130" i="9"/>
  <c r="L108" i="8"/>
  <c r="N113" i="8"/>
  <c r="O131" i="8"/>
  <c r="J106" i="15"/>
  <c r="K107" i="15"/>
  <c r="J128" i="15"/>
  <c r="J138" i="15" s="1"/>
  <c r="Q107" i="16"/>
  <c r="L129" i="16"/>
  <c r="K107" i="17"/>
  <c r="N107" i="17"/>
  <c r="N109" i="17"/>
  <c r="M108" i="15"/>
  <c r="N107" i="9"/>
  <c r="K131" i="15"/>
  <c r="O112" i="16"/>
  <c r="K105" i="17"/>
  <c r="K128" i="18"/>
  <c r="K138" i="18" s="1"/>
  <c r="K105" i="9"/>
  <c r="K105" i="8"/>
  <c r="K129" i="8"/>
  <c r="O128" i="8"/>
  <c r="O138" i="8" s="1"/>
  <c r="L106" i="16"/>
  <c r="L109" i="16"/>
  <c r="L112" i="16"/>
  <c r="M132" i="16"/>
  <c r="M139" i="16" s="1"/>
  <c r="O109" i="17"/>
  <c r="M130" i="17"/>
  <c r="J108" i="9"/>
  <c r="L105" i="9"/>
  <c r="J129" i="9"/>
  <c r="L131" i="9"/>
  <c r="J108" i="8"/>
  <c r="O106" i="8"/>
  <c r="L129" i="8"/>
  <c r="N131" i="8"/>
  <c r="Q128" i="8"/>
  <c r="Q138" i="8" s="1"/>
  <c r="L132" i="8"/>
  <c r="L139" i="8" s="1"/>
  <c r="M106" i="15"/>
  <c r="O130" i="15"/>
  <c r="Q106" i="16"/>
  <c r="J107" i="16"/>
  <c r="M112" i="16"/>
  <c r="J130" i="16"/>
  <c r="N132" i="16"/>
  <c r="N139" i="16" s="1"/>
  <c r="M107" i="17"/>
  <c r="L108" i="17"/>
  <c r="P109" i="17"/>
  <c r="N130" i="17"/>
  <c r="Q109" i="9"/>
  <c r="M131" i="9"/>
  <c r="O128" i="9"/>
  <c r="O138" i="9" s="1"/>
  <c r="N106" i="15"/>
  <c r="Q109" i="15"/>
  <c r="L107" i="16"/>
  <c r="K130" i="16"/>
  <c r="M108" i="17"/>
  <c r="J109" i="17"/>
  <c r="L105" i="18"/>
  <c r="L129" i="9"/>
  <c r="O129" i="8"/>
  <c r="O106" i="15"/>
  <c r="J131" i="15"/>
  <c r="J137" i="15" s="1"/>
  <c r="J108" i="16"/>
  <c r="O130" i="16"/>
  <c r="O107" i="17"/>
  <c r="J105" i="17"/>
  <c r="P130" i="17"/>
  <c r="P107" i="17"/>
  <c r="L108" i="18"/>
  <c r="N105" i="18"/>
  <c r="J129" i="18"/>
  <c r="L131" i="18"/>
  <c r="N128" i="18"/>
  <c r="N138" i="18" s="1"/>
  <c r="J132" i="18"/>
  <c r="J139" i="18" s="1"/>
  <c r="L106" i="9"/>
  <c r="J109" i="9"/>
  <c r="O129" i="9"/>
  <c r="M132" i="9"/>
  <c r="L106" i="8"/>
  <c r="N108" i="8"/>
  <c r="L112" i="8"/>
  <c r="Q129" i="8"/>
  <c r="M107" i="16"/>
  <c r="M130" i="16"/>
  <c r="L105" i="17"/>
  <c r="M128" i="17"/>
  <c r="M138" i="17" s="1"/>
  <c r="O128" i="18"/>
  <c r="O138" i="18" s="1"/>
  <c r="O108" i="9"/>
  <c r="J130" i="9"/>
  <c r="M106" i="8"/>
  <c r="O108" i="8"/>
  <c r="K106" i="8"/>
  <c r="O130" i="8"/>
  <c r="Q107" i="15"/>
  <c r="M112" i="15"/>
  <c r="K112" i="15" s="1"/>
  <c r="N108" i="16"/>
  <c r="N130" i="16"/>
  <c r="L106" i="18"/>
  <c r="N108" i="18"/>
  <c r="L107" i="18"/>
  <c r="L129" i="18"/>
  <c r="N131" i="18"/>
  <c r="P128" i="18"/>
  <c r="P138" i="18" s="1"/>
  <c r="J128" i="16"/>
  <c r="J138" i="16" s="1"/>
  <c r="M131" i="17"/>
  <c r="O131" i="18"/>
  <c r="P129" i="18"/>
  <c r="N107" i="15"/>
  <c r="K105" i="15"/>
  <c r="N108" i="15"/>
  <c r="Q112" i="15"/>
  <c r="L105" i="16"/>
  <c r="O132" i="16"/>
  <c r="O139" i="16" s="1"/>
  <c r="N106" i="18"/>
  <c r="O129" i="18"/>
  <c r="O132" i="18"/>
  <c r="O139" i="18" s="1"/>
  <c r="L107" i="9"/>
  <c r="O109" i="9"/>
  <c r="L130" i="9"/>
  <c r="O131" i="9"/>
  <c r="K108" i="8"/>
  <c r="N132" i="8"/>
  <c r="N139" i="8" s="1"/>
  <c r="O108" i="15"/>
  <c r="M105" i="16"/>
  <c r="K131" i="16"/>
  <c r="M128" i="16"/>
  <c r="M106" i="17"/>
  <c r="O108" i="17"/>
  <c r="J106" i="17"/>
  <c r="M109" i="17"/>
  <c r="N129" i="17"/>
  <c r="P131" i="17"/>
  <c r="M129" i="17"/>
  <c r="J132" i="17"/>
  <c r="J139" i="17" s="1"/>
  <c r="M112" i="18"/>
  <c r="O130" i="18"/>
  <c r="M105" i="15"/>
  <c r="Q108" i="15"/>
  <c r="J129" i="16"/>
  <c r="P108" i="17"/>
  <c r="M113" i="15"/>
  <c r="K113" i="15" s="1"/>
  <c r="J113" i="15" s="1"/>
  <c r="M131" i="16"/>
  <c r="O106" i="17"/>
  <c r="L106" i="17"/>
  <c r="L112" i="17"/>
  <c r="P129" i="17"/>
  <c r="J131" i="18"/>
  <c r="O130" i="9"/>
  <c r="J128" i="9"/>
  <c r="K108" i="15"/>
  <c r="M108" i="16"/>
  <c r="N131" i="16"/>
  <c r="J132" i="16"/>
  <c r="J139" i="16" s="1"/>
  <c r="P106" i="17"/>
  <c r="J107" i="17"/>
  <c r="L109" i="17"/>
  <c r="M112" i="17"/>
  <c r="J130" i="17"/>
  <c r="M132" i="17"/>
  <c r="M139" i="17" s="1"/>
  <c r="M108" i="18"/>
  <c r="K131" i="8"/>
  <c r="Q105" i="15"/>
  <c r="Q131" i="15"/>
  <c r="M106" i="16"/>
  <c r="J106" i="16"/>
  <c r="M129" i="16"/>
  <c r="L107" i="17"/>
  <c r="O112" i="17"/>
  <c r="K130" i="17"/>
  <c r="M107" i="18"/>
  <c r="O107" i="9"/>
  <c r="J105" i="9"/>
  <c r="J131" i="9"/>
  <c r="L128" i="9"/>
  <c r="J105" i="8"/>
  <c r="L131" i="8"/>
  <c r="N130" i="8"/>
  <c r="O129" i="15"/>
  <c r="N106" i="16"/>
  <c r="Q108" i="16"/>
  <c r="N129" i="16"/>
  <c r="Q131" i="16"/>
  <c r="O129" i="16"/>
  <c r="L132" i="16"/>
  <c r="L139" i="16" s="1"/>
  <c r="L130" i="17"/>
  <c r="O130" i="17"/>
  <c r="N107" i="18"/>
  <c r="O112" i="18"/>
  <c r="J105" i="18"/>
  <c r="N109" i="18"/>
  <c r="K113" i="18"/>
  <c r="J113" i="18" s="1"/>
  <c r="L113" i="18"/>
  <c r="N113" i="18"/>
  <c r="J138" i="17"/>
  <c r="O138" i="17"/>
  <c r="N112" i="17"/>
  <c r="N128" i="17"/>
  <c r="M105" i="17"/>
  <c r="N105" i="17"/>
  <c r="P105" i="17"/>
  <c r="N112" i="16"/>
  <c r="N109" i="16"/>
  <c r="Q112" i="16"/>
  <c r="N105" i="16"/>
  <c r="Q105" i="16"/>
  <c r="M112" i="8"/>
  <c r="L109" i="8"/>
  <c r="N128" i="8"/>
  <c r="M109" i="8"/>
  <c r="O112" i="8"/>
  <c r="Q112" i="8"/>
  <c r="L113" i="8"/>
  <c r="M113" i="8"/>
  <c r="O113" i="8"/>
  <c r="O113" i="9"/>
  <c r="O105" i="9"/>
  <c r="Q113" i="9"/>
  <c r="L112" i="9"/>
  <c r="Q112" i="9"/>
  <c r="O136" i="16" l="1"/>
  <c r="L137" i="15"/>
  <c r="J137" i="8"/>
  <c r="J11" i="27"/>
  <c r="L133" i="15"/>
  <c r="L137" i="16"/>
  <c r="L136" i="15"/>
  <c r="L140" i="15" s="1"/>
  <c r="Q110" i="8"/>
  <c r="O136" i="18"/>
  <c r="O140" i="18" s="1"/>
  <c r="P137" i="18"/>
  <c r="P136" i="18"/>
  <c r="L141" i="15"/>
  <c r="M133" i="15"/>
  <c r="L110" i="15"/>
  <c r="O137" i="15"/>
  <c r="O141" i="15" s="1"/>
  <c r="K137" i="17"/>
  <c r="K141" i="17" s="1"/>
  <c r="J112" i="16"/>
  <c r="K112" i="16"/>
  <c r="K136" i="18"/>
  <c r="K112" i="17"/>
  <c r="J112" i="17"/>
  <c r="P112" i="17"/>
  <c r="J136" i="18"/>
  <c r="J140" i="18" s="1"/>
  <c r="P110" i="18"/>
  <c r="K110" i="18"/>
  <c r="Q136" i="9"/>
  <c r="Q140" i="9" s="1"/>
  <c r="K133" i="9"/>
  <c r="J136" i="8"/>
  <c r="J140" i="8" s="1"/>
  <c r="M110" i="9"/>
  <c r="Q136" i="8"/>
  <c r="Q140" i="8" s="1"/>
  <c r="J136" i="9"/>
  <c r="M137" i="8"/>
  <c r="M141" i="8" s="1"/>
  <c r="Q110" i="9"/>
  <c r="J136" i="17"/>
  <c r="J140" i="17" s="1"/>
  <c r="O110" i="18"/>
  <c r="N137" i="15"/>
  <c r="N141" i="15" s="1"/>
  <c r="J141" i="15"/>
  <c r="O133" i="8"/>
  <c r="Q133" i="16"/>
  <c r="O136" i="15"/>
  <c r="J110" i="18"/>
  <c r="Q136" i="16"/>
  <c r="Q140" i="16" s="1"/>
  <c r="K110" i="17"/>
  <c r="Q133" i="15"/>
  <c r="J133" i="18"/>
  <c r="N110" i="17"/>
  <c r="K133" i="16"/>
  <c r="N136" i="17"/>
  <c r="N139" i="17"/>
  <c r="K110" i="16"/>
  <c r="N136" i="8"/>
  <c r="L136" i="8"/>
  <c r="L140" i="8" s="1"/>
  <c r="L137" i="17"/>
  <c r="L141" i="17" s="1"/>
  <c r="K133" i="18"/>
  <c r="K137" i="8"/>
  <c r="K141" i="8" s="1"/>
  <c r="N133" i="15"/>
  <c r="K136" i="16"/>
  <c r="K140" i="16" s="1"/>
  <c r="N137" i="18"/>
  <c r="N141" i="18" s="1"/>
  <c r="K133" i="17"/>
  <c r="O137" i="17"/>
  <c r="O141" i="17" s="1"/>
  <c r="K137" i="16"/>
  <c r="K141" i="16" s="1"/>
  <c r="N110" i="15"/>
  <c r="M137" i="15"/>
  <c r="M141" i="15" s="1"/>
  <c r="M143" i="15" s="1"/>
  <c r="J133" i="15"/>
  <c r="M136" i="8"/>
  <c r="M140" i="8" s="1"/>
  <c r="J136" i="15"/>
  <c r="J140" i="15" s="1"/>
  <c r="J110" i="8"/>
  <c r="N137" i="17"/>
  <c r="Q110" i="16"/>
  <c r="J133" i="17"/>
  <c r="O110" i="16"/>
  <c r="O136" i="9"/>
  <c r="O140" i="9" s="1"/>
  <c r="M136" i="17"/>
  <c r="M140" i="17" s="1"/>
  <c r="L136" i="16"/>
  <c r="L140" i="16" s="1"/>
  <c r="L133" i="17"/>
  <c r="M133" i="16"/>
  <c r="L110" i="16"/>
  <c r="O110" i="9"/>
  <c r="K133" i="15"/>
  <c r="M137" i="9"/>
  <c r="K110" i="9"/>
  <c r="J133" i="8"/>
  <c r="L137" i="18"/>
  <c r="L141" i="18" s="1"/>
  <c r="L110" i="18"/>
  <c r="N110" i="9"/>
  <c r="L141" i="16"/>
  <c r="Q133" i="8"/>
  <c r="N137" i="16"/>
  <c r="N141" i="16" s="1"/>
  <c r="M137" i="16"/>
  <c r="M136" i="16"/>
  <c r="N137" i="8"/>
  <c r="M133" i="18"/>
  <c r="M136" i="9"/>
  <c r="Q136" i="15"/>
  <c r="L137" i="8"/>
  <c r="L141" i="8" s="1"/>
  <c r="K137" i="18"/>
  <c r="K141" i="18" s="1"/>
  <c r="M133" i="8"/>
  <c r="M110" i="15"/>
  <c r="O137" i="8"/>
  <c r="O141" i="8" s="1"/>
  <c r="O110" i="8"/>
  <c r="O137" i="18"/>
  <c r="O141" i="18" s="1"/>
  <c r="K110" i="8"/>
  <c r="P141" i="18"/>
  <c r="J110" i="16"/>
  <c r="Q110" i="15"/>
  <c r="O133" i="9"/>
  <c r="M137" i="17"/>
  <c r="M141" i="17" s="1"/>
  <c r="N110" i="16"/>
  <c r="L133" i="16"/>
  <c r="M110" i="18"/>
  <c r="P133" i="17"/>
  <c r="Q137" i="9"/>
  <c r="N133" i="9"/>
  <c r="L133" i="8"/>
  <c r="M136" i="18"/>
  <c r="M140" i="18" s="1"/>
  <c r="O110" i="17"/>
  <c r="K137" i="15"/>
  <c r="K141" i="15" s="1"/>
  <c r="J110" i="15"/>
  <c r="M110" i="8"/>
  <c r="O137" i="16"/>
  <c r="O141" i="16" s="1"/>
  <c r="L110" i="9"/>
  <c r="N136" i="18"/>
  <c r="Q133" i="9"/>
  <c r="N137" i="9"/>
  <c r="N141" i="9" s="1"/>
  <c r="P133" i="18"/>
  <c r="N133" i="18"/>
  <c r="N136" i="16"/>
  <c r="N140" i="16" s="1"/>
  <c r="J136" i="16"/>
  <c r="J140" i="16" s="1"/>
  <c r="K136" i="15"/>
  <c r="K140" i="15" s="1"/>
  <c r="L136" i="18"/>
  <c r="K136" i="9"/>
  <c r="K140" i="9" s="1"/>
  <c r="L110" i="8"/>
  <c r="J137" i="17"/>
  <c r="J141" i="17" s="1"/>
  <c r="O133" i="18"/>
  <c r="P136" i="17"/>
  <c r="K133" i="8"/>
  <c r="J137" i="18"/>
  <c r="J141" i="18" s="1"/>
  <c r="L110" i="17"/>
  <c r="N110" i="18"/>
  <c r="J137" i="16"/>
  <c r="J141" i="16" s="1"/>
  <c r="O110" i="15"/>
  <c r="K110" i="15"/>
  <c r="Q137" i="8"/>
  <c r="Q141" i="8" s="1"/>
  <c r="N136" i="9"/>
  <c r="N140" i="9" s="1"/>
  <c r="M141" i="18"/>
  <c r="M136" i="15"/>
  <c r="K136" i="17"/>
  <c r="K140" i="17" s="1"/>
  <c r="J110" i="9"/>
  <c r="M133" i="9"/>
  <c r="O133" i="17"/>
  <c r="K137" i="9"/>
  <c r="K141" i="9" s="1"/>
  <c r="J137" i="9"/>
  <c r="Q137" i="16"/>
  <c r="Q141" i="16" s="1"/>
  <c r="M110" i="17"/>
  <c r="L133" i="18"/>
  <c r="M110" i="16"/>
  <c r="J133" i="9"/>
  <c r="J138" i="9"/>
  <c r="L137" i="9"/>
  <c r="N110" i="8"/>
  <c r="P110" i="17"/>
  <c r="M138" i="16"/>
  <c r="L133" i="9"/>
  <c r="L138" i="9"/>
  <c r="N133" i="16"/>
  <c r="K136" i="8"/>
  <c r="K140" i="8" s="1"/>
  <c r="M139" i="9"/>
  <c r="J110" i="17"/>
  <c r="Q137" i="15"/>
  <c r="Q141" i="15" s="1"/>
  <c r="K140" i="18"/>
  <c r="P137" i="17"/>
  <c r="P141" i="17" s="1"/>
  <c r="O137" i="9"/>
  <c r="O141" i="9" s="1"/>
  <c r="O140" i="16"/>
  <c r="J141" i="8"/>
  <c r="M133" i="17"/>
  <c r="N136" i="15"/>
  <c r="N140" i="15" s="1"/>
  <c r="O133" i="15"/>
  <c r="J133" i="16"/>
  <c r="L136" i="17"/>
  <c r="L136" i="9"/>
  <c r="O136" i="17"/>
  <c r="O140" i="17" s="1"/>
  <c r="O133" i="16"/>
  <c r="O136" i="8"/>
  <c r="P140" i="18"/>
  <c r="N138" i="17"/>
  <c r="N133" i="17"/>
  <c r="L143" i="15"/>
  <c r="N138" i="8"/>
  <c r="N140" i="8" s="1"/>
  <c r="N133" i="8"/>
  <c r="Q143" i="16" l="1"/>
  <c r="O140" i="15"/>
  <c r="L142" i="15"/>
  <c r="O143" i="15"/>
  <c r="K142" i="17"/>
  <c r="K143" i="17"/>
  <c r="K142" i="18"/>
  <c r="Q143" i="15"/>
  <c r="L143" i="17"/>
  <c r="J142" i="18"/>
  <c r="N142" i="15"/>
  <c r="J143" i="18"/>
  <c r="L142" i="16"/>
  <c r="K143" i="9"/>
  <c r="K143" i="16"/>
  <c r="L143" i="16"/>
  <c r="K143" i="18"/>
  <c r="K143" i="15"/>
  <c r="J143" i="15"/>
  <c r="N143" i="15"/>
  <c r="L142" i="8"/>
  <c r="K142" i="9"/>
  <c r="J142" i="8"/>
  <c r="K143" i="8"/>
  <c r="P143" i="17"/>
  <c r="K142" i="16"/>
  <c r="N142" i="9"/>
  <c r="O143" i="8"/>
  <c r="N142" i="16"/>
  <c r="K142" i="8"/>
  <c r="O142" i="18"/>
  <c r="P140" i="17"/>
  <c r="P142" i="17" s="1"/>
  <c r="J142" i="15"/>
  <c r="P143" i="18"/>
  <c r="M143" i="18"/>
  <c r="L140" i="18"/>
  <c r="L142" i="18" s="1"/>
  <c r="Q141" i="9"/>
  <c r="Q143" i="9" s="1"/>
  <c r="M140" i="16"/>
  <c r="M143" i="8"/>
  <c r="J143" i="8"/>
  <c r="L143" i="18"/>
  <c r="O143" i="9"/>
  <c r="O143" i="18"/>
  <c r="J142" i="16"/>
  <c r="M141" i="16"/>
  <c r="M143" i="16" s="1"/>
  <c r="M140" i="9"/>
  <c r="J140" i="9"/>
  <c r="J142" i="9" s="1"/>
  <c r="N143" i="16"/>
  <c r="J143" i="17"/>
  <c r="Q140" i="15"/>
  <c r="N143" i="9"/>
  <c r="Q143" i="8"/>
  <c r="N142" i="8"/>
  <c r="J143" i="16"/>
  <c r="L143" i="8"/>
  <c r="N143" i="18"/>
  <c r="N140" i="18"/>
  <c r="M140" i="15"/>
  <c r="O143" i="16"/>
  <c r="K142" i="15"/>
  <c r="O143" i="17"/>
  <c r="M142" i="18"/>
  <c r="L141" i="9"/>
  <c r="L143" i="9" s="1"/>
  <c r="O142" i="9"/>
  <c r="Q142" i="16"/>
  <c r="M142" i="17"/>
  <c r="O142" i="16"/>
  <c r="Q142" i="9"/>
  <c r="M141" i="9"/>
  <c r="M143" i="9" s="1"/>
  <c r="N140" i="17"/>
  <c r="M143" i="17"/>
  <c r="M142" i="8"/>
  <c r="Q142" i="8"/>
  <c r="P142" i="18"/>
  <c r="L140" i="9"/>
  <c r="L142" i="9" s="1"/>
  <c r="L140" i="17"/>
  <c r="L142" i="17" s="1"/>
  <c r="J141" i="9"/>
  <c r="J143" i="9" s="1"/>
  <c r="O142" i="17"/>
  <c r="O142" i="15"/>
  <c r="O140" i="8"/>
  <c r="J142" i="17"/>
  <c r="N141" i="17"/>
  <c r="N143" i="17" s="1"/>
  <c r="N141" i="8"/>
  <c r="N143" i="8" s="1"/>
  <c r="O113" i="21"/>
  <c r="N112" i="21"/>
  <c r="M112" i="21"/>
  <c r="L113" i="21"/>
  <c r="K112" i="21"/>
  <c r="J113" i="21"/>
  <c r="O98" i="21"/>
  <c r="N98" i="21"/>
  <c r="M98" i="21"/>
  <c r="L98" i="21"/>
  <c r="K98" i="21"/>
  <c r="J98" i="21"/>
  <c r="O97" i="21"/>
  <c r="N97" i="21"/>
  <c r="M97" i="21"/>
  <c r="L97" i="21"/>
  <c r="K97" i="21"/>
  <c r="J97" i="21"/>
  <c r="O101" i="21"/>
  <c r="N101" i="21"/>
  <c r="M101" i="21"/>
  <c r="L101" i="21"/>
  <c r="K101" i="21"/>
  <c r="J101" i="21"/>
  <c r="O100" i="21"/>
  <c r="N100" i="21"/>
  <c r="M100" i="21"/>
  <c r="L100" i="21"/>
  <c r="K100" i="21"/>
  <c r="J100" i="21"/>
  <c r="O99" i="21"/>
  <c r="N99" i="21"/>
  <c r="M99" i="21"/>
  <c r="L99" i="21"/>
  <c r="K99" i="21"/>
  <c r="J99" i="21"/>
  <c r="O92" i="21"/>
  <c r="N92" i="21"/>
  <c r="M92" i="21"/>
  <c r="L92" i="21"/>
  <c r="K92" i="21"/>
  <c r="J92" i="21"/>
  <c r="Y17" i="21"/>
  <c r="X17" i="21"/>
  <c r="W17" i="21"/>
  <c r="V17" i="21"/>
  <c r="U17" i="21"/>
  <c r="T17" i="21"/>
  <c r="R17" i="21"/>
  <c r="Y16" i="21"/>
  <c r="X16" i="21"/>
  <c r="W16" i="21"/>
  <c r="V16" i="21"/>
  <c r="U16" i="21"/>
  <c r="T16" i="21"/>
  <c r="R16" i="21"/>
  <c r="Y13" i="21"/>
  <c r="X13" i="21"/>
  <c r="W13" i="21"/>
  <c r="V13" i="21"/>
  <c r="U13" i="21"/>
  <c r="T13" i="21"/>
  <c r="S13" i="21"/>
  <c r="R13" i="21"/>
  <c r="Y12" i="21"/>
  <c r="X12" i="21"/>
  <c r="W12" i="21"/>
  <c r="V12" i="21"/>
  <c r="U12" i="21"/>
  <c r="T12" i="21"/>
  <c r="S12" i="21"/>
  <c r="R12" i="21"/>
  <c r="Y11" i="21"/>
  <c r="X11" i="21"/>
  <c r="W11" i="21"/>
  <c r="V11" i="21"/>
  <c r="U11" i="21"/>
  <c r="T11" i="21"/>
  <c r="S11" i="21"/>
  <c r="R11" i="21"/>
  <c r="Y10" i="21"/>
  <c r="X10" i="21"/>
  <c r="W10" i="21"/>
  <c r="V10" i="21"/>
  <c r="U10" i="21"/>
  <c r="T10" i="21"/>
  <c r="S10" i="21"/>
  <c r="R10" i="21"/>
  <c r="Y9" i="21"/>
  <c r="X9" i="21"/>
  <c r="W9" i="21"/>
  <c r="S9" i="21"/>
  <c r="R9" i="21"/>
  <c r="Y8" i="21"/>
  <c r="X8" i="21"/>
  <c r="W8" i="21"/>
  <c r="V8" i="21"/>
  <c r="U8" i="21"/>
  <c r="T8" i="21"/>
  <c r="S8" i="21"/>
  <c r="Y7" i="21"/>
  <c r="X7" i="21"/>
  <c r="W7" i="21"/>
  <c r="V7" i="21"/>
  <c r="U7" i="21"/>
  <c r="T7" i="21"/>
  <c r="S7" i="21"/>
  <c r="R7" i="21"/>
  <c r="Y6" i="21"/>
  <c r="X6" i="21"/>
  <c r="W6" i="21"/>
  <c r="V6" i="21"/>
  <c r="U6" i="21"/>
  <c r="T6" i="21"/>
  <c r="S6" i="21"/>
  <c r="R6" i="21"/>
  <c r="Y5" i="21"/>
  <c r="X5" i="21"/>
  <c r="W5" i="21"/>
  <c r="V5" i="21"/>
  <c r="U5" i="21"/>
  <c r="T5" i="21"/>
  <c r="R5" i="21"/>
  <c r="N142" i="18" l="1"/>
  <c r="N142" i="17"/>
  <c r="M142" i="9"/>
  <c r="M142" i="15"/>
  <c r="M142" i="16"/>
  <c r="Q142" i="15"/>
  <c r="O142" i="8"/>
  <c r="O106" i="21"/>
  <c r="O136" i="21" s="1"/>
  <c r="K113" i="21"/>
  <c r="K107" i="21"/>
  <c r="K109" i="21"/>
  <c r="K105" i="21"/>
  <c r="K108" i="21"/>
  <c r="K106" i="21"/>
  <c r="M107" i="21"/>
  <c r="L112" i="21"/>
  <c r="L107" i="21"/>
  <c r="N107" i="21"/>
  <c r="J109" i="21"/>
  <c r="O107" i="21"/>
  <c r="J105" i="21"/>
  <c r="J108" i="21"/>
  <c r="L105" i="21"/>
  <c r="J106" i="21"/>
  <c r="L108" i="21"/>
  <c r="N105" i="21"/>
  <c r="N109" i="21"/>
  <c r="M109" i="21"/>
  <c r="M108" i="21"/>
  <c r="O105" i="21"/>
  <c r="M105" i="21"/>
  <c r="N108" i="21"/>
  <c r="M106" i="21"/>
  <c r="O108" i="21"/>
  <c r="L106" i="21"/>
  <c r="N106" i="21"/>
  <c r="L109" i="21"/>
  <c r="J107" i="21"/>
  <c r="M113" i="21"/>
  <c r="N113" i="21"/>
  <c r="J112" i="21"/>
  <c r="O112" i="21"/>
  <c r="O109" i="21"/>
  <c r="K136" i="21" l="1"/>
  <c r="K140" i="21" s="1"/>
  <c r="N136" i="21"/>
  <c r="N140" i="21" s="1"/>
  <c r="J136" i="21"/>
  <c r="J140" i="21" s="1"/>
  <c r="O140" i="21"/>
  <c r="M136" i="21"/>
  <c r="M140" i="21" s="1"/>
  <c r="L136" i="21"/>
  <c r="L140" i="21" s="1"/>
  <c r="L110" i="21"/>
  <c r="K110" i="21"/>
  <c r="K142" i="21" s="1"/>
  <c r="J110" i="21"/>
  <c r="M110" i="21"/>
  <c r="N110" i="21"/>
  <c r="O110" i="21"/>
  <c r="X17" i="17"/>
  <c r="W17" i="17"/>
  <c r="V17" i="17"/>
  <c r="U17" i="17"/>
  <c r="T17" i="17"/>
  <c r="X16" i="17"/>
  <c r="W16" i="17"/>
  <c r="V16" i="17"/>
  <c r="U16" i="17"/>
  <c r="T16" i="17"/>
  <c r="X15" i="17"/>
  <c r="W15" i="17"/>
  <c r="V15" i="17"/>
  <c r="U15" i="17"/>
  <c r="T15" i="17"/>
  <c r="X14" i="17"/>
  <c r="W14" i="17"/>
  <c r="V14" i="17"/>
  <c r="U14" i="17"/>
  <c r="T14" i="17"/>
  <c r="X13" i="17"/>
  <c r="W13" i="17"/>
  <c r="V13" i="17"/>
  <c r="U13" i="17"/>
  <c r="T13" i="17"/>
  <c r="X12" i="17"/>
  <c r="W12" i="17"/>
  <c r="V12" i="17"/>
  <c r="U12" i="17"/>
  <c r="T12" i="17"/>
  <c r="X11" i="17"/>
  <c r="W11" i="17"/>
  <c r="V11" i="17"/>
  <c r="U11" i="17"/>
  <c r="T11" i="17"/>
  <c r="X10" i="17"/>
  <c r="W10" i="17"/>
  <c r="V10" i="17"/>
  <c r="U10" i="17"/>
  <c r="T10" i="17"/>
  <c r="X9" i="17"/>
  <c r="W9" i="17"/>
  <c r="V9" i="17"/>
  <c r="U9" i="17"/>
  <c r="X8" i="17"/>
  <c r="V8" i="17"/>
  <c r="U8" i="17"/>
  <c r="T8" i="17"/>
  <c r="X7" i="17"/>
  <c r="W7" i="17"/>
  <c r="V7" i="17"/>
  <c r="U7" i="17"/>
  <c r="T7" i="17"/>
  <c r="X6" i="17"/>
  <c r="W6" i="17"/>
  <c r="V6" i="17"/>
  <c r="U6" i="17"/>
  <c r="T6" i="17"/>
  <c r="X5" i="17"/>
  <c r="W5" i="17"/>
  <c r="V5" i="17"/>
  <c r="U5" i="17"/>
  <c r="T5" i="17"/>
  <c r="N142" i="21" l="1"/>
  <c r="J142" i="21"/>
  <c r="L142" i="21"/>
  <c r="M142" i="21"/>
  <c r="O142" i="21"/>
  <c r="X17" i="19"/>
  <c r="W17" i="19"/>
  <c r="V17" i="19"/>
  <c r="U17" i="19"/>
  <c r="T17" i="19"/>
  <c r="X16" i="19"/>
  <c r="W16" i="19"/>
  <c r="V16" i="19"/>
  <c r="U16" i="19"/>
  <c r="T16" i="19"/>
  <c r="X15" i="19"/>
  <c r="W15" i="19"/>
  <c r="V15" i="19"/>
  <c r="U15" i="19"/>
  <c r="T15" i="19"/>
  <c r="X14" i="19"/>
  <c r="W14" i="19"/>
  <c r="V14" i="19"/>
  <c r="U14" i="19"/>
  <c r="T14" i="19"/>
  <c r="X13" i="19"/>
  <c r="W13" i="19"/>
  <c r="V13" i="19"/>
  <c r="U13" i="19"/>
  <c r="T13" i="19"/>
  <c r="X12" i="19"/>
  <c r="W12" i="19"/>
  <c r="V12" i="19"/>
  <c r="U12" i="19"/>
  <c r="T12" i="19"/>
  <c r="X11" i="19"/>
  <c r="W11" i="19"/>
  <c r="V11" i="19"/>
  <c r="U11" i="19"/>
  <c r="T11" i="19"/>
  <c r="X10" i="19"/>
  <c r="W10" i="19"/>
  <c r="V10" i="19"/>
  <c r="U10" i="19"/>
  <c r="T10" i="19"/>
  <c r="X9" i="19"/>
  <c r="W9" i="19"/>
  <c r="V9" i="19"/>
  <c r="U9" i="19"/>
  <c r="X8" i="19"/>
  <c r="W8" i="19"/>
  <c r="V8" i="19"/>
  <c r="U8" i="19"/>
  <c r="T8" i="19"/>
  <c r="X7" i="19"/>
  <c r="W7" i="19"/>
  <c r="V7" i="19"/>
  <c r="U7" i="19"/>
  <c r="T7" i="19"/>
  <c r="X6" i="19"/>
  <c r="W6" i="19"/>
  <c r="V6" i="19"/>
  <c r="U6" i="19"/>
  <c r="T6" i="19"/>
  <c r="X5" i="19"/>
  <c r="W5" i="19"/>
  <c r="V5" i="19"/>
  <c r="U5" i="19"/>
  <c r="T5" i="19"/>
  <c r="P104" i="20" l="1"/>
  <c r="P113" i="20" s="1"/>
  <c r="N104" i="20"/>
  <c r="N113" i="20" s="1"/>
  <c r="M104" i="20"/>
  <c r="M113" i="20" s="1"/>
  <c r="L104" i="20"/>
  <c r="L112" i="20" s="1"/>
  <c r="K104" i="20"/>
  <c r="K112" i="20" s="1"/>
  <c r="P103" i="20"/>
  <c r="N103" i="20"/>
  <c r="M103" i="20"/>
  <c r="L103" i="20"/>
  <c r="K103" i="20"/>
  <c r="P102" i="20"/>
  <c r="N102" i="20"/>
  <c r="M102" i="20"/>
  <c r="L102" i="20"/>
  <c r="K102" i="20"/>
  <c r="P98" i="20"/>
  <c r="N98" i="20"/>
  <c r="M98" i="20"/>
  <c r="L98" i="20"/>
  <c r="K98" i="20"/>
  <c r="P97" i="20"/>
  <c r="N97" i="20"/>
  <c r="M97" i="20"/>
  <c r="L97" i="20"/>
  <c r="K97" i="20"/>
  <c r="P101" i="20"/>
  <c r="N101" i="20"/>
  <c r="M101" i="20"/>
  <c r="L101" i="20"/>
  <c r="K101" i="20"/>
  <c r="P100" i="20"/>
  <c r="N100" i="20"/>
  <c r="M100" i="20"/>
  <c r="L100" i="20"/>
  <c r="K100" i="20"/>
  <c r="P99" i="20"/>
  <c r="N99" i="20"/>
  <c r="M99" i="20"/>
  <c r="L99" i="20"/>
  <c r="K99" i="20"/>
  <c r="P92" i="20"/>
  <c r="N92" i="20"/>
  <c r="M92" i="20"/>
  <c r="L92" i="20"/>
  <c r="K92" i="20"/>
  <c r="Y17" i="20"/>
  <c r="W17" i="20"/>
  <c r="V17" i="20"/>
  <c r="U17" i="20"/>
  <c r="T17" i="20"/>
  <c r="R17" i="20"/>
  <c r="Y16" i="20"/>
  <c r="W16" i="20"/>
  <c r="V16" i="20"/>
  <c r="U16" i="20"/>
  <c r="T16" i="20"/>
  <c r="R16" i="20"/>
  <c r="Y15" i="20"/>
  <c r="W15" i="20"/>
  <c r="V15" i="20"/>
  <c r="U15" i="20"/>
  <c r="T15" i="20"/>
  <c r="Y14" i="20"/>
  <c r="W14" i="20"/>
  <c r="V14" i="20"/>
  <c r="U14" i="20"/>
  <c r="T14" i="20"/>
  <c r="Y13" i="20"/>
  <c r="W13" i="20"/>
  <c r="V13" i="20"/>
  <c r="U13" i="20"/>
  <c r="T13" i="20"/>
  <c r="S13" i="20"/>
  <c r="R13" i="20"/>
  <c r="Y12" i="20"/>
  <c r="W12" i="20"/>
  <c r="V12" i="20"/>
  <c r="U12" i="20"/>
  <c r="T12" i="20"/>
  <c r="S12" i="20"/>
  <c r="R12" i="20"/>
  <c r="Y11" i="20"/>
  <c r="W11" i="20"/>
  <c r="V11" i="20"/>
  <c r="U11" i="20"/>
  <c r="T11" i="20"/>
  <c r="S11" i="20"/>
  <c r="R11" i="20"/>
  <c r="Y10" i="20"/>
  <c r="W10" i="20"/>
  <c r="V10" i="20"/>
  <c r="U10" i="20"/>
  <c r="T10" i="20"/>
  <c r="S10" i="20"/>
  <c r="R10" i="20"/>
  <c r="Y9" i="20"/>
  <c r="W9" i="20"/>
  <c r="V9" i="20"/>
  <c r="U9" i="20"/>
  <c r="S9" i="20"/>
  <c r="R9" i="20"/>
  <c r="Y8" i="20"/>
  <c r="W8" i="20"/>
  <c r="V8" i="20"/>
  <c r="U8" i="20"/>
  <c r="T8" i="20"/>
  <c r="S8" i="20"/>
  <c r="Y7" i="20"/>
  <c r="W7" i="20"/>
  <c r="V7" i="20"/>
  <c r="U7" i="20"/>
  <c r="T7" i="20"/>
  <c r="S7" i="20"/>
  <c r="R7" i="20"/>
  <c r="Y6" i="20"/>
  <c r="W6" i="20"/>
  <c r="V6" i="20"/>
  <c r="U6" i="20"/>
  <c r="T6" i="20"/>
  <c r="S6" i="20"/>
  <c r="R6" i="20"/>
  <c r="Y5" i="20"/>
  <c r="W5" i="20"/>
  <c r="V5" i="20"/>
  <c r="U5" i="20"/>
  <c r="T5" i="20"/>
  <c r="R5" i="20"/>
  <c r="P104" i="19"/>
  <c r="P113" i="19" s="1"/>
  <c r="O113" i="19" s="1"/>
  <c r="N104" i="19"/>
  <c r="N113" i="19" s="1"/>
  <c r="M104" i="19"/>
  <c r="M113" i="19" s="1"/>
  <c r="L104" i="19"/>
  <c r="L113" i="19" s="1"/>
  <c r="K104" i="19"/>
  <c r="K113" i="19" s="1"/>
  <c r="P103" i="19"/>
  <c r="N103" i="19"/>
  <c r="M103" i="19"/>
  <c r="L103" i="19"/>
  <c r="K103" i="19"/>
  <c r="P102" i="19"/>
  <c r="N102" i="19"/>
  <c r="M102" i="19"/>
  <c r="L102" i="19"/>
  <c r="K102" i="19"/>
  <c r="P98" i="19"/>
  <c r="N98" i="19"/>
  <c r="M98" i="19"/>
  <c r="L98" i="19"/>
  <c r="K98" i="19"/>
  <c r="P97" i="19"/>
  <c r="N97" i="19"/>
  <c r="M97" i="19"/>
  <c r="L97" i="19"/>
  <c r="K97" i="19"/>
  <c r="P101" i="19"/>
  <c r="N101" i="19"/>
  <c r="M101" i="19"/>
  <c r="L101" i="19"/>
  <c r="K101" i="19"/>
  <c r="P100" i="19"/>
  <c r="N100" i="19"/>
  <c r="M100" i="19"/>
  <c r="L100" i="19"/>
  <c r="K100" i="19"/>
  <c r="P99" i="19"/>
  <c r="N99" i="19"/>
  <c r="M99" i="19"/>
  <c r="L99" i="19"/>
  <c r="K99" i="19"/>
  <c r="P92" i="19"/>
  <c r="N92" i="19"/>
  <c r="M92" i="19"/>
  <c r="L92" i="19"/>
  <c r="K92" i="19"/>
  <c r="R17" i="19"/>
  <c r="R16" i="19"/>
  <c r="S13" i="19"/>
  <c r="R13" i="19"/>
  <c r="S12" i="19"/>
  <c r="R12" i="19"/>
  <c r="S11" i="19"/>
  <c r="R11" i="19"/>
  <c r="S10" i="19"/>
  <c r="R10" i="19"/>
  <c r="S9" i="19"/>
  <c r="R9" i="19"/>
  <c r="S8" i="19"/>
  <c r="S7" i="19"/>
  <c r="R7" i="19"/>
  <c r="S6" i="19"/>
  <c r="R6" i="19"/>
  <c r="R5" i="19"/>
  <c r="K109" i="20" l="1"/>
  <c r="K106" i="20"/>
  <c r="K105" i="20"/>
  <c r="M107" i="20"/>
  <c r="L107" i="19"/>
  <c r="M108" i="20"/>
  <c r="N108" i="20"/>
  <c r="K109" i="19"/>
  <c r="L109" i="19"/>
  <c r="K105" i="19"/>
  <c r="K107" i="19"/>
  <c r="L105" i="19"/>
  <c r="K106" i="19"/>
  <c r="M109" i="19"/>
  <c r="K108" i="19"/>
  <c r="K107" i="20"/>
  <c r="K112" i="19"/>
  <c r="L106" i="19"/>
  <c r="K108" i="20"/>
  <c r="K113" i="20"/>
  <c r="L108" i="20"/>
  <c r="P107" i="19"/>
  <c r="L109" i="20"/>
  <c r="L108" i="19"/>
  <c r="L106" i="20"/>
  <c r="L105" i="20"/>
  <c r="L112" i="19"/>
  <c r="L107" i="20"/>
  <c r="M105" i="20"/>
  <c r="M108" i="19"/>
  <c r="N109" i="20"/>
  <c r="P106" i="19"/>
  <c r="P106" i="20"/>
  <c r="P105" i="20"/>
  <c r="P109" i="20"/>
  <c r="M105" i="19"/>
  <c r="P109" i="19"/>
  <c r="P107" i="20"/>
  <c r="N106" i="19"/>
  <c r="P105" i="19"/>
  <c r="M106" i="19"/>
  <c r="M107" i="19"/>
  <c r="N105" i="19"/>
  <c r="N106" i="20"/>
  <c r="P108" i="20"/>
  <c r="N107" i="19"/>
  <c r="N107" i="20"/>
  <c r="N108" i="19"/>
  <c r="P108" i="19"/>
  <c r="L113" i="20"/>
  <c r="P112" i="20"/>
  <c r="M112" i="20"/>
  <c r="N112" i="20"/>
  <c r="N105" i="20"/>
  <c r="M109" i="20"/>
  <c r="M106" i="20"/>
  <c r="M136" i="20" s="1"/>
  <c r="M140" i="20" s="1"/>
  <c r="M112" i="19"/>
  <c r="N112" i="19"/>
  <c r="P112" i="19"/>
  <c r="O112" i="19" s="1"/>
  <c r="N109" i="19"/>
  <c r="P136" i="19" l="1"/>
  <c r="P140" i="19" s="1"/>
  <c r="L136" i="20"/>
  <c r="L140" i="20" s="1"/>
  <c r="N136" i="20"/>
  <c r="L136" i="19"/>
  <c r="L140" i="19" s="1"/>
  <c r="K136" i="19"/>
  <c r="K140" i="19" s="1"/>
  <c r="M136" i="19"/>
  <c r="M140" i="19" s="1"/>
  <c r="N136" i="19"/>
  <c r="K136" i="20"/>
  <c r="K140" i="20" s="1"/>
  <c r="P136" i="20"/>
  <c r="P140" i="20" s="1"/>
  <c r="K110" i="19"/>
  <c r="L110" i="19"/>
  <c r="L142" i="19" s="1"/>
  <c r="K110" i="20"/>
  <c r="L110" i="20"/>
  <c r="N110" i="19"/>
  <c r="M110" i="20"/>
  <c r="M142" i="20" s="1"/>
  <c r="P110" i="19"/>
  <c r="M110" i="19"/>
  <c r="P110" i="20"/>
  <c r="N110" i="20"/>
  <c r="X17" i="12"/>
  <c r="W17" i="12"/>
  <c r="V17" i="12"/>
  <c r="U17" i="12"/>
  <c r="T17" i="12"/>
  <c r="X16" i="12"/>
  <c r="W16" i="12"/>
  <c r="V16" i="12"/>
  <c r="U16" i="12"/>
  <c r="T16" i="12"/>
  <c r="X15" i="12"/>
  <c r="W15" i="12"/>
  <c r="V15" i="12"/>
  <c r="U15" i="12"/>
  <c r="T15" i="12"/>
  <c r="X14" i="12"/>
  <c r="W14" i="12"/>
  <c r="V14" i="12"/>
  <c r="U14" i="12"/>
  <c r="T14" i="12"/>
  <c r="X13" i="12"/>
  <c r="W13" i="12"/>
  <c r="V13" i="12"/>
  <c r="U13" i="12"/>
  <c r="T13" i="12"/>
  <c r="X12" i="12"/>
  <c r="W12" i="12"/>
  <c r="V12" i="12"/>
  <c r="U12" i="12"/>
  <c r="T12" i="12"/>
  <c r="X11" i="12"/>
  <c r="W11" i="12"/>
  <c r="V11" i="12"/>
  <c r="U11" i="12"/>
  <c r="T11" i="12"/>
  <c r="X10" i="12"/>
  <c r="W10" i="12"/>
  <c r="V10" i="12"/>
  <c r="U10" i="12"/>
  <c r="T10" i="12"/>
  <c r="X9" i="12"/>
  <c r="W9" i="12"/>
  <c r="V9" i="12"/>
  <c r="U9" i="12"/>
  <c r="X8" i="12"/>
  <c r="W8" i="12"/>
  <c r="V8" i="12"/>
  <c r="U8" i="12"/>
  <c r="T8" i="12"/>
  <c r="X7" i="12"/>
  <c r="W7" i="12"/>
  <c r="V7" i="12"/>
  <c r="U7" i="12"/>
  <c r="T7" i="12"/>
  <c r="X6" i="12"/>
  <c r="W6" i="12"/>
  <c r="V6" i="12"/>
  <c r="U6" i="12"/>
  <c r="T6" i="12"/>
  <c r="X5" i="12"/>
  <c r="W5" i="12"/>
  <c r="V5" i="12"/>
  <c r="U5" i="12"/>
  <c r="T5" i="12"/>
  <c r="L142" i="20" l="1"/>
  <c r="P142" i="19"/>
  <c r="N140" i="19"/>
  <c r="N140" i="20"/>
  <c r="N142" i="19"/>
  <c r="P142" i="20"/>
  <c r="K142" i="20"/>
  <c r="M142" i="19"/>
  <c r="K142" i="19"/>
  <c r="J92" i="11"/>
  <c r="K92" i="11"/>
  <c r="K93" i="11"/>
  <c r="K99" i="11" s="1"/>
  <c r="K94" i="11"/>
  <c r="K100" i="11" s="1"/>
  <c r="J95" i="11"/>
  <c r="J101" i="11" s="1"/>
  <c r="K101" i="11"/>
  <c r="J97" i="11"/>
  <c r="K97" i="11"/>
  <c r="K98" i="11"/>
  <c r="J100" i="11"/>
  <c r="J102" i="11"/>
  <c r="K102" i="11"/>
  <c r="J103" i="11"/>
  <c r="K103" i="11"/>
  <c r="J104" i="11"/>
  <c r="J112" i="11" s="1"/>
  <c r="K104" i="11"/>
  <c r="N142" i="20" l="1"/>
  <c r="K105" i="11"/>
  <c r="K106" i="11"/>
  <c r="K107" i="11"/>
  <c r="K108" i="11"/>
  <c r="K109" i="11"/>
  <c r="J105" i="11"/>
  <c r="J106" i="11"/>
  <c r="J108" i="11"/>
  <c r="J107" i="11"/>
  <c r="J109" i="11"/>
  <c r="K136" i="11" l="1"/>
  <c r="K140" i="11" s="1"/>
  <c r="J136" i="11"/>
  <c r="J140" i="11" s="1"/>
  <c r="J110" i="11"/>
  <c r="K110" i="11"/>
  <c r="Z17" i="3"/>
  <c r="Y17" i="3"/>
  <c r="X17" i="3"/>
  <c r="W17" i="3"/>
  <c r="V17" i="3"/>
  <c r="U17" i="3"/>
  <c r="T17" i="3"/>
  <c r="Z16" i="3"/>
  <c r="Y16" i="3"/>
  <c r="X16" i="3"/>
  <c r="W16" i="3"/>
  <c r="V16" i="3"/>
  <c r="U16" i="3"/>
  <c r="T16" i="3"/>
  <c r="Z15" i="3"/>
  <c r="Y15" i="3"/>
  <c r="X15" i="3"/>
  <c r="W15" i="3"/>
  <c r="V15" i="3"/>
  <c r="U15" i="3"/>
  <c r="T15" i="3"/>
  <c r="Z14" i="3"/>
  <c r="Y14" i="3"/>
  <c r="X14" i="3"/>
  <c r="W14" i="3"/>
  <c r="V14" i="3"/>
  <c r="U14" i="3"/>
  <c r="T14" i="3"/>
  <c r="Z13" i="3"/>
  <c r="Y13" i="3"/>
  <c r="X13" i="3"/>
  <c r="W13" i="3"/>
  <c r="V13" i="3"/>
  <c r="U13" i="3"/>
  <c r="T13" i="3"/>
  <c r="Z12" i="3"/>
  <c r="Y12" i="3"/>
  <c r="X12" i="3"/>
  <c r="W12" i="3"/>
  <c r="V12" i="3"/>
  <c r="U12" i="3"/>
  <c r="T12" i="3"/>
  <c r="Z11" i="3"/>
  <c r="Y11" i="3"/>
  <c r="X11" i="3"/>
  <c r="W11" i="3"/>
  <c r="V11" i="3"/>
  <c r="U11" i="3"/>
  <c r="T11" i="3"/>
  <c r="Z10" i="3"/>
  <c r="Y10" i="3"/>
  <c r="X10" i="3"/>
  <c r="W10" i="3"/>
  <c r="V10" i="3"/>
  <c r="U10" i="3"/>
  <c r="T10" i="3"/>
  <c r="Z9" i="3"/>
  <c r="Y9" i="3"/>
  <c r="X9" i="3"/>
  <c r="W9" i="3"/>
  <c r="Z8" i="3"/>
  <c r="Y8" i="3"/>
  <c r="X8" i="3"/>
  <c r="W8" i="3"/>
  <c r="V8" i="3"/>
  <c r="U8" i="3"/>
  <c r="T8" i="3"/>
  <c r="Z7" i="3"/>
  <c r="Y7" i="3"/>
  <c r="X7" i="3"/>
  <c r="W7" i="3"/>
  <c r="V7" i="3"/>
  <c r="U7" i="3"/>
  <c r="T7" i="3"/>
  <c r="Z6" i="3"/>
  <c r="Y6" i="3"/>
  <c r="X6" i="3"/>
  <c r="W6" i="3"/>
  <c r="V6" i="3"/>
  <c r="U6" i="3"/>
  <c r="T6" i="3"/>
  <c r="Z5" i="3"/>
  <c r="Y5" i="3"/>
  <c r="X5" i="3"/>
  <c r="W5" i="3"/>
  <c r="V5" i="3"/>
  <c r="U5" i="3"/>
  <c r="T5" i="3"/>
  <c r="J92" i="3"/>
  <c r="K92" i="3"/>
  <c r="K99" i="3"/>
  <c r="J101" i="3"/>
  <c r="K101" i="3"/>
  <c r="J97" i="3"/>
  <c r="K97" i="3"/>
  <c r="J98" i="3"/>
  <c r="K98" i="3"/>
  <c r="J100" i="3"/>
  <c r="K100" i="3"/>
  <c r="J102" i="3"/>
  <c r="K102" i="3"/>
  <c r="J103" i="3"/>
  <c r="K103" i="3"/>
  <c r="J104" i="3"/>
  <c r="K104" i="3"/>
  <c r="J105" i="3" l="1"/>
  <c r="J106" i="3"/>
  <c r="J142" i="11"/>
  <c r="K142" i="11"/>
  <c r="J109" i="3"/>
  <c r="K109" i="3"/>
  <c r="K106" i="3"/>
  <c r="J108" i="3"/>
  <c r="K107" i="3"/>
  <c r="K108" i="3"/>
  <c r="K105" i="3"/>
  <c r="J107" i="3"/>
  <c r="J112" i="3"/>
  <c r="J136" i="3" l="1"/>
  <c r="K136" i="3"/>
  <c r="K140" i="3" s="1"/>
  <c r="J140" i="3"/>
  <c r="J110" i="3"/>
  <c r="K110" i="3"/>
  <c r="Y17" i="18"/>
  <c r="W17" i="18"/>
  <c r="V17" i="18"/>
  <c r="U17" i="18"/>
  <c r="T17" i="18"/>
  <c r="R17" i="18"/>
  <c r="Y16" i="18"/>
  <c r="W16" i="18"/>
  <c r="V16" i="18"/>
  <c r="U16" i="18"/>
  <c r="T16" i="18"/>
  <c r="R16" i="18"/>
  <c r="Y15" i="18"/>
  <c r="W15" i="18"/>
  <c r="V15" i="18"/>
  <c r="U15" i="18"/>
  <c r="T15" i="18"/>
  <c r="Y14" i="18"/>
  <c r="W14" i="18"/>
  <c r="V14" i="18"/>
  <c r="U14" i="18"/>
  <c r="T14" i="18"/>
  <c r="Y13" i="18"/>
  <c r="W13" i="18"/>
  <c r="V13" i="18"/>
  <c r="U13" i="18"/>
  <c r="T13" i="18"/>
  <c r="S13" i="18"/>
  <c r="R13" i="18"/>
  <c r="Y12" i="18"/>
  <c r="W12" i="18"/>
  <c r="V12" i="18"/>
  <c r="U12" i="18"/>
  <c r="T12" i="18"/>
  <c r="S12" i="18"/>
  <c r="R12" i="18"/>
  <c r="Y11" i="18"/>
  <c r="W11" i="18"/>
  <c r="V11" i="18"/>
  <c r="U11" i="18"/>
  <c r="T11" i="18"/>
  <c r="S11" i="18"/>
  <c r="R11" i="18"/>
  <c r="Y10" i="18"/>
  <c r="W10" i="18"/>
  <c r="V10" i="18"/>
  <c r="U10" i="18"/>
  <c r="T10" i="18"/>
  <c r="S10" i="18"/>
  <c r="R10" i="18"/>
  <c r="Y9" i="18"/>
  <c r="W9" i="18"/>
  <c r="V9" i="18"/>
  <c r="U9" i="18"/>
  <c r="S9" i="18"/>
  <c r="R9" i="18"/>
  <c r="Y8" i="18"/>
  <c r="W8" i="18"/>
  <c r="V8" i="18"/>
  <c r="U8" i="18"/>
  <c r="T8" i="18"/>
  <c r="S8" i="18"/>
  <c r="Y7" i="18"/>
  <c r="W7" i="18"/>
  <c r="V7" i="18"/>
  <c r="U7" i="18"/>
  <c r="T7" i="18"/>
  <c r="S7" i="18"/>
  <c r="R7" i="18"/>
  <c r="Y6" i="18"/>
  <c r="W6" i="18"/>
  <c r="V6" i="18"/>
  <c r="U6" i="18"/>
  <c r="T6" i="18"/>
  <c r="S6" i="18"/>
  <c r="R6" i="18"/>
  <c r="Y5" i="18"/>
  <c r="W5" i="18"/>
  <c r="V5" i="18"/>
  <c r="U5" i="18"/>
  <c r="T5" i="18"/>
  <c r="R5" i="18"/>
  <c r="K142" i="3" l="1"/>
  <c r="J142" i="3"/>
  <c r="R17" i="17"/>
  <c r="R16" i="17"/>
  <c r="S13" i="17"/>
  <c r="R13" i="17"/>
  <c r="S12" i="17"/>
  <c r="R12" i="17"/>
  <c r="S11" i="17"/>
  <c r="R11" i="17"/>
  <c r="S10" i="17"/>
  <c r="R10" i="17"/>
  <c r="S9" i="17"/>
  <c r="R9" i="17"/>
  <c r="S8" i="17"/>
  <c r="S7" i="17"/>
  <c r="R7" i="17"/>
  <c r="S6" i="17"/>
  <c r="R6" i="17"/>
  <c r="R5" i="17"/>
  <c r="Y17" i="16"/>
  <c r="W17" i="16"/>
  <c r="V17" i="16"/>
  <c r="U17" i="16"/>
  <c r="T17" i="16"/>
  <c r="Y16" i="16"/>
  <c r="W16" i="16"/>
  <c r="V16" i="16"/>
  <c r="U16" i="16"/>
  <c r="T16" i="16"/>
  <c r="Y15" i="16"/>
  <c r="W15" i="16"/>
  <c r="V15" i="16"/>
  <c r="U15" i="16"/>
  <c r="T15" i="16"/>
  <c r="Y14" i="16"/>
  <c r="W14" i="16"/>
  <c r="V14" i="16"/>
  <c r="U14" i="16"/>
  <c r="T14" i="16"/>
  <c r="Y13" i="16"/>
  <c r="W13" i="16"/>
  <c r="V13" i="16"/>
  <c r="U13" i="16"/>
  <c r="T13" i="16"/>
  <c r="Y12" i="16"/>
  <c r="W12" i="16"/>
  <c r="V12" i="16"/>
  <c r="U12" i="16"/>
  <c r="T12" i="16"/>
  <c r="Y11" i="16"/>
  <c r="W11" i="16"/>
  <c r="V11" i="16"/>
  <c r="U11" i="16"/>
  <c r="T11" i="16"/>
  <c r="Y10" i="16"/>
  <c r="W10" i="16"/>
  <c r="V10" i="16"/>
  <c r="U10" i="16"/>
  <c r="T10" i="16"/>
  <c r="Y9" i="16"/>
  <c r="W9" i="16"/>
  <c r="V9" i="16"/>
  <c r="U9" i="16"/>
  <c r="Y8" i="16"/>
  <c r="W8" i="16"/>
  <c r="V8" i="16"/>
  <c r="U8" i="16"/>
  <c r="T8" i="16"/>
  <c r="Y7" i="16"/>
  <c r="W7" i="16"/>
  <c r="V7" i="16"/>
  <c r="U7" i="16"/>
  <c r="T7" i="16"/>
  <c r="Y6" i="16"/>
  <c r="W6" i="16"/>
  <c r="V6" i="16"/>
  <c r="U6" i="16"/>
  <c r="T6" i="16"/>
  <c r="Y5" i="16"/>
  <c r="W5" i="16"/>
  <c r="V5" i="16"/>
  <c r="U5" i="16"/>
  <c r="T5" i="16"/>
  <c r="R17" i="16" l="1"/>
  <c r="R16" i="16"/>
  <c r="S13" i="16"/>
  <c r="R13" i="16"/>
  <c r="S12" i="16"/>
  <c r="R12" i="16"/>
  <c r="S11" i="16"/>
  <c r="R11" i="16"/>
  <c r="S10" i="16"/>
  <c r="R10" i="16"/>
  <c r="S9" i="16"/>
  <c r="R9" i="16"/>
  <c r="S8" i="16"/>
  <c r="S7" i="16"/>
  <c r="R7" i="16"/>
  <c r="S6" i="16"/>
  <c r="R6" i="16"/>
  <c r="R5" i="16"/>
  <c r="X17" i="15"/>
  <c r="W17" i="15"/>
  <c r="V17" i="15"/>
  <c r="U17" i="15"/>
  <c r="T17" i="15"/>
  <c r="X16" i="15"/>
  <c r="W16" i="15"/>
  <c r="V16" i="15"/>
  <c r="U16" i="15"/>
  <c r="T16" i="15"/>
  <c r="X15" i="15"/>
  <c r="W15" i="15"/>
  <c r="V15" i="15"/>
  <c r="U15" i="15"/>
  <c r="T15" i="15"/>
  <c r="X14" i="15"/>
  <c r="W14" i="15"/>
  <c r="V14" i="15"/>
  <c r="U14" i="15"/>
  <c r="T14" i="15"/>
  <c r="X13" i="15"/>
  <c r="W13" i="15"/>
  <c r="V13" i="15"/>
  <c r="U13" i="15"/>
  <c r="T13" i="15"/>
  <c r="X12" i="15"/>
  <c r="W12" i="15"/>
  <c r="V12" i="15"/>
  <c r="U12" i="15"/>
  <c r="T12" i="15"/>
  <c r="X11" i="15"/>
  <c r="W11" i="15"/>
  <c r="V11" i="15"/>
  <c r="U11" i="15"/>
  <c r="T11" i="15"/>
  <c r="X10" i="15"/>
  <c r="W10" i="15"/>
  <c r="V10" i="15"/>
  <c r="U10" i="15"/>
  <c r="T10" i="15"/>
  <c r="X9" i="15"/>
  <c r="W9" i="15"/>
  <c r="V9" i="15"/>
  <c r="U9" i="15"/>
  <c r="X8" i="15"/>
  <c r="W8" i="15"/>
  <c r="V8" i="15"/>
  <c r="U8" i="15"/>
  <c r="T8" i="15"/>
  <c r="X7" i="15"/>
  <c r="W7" i="15"/>
  <c r="V7" i="15"/>
  <c r="U7" i="15"/>
  <c r="T7" i="15"/>
  <c r="X6" i="15"/>
  <c r="W6" i="15"/>
  <c r="V6" i="15"/>
  <c r="U6" i="15"/>
  <c r="T6" i="15"/>
  <c r="X5" i="15"/>
  <c r="W5" i="15"/>
  <c r="V5" i="15"/>
  <c r="U5" i="15"/>
  <c r="T5" i="15"/>
  <c r="R17" i="15" l="1"/>
  <c r="R16" i="15"/>
  <c r="S13" i="15"/>
  <c r="R13" i="15"/>
  <c r="S12" i="15"/>
  <c r="R12" i="15"/>
  <c r="S11" i="15"/>
  <c r="R11" i="15"/>
  <c r="S10" i="15"/>
  <c r="R10" i="15"/>
  <c r="S9" i="15"/>
  <c r="R9" i="15"/>
  <c r="S8" i="15"/>
  <c r="S7" i="15"/>
  <c r="R7" i="15"/>
  <c r="S6" i="15"/>
  <c r="R6" i="15"/>
  <c r="R5" i="15"/>
  <c r="D53" i="10" l="1"/>
  <c r="J92" i="14" l="1"/>
  <c r="J99" i="14"/>
  <c r="J100" i="14"/>
  <c r="J101" i="14"/>
  <c r="J97" i="14"/>
  <c r="J98" i="14"/>
  <c r="K92" i="14"/>
  <c r="K99" i="14"/>
  <c r="K100" i="14"/>
  <c r="K101" i="14"/>
  <c r="K97" i="14"/>
  <c r="K98" i="14"/>
  <c r="K113" i="14"/>
  <c r="AA17" i="11"/>
  <c r="Y17" i="11"/>
  <c r="X17" i="11"/>
  <c r="W17" i="11"/>
  <c r="V17" i="11"/>
  <c r="U17" i="11"/>
  <c r="T17" i="11"/>
  <c r="R17" i="11"/>
  <c r="AA16" i="11"/>
  <c r="Y16" i="11"/>
  <c r="X16" i="11"/>
  <c r="W16" i="11"/>
  <c r="V16" i="11"/>
  <c r="U16" i="11"/>
  <c r="T16" i="11"/>
  <c r="R16" i="11"/>
  <c r="AA15" i="11"/>
  <c r="Y15" i="11"/>
  <c r="X15" i="11"/>
  <c r="W15" i="11"/>
  <c r="V15" i="11"/>
  <c r="U15" i="11"/>
  <c r="T15" i="11"/>
  <c r="AA14" i="11"/>
  <c r="Y14" i="11"/>
  <c r="X14" i="11"/>
  <c r="W14" i="11"/>
  <c r="V14" i="11"/>
  <c r="U14" i="11"/>
  <c r="T14" i="11"/>
  <c r="AA13" i="11"/>
  <c r="Y13" i="11"/>
  <c r="X13" i="11"/>
  <c r="W13" i="11"/>
  <c r="V13" i="11"/>
  <c r="U13" i="11"/>
  <c r="T13" i="11"/>
  <c r="S13" i="11"/>
  <c r="R13" i="11"/>
  <c r="AA12" i="11"/>
  <c r="Y12" i="11"/>
  <c r="X12" i="11"/>
  <c r="W12" i="11"/>
  <c r="V12" i="11"/>
  <c r="U12" i="11"/>
  <c r="T12" i="11"/>
  <c r="S12" i="11"/>
  <c r="R12" i="11"/>
  <c r="AA11" i="11"/>
  <c r="Y11" i="11"/>
  <c r="X11" i="11"/>
  <c r="W11" i="11"/>
  <c r="V11" i="11"/>
  <c r="U11" i="11"/>
  <c r="T11" i="11"/>
  <c r="S11" i="11"/>
  <c r="R11" i="11"/>
  <c r="AA10" i="11"/>
  <c r="Y10" i="11"/>
  <c r="X10" i="11"/>
  <c r="W10" i="11"/>
  <c r="V10" i="11"/>
  <c r="U10" i="11"/>
  <c r="T10" i="11"/>
  <c r="S10" i="11"/>
  <c r="R10" i="11"/>
  <c r="AA9" i="11"/>
  <c r="Y9" i="11"/>
  <c r="X9" i="11"/>
  <c r="W9" i="11"/>
  <c r="S9" i="11"/>
  <c r="R9" i="11"/>
  <c r="AA8" i="11"/>
  <c r="Y8" i="11"/>
  <c r="X8" i="11"/>
  <c r="W8" i="11"/>
  <c r="V8" i="11"/>
  <c r="U8" i="11"/>
  <c r="T8" i="11"/>
  <c r="S8" i="11"/>
  <c r="AA7" i="11"/>
  <c r="Y7" i="11"/>
  <c r="X7" i="11"/>
  <c r="W7" i="11"/>
  <c r="V7" i="11"/>
  <c r="U7" i="11"/>
  <c r="T7" i="11"/>
  <c r="S7" i="11"/>
  <c r="R7" i="11"/>
  <c r="AA6" i="11"/>
  <c r="Y6" i="11"/>
  <c r="X6" i="11"/>
  <c r="W6" i="11"/>
  <c r="V6" i="11"/>
  <c r="U6" i="11"/>
  <c r="T6" i="11"/>
  <c r="S6" i="11"/>
  <c r="R6" i="11"/>
  <c r="AA5" i="11"/>
  <c r="Y5" i="11"/>
  <c r="X5" i="11"/>
  <c r="W5" i="11"/>
  <c r="V5" i="11"/>
  <c r="U5" i="11"/>
  <c r="T5" i="11"/>
  <c r="R5" i="11"/>
  <c r="J106" i="14" l="1"/>
  <c r="J112" i="14"/>
  <c r="K105" i="14"/>
  <c r="K112" i="14"/>
  <c r="K108" i="14"/>
  <c r="K109" i="14"/>
  <c r="K107" i="14"/>
  <c r="K106" i="14"/>
  <c r="J109" i="14"/>
  <c r="J108" i="14"/>
  <c r="J107" i="14"/>
  <c r="J105" i="14"/>
  <c r="J113" i="14"/>
  <c r="K136" i="14" l="1"/>
  <c r="K140" i="14" s="1"/>
  <c r="J136" i="14"/>
  <c r="J140" i="14" s="1"/>
  <c r="K110" i="14"/>
  <c r="J110" i="14"/>
  <c r="J142" i="14" s="1"/>
  <c r="K142" i="14" l="1"/>
  <c r="R17" i="3"/>
  <c r="R16" i="3"/>
  <c r="S13" i="3"/>
  <c r="R13" i="3"/>
  <c r="S12" i="3"/>
  <c r="R12" i="3"/>
  <c r="S11" i="3"/>
  <c r="R11" i="3"/>
  <c r="S10" i="3"/>
  <c r="R10" i="3"/>
  <c r="S9" i="3"/>
  <c r="R9" i="3"/>
  <c r="S8" i="3"/>
  <c r="S7" i="3"/>
  <c r="R7" i="3"/>
  <c r="S6" i="3"/>
  <c r="R6" i="3"/>
  <c r="R5" i="3"/>
  <c r="AA17" i="8" l="1"/>
  <c r="Y17" i="8"/>
  <c r="X17" i="8"/>
  <c r="W17" i="8"/>
  <c r="V17" i="8"/>
  <c r="U17" i="8"/>
  <c r="T17" i="8"/>
  <c r="R17" i="8"/>
  <c r="AA16" i="8"/>
  <c r="Y16" i="8"/>
  <c r="X16" i="8"/>
  <c r="W16" i="8"/>
  <c r="V16" i="8"/>
  <c r="U16" i="8"/>
  <c r="T16" i="8"/>
  <c r="R16" i="8"/>
  <c r="AA15" i="8"/>
  <c r="Y15" i="8"/>
  <c r="X15" i="8"/>
  <c r="W15" i="8"/>
  <c r="V15" i="8"/>
  <c r="U15" i="8"/>
  <c r="T15" i="8"/>
  <c r="AA14" i="8"/>
  <c r="Y14" i="8"/>
  <c r="X14" i="8"/>
  <c r="W14" i="8"/>
  <c r="V14" i="8"/>
  <c r="U14" i="8"/>
  <c r="T14" i="8"/>
  <c r="AA13" i="8"/>
  <c r="Y13" i="8"/>
  <c r="X13" i="8"/>
  <c r="W13" i="8"/>
  <c r="V13" i="8"/>
  <c r="U13" i="8"/>
  <c r="T13" i="8"/>
  <c r="S13" i="8"/>
  <c r="R13" i="8"/>
  <c r="AA12" i="8"/>
  <c r="Y12" i="8"/>
  <c r="X12" i="8"/>
  <c r="W12" i="8"/>
  <c r="V12" i="8"/>
  <c r="U12" i="8"/>
  <c r="T12" i="8"/>
  <c r="S12" i="8"/>
  <c r="R12" i="8"/>
  <c r="AA11" i="8"/>
  <c r="Y11" i="8"/>
  <c r="X11" i="8"/>
  <c r="W11" i="8"/>
  <c r="V11" i="8"/>
  <c r="U11" i="8"/>
  <c r="T11" i="8"/>
  <c r="S11" i="8"/>
  <c r="R11" i="8"/>
  <c r="AA10" i="8"/>
  <c r="Y10" i="8"/>
  <c r="X10" i="8"/>
  <c r="W10" i="8"/>
  <c r="V10" i="8"/>
  <c r="U10" i="8"/>
  <c r="T10" i="8"/>
  <c r="S10" i="8"/>
  <c r="R10" i="8"/>
  <c r="AA9" i="8"/>
  <c r="Y9" i="8"/>
  <c r="X9" i="8"/>
  <c r="W9" i="8"/>
  <c r="S9" i="8"/>
  <c r="R9" i="8"/>
  <c r="AA8" i="8"/>
  <c r="Y8" i="8"/>
  <c r="X8" i="8"/>
  <c r="W8" i="8"/>
  <c r="V8" i="8"/>
  <c r="U8" i="8"/>
  <c r="T8" i="8"/>
  <c r="S8" i="8"/>
  <c r="AA7" i="8"/>
  <c r="Y7" i="8"/>
  <c r="X7" i="8"/>
  <c r="W7" i="8"/>
  <c r="V7" i="8"/>
  <c r="U7" i="8"/>
  <c r="T7" i="8"/>
  <c r="S7" i="8"/>
  <c r="R7" i="8"/>
  <c r="AA6" i="8"/>
  <c r="Y6" i="8"/>
  <c r="X6" i="8"/>
  <c r="W6" i="8"/>
  <c r="V6" i="8"/>
  <c r="U6" i="8"/>
  <c r="T6" i="8"/>
  <c r="S6" i="8"/>
  <c r="R6" i="8"/>
  <c r="AA5" i="8"/>
  <c r="Y5" i="8"/>
  <c r="X5" i="8"/>
  <c r="W5" i="8"/>
  <c r="V5" i="8"/>
  <c r="U5" i="8"/>
  <c r="T5" i="8"/>
  <c r="R5" i="8"/>
  <c r="AA17" i="9"/>
  <c r="Y17" i="9"/>
  <c r="X17" i="9"/>
  <c r="W17" i="9"/>
  <c r="V17" i="9"/>
  <c r="U17" i="9"/>
  <c r="T17" i="9"/>
  <c r="R17" i="9"/>
  <c r="AA16" i="9"/>
  <c r="Y16" i="9"/>
  <c r="X16" i="9"/>
  <c r="W16" i="9"/>
  <c r="V16" i="9"/>
  <c r="U16" i="9"/>
  <c r="T16" i="9"/>
  <c r="R16" i="9"/>
  <c r="AA15" i="9"/>
  <c r="Y15" i="9"/>
  <c r="X15" i="9"/>
  <c r="W15" i="9"/>
  <c r="V15" i="9"/>
  <c r="U15" i="9"/>
  <c r="T15" i="9"/>
  <c r="AA14" i="9"/>
  <c r="Y14" i="9"/>
  <c r="X14" i="9"/>
  <c r="W14" i="9"/>
  <c r="V14" i="9"/>
  <c r="U14" i="9"/>
  <c r="T14" i="9"/>
  <c r="AA13" i="9"/>
  <c r="Y13" i="9"/>
  <c r="X13" i="9"/>
  <c r="W13" i="9"/>
  <c r="V13" i="9"/>
  <c r="U13" i="9"/>
  <c r="T13" i="9"/>
  <c r="S13" i="9"/>
  <c r="R13" i="9"/>
  <c r="AA12" i="9"/>
  <c r="Y12" i="9"/>
  <c r="X12" i="9"/>
  <c r="W12" i="9"/>
  <c r="V12" i="9"/>
  <c r="U12" i="9"/>
  <c r="T12" i="9"/>
  <c r="S12" i="9"/>
  <c r="R12" i="9"/>
  <c r="AA11" i="9"/>
  <c r="Y11" i="9"/>
  <c r="X11" i="9"/>
  <c r="W11" i="9"/>
  <c r="V11" i="9"/>
  <c r="U11" i="9"/>
  <c r="T11" i="9"/>
  <c r="S11" i="9"/>
  <c r="R11" i="9"/>
  <c r="AA10" i="9"/>
  <c r="Y10" i="9"/>
  <c r="X10" i="9"/>
  <c r="W10" i="9"/>
  <c r="V10" i="9"/>
  <c r="U10" i="9"/>
  <c r="T10" i="9"/>
  <c r="S10" i="9"/>
  <c r="R10" i="9"/>
  <c r="AA9" i="9"/>
  <c r="Y9" i="9"/>
  <c r="X9" i="9"/>
  <c r="W9" i="9"/>
  <c r="S9" i="9"/>
  <c r="R9" i="9"/>
  <c r="AA8" i="9"/>
  <c r="Y8" i="9"/>
  <c r="X8" i="9"/>
  <c r="W8" i="9"/>
  <c r="V8" i="9"/>
  <c r="U8" i="9"/>
  <c r="T8" i="9"/>
  <c r="S8" i="9"/>
  <c r="AA7" i="9"/>
  <c r="Y7" i="9"/>
  <c r="X7" i="9"/>
  <c r="W7" i="9"/>
  <c r="V7" i="9"/>
  <c r="U7" i="9"/>
  <c r="T7" i="9"/>
  <c r="S7" i="9"/>
  <c r="R7" i="9"/>
  <c r="AA6" i="9"/>
  <c r="Y6" i="9"/>
  <c r="X6" i="9"/>
  <c r="W6" i="9"/>
  <c r="V6" i="9"/>
  <c r="U6" i="9"/>
  <c r="T6" i="9"/>
  <c r="S6" i="9"/>
  <c r="R6" i="9"/>
  <c r="AA5" i="9"/>
  <c r="Y5" i="9"/>
  <c r="X5" i="9"/>
  <c r="W5" i="9"/>
  <c r="V5" i="9"/>
  <c r="U5" i="9"/>
  <c r="T5" i="9"/>
  <c r="R5" i="9"/>
  <c r="Z17" i="14"/>
  <c r="Y17" i="14"/>
  <c r="X17" i="14"/>
  <c r="W17" i="14"/>
  <c r="V17" i="14"/>
  <c r="U17" i="14"/>
  <c r="T17" i="14"/>
  <c r="R17" i="14"/>
  <c r="Z16" i="14"/>
  <c r="Y16" i="14"/>
  <c r="X16" i="14"/>
  <c r="W16" i="14"/>
  <c r="V16" i="14"/>
  <c r="U16" i="14"/>
  <c r="T16" i="14"/>
  <c r="R16" i="14"/>
  <c r="Z13" i="14"/>
  <c r="Y13" i="14"/>
  <c r="X13" i="14"/>
  <c r="W13" i="14"/>
  <c r="V13" i="14"/>
  <c r="U13" i="14"/>
  <c r="T13" i="14"/>
  <c r="S13" i="14"/>
  <c r="R13" i="14"/>
  <c r="Z12" i="14"/>
  <c r="Y12" i="14"/>
  <c r="X12" i="14"/>
  <c r="W12" i="14"/>
  <c r="V12" i="14"/>
  <c r="U12" i="14"/>
  <c r="T12" i="14"/>
  <c r="S12" i="14"/>
  <c r="R12" i="14"/>
  <c r="Z11" i="14"/>
  <c r="Y11" i="14"/>
  <c r="X11" i="14"/>
  <c r="W11" i="14"/>
  <c r="V11" i="14"/>
  <c r="U11" i="14"/>
  <c r="T11" i="14"/>
  <c r="S11" i="14"/>
  <c r="R11" i="14"/>
  <c r="Z10" i="14"/>
  <c r="Y10" i="14"/>
  <c r="X10" i="14"/>
  <c r="W10" i="14"/>
  <c r="V10" i="14"/>
  <c r="U10" i="14"/>
  <c r="T10" i="14"/>
  <c r="S10" i="14"/>
  <c r="R10" i="14"/>
  <c r="Z9" i="14"/>
  <c r="Y9" i="14"/>
  <c r="X9" i="14"/>
  <c r="W9" i="14"/>
  <c r="S9" i="14"/>
  <c r="R9" i="14"/>
  <c r="Z8" i="14"/>
  <c r="Y8" i="14"/>
  <c r="X8" i="14"/>
  <c r="W8" i="14"/>
  <c r="V8" i="14"/>
  <c r="U8" i="14"/>
  <c r="T8" i="14"/>
  <c r="S8" i="14"/>
  <c r="Z7" i="14"/>
  <c r="Y7" i="14"/>
  <c r="X7" i="14"/>
  <c r="W7" i="14"/>
  <c r="V7" i="14"/>
  <c r="U7" i="14"/>
  <c r="T7" i="14"/>
  <c r="S7" i="14"/>
  <c r="R7" i="14"/>
  <c r="Z6" i="14"/>
  <c r="Y6" i="14"/>
  <c r="X6" i="14"/>
  <c r="W6" i="14"/>
  <c r="V6" i="14"/>
  <c r="U6" i="14"/>
  <c r="T6" i="14"/>
  <c r="S6" i="14"/>
  <c r="R6" i="14"/>
  <c r="Z5" i="14"/>
  <c r="Y5" i="14"/>
  <c r="X5" i="14"/>
  <c r="W5" i="14"/>
  <c r="V5" i="14"/>
  <c r="U5" i="14"/>
  <c r="T5" i="14"/>
  <c r="R5" i="14"/>
  <c r="K112" i="11" l="1"/>
  <c r="Y17" i="13" l="1"/>
  <c r="W17" i="13"/>
  <c r="V17" i="13"/>
  <c r="U17" i="13"/>
  <c r="T17" i="13"/>
  <c r="R17" i="13"/>
  <c r="Y16" i="13"/>
  <c r="W16" i="13"/>
  <c r="V16" i="13"/>
  <c r="U16" i="13"/>
  <c r="T16" i="13"/>
  <c r="R16" i="13"/>
  <c r="Y15" i="13"/>
  <c r="W15" i="13"/>
  <c r="V15" i="13"/>
  <c r="U15" i="13"/>
  <c r="T15" i="13"/>
  <c r="Y14" i="13"/>
  <c r="W14" i="13"/>
  <c r="V14" i="13"/>
  <c r="U14" i="13"/>
  <c r="T14" i="13"/>
  <c r="Y13" i="13"/>
  <c r="W13" i="13"/>
  <c r="V13" i="13"/>
  <c r="U13" i="13"/>
  <c r="T13" i="13"/>
  <c r="S13" i="13"/>
  <c r="R13" i="13"/>
  <c r="Y12" i="13"/>
  <c r="W12" i="13"/>
  <c r="V12" i="13"/>
  <c r="U12" i="13"/>
  <c r="T12" i="13"/>
  <c r="S12" i="13"/>
  <c r="R12" i="13"/>
  <c r="Y11" i="13"/>
  <c r="W11" i="13"/>
  <c r="V11" i="13"/>
  <c r="U11" i="13"/>
  <c r="T11" i="13"/>
  <c r="S11" i="13"/>
  <c r="R11" i="13"/>
  <c r="Y10" i="13"/>
  <c r="W10" i="13"/>
  <c r="V10" i="13"/>
  <c r="U10" i="13"/>
  <c r="T10" i="13"/>
  <c r="S10" i="13"/>
  <c r="R10" i="13"/>
  <c r="Y9" i="13"/>
  <c r="W9" i="13"/>
  <c r="V9" i="13"/>
  <c r="U9" i="13"/>
  <c r="S9" i="13"/>
  <c r="R9" i="13"/>
  <c r="Y8" i="13"/>
  <c r="W8" i="13"/>
  <c r="V8" i="13"/>
  <c r="U8" i="13"/>
  <c r="T8" i="13"/>
  <c r="S8" i="13"/>
  <c r="Y7" i="13"/>
  <c r="W7" i="13"/>
  <c r="V7" i="13"/>
  <c r="U7" i="13"/>
  <c r="T7" i="13"/>
  <c r="S7" i="13"/>
  <c r="R7" i="13"/>
  <c r="Y6" i="13"/>
  <c r="W6" i="13"/>
  <c r="V6" i="13"/>
  <c r="U6" i="13"/>
  <c r="T6" i="13"/>
  <c r="S6" i="13"/>
  <c r="R6" i="13"/>
  <c r="Y5" i="13"/>
  <c r="W5" i="13"/>
  <c r="V5" i="13"/>
  <c r="U5" i="13"/>
  <c r="T5" i="13"/>
  <c r="R5" i="13"/>
  <c r="N113" i="14" l="1"/>
  <c r="M113" i="14"/>
  <c r="L113" i="14"/>
  <c r="O98" i="14"/>
  <c r="N98" i="14"/>
  <c r="M98" i="14"/>
  <c r="L98" i="14"/>
  <c r="O97" i="14"/>
  <c r="N97" i="14"/>
  <c r="M97" i="14"/>
  <c r="L97" i="14"/>
  <c r="N101" i="14"/>
  <c r="M101" i="14"/>
  <c r="L101" i="14"/>
  <c r="N100" i="14"/>
  <c r="M100" i="14"/>
  <c r="L100" i="14"/>
  <c r="N99" i="14"/>
  <c r="M99" i="14"/>
  <c r="L99" i="14"/>
  <c r="O92" i="14"/>
  <c r="N92" i="14"/>
  <c r="M92" i="14"/>
  <c r="L92" i="14"/>
  <c r="Q104" i="13"/>
  <c r="Q112" i="13" s="1"/>
  <c r="O104" i="13"/>
  <c r="N104" i="13"/>
  <c r="N112" i="13" s="1"/>
  <c r="M104" i="13"/>
  <c r="M113" i="13" s="1"/>
  <c r="K113" i="13" s="1"/>
  <c r="J113" i="13" s="1"/>
  <c r="L104" i="13"/>
  <c r="L112" i="13" s="1"/>
  <c r="Q103" i="13"/>
  <c r="O103" i="13"/>
  <c r="N103" i="13"/>
  <c r="M103" i="13"/>
  <c r="L103" i="13"/>
  <c r="Q102" i="13"/>
  <c r="O102" i="13"/>
  <c r="N102" i="13"/>
  <c r="M102" i="13"/>
  <c r="L102" i="13"/>
  <c r="M100" i="13"/>
  <c r="Q98" i="13"/>
  <c r="O98" i="13"/>
  <c r="N98" i="13"/>
  <c r="M98" i="13"/>
  <c r="L98" i="13"/>
  <c r="Q97" i="13"/>
  <c r="O97" i="13"/>
  <c r="N97" i="13"/>
  <c r="M97" i="13"/>
  <c r="L97" i="13"/>
  <c r="Q101" i="13"/>
  <c r="O101" i="13"/>
  <c r="N101" i="13"/>
  <c r="M101" i="13"/>
  <c r="L101" i="13"/>
  <c r="Q100" i="13"/>
  <c r="O100" i="13"/>
  <c r="N100" i="13"/>
  <c r="L100" i="13"/>
  <c r="Q99" i="13"/>
  <c r="O99" i="13"/>
  <c r="N99" i="13"/>
  <c r="M99" i="13"/>
  <c r="L99" i="13"/>
  <c r="Q92" i="13"/>
  <c r="O92" i="13"/>
  <c r="N92" i="13"/>
  <c r="M92" i="13"/>
  <c r="L92" i="13"/>
  <c r="Q104" i="12"/>
  <c r="Q113" i="12" s="1"/>
  <c r="O104" i="12"/>
  <c r="N104" i="12"/>
  <c r="N113" i="12" s="1"/>
  <c r="M104" i="12"/>
  <c r="M113" i="12" s="1"/>
  <c r="L104" i="12"/>
  <c r="L113" i="12" s="1"/>
  <c r="Q103" i="12"/>
  <c r="O103" i="12"/>
  <c r="N103" i="12"/>
  <c r="M103" i="12"/>
  <c r="L103" i="12"/>
  <c r="Q102" i="12"/>
  <c r="O102" i="12"/>
  <c r="N102" i="12"/>
  <c r="M102" i="12"/>
  <c r="L102" i="12"/>
  <c r="Q98" i="12"/>
  <c r="O98" i="12"/>
  <c r="N98" i="12"/>
  <c r="M98" i="12"/>
  <c r="L98" i="12"/>
  <c r="Q97" i="12"/>
  <c r="O97" i="12"/>
  <c r="N97" i="12"/>
  <c r="M97" i="12"/>
  <c r="L97" i="12"/>
  <c r="Q101" i="12"/>
  <c r="O101" i="12"/>
  <c r="N101" i="12"/>
  <c r="M101" i="12"/>
  <c r="L101" i="12"/>
  <c r="Q100" i="12"/>
  <c r="O100" i="12"/>
  <c r="N100" i="12"/>
  <c r="M100" i="12"/>
  <c r="L100" i="12"/>
  <c r="Q99" i="12"/>
  <c r="O99" i="12"/>
  <c r="N99" i="12"/>
  <c r="M99" i="12"/>
  <c r="L99" i="12"/>
  <c r="Q92" i="12"/>
  <c r="O92" i="12"/>
  <c r="N92" i="12"/>
  <c r="M92" i="12"/>
  <c r="L92" i="12"/>
  <c r="R17" i="12"/>
  <c r="R16" i="12"/>
  <c r="S13" i="12"/>
  <c r="R13" i="12"/>
  <c r="S12" i="12"/>
  <c r="R12" i="12"/>
  <c r="S11" i="12"/>
  <c r="R11" i="12"/>
  <c r="S10" i="12"/>
  <c r="R10" i="12"/>
  <c r="S9" i="12"/>
  <c r="R9" i="12"/>
  <c r="S8" i="12"/>
  <c r="S7" i="12"/>
  <c r="R7" i="12"/>
  <c r="S6" i="12"/>
  <c r="R6" i="12"/>
  <c r="R5" i="12"/>
  <c r="G45" i="10"/>
  <c r="J112" i="13" l="1"/>
  <c r="K112" i="13"/>
  <c r="K113" i="12"/>
  <c r="J113" i="12"/>
  <c r="N107" i="14"/>
  <c r="N108" i="14"/>
  <c r="N106" i="13"/>
  <c r="O101" i="14"/>
  <c r="O99" i="14"/>
  <c r="O106" i="14" s="1"/>
  <c r="O100" i="14"/>
  <c r="O107" i="14" s="1"/>
  <c r="N105" i="13"/>
  <c r="M109" i="12"/>
  <c r="L106" i="12"/>
  <c r="N109" i="12"/>
  <c r="M109" i="13"/>
  <c r="M107" i="14"/>
  <c r="M108" i="13"/>
  <c r="M106" i="14"/>
  <c r="M109" i="14"/>
  <c r="N107" i="13"/>
  <c r="N106" i="14"/>
  <c r="N136" i="14" s="1"/>
  <c r="N140" i="14" s="1"/>
  <c r="M105" i="14"/>
  <c r="N113" i="13"/>
  <c r="M108" i="14"/>
  <c r="Q113" i="13"/>
  <c r="Q106" i="13"/>
  <c r="Q109" i="13"/>
  <c r="Q107" i="13"/>
  <c r="N109" i="14"/>
  <c r="N105" i="12"/>
  <c r="L108" i="13"/>
  <c r="L105" i="13"/>
  <c r="N105" i="14"/>
  <c r="N107" i="12"/>
  <c r="Q108" i="13"/>
  <c r="L109" i="12"/>
  <c r="M106" i="13"/>
  <c r="Q105" i="12"/>
  <c r="O105" i="12"/>
  <c r="O107" i="12"/>
  <c r="O113" i="12"/>
  <c r="L108" i="12"/>
  <c r="Q112" i="12"/>
  <c r="L107" i="13"/>
  <c r="O112" i="13"/>
  <c r="L109" i="14"/>
  <c r="M107" i="13"/>
  <c r="Q108" i="12"/>
  <c r="L107" i="14"/>
  <c r="L113" i="13"/>
  <c r="L106" i="13"/>
  <c r="O108" i="12"/>
  <c r="O112" i="14"/>
  <c r="L107" i="12"/>
  <c r="N109" i="13"/>
  <c r="L109" i="13"/>
  <c r="O109" i="13"/>
  <c r="O109" i="14"/>
  <c r="M105" i="12"/>
  <c r="O106" i="13"/>
  <c r="M107" i="12"/>
  <c r="O113" i="13"/>
  <c r="O105" i="14"/>
  <c r="Q107" i="12"/>
  <c r="M108" i="12"/>
  <c r="N108" i="12"/>
  <c r="O105" i="13"/>
  <c r="L108" i="14"/>
  <c r="O107" i="13"/>
  <c r="Q105" i="13"/>
  <c r="M112" i="14"/>
  <c r="O108" i="14"/>
  <c r="N108" i="13"/>
  <c r="M106" i="12"/>
  <c r="N106" i="12"/>
  <c r="O109" i="12"/>
  <c r="O108" i="13"/>
  <c r="L106" i="14"/>
  <c r="L136" i="14" s="1"/>
  <c r="L140" i="14" s="1"/>
  <c r="O113" i="14"/>
  <c r="O106" i="12"/>
  <c r="Q109" i="12"/>
  <c r="Q106" i="12"/>
  <c r="L112" i="14"/>
  <c r="L105" i="14"/>
  <c r="N112" i="14"/>
  <c r="M112" i="13"/>
  <c r="M105" i="13"/>
  <c r="L112" i="12"/>
  <c r="M112" i="12"/>
  <c r="L105" i="12"/>
  <c r="N112" i="12"/>
  <c r="O112" i="12"/>
  <c r="G24" i="10"/>
  <c r="J112" i="12" l="1"/>
  <c r="K112" i="12"/>
  <c r="M136" i="12"/>
  <c r="M140" i="12" s="1"/>
  <c r="O136" i="14"/>
  <c r="O140" i="14" s="1"/>
  <c r="M136" i="14"/>
  <c r="M140" i="14" s="1"/>
  <c r="L136" i="13"/>
  <c r="L140" i="13" s="1"/>
  <c r="Q136" i="13"/>
  <c r="Q140" i="13" s="1"/>
  <c r="N136" i="12"/>
  <c r="N140" i="12" s="1"/>
  <c r="O136" i="13"/>
  <c r="L136" i="12"/>
  <c r="L140" i="12" s="1"/>
  <c r="M136" i="13"/>
  <c r="M140" i="13" s="1"/>
  <c r="Q136" i="12"/>
  <c r="Q140" i="12" s="1"/>
  <c r="N136" i="13"/>
  <c r="N140" i="13" s="1"/>
  <c r="O136" i="12"/>
  <c r="L110" i="12"/>
  <c r="N110" i="14"/>
  <c r="N142" i="14" s="1"/>
  <c r="L110" i="13"/>
  <c r="M110" i="14"/>
  <c r="N110" i="13"/>
  <c r="Q110" i="13"/>
  <c r="M110" i="12"/>
  <c r="M142" i="12" s="1"/>
  <c r="M110" i="13"/>
  <c r="O110" i="13"/>
  <c r="L110" i="14"/>
  <c r="L142" i="14" s="1"/>
  <c r="Q110" i="12"/>
  <c r="N110" i="12"/>
  <c r="O110" i="12"/>
  <c r="O110" i="14"/>
  <c r="Q142" i="13" l="1"/>
  <c r="L142" i="13"/>
  <c r="M142" i="14"/>
  <c r="O142" i="14"/>
  <c r="N142" i="13"/>
  <c r="O140" i="13"/>
  <c r="O140" i="12"/>
  <c r="Q142" i="12"/>
  <c r="M142" i="13"/>
  <c r="L142" i="12"/>
  <c r="N142" i="12"/>
  <c r="Q104" i="11"/>
  <c r="Q113" i="11" s="1"/>
  <c r="O104" i="11"/>
  <c r="N104" i="11"/>
  <c r="N113" i="11" s="1"/>
  <c r="M104" i="11"/>
  <c r="L104" i="11"/>
  <c r="Q103" i="11"/>
  <c r="O103" i="11"/>
  <c r="N103" i="11"/>
  <c r="M103" i="11"/>
  <c r="L103" i="11"/>
  <c r="Q102" i="11"/>
  <c r="O102" i="11"/>
  <c r="N102" i="11"/>
  <c r="M102" i="11"/>
  <c r="L102" i="11"/>
  <c r="Q98" i="11"/>
  <c r="O98" i="11"/>
  <c r="N98" i="11"/>
  <c r="M98" i="11"/>
  <c r="L98" i="11"/>
  <c r="Q97" i="11"/>
  <c r="O97" i="11"/>
  <c r="N97" i="11"/>
  <c r="M97" i="11"/>
  <c r="L97" i="11"/>
  <c r="Q95" i="11"/>
  <c r="Q101" i="11" s="1"/>
  <c r="O95" i="11"/>
  <c r="N95" i="11"/>
  <c r="N101" i="11" s="1"/>
  <c r="M95" i="11"/>
  <c r="L95" i="11"/>
  <c r="Q94" i="11"/>
  <c r="Q100" i="11" s="1"/>
  <c r="O94" i="11"/>
  <c r="N94" i="11"/>
  <c r="N100" i="11" s="1"/>
  <c r="M94" i="11"/>
  <c r="L94" i="11"/>
  <c r="Q93" i="11"/>
  <c r="Q99" i="11" s="1"/>
  <c r="O93" i="11"/>
  <c r="N93" i="11"/>
  <c r="N99" i="11" s="1"/>
  <c r="M93" i="11"/>
  <c r="L93" i="11"/>
  <c r="Q92" i="11"/>
  <c r="O92" i="11"/>
  <c r="N92" i="11"/>
  <c r="M92" i="11"/>
  <c r="L92" i="11"/>
  <c r="K113" i="3"/>
  <c r="J113" i="3" s="1"/>
  <c r="K112" i="3"/>
  <c r="O142" i="13" l="1"/>
  <c r="O142" i="12"/>
  <c r="Q105" i="11"/>
  <c r="L109" i="11"/>
  <c r="M99" i="11"/>
  <c r="M106" i="11" s="1"/>
  <c r="L99" i="11"/>
  <c r="L106" i="11" s="1"/>
  <c r="O99" i="11"/>
  <c r="L100" i="11"/>
  <c r="M100" i="11"/>
  <c r="O100" i="11"/>
  <c r="M101" i="11"/>
  <c r="L101" i="11"/>
  <c r="O101" i="11"/>
  <c r="M109" i="11"/>
  <c r="N109" i="11"/>
  <c r="N107" i="11"/>
  <c r="O105" i="11"/>
  <c r="Q107" i="11"/>
  <c r="N106" i="11"/>
  <c r="M112" i="11"/>
  <c r="N108" i="11"/>
  <c r="O109" i="11"/>
  <c r="Q109" i="11"/>
  <c r="L112" i="11"/>
  <c r="N105" i="11"/>
  <c r="Q108" i="11"/>
  <c r="L105" i="11"/>
  <c r="M105" i="11"/>
  <c r="O112" i="11"/>
  <c r="M113" i="11"/>
  <c r="N112" i="11"/>
  <c r="Q112" i="11"/>
  <c r="L113" i="11"/>
  <c r="Q106" i="11"/>
  <c r="Q136" i="11" s="1"/>
  <c r="Q140" i="11" s="1"/>
  <c r="O113" i="11"/>
  <c r="J113" i="11" l="1"/>
  <c r="K113" i="11"/>
  <c r="N136" i="11"/>
  <c r="N140" i="11" s="1"/>
  <c r="M108" i="11"/>
  <c r="O106" i="11"/>
  <c r="N110" i="11"/>
  <c r="O108" i="11"/>
  <c r="O107" i="11"/>
  <c r="L108" i="11"/>
  <c r="M107" i="11"/>
  <c r="L107" i="11"/>
  <c r="L136" i="11" s="1"/>
  <c r="L140" i="11" s="1"/>
  <c r="Q110" i="11"/>
  <c r="Q142" i="11" s="1"/>
  <c r="N142" i="11" l="1"/>
  <c r="M136" i="11"/>
  <c r="M140" i="11" s="1"/>
  <c r="O136" i="11"/>
  <c r="M110" i="11"/>
  <c r="M142" i="11" s="1"/>
  <c r="L110" i="11"/>
  <c r="L142" i="11" s="1"/>
  <c r="O110" i="11"/>
  <c r="F45" i="10"/>
  <c r="E45" i="10"/>
  <c r="D45" i="10"/>
  <c r="E24" i="10"/>
  <c r="F24" i="10"/>
  <c r="D24" i="10"/>
  <c r="M98" i="3"/>
  <c r="N98" i="3"/>
  <c r="O98" i="3"/>
  <c r="Q98" i="3"/>
  <c r="L98" i="3"/>
  <c r="O140" i="11" l="1"/>
  <c r="O142" i="11" l="1"/>
  <c r="L92" i="3"/>
  <c r="N101" i="3"/>
  <c r="Q104" i="3"/>
  <c r="O104" i="3"/>
  <c r="N104" i="3"/>
  <c r="M104" i="3"/>
  <c r="L104" i="3"/>
  <c r="Q103" i="3"/>
  <c r="O103" i="3"/>
  <c r="N103" i="3"/>
  <c r="M103" i="3"/>
  <c r="L103" i="3"/>
  <c r="Q102" i="3"/>
  <c r="O102" i="3"/>
  <c r="N102" i="3"/>
  <c r="M102" i="3"/>
  <c r="L102" i="3"/>
  <c r="Q97" i="3"/>
  <c r="O97" i="3"/>
  <c r="N97" i="3"/>
  <c r="M97" i="3"/>
  <c r="L97" i="3"/>
  <c r="Q101" i="3"/>
  <c r="Q100" i="3"/>
  <c r="N100" i="3"/>
  <c r="L100" i="3"/>
  <c r="Q99" i="3"/>
  <c r="O99" i="3"/>
  <c r="N99" i="3"/>
  <c r="M99" i="3"/>
  <c r="L99" i="3"/>
  <c r="Q92" i="3"/>
  <c r="O92" i="3"/>
  <c r="N92" i="3"/>
  <c r="M92" i="3"/>
  <c r="N106" i="3" l="1"/>
  <c r="M100" i="3"/>
  <c r="M107" i="3" s="1"/>
  <c r="O100" i="3"/>
  <c r="O107" i="3" s="1"/>
  <c r="L101" i="3"/>
  <c r="L108" i="3" s="1"/>
  <c r="O101" i="3"/>
  <c r="M101" i="3"/>
  <c r="M108" i="3" s="1"/>
  <c r="Q105" i="3"/>
  <c r="Q112" i="3"/>
  <c r="Q113" i="3"/>
  <c r="L112" i="3"/>
  <c r="L113" i="3"/>
  <c r="M113" i="3"/>
  <c r="M112" i="3"/>
  <c r="N105" i="3"/>
  <c r="N113" i="3"/>
  <c r="N112" i="3"/>
  <c r="O113" i="3"/>
  <c r="O112" i="3"/>
  <c r="Q109" i="3"/>
  <c r="L105" i="3"/>
  <c r="O105" i="3"/>
  <c r="O106" i="3"/>
  <c r="N107" i="3"/>
  <c r="N109" i="3"/>
  <c r="O109" i="3"/>
  <c r="M109" i="3"/>
  <c r="Q108" i="3"/>
  <c r="Q106" i="3"/>
  <c r="M105" i="3"/>
  <c r="L106" i="3"/>
  <c r="L107" i="3"/>
  <c r="N108" i="3"/>
  <c r="L109" i="3"/>
  <c r="M106" i="3"/>
  <c r="Q107" i="3"/>
  <c r="Q136" i="3" l="1"/>
  <c r="Q140" i="3" s="1"/>
  <c r="L136" i="3"/>
  <c r="L140" i="3" s="1"/>
  <c r="M136" i="3"/>
  <c r="M140" i="3" s="1"/>
  <c r="M142" i="3" s="1"/>
  <c r="N136" i="3"/>
  <c r="N140" i="3" s="1"/>
  <c r="N142" i="3" s="1"/>
  <c r="O108" i="3"/>
  <c r="O136" i="3" s="1"/>
  <c r="Q110" i="3"/>
  <c r="N110" i="3"/>
  <c r="M110" i="3"/>
  <c r="L110" i="3"/>
  <c r="O140" i="3" l="1"/>
  <c r="L142" i="3"/>
  <c r="Q142" i="3"/>
  <c r="O110" i="3"/>
  <c r="O142" i="3" l="1"/>
</calcChain>
</file>

<file path=xl/sharedStrings.xml><?xml version="1.0" encoding="utf-8"?>
<sst xmlns="http://schemas.openxmlformats.org/spreadsheetml/2006/main" count="3594" uniqueCount="208">
  <si>
    <t>Optimization results</t>
  </si>
  <si>
    <t>Renewable Energy Share</t>
  </si>
  <si>
    <t>%</t>
  </si>
  <si>
    <t>PV capacity</t>
  </si>
  <si>
    <t>MW</t>
  </si>
  <si>
    <t>Wind capacity</t>
  </si>
  <si>
    <t>BESS capacity</t>
  </si>
  <si>
    <t>MWh</t>
  </si>
  <si>
    <t>BESS equivalent cycles</t>
  </si>
  <si>
    <t>-</t>
  </si>
  <si>
    <t>Biogas storage size</t>
  </si>
  <si>
    <t>Biogas storage hours</t>
  </si>
  <si>
    <t>h</t>
  </si>
  <si>
    <t>Syngas storage size</t>
  </si>
  <si>
    <t>Syngas storage hours</t>
  </si>
  <si>
    <t>Hydrogen production cost</t>
  </si>
  <si>
    <t>€/kg</t>
  </si>
  <si>
    <t>Hydrogen storage size</t>
  </si>
  <si>
    <t>m3</t>
  </si>
  <si>
    <t>Syngas generation size</t>
  </si>
  <si>
    <t>Hydrogen storage hours</t>
  </si>
  <si>
    <t>Gas Separation size</t>
  </si>
  <si>
    <t>Annual energy balance</t>
  </si>
  <si>
    <t>Plant load 1+2</t>
  </si>
  <si>
    <t>MWh/year</t>
  </si>
  <si>
    <t>Plant load 2</t>
  </si>
  <si>
    <t>From PV</t>
  </si>
  <si>
    <t>From wind</t>
  </si>
  <si>
    <t>From grid</t>
  </si>
  <si>
    <t>To grid</t>
  </si>
  <si>
    <t>To battery</t>
  </si>
  <si>
    <t>From battery</t>
  </si>
  <si>
    <t>sum</t>
  </si>
  <si>
    <t>PV Capex</t>
  </si>
  <si>
    <t>Wind Capex</t>
  </si>
  <si>
    <t>BESS Capex</t>
  </si>
  <si>
    <t>Gas storage Capex</t>
  </si>
  <si>
    <t>BGRw Capex</t>
  </si>
  <si>
    <t>PV fOpex</t>
  </si>
  <si>
    <t>Wind fOpex</t>
  </si>
  <si>
    <t>BESS fOpex</t>
  </si>
  <si>
    <t>eBGRw+storage fOpex</t>
  </si>
  <si>
    <t>Hydrogen storage fOpex</t>
  </si>
  <si>
    <t>Battery vOpex</t>
  </si>
  <si>
    <t>Hydrogen storage vOpex</t>
  </si>
  <si>
    <t>eBGRw vOpex</t>
  </si>
  <si>
    <t>Biogas</t>
  </si>
  <si>
    <t>Electricity from grid</t>
  </si>
  <si>
    <t>CO2 credits</t>
  </si>
  <si>
    <t>Electricity sold to grid 30</t>
  </si>
  <si>
    <t>Electricity sold to grid 60</t>
  </si>
  <si>
    <t>H2 production cost</t>
  </si>
  <si>
    <t>H2 production cost (30)</t>
  </si>
  <si>
    <t>H2 production cost (60)</t>
  </si>
  <si>
    <t>H2 cost check</t>
  </si>
  <si>
    <t>CAPEX BREAKDOWN</t>
  </si>
  <si>
    <t xml:space="preserve">PV </t>
  </si>
  <si>
    <t>€</t>
  </si>
  <si>
    <t xml:space="preserve">Wind </t>
  </si>
  <si>
    <t>BESS</t>
  </si>
  <si>
    <t>Biogas Storage</t>
  </si>
  <si>
    <t>Syngas storage</t>
  </si>
  <si>
    <t>Hydrogen storage</t>
  </si>
  <si>
    <t xml:space="preserve">Syngas generation </t>
  </si>
  <si>
    <t xml:space="preserve">Gas separation </t>
  </si>
  <si>
    <t>Bio-Digester heat  --&gt; % LHV power</t>
  </si>
  <si>
    <t>unit</t>
  </si>
  <si>
    <t>heat required</t>
  </si>
  <si>
    <t>heat available</t>
  </si>
  <si>
    <t>excess heat</t>
  </si>
  <si>
    <t>Renewable balance</t>
  </si>
  <si>
    <t>Grid out due to PV</t>
  </si>
  <si>
    <t>Grid out due to Wind</t>
  </si>
  <si>
    <t>PV energy to grid</t>
  </si>
  <si>
    <t>Wind energy to grid</t>
  </si>
  <si>
    <t>Renewable energy to grid</t>
  </si>
  <si>
    <t xml:space="preserve">LCOE </t>
  </si>
  <si>
    <t>LCOE (EE to grid 30 €/MWh)</t>
  </si>
  <si>
    <t>LCOE (EE to grid 60 €/MWh)</t>
  </si>
  <si>
    <t>LCOE tot</t>
  </si>
  <si>
    <t>LCOE tot (EE to grid 30 €/MWh)</t>
  </si>
  <si>
    <t>LCOE tot (EE to grid 60 €/MWh)</t>
  </si>
  <si>
    <t>Battery/(PV+Wind)</t>
  </si>
  <si>
    <t>Specific emission</t>
  </si>
  <si>
    <t>Lifetime</t>
  </si>
  <si>
    <t>Year</t>
  </si>
  <si>
    <t>PV</t>
  </si>
  <si>
    <t>Wind</t>
  </si>
  <si>
    <t>BESS (Li-ion)</t>
  </si>
  <si>
    <t>PV emissions</t>
  </si>
  <si>
    <t>Wind emissions</t>
  </si>
  <si>
    <t>from grid</t>
  </si>
  <si>
    <t>from PV</t>
  </si>
  <si>
    <t>from Wind</t>
  </si>
  <si>
    <t>from battery</t>
  </si>
  <si>
    <t>from Plant</t>
  </si>
  <si>
    <t>Captured</t>
  </si>
  <si>
    <t>H2 produced</t>
  </si>
  <si>
    <t>Emission from grid</t>
  </si>
  <si>
    <t>BESS emissions (Li-ion)</t>
  </si>
  <si>
    <t>Captured CO2</t>
  </si>
  <si>
    <t>Net emission biogenic</t>
  </si>
  <si>
    <t>NOME FILE EXCEL</t>
  </si>
  <si>
    <t>€/kgH2</t>
  </si>
  <si>
    <r>
      <t>g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>/kWh</t>
    </r>
  </si>
  <si>
    <r>
      <t>Annual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emissions (360 g</t>
    </r>
    <r>
      <rPr>
        <b/>
        <vertAlign val="subscript"/>
        <sz val="11"/>
        <color theme="1"/>
        <rFont val="Calibri"/>
        <family val="2"/>
        <scheme val="minor"/>
      </rPr>
      <t>CO2</t>
    </r>
    <r>
      <rPr>
        <b/>
        <sz val="11"/>
        <color theme="1"/>
        <rFont val="Calibri"/>
        <family val="2"/>
        <scheme val="minor"/>
      </rPr>
      <t>/kWh)</t>
    </r>
  </si>
  <si>
    <r>
      <t>kg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>/year</t>
    </r>
  </si>
  <si>
    <r>
      <t>kg</t>
    </r>
    <r>
      <rPr>
        <vertAlign val="subscript"/>
        <sz val="11"/>
        <color theme="1"/>
        <rFont val="Calibri"/>
        <family val="2"/>
        <scheme val="minor"/>
      </rPr>
      <t>H2</t>
    </r>
    <r>
      <rPr>
        <sz val="11"/>
        <color theme="1"/>
        <rFont val="Calibri"/>
        <family val="2"/>
        <scheme val="minor"/>
      </rPr>
      <t>/year</t>
    </r>
  </si>
  <si>
    <r>
      <t>kg</t>
    </r>
    <r>
      <rPr>
        <b/>
        <vertAlign val="subscript"/>
        <sz val="11"/>
        <color theme="1"/>
        <rFont val="Calibri"/>
        <family val="2"/>
        <scheme val="minor"/>
      </rPr>
      <t>CO2</t>
    </r>
    <r>
      <rPr>
        <b/>
        <sz val="11"/>
        <color theme="1"/>
        <rFont val="Calibri"/>
        <family val="2"/>
        <scheme val="minor"/>
      </rPr>
      <t>/kg</t>
    </r>
    <r>
      <rPr>
        <b/>
        <vertAlign val="subscript"/>
        <sz val="11"/>
        <color theme="1"/>
        <rFont val="Calibri"/>
        <family val="2"/>
        <scheme val="minor"/>
      </rPr>
      <t>H2</t>
    </r>
  </si>
  <si>
    <r>
      <t>kg</t>
    </r>
    <r>
      <rPr>
        <b/>
        <vertAlign val="subscript"/>
        <sz val="11"/>
        <color theme="1"/>
        <rFont val="Calibri"/>
        <family val="2"/>
        <scheme val="minor"/>
      </rPr>
      <t>CO2</t>
    </r>
    <r>
      <rPr>
        <b/>
        <sz val="11"/>
        <color theme="1"/>
        <rFont val="Calibri"/>
        <family val="2"/>
        <scheme val="minor"/>
      </rPr>
      <t>/kg</t>
    </r>
    <r>
      <rPr>
        <b/>
        <vertAlign val="subscript"/>
        <sz val="11"/>
        <color theme="1"/>
        <rFont val="Calibri"/>
        <family val="2"/>
        <scheme val="minor"/>
      </rPr>
      <t>H2</t>
    </r>
    <r>
      <rPr>
        <sz val="11"/>
        <color theme="1"/>
        <rFont val="Calibri"/>
        <family val="2"/>
        <scheme val="minor"/>
      </rPr>
      <t/>
    </r>
  </si>
  <si>
    <t>Grid</t>
  </si>
  <si>
    <t>kgCO2/kW</t>
  </si>
  <si>
    <t xml:space="preserve">Mean elctricity </t>
  </si>
  <si>
    <t>Max electricity</t>
  </si>
  <si>
    <t>CF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</si>
  <si>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</si>
  <si>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</si>
  <si>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</si>
  <si>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</si>
  <si>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</si>
  <si>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</si>
  <si>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</si>
  <si>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</si>
  <si>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</si>
  <si>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</si>
  <si>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</si>
  <si>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</si>
  <si>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</si>
  <si>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Mean</t>
  </si>
  <si>
    <t>Liguria</t>
  </si>
  <si>
    <t>Gela</t>
  </si>
  <si>
    <t>Cagliari</t>
  </si>
  <si>
    <t>WIND</t>
  </si>
  <si>
    <t>LCOE PV</t>
  </si>
  <si>
    <t>LCOE Wind</t>
  </si>
  <si>
    <t>Denmark</t>
  </si>
  <si>
    <t>Ref. Capacity</t>
  </si>
  <si>
    <t>kW</t>
  </si>
  <si>
    <t>Ref. Capcity</t>
  </si>
  <si>
    <t>Output_BGSY_b2.xlsm</t>
  </si>
  <si>
    <t>Output_BGSY_2030.xlsm</t>
  </si>
  <si>
    <t>BGfix</t>
  </si>
  <si>
    <t>BGvar</t>
  </si>
  <si>
    <t>€/MWh</t>
  </si>
  <si>
    <t>Output_BGfix_1.xlsm</t>
  </si>
  <si>
    <t>Output_BGSY_1.xlsm</t>
  </si>
  <si>
    <t>BGSY</t>
  </si>
  <si>
    <t>Output_BGSY_big.xlsm</t>
  </si>
  <si>
    <t>big</t>
  </si>
  <si>
    <t>small</t>
  </si>
  <si>
    <t>Output_BGfix_2.xlsm</t>
  </si>
  <si>
    <t>North Ita</t>
  </si>
  <si>
    <t>South Ita</t>
  </si>
  <si>
    <t>Biogas cost</t>
  </si>
  <si>
    <t>Small</t>
  </si>
  <si>
    <t>Medium</t>
  </si>
  <si>
    <t>Big</t>
  </si>
  <si>
    <t>Big/Small ratio</t>
  </si>
  <si>
    <t>Inflexible</t>
  </si>
  <si>
    <t>Flexible</t>
  </si>
  <si>
    <t>Output_BGfix_b_paper.xlsm</t>
  </si>
  <si>
    <t>Output_BGSY_b_paper.xlsm</t>
  </si>
  <si>
    <t>Output_BGSY_d.xlsm</t>
  </si>
  <si>
    <t>Output_BGfix_b2_paper.xlsm</t>
  </si>
  <si>
    <t>Output_BGfix_d2.xlsm</t>
  </si>
  <si>
    <t>Output_BGfix_d.xlsm</t>
  </si>
  <si>
    <t>Output_BGSY_d2.xlsm</t>
  </si>
  <si>
    <t>Output_BGSY_2big.xlsm</t>
  </si>
  <si>
    <t>ht</t>
  </si>
  <si>
    <t>Garrett and Rønde</t>
  </si>
  <si>
    <t>Tremeac and Meunier</t>
  </si>
  <si>
    <t>Demir and Taşkın</t>
  </si>
  <si>
    <t>bine
(MW)</t>
  </si>
  <si>
    <t>r
Ø (m)</t>
  </si>
  <si>
    <t>Tower
height (m)</t>
  </si>
  <si>
    <t>Full load
hours (h)</t>
  </si>
  <si>
    <t>GWP
(g CO2 eq.)</t>
  </si>
  <si>
    <t>EPBT
(year)</t>
  </si>
  <si>
    <t>Guezuraga et al. (2012)</t>
  </si>
  <si>
    <t>(Martínez et al., 2008)</t>
  </si>
  <si>
    <t>n.a.</t>
  </si>
  <si>
    <t>Haapala and</t>
  </si>
  <si>
    <t>Prempreeda (2014)</t>
  </si>
  <si>
    <t>ENERCON (2011)a</t>
  </si>
  <si>
    <t>107b</t>
  </si>
  <si>
    <t>Siemens (2015)c                       3.2               -            113           92.5             4300                4d             0.38d</t>
  </si>
  <si>
    <t>GWP emission
[kgCO2,eq/kWp]</t>
  </si>
  <si>
    <r>
      <t>Annual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emissions Low scenario</t>
    </r>
  </si>
  <si>
    <r>
      <t>Annual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emissions High scenario</t>
    </r>
  </si>
  <si>
    <t>Grid emission</t>
  </si>
  <si>
    <r>
      <t>kg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>/kg</t>
    </r>
    <r>
      <rPr>
        <vertAlign val="subscript"/>
        <sz val="11"/>
        <color theme="1"/>
        <rFont val="Calibri"/>
        <family val="2"/>
        <scheme val="minor"/>
      </rPr>
      <t>H2</t>
    </r>
    <r>
      <rPr>
        <sz val="11"/>
        <color theme="1"/>
        <rFont val="Calibri"/>
        <family val="2"/>
        <scheme val="minor"/>
      </rPr>
      <t/>
    </r>
  </si>
  <si>
    <r>
      <t>kg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>/kg</t>
    </r>
    <r>
      <rPr>
        <vertAlign val="subscript"/>
        <sz val="11"/>
        <color theme="1"/>
        <rFont val="Calibri"/>
        <family val="2"/>
        <scheme val="minor"/>
      </rPr>
      <t>H2</t>
    </r>
  </si>
  <si>
    <t>Embedded emission low</t>
  </si>
  <si>
    <t>Embedded emission high</t>
  </si>
  <si>
    <t>Net emission low</t>
  </si>
  <si>
    <t>Net emission high</t>
  </si>
  <si>
    <t>check low</t>
  </si>
  <si>
    <t>check high</t>
  </si>
  <si>
    <t>Short-term</t>
  </si>
  <si>
    <t>Long-term</t>
  </si>
  <si>
    <r>
      <t>RENS =95% ; Small scale (390 Nm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/h biogas)</t>
    </r>
  </si>
  <si>
    <r>
      <t>RENS =95% ; Big scale (x10 = 3900 Nm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/h biogas)</t>
    </r>
  </si>
  <si>
    <t>PV+wind CAPEX</t>
  </si>
  <si>
    <t>BESS CAPEX</t>
  </si>
  <si>
    <t>Other OPEX</t>
  </si>
  <si>
    <t>REN &amp; BESS tot</t>
  </si>
  <si>
    <t>PV,Wind BESS CAPEX</t>
  </si>
  <si>
    <t>Flexibility saving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</si>
</sst>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64" formatCode="#,##0.00\ &quot;€&quot;"/>
    <numFmt numFmtId="165" formatCode="0.000"/>
    <numFmt numFmtId="166" formatCode="#,##0\ _€"/>
    <numFmt numFmtId="167" formatCode="#,##0\ &quot;€&quot;"/>
    <numFmt numFmtId="168" formatCode="0.0%"/>
    <numFmt numFmtId="169" formatCode="0.000%"/>
    <numFmt numFmtId="170" formatCode="0.0"/>
    <numFmt numFmtId="171" formatCode="_-* #,##0\ &quot;€&quot;_-;\-* #,##0\ &quot;€&quot;_-;_-* &quot;-&quot;??\ &quot;€&quot;_-;_-@_-"/>
    <numFmt numFmtId="172" formatCode="0_);\(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  <charset val="204"/>
    </font>
    <font>
      <sz val="10"/>
      <color indexed="8"/>
      <name val="Arial"/>
      <family val="2"/>
    </font>
    <font>
      <sz val="10"/>
      <color indexed="8"/>
      <name val="Arial"/>
      <family val="1"/>
      <charset val="204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41" fontId="1" fillId="0" borderId="0" applyFont="0" applyFill="0" applyBorder="0" applyAlignment="0" applyProtection="0"/>
  </cellStyleXfs>
  <cellXfs count="50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0" xfId="0" applyAlignment="1">
      <alignment horizontal="center" vertical="center"/>
    </xf>
    <xf numFmtId="0" fontId="2" fillId="3" borderId="4" xfId="0" applyFont="1" applyFill="1" applyBorder="1" applyAlignment="1">
      <alignment wrapText="1"/>
    </xf>
    <xf numFmtId="0" fontId="2" fillId="3" borderId="5" xfId="0" applyFont="1" applyFill="1" applyBorder="1" applyAlignment="1">
      <alignment horizontal="center" vertical="center"/>
    </xf>
    <xf numFmtId="9" fontId="0" fillId="3" borderId="5" xfId="1" applyFont="1" applyFill="1" applyBorder="1" applyAlignment="1">
      <alignment horizontal="center" vertical="center"/>
    </xf>
    <xf numFmtId="9" fontId="0" fillId="3" borderId="6" xfId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9" fontId="0" fillId="0" borderId="7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0" fillId="0" borderId="5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2" fontId="0" fillId="0" borderId="5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2" fillId="0" borderId="0" xfId="0" applyFont="1"/>
    <xf numFmtId="9" fontId="0" fillId="0" borderId="2" xfId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2" fontId="0" fillId="0" borderId="7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left" vertical="center" wrapText="1"/>
    </xf>
    <xf numFmtId="0" fontId="0" fillId="4" borderId="1" xfId="0" applyFill="1" applyBorder="1"/>
    <xf numFmtId="0" fontId="0" fillId="4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10" fontId="0" fillId="0" borderId="0" xfId="1" applyNumberFormat="1" applyFont="1"/>
    <xf numFmtId="0" fontId="0" fillId="0" borderId="9" xfId="0" applyBorder="1"/>
    <xf numFmtId="1" fontId="0" fillId="0" borderId="10" xfId="0" applyNumberFormat="1" applyBorder="1" applyAlignment="1">
      <alignment horizontal="center" vertical="center"/>
    </xf>
    <xf numFmtId="167" fontId="0" fillId="0" borderId="0" xfId="0" applyNumberFormat="1"/>
    <xf numFmtId="0" fontId="0" fillId="0" borderId="11" xfId="0" applyBorder="1"/>
    <xf numFmtId="0" fontId="0" fillId="0" borderId="12" xfId="0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2" fillId="5" borderId="14" xfId="0" applyFont="1" applyFill="1" applyBorder="1"/>
    <xf numFmtId="0" fontId="0" fillId="6" borderId="1" xfId="0" applyFill="1" applyBorder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0" fontId="0" fillId="6" borderId="0" xfId="0" applyFill="1" applyAlignment="1">
      <alignment horizontal="center" vertical="center"/>
    </xf>
    <xf numFmtId="165" fontId="0" fillId="6" borderId="0" xfId="0" applyNumberFormat="1" applyFill="1" applyAlignment="1">
      <alignment horizontal="center" vertical="center"/>
    </xf>
    <xf numFmtId="165" fontId="0" fillId="6" borderId="10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165" fontId="0" fillId="7" borderId="2" xfId="0" applyNumberForma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10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left" vertical="center"/>
    </xf>
    <xf numFmtId="0" fontId="0" fillId="7" borderId="5" xfId="0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0" fillId="7" borderId="6" xfId="0" applyNumberFormat="1" applyFill="1" applyBorder="1" applyAlignment="1">
      <alignment horizontal="center" vertical="center"/>
    </xf>
    <xf numFmtId="0" fontId="0" fillId="8" borderId="9" xfId="0" applyFill="1" applyBorder="1" applyAlignment="1">
      <alignment horizontal="left" vertical="center"/>
    </xf>
    <xf numFmtId="0" fontId="0" fillId="8" borderId="0" xfId="0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165" fontId="0" fillId="8" borderId="10" xfId="0" applyNumberForma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center"/>
    </xf>
    <xf numFmtId="0" fontId="0" fillId="9" borderId="12" xfId="0" applyFill="1" applyBorder="1" applyAlignment="1">
      <alignment horizontal="center" vertical="center"/>
    </xf>
    <xf numFmtId="165" fontId="0" fillId="9" borderId="12" xfId="0" applyNumberFormat="1" applyFill="1" applyBorder="1" applyAlignment="1">
      <alignment horizontal="center" vertical="center"/>
    </xf>
    <xf numFmtId="165" fontId="0" fillId="9" borderId="1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165" fontId="0" fillId="2" borderId="2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165" fontId="0" fillId="2" borderId="6" xfId="0" applyNumberFormat="1" applyFill="1" applyBorder="1" applyAlignment="1">
      <alignment horizontal="center" vertical="center"/>
    </xf>
    <xf numFmtId="0" fontId="0" fillId="10" borderId="9" xfId="0" applyFill="1" applyBorder="1" applyAlignment="1">
      <alignment horizontal="left" vertical="center"/>
    </xf>
    <xf numFmtId="0" fontId="0" fillId="10" borderId="0" xfId="0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5" fontId="0" fillId="10" borderId="10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left" vertical="center"/>
    </xf>
    <xf numFmtId="0" fontId="0" fillId="10" borderId="5" xfId="0" applyFill="1" applyBorder="1" applyAlignment="1">
      <alignment horizontal="center" vertical="center"/>
    </xf>
    <xf numFmtId="165" fontId="0" fillId="10" borderId="5" xfId="0" applyNumberFormat="1" applyFill="1" applyBorder="1" applyAlignment="1">
      <alignment horizontal="center" vertical="center"/>
    </xf>
    <xf numFmtId="165" fontId="0" fillId="10" borderId="6" xfId="0" applyNumberForma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left" vertical="center"/>
    </xf>
    <xf numFmtId="0" fontId="3" fillId="11" borderId="12" xfId="0" applyFont="1" applyFill="1" applyBorder="1" applyAlignment="1">
      <alignment horizontal="center" vertical="center"/>
    </xf>
    <xf numFmtId="165" fontId="4" fillId="11" borderId="12" xfId="0" applyNumberFormat="1" applyFont="1" applyFill="1" applyBorder="1" applyAlignment="1">
      <alignment horizontal="center"/>
    </xf>
    <xf numFmtId="165" fontId="4" fillId="11" borderId="13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9" fontId="0" fillId="0" borderId="0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9" fontId="0" fillId="3" borderId="10" xfId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167" fontId="0" fillId="4" borderId="2" xfId="0" applyNumberFormat="1" applyFill="1" applyBorder="1" applyAlignment="1">
      <alignment horizontal="center" vertical="center"/>
    </xf>
    <xf numFmtId="167" fontId="0" fillId="4" borderId="3" xfId="0" applyNumberFormat="1" applyFill="1" applyBorder="1" applyAlignment="1">
      <alignment horizontal="center" vertical="center"/>
    </xf>
    <xf numFmtId="0" fontId="0" fillId="4" borderId="9" xfId="0" applyFill="1" applyBorder="1"/>
    <xf numFmtId="0" fontId="0" fillId="4" borderId="0" xfId="0" applyFill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167" fontId="0" fillId="4" borderId="10" xfId="0" applyNumberFormat="1" applyFill="1" applyBorder="1" applyAlignment="1">
      <alignment horizontal="center" vertical="center"/>
    </xf>
    <xf numFmtId="0" fontId="0" fillId="6" borderId="9" xfId="0" applyFill="1" applyBorder="1"/>
    <xf numFmtId="167" fontId="0" fillId="6" borderId="0" xfId="0" applyNumberFormat="1" applyFill="1" applyAlignment="1">
      <alignment horizontal="center" vertical="center"/>
    </xf>
    <xf numFmtId="167" fontId="0" fillId="6" borderId="10" xfId="0" applyNumberFormat="1" applyFill="1" applyBorder="1" applyAlignment="1">
      <alignment horizontal="center" vertical="center"/>
    </xf>
    <xf numFmtId="0" fontId="0" fillId="12" borderId="9" xfId="0" applyFill="1" applyBorder="1"/>
    <xf numFmtId="0" fontId="0" fillId="12" borderId="0" xfId="0" applyFill="1" applyAlignment="1">
      <alignment horizontal="center" vertical="center"/>
    </xf>
    <xf numFmtId="167" fontId="0" fillId="12" borderId="0" xfId="0" applyNumberFormat="1" applyFill="1" applyAlignment="1">
      <alignment horizontal="center" vertical="center"/>
    </xf>
    <xf numFmtId="167" fontId="0" fillId="12" borderId="10" xfId="0" applyNumberFormat="1" applyFill="1" applyBorder="1" applyAlignment="1">
      <alignment horizontal="center" vertical="center"/>
    </xf>
    <xf numFmtId="0" fontId="0" fillId="12" borderId="4" xfId="0" applyFill="1" applyBorder="1"/>
    <xf numFmtId="0" fontId="0" fillId="12" borderId="5" xfId="0" applyFill="1" applyBorder="1" applyAlignment="1">
      <alignment horizontal="center" vertical="center"/>
    </xf>
    <xf numFmtId="167" fontId="0" fillId="12" borderId="5" xfId="0" applyNumberFormat="1" applyFill="1" applyBorder="1" applyAlignment="1">
      <alignment horizontal="center" vertical="center"/>
    </xf>
    <xf numFmtId="167" fontId="0" fillId="12" borderId="6" xfId="0" applyNumberFormat="1" applyFill="1" applyBorder="1" applyAlignment="1">
      <alignment horizontal="center" vertical="center"/>
    </xf>
    <xf numFmtId="0" fontId="2" fillId="5" borderId="1" xfId="0" applyFont="1" applyFill="1" applyBorder="1"/>
    <xf numFmtId="9" fontId="0" fillId="5" borderId="2" xfId="1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1" xfId="0" applyBorder="1"/>
    <xf numFmtId="2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4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4" borderId="2" xfId="0" applyFill="1" applyBorder="1"/>
    <xf numFmtId="2" fontId="0" fillId="4" borderId="2" xfId="1" applyNumberFormat="1" applyFont="1" applyFill="1" applyBorder="1" applyAlignment="1">
      <alignment horizontal="center" vertical="center"/>
    </xf>
    <xf numFmtId="2" fontId="0" fillId="4" borderId="3" xfId="1" applyNumberFormat="1" applyFont="1" applyFill="1" applyBorder="1" applyAlignment="1">
      <alignment horizontal="center" vertical="center"/>
    </xf>
    <xf numFmtId="0" fontId="0" fillId="4" borderId="0" xfId="0" applyFill="1"/>
    <xf numFmtId="2" fontId="0" fillId="4" borderId="0" xfId="1" applyNumberFormat="1" applyFont="1" applyFill="1" applyBorder="1" applyAlignment="1">
      <alignment horizontal="center" vertical="center"/>
    </xf>
    <xf numFmtId="2" fontId="0" fillId="4" borderId="10" xfId="1" applyNumberFormat="1" applyFont="1" applyFill="1" applyBorder="1" applyAlignment="1">
      <alignment horizontal="center" vertical="center"/>
    </xf>
    <xf numFmtId="9" fontId="0" fillId="4" borderId="0" xfId="1" applyFont="1" applyFill="1" applyBorder="1" applyAlignment="1">
      <alignment horizontal="center" vertical="center"/>
    </xf>
    <xf numFmtId="9" fontId="0" fillId="4" borderId="10" xfId="1" applyFont="1" applyFill="1" applyBorder="1" applyAlignment="1">
      <alignment horizontal="center" vertical="center"/>
    </xf>
    <xf numFmtId="0" fontId="2" fillId="4" borderId="4" xfId="0" applyFont="1" applyFill="1" applyBorder="1"/>
    <xf numFmtId="0" fontId="2" fillId="4" borderId="5" xfId="0" applyFont="1" applyFill="1" applyBorder="1"/>
    <xf numFmtId="168" fontId="2" fillId="4" borderId="5" xfId="1" applyNumberFormat="1" applyFont="1" applyFill="1" applyBorder="1" applyAlignment="1">
      <alignment horizontal="center" vertical="center"/>
    </xf>
    <xf numFmtId="168" fontId="2" fillId="4" borderId="6" xfId="1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2" fillId="10" borderId="2" xfId="0" applyFont="1" applyFill="1" applyBorder="1" applyAlignment="1">
      <alignment horizontal="center" vertical="center"/>
    </xf>
    <xf numFmtId="1" fontId="0" fillId="10" borderId="2" xfId="0" applyNumberFormat="1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0" fontId="0" fillId="10" borderId="9" xfId="0" applyFill="1" applyBorder="1"/>
    <xf numFmtId="0" fontId="0" fillId="10" borderId="0" xfId="0" applyFill="1"/>
    <xf numFmtId="1" fontId="0" fillId="10" borderId="0" xfId="0" applyNumberFormat="1" applyFill="1" applyAlignment="1">
      <alignment horizontal="center" vertical="center"/>
    </xf>
    <xf numFmtId="1" fontId="0" fillId="10" borderId="10" xfId="0" applyNumberFormat="1" applyFill="1" applyBorder="1" applyAlignment="1">
      <alignment horizontal="center" vertical="center"/>
    </xf>
    <xf numFmtId="0" fontId="0" fillId="6" borderId="0" xfId="0" applyFill="1"/>
    <xf numFmtId="2" fontId="0" fillId="6" borderId="0" xfId="0" applyNumberFormat="1" applyFill="1" applyAlignment="1">
      <alignment horizontal="center" vertical="center"/>
    </xf>
    <xf numFmtId="2" fontId="0" fillId="6" borderId="10" xfId="0" applyNumberFormat="1" applyFill="1" applyBorder="1" applyAlignment="1">
      <alignment horizontal="center" vertical="center"/>
    </xf>
    <xf numFmtId="0" fontId="0" fillId="6" borderId="4" xfId="0" applyFill="1" applyBorder="1"/>
    <xf numFmtId="0" fontId="0" fillId="6" borderId="5" xfId="0" applyFill="1" applyBorder="1"/>
    <xf numFmtId="2" fontId="0" fillId="6" borderId="5" xfId="0" applyNumberFormat="1" applyFill="1" applyBorder="1" applyAlignment="1">
      <alignment horizontal="center" vertical="center"/>
    </xf>
    <xf numFmtId="2" fontId="0" fillId="6" borderId="6" xfId="0" applyNumberFormat="1" applyFill="1" applyBorder="1" applyAlignment="1">
      <alignment horizontal="center" vertical="center"/>
    </xf>
    <xf numFmtId="0" fontId="0" fillId="13" borderId="11" xfId="0" applyFill="1" applyBorder="1"/>
    <xf numFmtId="0" fontId="0" fillId="13" borderId="12" xfId="0" applyFill="1" applyBorder="1"/>
    <xf numFmtId="2" fontId="0" fillId="13" borderId="12" xfId="0" applyNumberFormat="1" applyFill="1" applyBorder="1" applyAlignment="1">
      <alignment horizontal="center" vertical="center"/>
    </xf>
    <xf numFmtId="2" fontId="0" fillId="13" borderId="13" xfId="0" applyNumberFormat="1" applyFill="1" applyBorder="1" applyAlignment="1">
      <alignment horizontal="center" vertical="center"/>
    </xf>
    <xf numFmtId="169" fontId="0" fillId="8" borderId="3" xfId="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5" borderId="1" xfId="0" applyFill="1" applyBorder="1"/>
    <xf numFmtId="0" fontId="0" fillId="5" borderId="9" xfId="0" applyFill="1" applyBorder="1"/>
    <xf numFmtId="0" fontId="0" fillId="5" borderId="0" xfId="0" applyFill="1" applyAlignment="1">
      <alignment horizontal="center" vertical="center"/>
    </xf>
    <xf numFmtId="1" fontId="0" fillId="5" borderId="10" xfId="1" applyNumberFormat="1" applyFont="1" applyFill="1" applyBorder="1" applyAlignment="1">
      <alignment horizontal="center" vertical="center"/>
    </xf>
    <xf numFmtId="0" fontId="0" fillId="5" borderId="4" xfId="0" applyFill="1" applyBorder="1"/>
    <xf numFmtId="169" fontId="0" fillId="0" borderId="2" xfId="1" applyNumberFormat="1" applyFont="1" applyBorder="1" applyAlignment="1">
      <alignment horizontal="center" vertical="center"/>
    </xf>
    <xf numFmtId="2" fontId="0" fillId="0" borderId="2" xfId="1" applyNumberFormat="1" applyFont="1" applyBorder="1" applyAlignment="1">
      <alignment horizontal="center" vertical="center"/>
    </xf>
    <xf numFmtId="2" fontId="0" fillId="0" borderId="3" xfId="1" applyNumberFormat="1" applyFont="1" applyBorder="1" applyAlignment="1">
      <alignment horizontal="center" vertical="center"/>
    </xf>
    <xf numFmtId="169" fontId="0" fillId="0" borderId="5" xfId="1" applyNumberFormat="1" applyFont="1" applyBorder="1" applyAlignment="1">
      <alignment horizontal="center" vertical="center"/>
    </xf>
    <xf numFmtId="2" fontId="0" fillId="0" borderId="5" xfId="1" applyNumberFormat="1" applyFont="1" applyBorder="1" applyAlignment="1">
      <alignment horizontal="center" vertical="center"/>
    </xf>
    <xf numFmtId="2" fontId="0" fillId="0" borderId="6" xfId="1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10" borderId="4" xfId="0" applyFill="1" applyBorder="1" applyAlignment="1">
      <alignment vertical="center"/>
    </xf>
    <xf numFmtId="0" fontId="0" fillId="10" borderId="5" xfId="0" applyFill="1" applyBorder="1" applyAlignment="1">
      <alignment vertical="center"/>
    </xf>
    <xf numFmtId="1" fontId="0" fillId="10" borderId="5" xfId="0" applyNumberFormat="1" applyFill="1" applyBorder="1" applyAlignment="1">
      <alignment horizontal="center" vertical="center"/>
    </xf>
    <xf numFmtId="1" fontId="0" fillId="10" borderId="6" xfId="0" applyNumberFormat="1" applyFill="1" applyBorder="1" applyAlignment="1">
      <alignment horizontal="center" vertical="center"/>
    </xf>
    <xf numFmtId="0" fontId="2" fillId="14" borderId="1" xfId="0" applyFont="1" applyFill="1" applyBorder="1" applyAlignment="1">
      <alignment vertical="center" wrapText="1"/>
    </xf>
    <xf numFmtId="0" fontId="2" fillId="14" borderId="2" xfId="0" applyFont="1" applyFill="1" applyBorder="1" applyAlignment="1">
      <alignment vertical="center"/>
    </xf>
    <xf numFmtId="2" fontId="0" fillId="14" borderId="2" xfId="0" applyNumberFormat="1" applyFill="1" applyBorder="1" applyAlignment="1">
      <alignment horizontal="center" vertical="center"/>
    </xf>
    <xf numFmtId="2" fontId="0" fillId="14" borderId="3" xfId="0" applyNumberFormat="1" applyFill="1" applyBorder="1" applyAlignment="1">
      <alignment horizontal="center" vertical="center"/>
    </xf>
    <xf numFmtId="0" fontId="2" fillId="14" borderId="9" xfId="0" applyFont="1" applyFill="1" applyBorder="1" applyAlignment="1">
      <alignment vertical="center" wrapText="1"/>
    </xf>
    <xf numFmtId="0" fontId="2" fillId="14" borderId="0" xfId="0" applyFont="1" applyFill="1" applyAlignment="1">
      <alignment vertical="center"/>
    </xf>
    <xf numFmtId="2" fontId="0" fillId="14" borderId="0" xfId="0" applyNumberFormat="1" applyFill="1" applyAlignment="1">
      <alignment horizontal="center" vertical="center"/>
    </xf>
    <xf numFmtId="2" fontId="0" fillId="14" borderId="10" xfId="0" applyNumberFormat="1" applyFill="1" applyBorder="1" applyAlignment="1">
      <alignment horizontal="center" vertical="center"/>
    </xf>
    <xf numFmtId="0" fontId="2" fillId="14" borderId="4" xfId="0" applyFont="1" applyFill="1" applyBorder="1" applyAlignment="1">
      <alignment vertical="center" wrapText="1"/>
    </xf>
    <xf numFmtId="0" fontId="2" fillId="14" borderId="5" xfId="0" applyFont="1" applyFill="1" applyBorder="1" applyAlignment="1">
      <alignment vertical="center"/>
    </xf>
    <xf numFmtId="2" fontId="0" fillId="14" borderId="5" xfId="0" applyNumberFormat="1" applyFill="1" applyBorder="1" applyAlignment="1">
      <alignment horizontal="center" vertical="center"/>
    </xf>
    <xf numFmtId="2" fontId="0" fillId="14" borderId="6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0" fillId="0" borderId="0" xfId="0" applyNumberFormat="1"/>
    <xf numFmtId="0" fontId="0" fillId="15" borderId="0" xfId="0" applyFill="1"/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/>
    </xf>
    <xf numFmtId="9" fontId="0" fillId="3" borderId="2" xfId="1" applyFont="1" applyFill="1" applyBorder="1" applyAlignment="1">
      <alignment horizontal="center" vertical="center"/>
    </xf>
    <xf numFmtId="9" fontId="0" fillId="3" borderId="3" xfId="1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center" vertical="center"/>
    </xf>
    <xf numFmtId="2" fontId="0" fillId="0" borderId="0" xfId="1" applyNumberFormat="1" applyFont="1" applyBorder="1" applyAlignment="1">
      <alignment horizontal="center" vertical="center"/>
    </xf>
    <xf numFmtId="2" fontId="0" fillId="0" borderId="10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" fontId="0" fillId="5" borderId="6" xfId="1" applyNumberFormat="1" applyFont="1" applyFill="1" applyBorder="1" applyAlignment="1">
      <alignment horizontal="center" vertical="center"/>
    </xf>
    <xf numFmtId="0" fontId="0" fillId="5" borderId="11" xfId="0" applyFill="1" applyBorder="1"/>
    <xf numFmtId="0" fontId="0" fillId="5" borderId="12" xfId="0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/>
    <xf numFmtId="168" fontId="0" fillId="0" borderId="0" xfId="2" applyNumberFormat="1" applyFont="1" applyBorder="1" applyAlignment="1">
      <alignment horizontal="center" vertical="center"/>
    </xf>
    <xf numFmtId="168" fontId="0" fillId="0" borderId="5" xfId="2" applyNumberFormat="1" applyFont="1" applyBorder="1" applyAlignment="1">
      <alignment horizontal="center" vertical="center"/>
    </xf>
    <xf numFmtId="168" fontId="0" fillId="0" borderId="2" xfId="2" applyNumberFormat="1" applyFont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8" fontId="2" fillId="0" borderId="5" xfId="0" applyNumberFormat="1" applyFont="1" applyBorder="1" applyAlignment="1">
      <alignment horizontal="center" vertical="center"/>
    </xf>
    <xf numFmtId="168" fontId="0" fillId="2" borderId="5" xfId="2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13" borderId="5" xfId="0" applyFill="1" applyBorder="1" applyAlignment="1">
      <alignment horizontal="left" vertical="center"/>
    </xf>
    <xf numFmtId="0" fontId="0" fillId="13" borderId="5" xfId="0" applyFill="1" applyBorder="1" applyAlignment="1">
      <alignment horizontal="center" vertical="center"/>
    </xf>
    <xf numFmtId="168" fontId="0" fillId="13" borderId="5" xfId="2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1" fontId="8" fillId="4" borderId="5" xfId="0" applyNumberFormat="1" applyFont="1" applyFill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 wrapText="1"/>
    </xf>
    <xf numFmtId="0" fontId="8" fillId="0" borderId="11" xfId="0" applyFont="1" applyBorder="1"/>
    <xf numFmtId="1" fontId="8" fillId="0" borderId="5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5" borderId="11" xfId="0" applyFont="1" applyFill="1" applyBorder="1" applyAlignment="1">
      <alignment vertical="center"/>
    </xf>
    <xf numFmtId="0" fontId="2" fillId="5" borderId="12" xfId="0" applyFont="1" applyFill="1" applyBorder="1" applyAlignment="1">
      <alignment vertical="center"/>
    </xf>
    <xf numFmtId="1" fontId="2" fillId="5" borderId="12" xfId="0" applyNumberFormat="1" applyFont="1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2" fontId="0" fillId="9" borderId="12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2" fontId="0" fillId="10" borderId="5" xfId="0" applyNumberForma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left" vertical="center"/>
    </xf>
    <xf numFmtId="2" fontId="0" fillId="6" borderId="2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2" fillId="6" borderId="4" xfId="0" applyNumberFormat="1" applyFont="1" applyFill="1" applyBorder="1" applyAlignment="1">
      <alignment horizontal="left" vertical="center"/>
    </xf>
    <xf numFmtId="0" fontId="0" fillId="6" borderId="5" xfId="0" applyFill="1" applyBorder="1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1" fontId="0" fillId="2" borderId="2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9" fontId="0" fillId="0" borderId="7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0" fontId="0" fillId="0" borderId="0" xfId="0" applyNumberFormat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 wrapText="1"/>
    </xf>
    <xf numFmtId="1" fontId="0" fillId="0" borderId="0" xfId="1" applyNumberFormat="1" applyFont="1" applyFill="1" applyBorder="1" applyAlignment="1">
      <alignment horizontal="center" vertical="center"/>
    </xf>
    <xf numFmtId="0" fontId="2" fillId="17" borderId="0" xfId="0" applyFont="1" applyFill="1"/>
    <xf numFmtId="168" fontId="2" fillId="4" borderId="0" xfId="2" applyNumberFormat="1" applyFont="1" applyFill="1"/>
    <xf numFmtId="2" fontId="0" fillId="0" borderId="0" xfId="1" applyNumberFormat="1" applyFont="1" applyFill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 wrapText="1"/>
    </xf>
    <xf numFmtId="9" fontId="0" fillId="0" borderId="0" xfId="2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" fontId="0" fillId="0" borderId="0" xfId="0" applyNumberFormat="1"/>
    <xf numFmtId="0" fontId="11" fillId="0" borderId="0" xfId="0" applyFont="1" applyAlignment="1">
      <alignment horizontal="left" vertical="center" wrapText="1"/>
    </xf>
    <xf numFmtId="0" fontId="11" fillId="0" borderId="18" xfId="0" applyFont="1" applyBorder="1" applyAlignment="1">
      <alignment horizontal="left" vertical="center" wrapText="1"/>
    </xf>
    <xf numFmtId="0" fontId="12" fillId="0" borderId="18" xfId="0" applyFont="1" applyBorder="1" applyAlignment="1">
      <alignment horizontal="center" vertical="top" wrapText="1"/>
    </xf>
    <xf numFmtId="1" fontId="12" fillId="0" borderId="18" xfId="0" applyNumberFormat="1" applyFont="1" applyBorder="1" applyAlignment="1">
      <alignment horizontal="center" vertical="top" shrinkToFit="1"/>
    </xf>
    <xf numFmtId="2" fontId="12" fillId="0" borderId="18" xfId="0" applyNumberFormat="1" applyFont="1" applyBorder="1" applyAlignment="1">
      <alignment horizontal="center" vertical="top" shrinkToFit="1"/>
    </xf>
    <xf numFmtId="0" fontId="11" fillId="0" borderId="17" xfId="0" applyFont="1" applyBorder="1" applyAlignment="1">
      <alignment horizontal="left" vertical="center" wrapText="1"/>
    </xf>
    <xf numFmtId="0" fontId="12" fillId="0" borderId="17" xfId="0" applyFont="1" applyBorder="1" applyAlignment="1">
      <alignment horizontal="left" vertical="top" wrapText="1"/>
    </xf>
    <xf numFmtId="1" fontId="12" fillId="0" borderId="17" xfId="0" applyNumberFormat="1" applyFont="1" applyBorder="1" applyAlignment="1">
      <alignment horizontal="center" vertical="top" shrinkToFit="1"/>
    </xf>
    <xf numFmtId="2" fontId="12" fillId="0" borderId="16" xfId="0" applyNumberFormat="1" applyFont="1" applyBorder="1" applyAlignment="1">
      <alignment horizontal="center" vertical="top" shrinkToFit="1"/>
    </xf>
    <xf numFmtId="170" fontId="12" fillId="0" borderId="17" xfId="0" applyNumberFormat="1" applyFont="1" applyBorder="1" applyAlignment="1">
      <alignment horizontal="center" vertical="top" shrinkToFit="1"/>
    </xf>
    <xf numFmtId="0" fontId="11" fillId="0" borderId="16" xfId="0" applyFont="1" applyBorder="1" applyAlignment="1">
      <alignment horizontal="left" vertical="center" wrapText="1"/>
    </xf>
    <xf numFmtId="0" fontId="12" fillId="0" borderId="16" xfId="0" applyFont="1" applyBorder="1" applyAlignment="1">
      <alignment horizontal="left" vertical="top" wrapText="1"/>
    </xf>
    <xf numFmtId="1" fontId="12" fillId="0" borderId="16" xfId="0" applyNumberFormat="1" applyFont="1" applyBorder="1" applyAlignment="1">
      <alignment horizontal="center" vertical="top" shrinkToFit="1"/>
    </xf>
    <xf numFmtId="172" fontId="12" fillId="0" borderId="18" xfId="0" applyNumberFormat="1" applyFont="1" applyBorder="1" applyAlignment="1">
      <alignment horizontal="left" vertical="top" shrinkToFit="1"/>
    </xf>
    <xf numFmtId="165" fontId="12" fillId="0" borderId="18" xfId="0" applyNumberFormat="1" applyFont="1" applyBorder="1" applyAlignment="1">
      <alignment horizontal="center" vertical="top" shrinkToFit="1"/>
    </xf>
    <xf numFmtId="1" fontId="12" fillId="0" borderId="16" xfId="0" applyNumberFormat="1" applyFont="1" applyBorder="1" applyAlignment="1">
      <alignment horizontal="left" vertical="top" indent="1" shrinkToFit="1"/>
    </xf>
    <xf numFmtId="0" fontId="12" fillId="0" borderId="16" xfId="0" applyFont="1" applyBorder="1" applyAlignment="1">
      <alignment horizontal="center" vertical="top" wrapText="1"/>
    </xf>
    <xf numFmtId="0" fontId="12" fillId="0" borderId="18" xfId="0" applyFont="1" applyBorder="1" applyAlignment="1">
      <alignment horizontal="left" vertical="top" wrapText="1"/>
    </xf>
    <xf numFmtId="1" fontId="12" fillId="0" borderId="18" xfId="0" applyNumberFormat="1" applyFont="1" applyBorder="1" applyAlignment="1">
      <alignment horizontal="left" vertical="top" indent="1" shrinkToFit="1"/>
    </xf>
    <xf numFmtId="1" fontId="12" fillId="0" borderId="17" xfId="0" applyNumberFormat="1" applyFont="1" applyBorder="1" applyAlignment="1">
      <alignment horizontal="left" vertical="top" indent="1" shrinkToFit="1"/>
    </xf>
    <xf numFmtId="0" fontId="12" fillId="0" borderId="17" xfId="0" applyFont="1" applyBorder="1" applyAlignment="1">
      <alignment horizontal="center" vertical="top" wrapText="1"/>
    </xf>
    <xf numFmtId="2" fontId="12" fillId="0" borderId="17" xfId="0" applyNumberFormat="1" applyFont="1" applyBorder="1" applyAlignment="1">
      <alignment horizontal="center" vertical="top" shrinkToFit="1"/>
    </xf>
    <xf numFmtId="0" fontId="12" fillId="0" borderId="0" xfId="0" applyFont="1" applyAlignment="1">
      <alignment horizontal="left" vertical="top" wrapText="1"/>
    </xf>
    <xf numFmtId="1" fontId="12" fillId="0" borderId="0" xfId="0" applyNumberFormat="1" applyFont="1" applyAlignment="1">
      <alignment horizontal="center" vertical="top" shrinkToFit="1"/>
    </xf>
    <xf numFmtId="1" fontId="12" fillId="0" borderId="0" xfId="0" applyNumberFormat="1" applyFont="1" applyAlignment="1">
      <alignment horizontal="left" vertical="top" indent="1" shrinkToFit="1"/>
    </xf>
    <xf numFmtId="2" fontId="12" fillId="0" borderId="0" xfId="0" applyNumberFormat="1" applyFont="1" applyAlignment="1">
      <alignment horizontal="center" vertical="top" shrinkToFit="1"/>
    </xf>
    <xf numFmtId="172" fontId="12" fillId="0" borderId="0" xfId="0" applyNumberFormat="1" applyFont="1" applyAlignment="1">
      <alignment horizontal="left" vertical="top" shrinkToFit="1"/>
    </xf>
    <xf numFmtId="0" fontId="11" fillId="0" borderId="5" xfId="0" applyFont="1" applyBorder="1" applyAlignment="1">
      <alignment horizontal="left" wrapText="1"/>
    </xf>
    <xf numFmtId="0" fontId="13" fillId="0" borderId="2" xfId="0" applyFont="1" applyBorder="1" applyAlignment="1">
      <alignment horizontal="left" vertical="top" wrapText="1" indent="1"/>
    </xf>
    <xf numFmtId="0" fontId="12" fillId="0" borderId="2" xfId="0" applyFont="1" applyBorder="1" applyAlignment="1">
      <alignment horizontal="left" vertical="top" wrapText="1" indent="3"/>
    </xf>
    <xf numFmtId="0" fontId="13" fillId="0" borderId="2" xfId="0" applyFont="1" applyBorder="1" applyAlignment="1">
      <alignment horizontal="right" vertical="top" wrapText="1" indent="1"/>
    </xf>
    <xf numFmtId="0" fontId="13" fillId="0" borderId="2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170" fontId="12" fillId="0" borderId="0" xfId="0" applyNumberFormat="1" applyFont="1" applyAlignment="1">
      <alignment horizontal="left" vertical="top" indent="1" shrinkToFit="1"/>
    </xf>
    <xf numFmtId="2" fontId="12" fillId="0" borderId="2" xfId="0" applyNumberFormat="1" applyFont="1" applyBorder="1" applyAlignment="1">
      <alignment horizontal="center" vertical="top" shrinkToFit="1"/>
    </xf>
    <xf numFmtId="0" fontId="11" fillId="0" borderId="2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top" wrapText="1"/>
    </xf>
    <xf numFmtId="1" fontId="12" fillId="0" borderId="2" xfId="0" applyNumberFormat="1" applyFont="1" applyBorder="1" applyAlignment="1">
      <alignment horizontal="center" vertical="top" shrinkToFit="1"/>
    </xf>
    <xf numFmtId="170" fontId="12" fillId="0" borderId="2" xfId="0" applyNumberFormat="1" applyFont="1" applyBorder="1" applyAlignment="1">
      <alignment horizontal="left" vertical="top" indent="1" shrinkToFit="1"/>
    </xf>
    <xf numFmtId="170" fontId="12" fillId="0" borderId="2" xfId="0" applyNumberFormat="1" applyFont="1" applyBorder="1" applyAlignment="1">
      <alignment horizontal="center" vertical="top" shrinkToFit="1"/>
    </xf>
    <xf numFmtId="0" fontId="12" fillId="0" borderId="2" xfId="0" applyFont="1" applyBorder="1" applyAlignment="1">
      <alignment horizontal="left" vertical="top" wrapText="1" indent="1"/>
    </xf>
    <xf numFmtId="0" fontId="11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11" fillId="0" borderId="2" xfId="0" applyFont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11" fillId="0" borderId="18" xfId="0" applyNumberFormat="1" applyFont="1" applyBorder="1" applyAlignment="1">
      <alignment horizontal="center" vertical="center" wrapText="1"/>
    </xf>
    <xf numFmtId="1" fontId="11" fillId="0" borderId="16" xfId="0" applyNumberFormat="1" applyFont="1" applyBorder="1" applyAlignment="1">
      <alignment horizontal="center" vertical="center" wrapText="1"/>
    </xf>
    <xf numFmtId="1" fontId="11" fillId="0" borderId="17" xfId="0" applyNumberFormat="1" applyFont="1" applyBorder="1" applyAlignment="1">
      <alignment horizontal="center" vertical="center" wrapText="1"/>
    </xf>
    <xf numFmtId="1" fontId="1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5" borderId="10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vertical="center" wrapText="1"/>
    </xf>
    <xf numFmtId="0" fontId="0" fillId="8" borderId="2" xfId="0" applyFill="1" applyBorder="1" applyAlignment="1">
      <alignment vertical="center"/>
    </xf>
    <xf numFmtId="2" fontId="0" fillId="8" borderId="2" xfId="0" applyNumberFormat="1" applyFill="1" applyBorder="1" applyAlignment="1">
      <alignment horizontal="center" vertical="center"/>
    </xf>
    <xf numFmtId="2" fontId="0" fillId="8" borderId="3" xfId="0" applyNumberFormat="1" applyFill="1" applyBorder="1" applyAlignment="1">
      <alignment horizontal="center" vertical="center"/>
    </xf>
    <xf numFmtId="0" fontId="0" fillId="8" borderId="9" xfId="0" applyFill="1" applyBorder="1" applyAlignment="1">
      <alignment vertical="center" wrapText="1"/>
    </xf>
    <xf numFmtId="0" fontId="0" fillId="8" borderId="0" xfId="0" applyFill="1" applyAlignment="1">
      <alignment vertical="center"/>
    </xf>
    <xf numFmtId="2" fontId="0" fillId="8" borderId="10" xfId="0" applyNumberFormat="1" applyFill="1" applyBorder="1" applyAlignment="1">
      <alignment horizontal="center" vertical="center"/>
    </xf>
    <xf numFmtId="2" fontId="0" fillId="8" borderId="9" xfId="0" applyNumberFormat="1" applyFill="1" applyBorder="1"/>
    <xf numFmtId="2" fontId="0" fillId="8" borderId="4" xfId="0" applyNumberFormat="1" applyFill="1" applyBorder="1"/>
    <xf numFmtId="0" fontId="0" fillId="8" borderId="5" xfId="0" applyFill="1" applyBorder="1" applyAlignment="1">
      <alignment vertical="center"/>
    </xf>
    <xf numFmtId="2" fontId="0" fillId="8" borderId="5" xfId="0" applyNumberFormat="1" applyFill="1" applyBorder="1" applyAlignment="1">
      <alignment horizontal="center" vertical="center"/>
    </xf>
    <xf numFmtId="2" fontId="0" fillId="8" borderId="6" xfId="0" applyNumberFormat="1" applyFill="1" applyBorder="1" applyAlignment="1">
      <alignment horizontal="center" vertical="center"/>
    </xf>
    <xf numFmtId="2" fontId="0" fillId="15" borderId="1" xfId="0" applyNumberFormat="1" applyFill="1" applyBorder="1"/>
    <xf numFmtId="0" fontId="0" fillId="15" borderId="2" xfId="0" applyFill="1" applyBorder="1"/>
    <xf numFmtId="2" fontId="0" fillId="15" borderId="2" xfId="0" applyNumberFormat="1" applyFill="1" applyBorder="1" applyAlignment="1">
      <alignment horizontal="center" vertical="center"/>
    </xf>
    <xf numFmtId="2" fontId="0" fillId="15" borderId="3" xfId="0" applyNumberFormat="1" applyFill="1" applyBorder="1" applyAlignment="1">
      <alignment horizontal="center" vertical="center"/>
    </xf>
    <xf numFmtId="2" fontId="0" fillId="15" borderId="4" xfId="0" applyNumberFormat="1" applyFill="1" applyBorder="1"/>
    <xf numFmtId="0" fontId="0" fillId="15" borderId="5" xfId="0" applyFill="1" applyBorder="1"/>
    <xf numFmtId="2" fontId="0" fillId="15" borderId="5" xfId="0" applyNumberFormat="1" applyFill="1" applyBorder="1" applyAlignment="1">
      <alignment horizontal="center" vertical="center"/>
    </xf>
    <xf numFmtId="2" fontId="0" fillId="15" borderId="6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wrapText="1"/>
    </xf>
    <xf numFmtId="0" fontId="16" fillId="0" borderId="0" xfId="0" applyFont="1"/>
    <xf numFmtId="0" fontId="16" fillId="0" borderId="0" xfId="0" applyFont="1" applyAlignment="1">
      <alignment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9" fontId="0" fillId="3" borderId="25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1" fontId="0" fillId="4" borderId="27" xfId="0" applyNumberFormat="1" applyFill="1" applyBorder="1" applyAlignment="1">
      <alignment horizontal="center" vertical="center"/>
    </xf>
    <xf numFmtId="1" fontId="0" fillId="4" borderId="28" xfId="0" applyNumberForma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6" xfId="0" applyNumberFormat="1" applyFill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2" fillId="5" borderId="23" xfId="0" applyNumberFormat="1" applyFont="1" applyFill="1" applyBorder="1" applyAlignment="1">
      <alignment horizontal="center" vertical="center" wrapText="1"/>
    </xf>
    <xf numFmtId="1" fontId="2" fillId="5" borderId="24" xfId="0" applyNumberFormat="1" applyFont="1" applyFill="1" applyBorder="1" applyAlignment="1">
      <alignment horizontal="center" vertical="center" wrapText="1"/>
    </xf>
    <xf numFmtId="2" fontId="0" fillId="6" borderId="21" xfId="0" applyNumberFormat="1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7" borderId="27" xfId="0" applyNumberFormat="1" applyFill="1" applyBorder="1" applyAlignment="1">
      <alignment horizontal="center" vertical="center"/>
    </xf>
    <xf numFmtId="2" fontId="0" fillId="7" borderId="28" xfId="0" applyNumberFormat="1" applyFill="1" applyBorder="1" applyAlignment="1">
      <alignment horizontal="center" vertical="center"/>
    </xf>
    <xf numFmtId="2" fontId="0" fillId="7" borderId="21" xfId="0" applyNumberFormat="1" applyFill="1" applyBorder="1" applyAlignment="1">
      <alignment horizontal="center" vertical="center"/>
    </xf>
    <xf numFmtId="2" fontId="0" fillId="7" borderId="22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26" xfId="0" applyNumberFormat="1" applyFill="1" applyBorder="1" applyAlignment="1">
      <alignment horizontal="center" vertical="center"/>
    </xf>
    <xf numFmtId="2" fontId="0" fillId="8" borderId="21" xfId="0" applyNumberFormat="1" applyFill="1" applyBorder="1" applyAlignment="1">
      <alignment horizontal="center" vertical="center"/>
    </xf>
    <xf numFmtId="2" fontId="0" fillId="8" borderId="22" xfId="0" applyNumberFormat="1" applyFill="1" applyBorder="1" applyAlignment="1">
      <alignment horizontal="center" vertical="center"/>
    </xf>
    <xf numFmtId="2" fontId="0" fillId="9" borderId="23" xfId="0" applyNumberFormat="1" applyFill="1" applyBorder="1" applyAlignment="1">
      <alignment horizontal="center" vertical="center"/>
    </xf>
    <xf numFmtId="2" fontId="0" fillId="9" borderId="24" xfId="0" applyNumberFormat="1" applyFill="1" applyBorder="1" applyAlignment="1">
      <alignment horizontal="center" vertical="center"/>
    </xf>
    <xf numFmtId="2" fontId="0" fillId="2" borderId="27" xfId="0" applyNumberFormat="1" applyFill="1" applyBorder="1" applyAlignment="1">
      <alignment horizontal="center" vertical="center"/>
    </xf>
    <xf numFmtId="2" fontId="0" fillId="2" borderId="28" xfId="0" applyNumberForma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26" xfId="0" applyNumberFormat="1" applyFill="1" applyBorder="1" applyAlignment="1">
      <alignment horizontal="center" vertical="center"/>
    </xf>
    <xf numFmtId="2" fontId="0" fillId="10" borderId="21" xfId="0" applyNumberFormat="1" applyFill="1" applyBorder="1" applyAlignment="1">
      <alignment horizontal="center" vertical="center"/>
    </xf>
    <xf numFmtId="2" fontId="0" fillId="10" borderId="22" xfId="0" applyNumberFormat="1" applyFill="1" applyBorder="1" applyAlignment="1">
      <alignment horizontal="center" vertical="center"/>
    </xf>
    <xf numFmtId="2" fontId="0" fillId="10" borderId="25" xfId="0" applyNumberFormat="1" applyFill="1" applyBorder="1" applyAlignment="1">
      <alignment horizontal="center" vertical="center"/>
    </xf>
    <xf numFmtId="2" fontId="0" fillId="10" borderId="26" xfId="0" applyNumberFormat="1" applyFill="1" applyBorder="1" applyAlignment="1">
      <alignment horizontal="center" vertical="center"/>
    </xf>
    <xf numFmtId="165" fontId="4" fillId="11" borderId="29" xfId="0" applyNumberFormat="1" applyFont="1" applyFill="1" applyBorder="1" applyAlignment="1">
      <alignment horizontal="center"/>
    </xf>
    <xf numFmtId="165" fontId="4" fillId="11" borderId="30" xfId="0" applyNumberFormat="1" applyFont="1" applyFill="1" applyBorder="1" applyAlignment="1">
      <alignment horizontal="center"/>
    </xf>
    <xf numFmtId="165" fontId="4" fillId="11" borderId="31" xfId="0" applyNumberFormat="1" applyFont="1" applyFill="1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5" borderId="19" xfId="0" applyFill="1" applyBorder="1" applyAlignment="1">
      <alignment vertical="center"/>
    </xf>
    <xf numFmtId="0" fontId="0" fillId="5" borderId="20" xfId="0" applyFill="1" applyBorder="1"/>
    <xf numFmtId="0" fontId="0" fillId="5" borderId="21" xfId="0" applyFill="1" applyBorder="1" applyAlignment="1">
      <alignment vertical="center"/>
    </xf>
    <xf numFmtId="0" fontId="0" fillId="5" borderId="22" xfId="0" applyFill="1" applyBorder="1"/>
    <xf numFmtId="0" fontId="0" fillId="5" borderId="35" xfId="0" applyFill="1" applyBorder="1" applyAlignment="1">
      <alignment vertical="center"/>
    </xf>
    <xf numFmtId="1" fontId="0" fillId="5" borderId="36" xfId="0" applyNumberForma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9" fontId="0" fillId="0" borderId="0" xfId="2" applyFont="1"/>
    <xf numFmtId="9" fontId="0" fillId="0" borderId="0" xfId="2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9" fontId="0" fillId="8" borderId="4" xfId="1" applyNumberFormat="1" applyFont="1" applyFill="1" applyBorder="1" applyAlignment="1">
      <alignment horizontal="center" vertical="center" wrapText="1"/>
    </xf>
    <xf numFmtId="169" fontId="0" fillId="8" borderId="5" xfId="1" applyNumberFormat="1" applyFont="1" applyFill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0" borderId="19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22" xfId="0" applyFont="1" applyBorder="1" applyAlignment="1">
      <alignment horizontal="center" vertical="center" wrapText="1"/>
    </xf>
    <xf numFmtId="0" fontId="0" fillId="0" borderId="0" xfId="0" applyBorder="1"/>
    <xf numFmtId="2" fontId="0" fillId="6" borderId="0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41" fontId="0" fillId="0" borderId="0" xfId="4" applyFon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41" fontId="0" fillId="0" borderId="0" xfId="4" applyFont="1" applyFill="1" applyBorder="1"/>
    <xf numFmtId="171" fontId="0" fillId="0" borderId="0" xfId="0" applyNumberFormat="1" applyFill="1" applyBorder="1"/>
    <xf numFmtId="0" fontId="2" fillId="0" borderId="0" xfId="0" applyFont="1" applyFill="1" applyBorder="1"/>
    <xf numFmtId="2" fontId="0" fillId="0" borderId="0" xfId="0" applyNumberForma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 wrapText="1"/>
    </xf>
    <xf numFmtId="9" fontId="2" fillId="0" borderId="0" xfId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168" fontId="2" fillId="0" borderId="0" xfId="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" fontId="0" fillId="0" borderId="0" xfId="0" applyNumberForma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169" fontId="0" fillId="0" borderId="0" xfId="1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2" fontId="0" fillId="8" borderId="0" xfId="0" applyNumberFormat="1" applyFill="1" applyBorder="1" applyAlignment="1">
      <alignment horizontal="center" vertical="center"/>
    </xf>
    <xf numFmtId="2" fontId="0" fillId="10" borderId="0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165" fontId="4" fillId="0" borderId="0" xfId="0" applyNumberFormat="1" applyFont="1" applyFill="1" applyBorder="1" applyAlignment="1">
      <alignment horizontal="center"/>
    </xf>
    <xf numFmtId="1" fontId="0" fillId="0" borderId="0" xfId="0" applyNumberFormat="1" applyBorder="1"/>
    <xf numFmtId="0" fontId="0" fillId="0" borderId="0" xfId="0" applyBorder="1" applyAlignment="1">
      <alignment horizontal="center" vertical="center" wrapText="1"/>
    </xf>
    <xf numFmtId="0" fontId="16" fillId="0" borderId="0" xfId="0" applyFont="1" applyBorder="1"/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1" fontId="0" fillId="0" borderId="0" xfId="0" applyNumberFormat="1" applyFill="1" applyBorder="1"/>
    <xf numFmtId="0" fontId="0" fillId="0" borderId="0" xfId="0" applyFill="1" applyBorder="1" applyAlignment="1">
      <alignment horizontal="center" vertical="center" wrapText="1"/>
    </xf>
    <xf numFmtId="0" fontId="16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wrapText="1"/>
    </xf>
    <xf numFmtId="0" fontId="3" fillId="11" borderId="1" xfId="0" applyFont="1" applyFill="1" applyBorder="1" applyAlignment="1">
      <alignment horizontal="left" vertical="center"/>
    </xf>
    <xf numFmtId="0" fontId="3" fillId="11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</cellXfs>
  <cellStyles count="5">
    <cellStyle name="Migliaia [0]" xfId="4" builtinId="6"/>
    <cellStyle name="Normal" xfId="3" xr:uid="{61671B82-9CB2-4451-AAC5-5BC6483437E5}"/>
    <cellStyle name="Normale" xfId="0" builtinId="0"/>
    <cellStyle name="Percentuale" xfId="2" builtinId="5"/>
    <cellStyle name="Percentuale 2" xfId="1" xr:uid="{DA52350F-0EB1-458D-ABD6-F782C582992A}"/>
  </cellStyles>
  <dxfs count="0"/>
  <tableStyles count="0" defaultTableStyle="TableStyleMedium2" defaultPivotStyle="PivotStyleLight16"/>
  <colors>
    <mruColors>
      <color rgb="FFB07BD7"/>
      <color rgb="FFD6BC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06489898989899"/>
          <c:y val="4.8367551847107296E-2"/>
          <c:w val="0.8216573232323231"/>
          <c:h val="0.84962850119447431"/>
        </c:manualLayout>
      </c:layout>
      <c:lineChart>
        <c:grouping val="standard"/>
        <c:varyColors val="0"/>
        <c:ser>
          <c:idx val="0"/>
          <c:order val="0"/>
          <c:tx>
            <c:v>Wind</c:v>
          </c:tx>
          <c:spPr>
            <a:ln w="63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[1]CM_SAF_SARAH_2019Piemonte!$I$15:$I$26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CFs!$D$12:$D$23</c:f>
              <c:numCache>
                <c:formatCode>0.0%</c:formatCode>
                <c:ptCount val="12"/>
                <c:pt idx="0">
                  <c:v>0.2208</c:v>
                </c:pt>
                <c:pt idx="1">
                  <c:v>0.14699999999999999</c:v>
                </c:pt>
                <c:pt idx="2">
                  <c:v>0.21510000000000001</c:v>
                </c:pt>
                <c:pt idx="3">
                  <c:v>0.15920000000000001</c:v>
                </c:pt>
                <c:pt idx="4">
                  <c:v>0.161</c:v>
                </c:pt>
                <c:pt idx="5">
                  <c:v>0.10539999999999999</c:v>
                </c:pt>
                <c:pt idx="6">
                  <c:v>0.1</c:v>
                </c:pt>
                <c:pt idx="7">
                  <c:v>9.35E-2</c:v>
                </c:pt>
                <c:pt idx="8">
                  <c:v>0.1017</c:v>
                </c:pt>
                <c:pt idx="9">
                  <c:v>0.14799999999999999</c:v>
                </c:pt>
                <c:pt idx="10">
                  <c:v>0.16769999999999999</c:v>
                </c:pt>
                <c:pt idx="11">
                  <c:v>0.1714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E1-4E3E-962C-5943B54E4263}"/>
            </c:ext>
          </c:extLst>
        </c:ser>
        <c:ser>
          <c:idx val="1"/>
          <c:order val="1"/>
          <c:tx>
            <c:v>PV</c:v>
          </c:tx>
          <c:spPr>
            <a:ln w="635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CFs!$D$33:$D$44</c:f>
              <c:numCache>
                <c:formatCode>0.0%</c:formatCode>
                <c:ptCount val="12"/>
                <c:pt idx="0">
                  <c:v>0.12771270430107531</c:v>
                </c:pt>
                <c:pt idx="1">
                  <c:v>0.12252398958333342</c:v>
                </c:pt>
                <c:pt idx="2">
                  <c:v>0.16514747177419359</c:v>
                </c:pt>
                <c:pt idx="3">
                  <c:v>0.2072187597222222</c:v>
                </c:pt>
                <c:pt idx="4">
                  <c:v>0.19017213844086017</c:v>
                </c:pt>
                <c:pt idx="5">
                  <c:v>0.22151487916666693</c:v>
                </c:pt>
                <c:pt idx="6">
                  <c:v>0.22458450134408592</c:v>
                </c:pt>
                <c:pt idx="7">
                  <c:v>0.1934704596774193</c:v>
                </c:pt>
                <c:pt idx="8">
                  <c:v>0.16696096527777776</c:v>
                </c:pt>
                <c:pt idx="9">
                  <c:v>0.1253249489247312</c:v>
                </c:pt>
                <c:pt idx="10">
                  <c:v>0.14599623750000007</c:v>
                </c:pt>
                <c:pt idx="11">
                  <c:v>0.12999677927321671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E1-4E3E-962C-5943B54E4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49632"/>
        <c:axId val="96783200"/>
      </c:lineChart>
      <c:catAx>
        <c:axId val="112749632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783200"/>
        <c:crosses val="autoZero"/>
        <c:auto val="1"/>
        <c:lblAlgn val="ctr"/>
        <c:lblOffset val="100"/>
        <c:noMultiLvlLbl val="0"/>
      </c:catAx>
      <c:valAx>
        <c:axId val="96783200"/>
        <c:scaling>
          <c:orientation val="minMax"/>
          <c:max val="0.8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>
                    <a:solidFill>
                      <a:schemeClr val="tx1"/>
                    </a:solidFill>
                  </a:rPr>
                  <a:t>Capacity</a:t>
                </a:r>
                <a:r>
                  <a:rPr lang="it-IT" baseline="0">
                    <a:solidFill>
                      <a:schemeClr val="tx1"/>
                    </a:solidFill>
                  </a:rPr>
                  <a:t> Factor (CF) </a:t>
                </a:r>
                <a:endParaRPr lang="it-IT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3.2070707070707069E-3"/>
              <c:y val="0.273566457777931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749632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18186684804859"/>
          <c:y val="4.7652844068468779E-2"/>
          <c:w val="0.33202828282828278"/>
          <c:h val="8.6842779489665178E-2"/>
        </c:manualLayout>
      </c:layout>
      <c:overlay val="1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06489898989899"/>
          <c:y val="4.8367551847107296E-2"/>
          <c:w val="0.8216573232323231"/>
          <c:h val="0.84962850119447431"/>
        </c:manualLayout>
      </c:layout>
      <c:lineChart>
        <c:grouping val="standard"/>
        <c:varyColors val="0"/>
        <c:ser>
          <c:idx val="0"/>
          <c:order val="0"/>
          <c:tx>
            <c:v>Wind</c:v>
          </c:tx>
          <c:spPr>
            <a:ln w="63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[1]CM_SAF_SARAH_2019Piemonte!$I$15:$I$26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CFs!$E$12:$E$23</c:f>
              <c:numCache>
                <c:formatCode>0.0%</c:formatCode>
                <c:ptCount val="12"/>
                <c:pt idx="0">
                  <c:v>0.40169692708333349</c:v>
                </c:pt>
                <c:pt idx="1">
                  <c:v>0.50056698474702399</c:v>
                </c:pt>
                <c:pt idx="2">
                  <c:v>0.42380486391129041</c:v>
                </c:pt>
                <c:pt idx="3">
                  <c:v>0.28740069270833341</c:v>
                </c:pt>
                <c:pt idx="4">
                  <c:v>0.24407549059139783</c:v>
                </c:pt>
                <c:pt idx="5">
                  <c:v>0.19859085937500001</c:v>
                </c:pt>
                <c:pt idx="6">
                  <c:v>0.15707896841397834</c:v>
                </c:pt>
                <c:pt idx="7">
                  <c:v>0.16524316364247316</c:v>
                </c:pt>
                <c:pt idx="8">
                  <c:v>0.20496195659722197</c:v>
                </c:pt>
                <c:pt idx="9">
                  <c:v>0.26182805443548413</c:v>
                </c:pt>
                <c:pt idx="10">
                  <c:v>0.28674733333333335</c:v>
                </c:pt>
                <c:pt idx="11">
                  <c:v>0.15706557627688167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6-4154-AC09-B0343EC113D7}"/>
            </c:ext>
          </c:extLst>
        </c:ser>
        <c:ser>
          <c:idx val="1"/>
          <c:order val="1"/>
          <c:tx>
            <c:v>PV</c:v>
          </c:tx>
          <c:spPr>
            <a:ln w="635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CFs!$E$33:$E$44</c:f>
              <c:numCache>
                <c:formatCode>0.0%</c:formatCode>
                <c:ptCount val="12"/>
                <c:pt idx="0">
                  <c:v>0.14570540591397857</c:v>
                </c:pt>
                <c:pt idx="1">
                  <c:v>0.1226900059523809</c:v>
                </c:pt>
                <c:pt idx="2">
                  <c:v>0.17133168548387093</c:v>
                </c:pt>
                <c:pt idx="3">
                  <c:v>0.23666309166666666</c:v>
                </c:pt>
                <c:pt idx="4">
                  <c:v>0.2372299166666664</c:v>
                </c:pt>
                <c:pt idx="5">
                  <c:v>0.23416944583333324</c:v>
                </c:pt>
                <c:pt idx="6">
                  <c:v>0.23520980241935491</c:v>
                </c:pt>
                <c:pt idx="7">
                  <c:v>0.2073744690860215</c:v>
                </c:pt>
                <c:pt idx="8">
                  <c:v>0.20769334305555545</c:v>
                </c:pt>
                <c:pt idx="9">
                  <c:v>0.16404831182795709</c:v>
                </c:pt>
                <c:pt idx="10">
                  <c:v>0.15238660833333337</c:v>
                </c:pt>
                <c:pt idx="11">
                  <c:v>0.15512961827956989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36-4154-AC09-B0343EC11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49632"/>
        <c:axId val="96783200"/>
      </c:lineChart>
      <c:catAx>
        <c:axId val="112749632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783200"/>
        <c:crosses val="autoZero"/>
        <c:auto val="1"/>
        <c:lblAlgn val="ctr"/>
        <c:lblOffset val="100"/>
        <c:noMultiLvlLbl val="0"/>
      </c:catAx>
      <c:valAx>
        <c:axId val="96783200"/>
        <c:scaling>
          <c:orientation val="minMax"/>
          <c:max val="0.8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>
                    <a:solidFill>
                      <a:schemeClr val="tx1"/>
                    </a:solidFill>
                  </a:rPr>
                  <a:t>Capacity</a:t>
                </a:r>
                <a:r>
                  <a:rPr lang="it-IT" baseline="0">
                    <a:solidFill>
                      <a:schemeClr val="tx1"/>
                    </a:solidFill>
                  </a:rPr>
                  <a:t> Factor (CF) </a:t>
                </a:r>
                <a:endParaRPr lang="it-IT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3.2070707070707069E-3"/>
              <c:y val="0.273566457777931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749632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18186684804859"/>
          <c:y val="4.7652844068468779E-2"/>
          <c:w val="0.33202828282828278"/>
          <c:h val="8.6842779489665178E-2"/>
        </c:manualLayout>
      </c:layout>
      <c:overlay val="1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06489898989899"/>
          <c:y val="4.8367551847107296E-2"/>
          <c:w val="0.8216573232323231"/>
          <c:h val="0.84962850119447431"/>
        </c:manualLayout>
      </c:layout>
      <c:lineChart>
        <c:grouping val="standard"/>
        <c:varyColors val="0"/>
        <c:ser>
          <c:idx val="0"/>
          <c:order val="0"/>
          <c:tx>
            <c:v>Wind</c:v>
          </c:tx>
          <c:spPr>
            <a:ln w="63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[1]CM_SAF_SARAH_2019Piemonte!$I$15:$I$26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CFs!$F$12:$F$23</c:f>
              <c:numCache>
                <c:formatCode>0.0%</c:formatCode>
                <c:ptCount val="12"/>
                <c:pt idx="0">
                  <c:v>0.40907765961021519</c:v>
                </c:pt>
                <c:pt idx="1">
                  <c:v>0.48434378720238108</c:v>
                </c:pt>
                <c:pt idx="2">
                  <c:v>0.48679735551075309</c:v>
                </c:pt>
                <c:pt idx="3">
                  <c:v>0.30518295138888885</c:v>
                </c:pt>
                <c:pt idx="4">
                  <c:v>0.28847149361559166</c:v>
                </c:pt>
                <c:pt idx="5">
                  <c:v>0.22861787152777779</c:v>
                </c:pt>
                <c:pt idx="6">
                  <c:v>0.22285908602150539</c:v>
                </c:pt>
                <c:pt idx="7">
                  <c:v>0.22203718245967752</c:v>
                </c:pt>
                <c:pt idx="8">
                  <c:v>0.25312956770833339</c:v>
                </c:pt>
                <c:pt idx="9">
                  <c:v>0.28714945228494626</c:v>
                </c:pt>
                <c:pt idx="10">
                  <c:v>0.37934349305555526</c:v>
                </c:pt>
                <c:pt idx="11">
                  <c:v>0.11946388104838711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F6-4B34-A7C7-1488D480189C}"/>
            </c:ext>
          </c:extLst>
        </c:ser>
        <c:ser>
          <c:idx val="1"/>
          <c:order val="1"/>
          <c:tx>
            <c:v>PV</c:v>
          </c:tx>
          <c:spPr>
            <a:ln w="635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CFs!$F$33:$F$44</c:f>
              <c:numCache>
                <c:formatCode>0.0%</c:formatCode>
                <c:ptCount val="12"/>
                <c:pt idx="0">
                  <c:v>0.13316111290322577</c:v>
                </c:pt>
                <c:pt idx="1">
                  <c:v>0.1161522366071428</c:v>
                </c:pt>
                <c:pt idx="2">
                  <c:v>0.16780443682795707</c:v>
                </c:pt>
                <c:pt idx="3">
                  <c:v>0.22617980833333345</c:v>
                </c:pt>
                <c:pt idx="4">
                  <c:v>0.22046874596774163</c:v>
                </c:pt>
                <c:pt idx="5">
                  <c:v>0.22678865833333339</c:v>
                </c:pt>
                <c:pt idx="6">
                  <c:v>0.23084237903225802</c:v>
                </c:pt>
                <c:pt idx="7">
                  <c:v>0.21708150940860227</c:v>
                </c:pt>
                <c:pt idx="8">
                  <c:v>0.18008998472222223</c:v>
                </c:pt>
                <c:pt idx="9">
                  <c:v>0.15315771102150533</c:v>
                </c:pt>
                <c:pt idx="10">
                  <c:v>0.13394783194444443</c:v>
                </c:pt>
                <c:pt idx="11">
                  <c:v>0.13644323521505369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F6-4B34-A7C7-1488D4801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49632"/>
        <c:axId val="96783200"/>
      </c:lineChart>
      <c:catAx>
        <c:axId val="112749632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783200"/>
        <c:crosses val="autoZero"/>
        <c:auto val="1"/>
        <c:lblAlgn val="ctr"/>
        <c:lblOffset val="100"/>
        <c:noMultiLvlLbl val="0"/>
      </c:catAx>
      <c:valAx>
        <c:axId val="96783200"/>
        <c:scaling>
          <c:orientation val="minMax"/>
          <c:max val="0.8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>
                    <a:solidFill>
                      <a:schemeClr val="tx1"/>
                    </a:solidFill>
                  </a:rPr>
                  <a:t>Capacity</a:t>
                </a:r>
                <a:r>
                  <a:rPr lang="it-IT" baseline="0">
                    <a:solidFill>
                      <a:schemeClr val="tx1"/>
                    </a:solidFill>
                  </a:rPr>
                  <a:t> Factor (CF) </a:t>
                </a:r>
                <a:endParaRPr lang="it-IT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3.2070707070707069E-3"/>
              <c:y val="0.273566457777931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749632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18186684804859"/>
          <c:y val="4.7652844068468779E-2"/>
          <c:w val="0.33202828282828278"/>
          <c:h val="8.6842779489665178E-2"/>
        </c:manualLayout>
      </c:layout>
      <c:overlay val="1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06489898989899"/>
          <c:y val="4.8367551847107296E-2"/>
          <c:w val="0.8216573232323231"/>
          <c:h val="0.84962850119447431"/>
        </c:manualLayout>
      </c:layout>
      <c:lineChart>
        <c:grouping val="standard"/>
        <c:varyColors val="0"/>
        <c:ser>
          <c:idx val="0"/>
          <c:order val="0"/>
          <c:tx>
            <c:v>Wind</c:v>
          </c:tx>
          <c:spPr>
            <a:ln w="63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[1]CM_SAF_SARAH_2019Piemonte!$I$15:$I$26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CFs!$G$12:$G$23</c:f>
              <c:numCache>
                <c:formatCode>0.0%</c:formatCode>
                <c:ptCount val="12"/>
                <c:pt idx="0">
                  <c:v>0.63313161559139797</c:v>
                </c:pt>
                <c:pt idx="1">
                  <c:v>0.59977513095238111</c:v>
                </c:pt>
                <c:pt idx="2">
                  <c:v>0.56232497916666691</c:v>
                </c:pt>
                <c:pt idx="3">
                  <c:v>0.49401061666666624</c:v>
                </c:pt>
                <c:pt idx="4">
                  <c:v>0.57362546169354911</c:v>
                </c:pt>
                <c:pt idx="5">
                  <c:v>0.46221042152777764</c:v>
                </c:pt>
                <c:pt idx="6">
                  <c:v>0.49601310416666661</c:v>
                </c:pt>
                <c:pt idx="7">
                  <c:v>0.39811985416666673</c:v>
                </c:pt>
                <c:pt idx="8">
                  <c:v>0.49293945555555507</c:v>
                </c:pt>
                <c:pt idx="9">
                  <c:v>0.47943877889784919</c:v>
                </c:pt>
                <c:pt idx="10">
                  <c:v>0.66600797708333348</c:v>
                </c:pt>
                <c:pt idx="11">
                  <c:v>0.75652874260752745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0-4AE8-8711-717FEA3B974A}"/>
            </c:ext>
          </c:extLst>
        </c:ser>
        <c:ser>
          <c:idx val="1"/>
          <c:order val="1"/>
          <c:tx>
            <c:v>PV</c:v>
          </c:tx>
          <c:spPr>
            <a:ln w="635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CFs!$G$33:$G$44</c:f>
              <c:numCache>
                <c:formatCode>0.0%</c:formatCode>
                <c:ptCount val="12"/>
                <c:pt idx="0">
                  <c:v>2.6216231182795695E-2</c:v>
                </c:pt>
                <c:pt idx="1">
                  <c:v>4.7019925595238113E-2</c:v>
                </c:pt>
                <c:pt idx="2">
                  <c:v>9.702389919354841E-2</c:v>
                </c:pt>
                <c:pt idx="3">
                  <c:v>0.17512738472222222</c:v>
                </c:pt>
                <c:pt idx="4">
                  <c:v>0.14337161021505382</c:v>
                </c:pt>
                <c:pt idx="5">
                  <c:v>0.16571789583333324</c:v>
                </c:pt>
                <c:pt idx="6">
                  <c:v>0.15495072580645156</c:v>
                </c:pt>
                <c:pt idx="7">
                  <c:v>0.15585943951612902</c:v>
                </c:pt>
                <c:pt idx="8">
                  <c:v>0.11204646388888896</c:v>
                </c:pt>
                <c:pt idx="9">
                  <c:v>5.8767697580645144E-2</c:v>
                </c:pt>
                <c:pt idx="10">
                  <c:v>3.1375897222222213E-2</c:v>
                </c:pt>
                <c:pt idx="11">
                  <c:v>1.6773422043010765E-2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0-4AE8-8711-717FEA3B9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49632"/>
        <c:axId val="96783200"/>
      </c:lineChart>
      <c:catAx>
        <c:axId val="112749632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783200"/>
        <c:crosses val="autoZero"/>
        <c:auto val="1"/>
        <c:lblAlgn val="ctr"/>
        <c:lblOffset val="100"/>
        <c:noMultiLvlLbl val="0"/>
      </c:catAx>
      <c:valAx>
        <c:axId val="96783200"/>
        <c:scaling>
          <c:orientation val="minMax"/>
          <c:max val="0.8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>
                    <a:solidFill>
                      <a:schemeClr val="tx1"/>
                    </a:solidFill>
                  </a:rPr>
                  <a:t>Capacity</a:t>
                </a:r>
                <a:r>
                  <a:rPr lang="it-IT" baseline="0">
                    <a:solidFill>
                      <a:schemeClr val="tx1"/>
                    </a:solidFill>
                  </a:rPr>
                  <a:t> Factor (CF) </a:t>
                </a:r>
                <a:endParaRPr lang="it-IT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3.2070707070707069E-3"/>
              <c:y val="0.273566457777931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749632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18186684804857"/>
          <c:y val="5.2086446164201071E-2"/>
          <c:w val="0.33202828282828278"/>
          <c:h val="8.6842779489665178E-2"/>
        </c:manualLayout>
      </c:layout>
      <c:overlay val="1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BGfix_1!$J$19:$Q$19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BGfix_1!$J$26:$Q$26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-1146.4900223347931</c:v>
                </c:pt>
                <c:pt idx="4">
                  <c:v>-2039.1798357268437</c:v>
                </c:pt>
                <c:pt idx="5">
                  <c:v>-2307.0209302895055</c:v>
                </c:pt>
                <c:pt idx="6">
                  <c:v>-1663.1114381967072</c:v>
                </c:pt>
                <c:pt idx="7">
                  <c:v>-1034.2033536282825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2-44F1-9FFA-C4142BB575BF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BGfix_1!$J$19:$Q$19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BGfix_1!$J$25:$Q$25</c:f>
              <c:numCache>
                <c:formatCode>0</c:formatCode>
                <c:ptCount val="8"/>
                <c:pt idx="0">
                  <c:v>-320.57681258179457</c:v>
                </c:pt>
                <c:pt idx="1">
                  <c:v>-559.48059869569806</c:v>
                </c:pt>
                <c:pt idx="2">
                  <c:v>-1764.3166697407394</c:v>
                </c:pt>
                <c:pt idx="3">
                  <c:v>-2636.893087832947</c:v>
                </c:pt>
                <c:pt idx="4">
                  <c:v>-3469.1000156274958</c:v>
                </c:pt>
                <c:pt idx="5">
                  <c:v>-4933.5797689475712</c:v>
                </c:pt>
                <c:pt idx="6">
                  <c:v>-11288.79389270777</c:v>
                </c:pt>
                <c:pt idx="7">
                  <c:v>-15674.229559926962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2-44F1-9FFA-C4142BB575BF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BGfix_1!$J$19:$Q$19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BGfix_1!$J$27:$Q$27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1078.7324620148079</c:v>
                </c:pt>
                <c:pt idx="4">
                  <c:v>1918.6643074353799</c:v>
                </c:pt>
                <c:pt idx="5">
                  <c:v>2170.6759933093904</c:v>
                </c:pt>
                <c:pt idx="6">
                  <c:v>1564.8215521992875</c:v>
                </c:pt>
                <c:pt idx="7">
                  <c:v>973.08193542885192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2-44F1-9FFA-C4142BB575BF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BGfix_1!$J$19:$Q$19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BGfix_1!$J$22:$Q$22</c:f>
              <c:numCache>
                <c:formatCode>0</c:formatCode>
                <c:ptCount val="8"/>
                <c:pt idx="0">
                  <c:v>2970.8414872927092</c:v>
                </c:pt>
                <c:pt idx="1">
                  <c:v>2954.3890456153422</c:v>
                </c:pt>
                <c:pt idx="2">
                  <c:v>3113.8787995506818</c:v>
                </c:pt>
                <c:pt idx="3">
                  <c:v>4347.2465582488912</c:v>
                </c:pt>
                <c:pt idx="4">
                  <c:v>6245.8974335300554</c:v>
                </c:pt>
                <c:pt idx="5">
                  <c:v>7721.1000171749974</c:v>
                </c:pt>
                <c:pt idx="6">
                  <c:v>10452.685400885601</c:v>
                </c:pt>
                <c:pt idx="7">
                  <c:v>8267.618469340754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2-44F1-9FFA-C4142BB575BF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BGfix_1!$J$19:$Q$19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BGfix_1!$J$23:$Q$23</c:f>
              <c:numCache>
                <c:formatCode>0</c:formatCode>
                <c:ptCount val="8"/>
                <c:pt idx="0">
                  <c:v>0</c:v>
                </c:pt>
                <c:pt idx="1">
                  <c:v>1476.6865628316955</c:v>
                </c:pt>
                <c:pt idx="2">
                  <c:v>4457.8303848167825</c:v>
                </c:pt>
                <c:pt idx="3">
                  <c:v>6100.5941094065784</c:v>
                </c:pt>
                <c:pt idx="4">
                  <c:v>6054.8068823289186</c:v>
                </c:pt>
                <c:pt idx="5">
                  <c:v>6543.8628369104636</c:v>
                </c:pt>
                <c:pt idx="6">
                  <c:v>10516.596026954621</c:v>
                </c:pt>
                <c:pt idx="7">
                  <c:v>17146.720033164154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2-44F1-9FFA-C4142BB575BF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BGfix_1!$J$19:$Q$19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BGfix_1!$J$24:$Q$24</c:f>
              <c:numCache>
                <c:formatCode>0</c:formatCode>
                <c:ptCount val="8"/>
                <c:pt idx="0">
                  <c:v>7028.7228496675152</c:v>
                </c:pt>
                <c:pt idx="1">
                  <c:v>5807.3925146273095</c:v>
                </c:pt>
                <c:pt idx="2">
                  <c:v>3871.5950097519071</c:v>
                </c:pt>
                <c:pt idx="3">
                  <c:v>1935.7975048750243</c:v>
                </c:pt>
                <c:pt idx="4">
                  <c:v>967.89875243847973</c:v>
                </c:pt>
                <c:pt idx="5">
                  <c:v>483.94937621926783</c:v>
                </c:pt>
                <c:pt idx="6">
                  <c:v>96.789875244179967</c:v>
                </c:pt>
                <c:pt idx="7">
                  <c:v>-2.1026380636612884E-13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2-44F1-9FFA-C4142BB57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BGfix_1!$J$50:$Q$50</c:f>
              <c:numCache>
                <c:formatCode>0.000</c:formatCode>
                <c:ptCount val="8"/>
                <c:pt idx="0">
                  <c:v>4.7123387260492473</c:v>
                </c:pt>
                <c:pt idx="1">
                  <c:v>4.7780446922347863</c:v>
                </c:pt>
                <c:pt idx="2">
                  <c:v>5.0807291392752338</c:v>
                </c:pt>
                <c:pt idx="3">
                  <c:v>5.8979216836148662</c:v>
                </c:pt>
                <c:pt idx="4">
                  <c:v>6.5452589247369408</c:v>
                </c:pt>
                <c:pt idx="5">
                  <c:v>7.1139625427707704</c:v>
                </c:pt>
                <c:pt idx="6">
                  <c:v>8.5109816770470079</c:v>
                </c:pt>
                <c:pt idx="7">
                  <c:v>10.814488221994376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B-4F4B-947B-AD58C7A40A41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BGfix_1!$J$51:$Q$51</c:f>
              <c:numCache>
                <c:formatCode>0.000</c:formatCode>
                <c:ptCount val="8"/>
                <c:pt idx="0">
                  <c:v>4.6946058392304213</c:v>
                </c:pt>
                <c:pt idx="1">
                  <c:v>4.7470967080243947</c:v>
                </c:pt>
                <c:pt idx="2">
                  <c:v>4.9831349696747642</c:v>
                </c:pt>
                <c:pt idx="3">
                  <c:v>5.7520604583337471</c:v>
                </c:pt>
                <c:pt idx="4">
                  <c:v>6.3533637048522218</c:v>
                </c:pt>
                <c:pt idx="5">
                  <c:v>6.8410588010752287</c:v>
                </c:pt>
                <c:pt idx="6">
                  <c:v>7.8865356891781175</c:v>
                </c:pt>
                <c:pt idx="7">
                  <c:v>9.9474593919302041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AB-4F4B-947B-AD58C7A40A41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BGfix_1!$J$52:$Q$52</c:f>
              <c:numCache>
                <c:formatCode>0.000</c:formatCode>
                <c:ptCount val="8"/>
                <c:pt idx="0">
                  <c:v>4.6768729524115953</c:v>
                </c:pt>
                <c:pt idx="1">
                  <c:v>4.716148723814003</c:v>
                </c:pt>
                <c:pt idx="2">
                  <c:v>4.8855408000742955</c:v>
                </c:pt>
                <c:pt idx="3">
                  <c:v>5.6061992330526271</c:v>
                </c:pt>
                <c:pt idx="4">
                  <c:v>6.1614684849675028</c:v>
                </c:pt>
                <c:pt idx="5">
                  <c:v>6.5681550593796878</c:v>
                </c:pt>
                <c:pt idx="6">
                  <c:v>7.2620897013092263</c:v>
                </c:pt>
                <c:pt idx="7">
                  <c:v>9.0804305618660326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AB-4F4B-947B-AD58C7A40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BGfix_1!$J$6:$Q$6</c:f>
              <c:numCache>
                <c:formatCode>0.00</c:formatCode>
                <c:ptCount val="8"/>
                <c:pt idx="0">
                  <c:v>2.0119585039994887</c:v>
                </c:pt>
                <c:pt idx="1">
                  <c:v>2.0008163309532572</c:v>
                </c:pt>
                <c:pt idx="2">
                  <c:v>2.1088284103938948</c:v>
                </c:pt>
                <c:pt idx="3">
                  <c:v>2.9441085023428495</c:v>
                </c:pt>
                <c:pt idx="4">
                  <c:v>4.2299417556441519</c:v>
                </c:pt>
                <c:pt idx="5">
                  <c:v>5.2290009097530845</c:v>
                </c:pt>
                <c:pt idx="6">
                  <c:v>7.0789267525369635</c:v>
                </c:pt>
                <c:pt idx="7">
                  <c:v>5.5991224568402735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F-4F68-B0DF-C4ADDAA4FD22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BGfix_1!$J$7:$Q$7</c:f>
              <c:numCache>
                <c:formatCode>0.00</c:formatCode>
                <c:ptCount val="8"/>
                <c:pt idx="0">
                  <c:v>0</c:v>
                </c:pt>
                <c:pt idx="1">
                  <c:v>1.1294628226426309</c:v>
                </c:pt>
                <c:pt idx="2">
                  <c:v>3.4096292443009819</c:v>
                </c:pt>
                <c:pt idx="3">
                  <c:v>4.6661183327857634</c:v>
                </c:pt>
                <c:pt idx="4">
                  <c:v>4.6310973797698809</c:v>
                </c:pt>
                <c:pt idx="5">
                  <c:v>5.0051581539348424</c:v>
                </c:pt>
                <c:pt idx="6">
                  <c:v>8.0437545327282631</c:v>
                </c:pt>
                <c:pt idx="7">
                  <c:v>13.11489065803053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F-4F68-B0DF-C4ADDAA4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BGfix_1!$J$8:$Q$8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5.1993811026198831</c:v>
                </c:pt>
                <c:pt idx="4">
                  <c:v>10.491127295181657</c:v>
                </c:pt>
                <c:pt idx="5">
                  <c:v>14.052230692275856</c:v>
                </c:pt>
                <c:pt idx="6">
                  <c:v>16.675722342447703</c:v>
                </c:pt>
                <c:pt idx="7">
                  <c:v>26.622342951203091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8F-4F68-B0DF-C4ADDAA4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BGfix_1!$J$56:$Q$56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BGfix_1!$J$78:$Q$78</c:f>
              <c:numCache>
                <c:formatCode>0</c:formatCode>
                <c:ptCount val="8"/>
                <c:pt idx="0">
                  <c:v>72.119611185928136</c:v>
                </c:pt>
                <c:pt idx="1">
                  <c:v>105.98288323608162</c:v>
                </c:pt>
                <c:pt idx="2">
                  <c:v>148.98534918157225</c:v>
                </c:pt>
                <c:pt idx="3">
                  <c:v>206.45188050712639</c:v>
                </c:pt>
                <c:pt idx="4">
                  <c:v>240.44734867033424</c:v>
                </c:pt>
                <c:pt idx="5">
                  <c:v>269.19792415338588</c:v>
                </c:pt>
                <c:pt idx="6">
                  <c:v>343.45156507578986</c:v>
                </c:pt>
                <c:pt idx="7">
                  <c:v>470.59507864590205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F-44E6-8C79-3D7193DF2375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BGfix_1!$J$97:$Q$97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BGfix_1!$J$112:$Q$112</c:f>
              <c:numCache>
                <c:formatCode>0.00</c:formatCode>
                <c:ptCount val="8"/>
                <c:pt idx="0">
                  <c:v>64.337346404201114</c:v>
                </c:pt>
                <c:pt idx="1">
                  <c:v>64.337346404195856</c:v>
                </c:pt>
                <c:pt idx="2">
                  <c:v>64.337346404211459</c:v>
                </c:pt>
                <c:pt idx="3">
                  <c:v>64.337346404223211</c:v>
                </c:pt>
                <c:pt idx="4">
                  <c:v>64.337346404221535</c:v>
                </c:pt>
                <c:pt idx="5">
                  <c:v>64.33734640420802</c:v>
                </c:pt>
                <c:pt idx="6">
                  <c:v>64.337346404223226</c:v>
                </c:pt>
                <c:pt idx="7">
                  <c:v>64.337346404207693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2-4A1C-9195-5EACD7D2FF0B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BGfix_1!$J$97:$Q$97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BGfix_1!$J$113:$Q$113</c:f>
              <c:numCache>
                <c:formatCode>0.00</c:formatCode>
                <c:ptCount val="8"/>
                <c:pt idx="0">
                  <c:v>149.14827286907322</c:v>
                </c:pt>
                <c:pt idx="1">
                  <c:v>149.14827286907322</c:v>
                </c:pt>
                <c:pt idx="2">
                  <c:v>149.14827286907322</c:v>
                </c:pt>
                <c:pt idx="3">
                  <c:v>149.14827286910119</c:v>
                </c:pt>
                <c:pt idx="4">
                  <c:v>149.14827286909656</c:v>
                </c:pt>
                <c:pt idx="5">
                  <c:v>149.14827286906529</c:v>
                </c:pt>
                <c:pt idx="6">
                  <c:v>149.14827286909997</c:v>
                </c:pt>
                <c:pt idx="7">
                  <c:v>149.14827286906524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2-4A1C-9195-5EACD7D2F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4F-44E6-8C79-3D7193DF237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34F-44E6-8C79-3D7193DF237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34F-44E6-8C79-3D7193DF237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34F-44E6-8C79-3D7193DF237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34F-44E6-8C79-3D7193DF237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BGfix_1!$J$77:$Q$77</c:f>
              <c:numCache>
                <c:formatCode>0.0%</c:formatCode>
                <c:ptCount val="8"/>
                <c:pt idx="0">
                  <c:v>0.10790774733455477</c:v>
                </c:pt>
                <c:pt idx="1">
                  <c:v>0.12626293210369743</c:v>
                </c:pt>
                <c:pt idx="2">
                  <c:v>0.23301432038400841</c:v>
                </c:pt>
                <c:pt idx="3">
                  <c:v>0.25238641856362409</c:v>
                </c:pt>
                <c:pt idx="4">
                  <c:v>0.28202450254453126</c:v>
                </c:pt>
                <c:pt idx="5">
                  <c:v>0.34585296992446091</c:v>
                </c:pt>
                <c:pt idx="6">
                  <c:v>0.53834910516866885</c:v>
                </c:pt>
                <c:pt idx="7">
                  <c:v>0.61674749308867771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34F-44E6-8C79-3D7193DF2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BGfix_1!$J$63:$Q$63</c:f>
              <c:numCache>
                <c:formatCode>#,##0\ "€"</c:formatCode>
                <c:ptCount val="8"/>
                <c:pt idx="0">
                  <c:v>1379675.7</c:v>
                </c:pt>
                <c:pt idx="1">
                  <c:v>1379693.6182944216</c:v>
                </c:pt>
                <c:pt idx="2">
                  <c:v>1379693.6182944216</c:v>
                </c:pt>
                <c:pt idx="3">
                  <c:v>1379693.6182944216</c:v>
                </c:pt>
                <c:pt idx="4">
                  <c:v>1379693.6182944216</c:v>
                </c:pt>
                <c:pt idx="5">
                  <c:v>1379693.6182944216</c:v>
                </c:pt>
                <c:pt idx="6">
                  <c:v>1379688.1145319487</c:v>
                </c:pt>
                <c:pt idx="7">
                  <c:v>1379683.0495514944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D-4DAA-B344-5DFD7E4819D5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BGfix_1!$J$64:$Q$64</c:f>
              <c:numCache>
                <c:formatCode>#,##0\ "€"</c:formatCode>
                <c:ptCount val="8"/>
                <c:pt idx="0">
                  <c:v>2105340.095675278</c:v>
                </c:pt>
                <c:pt idx="1">
                  <c:v>2105340.4854261978</c:v>
                </c:pt>
                <c:pt idx="2">
                  <c:v>2105341.9826073265</c:v>
                </c:pt>
                <c:pt idx="3">
                  <c:v>2105348.4491067603</c:v>
                </c:pt>
                <c:pt idx="4">
                  <c:v>2105357.8642854113</c:v>
                </c:pt>
                <c:pt idx="5">
                  <c:v>2105349.6013386352</c:v>
                </c:pt>
                <c:pt idx="6">
                  <c:v>2105344.9556861632</c:v>
                </c:pt>
                <c:pt idx="7">
                  <c:v>2105343.661323017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6D-4DAA-B344-5DFD7E4819D5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BGfix_1!$J$57:$Q$57</c:f>
              <c:numCache>
                <c:formatCode>#,##0\ "€"</c:formatCode>
                <c:ptCount val="8"/>
                <c:pt idx="0">
                  <c:v>1609566.8031995911</c:v>
                </c:pt>
                <c:pt idx="1">
                  <c:v>1600653.0647626058</c:v>
                </c:pt>
                <c:pt idx="2">
                  <c:v>1687062.7283151159</c:v>
                </c:pt>
                <c:pt idx="3">
                  <c:v>2355286.8018742795</c:v>
                </c:pt>
                <c:pt idx="4">
                  <c:v>3383953.4045153214</c:v>
                </c:pt>
                <c:pt idx="5">
                  <c:v>4183200.7278024675</c:v>
                </c:pt>
                <c:pt idx="6">
                  <c:v>5663141.4020295702</c:v>
                </c:pt>
                <c:pt idx="7">
                  <c:v>4479297.9654722186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6D-4DAA-B344-5DFD7E4819D5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BGfix_1!$J$58:$Q$58</c:f>
              <c:numCache>
                <c:formatCode>#,##0\ "€"</c:formatCode>
                <c:ptCount val="8"/>
                <c:pt idx="0">
                  <c:v>0</c:v>
                </c:pt>
                <c:pt idx="1">
                  <c:v>1694194.2339639463</c:v>
                </c:pt>
                <c:pt idx="2">
                  <c:v>5114443.866451473</c:v>
                </c:pt>
                <c:pt idx="3">
                  <c:v>6999177.4991786452</c:v>
                </c:pt>
                <c:pt idx="4">
                  <c:v>6946646.0696548214</c:v>
                </c:pt>
                <c:pt idx="5">
                  <c:v>7507737.230902262</c:v>
                </c:pt>
                <c:pt idx="6">
                  <c:v>12065631.799092397</c:v>
                </c:pt>
                <c:pt idx="7">
                  <c:v>19672335.987045795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6D-4DAA-B344-5DFD7E4819D5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BGfix_1!$J$59:$Q$59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2079752.4410479532</c:v>
                </c:pt>
                <c:pt idx="4">
                  <c:v>4196450.9180726632</c:v>
                </c:pt>
                <c:pt idx="5">
                  <c:v>5620892.2769103423</c:v>
                </c:pt>
                <c:pt idx="6">
                  <c:v>6670288.9369790806</c:v>
                </c:pt>
                <c:pt idx="7">
                  <c:v>10648937.180481236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6D-4DAA-B344-5DFD7E4819D5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BGfix_1!$J$60:$Q$60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6D-4DAA-B344-5DFD7E4819D5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BGfix_1!$J$61:$Q$61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6D-4DAA-B344-5DFD7E4819D5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BGfix_1!$J$62:$Q$62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6D-4DAA-B344-5DFD7E48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BGfix_1!$J$31:$Q$31</c:f>
              <c:numCache>
                <c:formatCode>0.000</c:formatCode>
                <c:ptCount val="8"/>
                <c:pt idx="0">
                  <c:v>0.29678031211521699</c:v>
                </c:pt>
                <c:pt idx="1">
                  <c:v>0.29513675058659844</c:v>
                </c:pt>
                <c:pt idx="2">
                  <c:v>0.31106941449841957</c:v>
                </c:pt>
                <c:pt idx="3">
                  <c:v>0.43428005025434924</c:v>
                </c:pt>
                <c:pt idx="4">
                  <c:v>0.6239509572260572</c:v>
                </c:pt>
                <c:pt idx="5">
                  <c:v>0.7713203423243955</c:v>
                </c:pt>
                <c:pt idx="6">
                  <c:v>1.0441995135004143</c:v>
                </c:pt>
                <c:pt idx="7">
                  <c:v>0.82591629350665574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F-4801-B678-3EE7D67031EA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BGfix_1!$J$32:$Q$32</c:f>
              <c:numCache>
                <c:formatCode>0.000</c:formatCode>
                <c:ptCount val="8"/>
                <c:pt idx="0">
                  <c:v>0</c:v>
                </c:pt>
                <c:pt idx="1">
                  <c:v>0.31238435866102482</c:v>
                </c:pt>
                <c:pt idx="2">
                  <c:v>0.94302780348362358</c:v>
                </c:pt>
                <c:pt idx="3">
                  <c:v>1.2905448090922815</c:v>
                </c:pt>
                <c:pt idx="4">
                  <c:v>1.2808587904574174</c:v>
                </c:pt>
                <c:pt idx="5">
                  <c:v>1.3843157017385634</c:v>
                </c:pt>
                <c:pt idx="6">
                  <c:v>2.2247240462991398</c:v>
                </c:pt>
                <c:pt idx="7">
                  <c:v>3.6272877911406338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EF-4801-B678-3EE7D67031EA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BGfix_1!$J$33:$Q$33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0.38347558942552989</c:v>
                </c:pt>
                <c:pt idx="4">
                  <c:v>0.7737634814326384</c:v>
                </c:pt>
                <c:pt idx="5">
                  <c:v>1.0364093997164174</c:v>
                </c:pt>
                <c:pt idx="6">
                  <c:v>1.2299026226688561</c:v>
                </c:pt>
                <c:pt idx="7">
                  <c:v>1.9635065123338082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EF-4801-B678-3EE7D67031EA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BGfix_1!$J$34:$Q$34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EF-4801-B678-3EE7D67031EA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BGfix_1!$J$36:$Q$36</c:f>
              <c:numCache>
                <c:formatCode>0.000</c:formatCode>
                <c:ptCount val="8"/>
                <c:pt idx="0">
                  <c:v>0.6425853673864047</c:v>
                </c:pt>
                <c:pt idx="1">
                  <c:v>0.64258874311912739</c:v>
                </c:pt>
                <c:pt idx="2">
                  <c:v>0.64258901917733835</c:v>
                </c:pt>
                <c:pt idx="3">
                  <c:v>0.64259021150422646</c:v>
                </c:pt>
                <c:pt idx="4">
                  <c:v>0.64259194752394266</c:v>
                </c:pt>
                <c:pt idx="5">
                  <c:v>0.64259042395864097</c:v>
                </c:pt>
                <c:pt idx="6">
                  <c:v>0.64258855255678915</c:v>
                </c:pt>
                <c:pt idx="7">
                  <c:v>0.64258737998773119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EF-4801-B678-3EE7D67031EA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BGfix_1!$J$37:$Q$37</c:f>
              <c:numCache>
                <c:formatCode>0.000</c:formatCode>
                <c:ptCount val="8"/>
                <c:pt idx="0">
                  <c:v>5.5646308521603176E-2</c:v>
                </c:pt>
                <c:pt idx="1">
                  <c:v>5.5338140734987204E-2</c:v>
                </c:pt>
                <c:pt idx="2">
                  <c:v>5.8325515218453673E-2</c:v>
                </c:pt>
                <c:pt idx="3">
                  <c:v>8.1427509422690489E-2</c:v>
                </c:pt>
                <c:pt idx="4">
                  <c:v>0.11699080447988572</c:v>
                </c:pt>
                <c:pt idx="5">
                  <c:v>0.14462256418582414</c:v>
                </c:pt>
                <c:pt idx="6">
                  <c:v>0.19578740878132767</c:v>
                </c:pt>
                <c:pt idx="7">
                  <c:v>0.15485930503249795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EF-4801-B678-3EE7D67031EA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BGfix_1!$J$38:$Q$38</c:f>
              <c:numCache>
                <c:formatCode>0.000</c:formatCode>
                <c:ptCount val="8"/>
                <c:pt idx="0">
                  <c:v>0</c:v>
                </c:pt>
                <c:pt idx="1">
                  <c:v>9.3715307598307443E-2</c:v>
                </c:pt>
                <c:pt idx="2">
                  <c:v>0.28290834104508705</c:v>
                </c:pt>
                <c:pt idx="3">
                  <c:v>0.38716344272768438</c:v>
                </c:pt>
                <c:pt idx="4">
                  <c:v>0.38425763713722511</c:v>
                </c:pt>
                <c:pt idx="5">
                  <c:v>0.41529471052156913</c:v>
                </c:pt>
                <c:pt idx="6">
                  <c:v>0.66741721388974173</c:v>
                </c:pt>
                <c:pt idx="7">
                  <c:v>1.0881863373421901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EF-4801-B678-3EE7D67031EA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BGfix_1!$J$39:$Q$39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9.586889735638246E-2</c:v>
                </c:pt>
                <c:pt idx="4">
                  <c:v>0.1934408703581596</c:v>
                </c:pt>
                <c:pt idx="5">
                  <c:v>0.25910234992910436</c:v>
                </c:pt>
                <c:pt idx="6">
                  <c:v>0.30747565566721397</c:v>
                </c:pt>
                <c:pt idx="7">
                  <c:v>0.49087662808345206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EF-4801-B678-3EE7D67031EA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BGfix_1!$J$40:$Q$40</c:f>
              <c:numCache>
                <c:formatCode>0.000</c:formatCode>
                <c:ptCount val="8"/>
                <c:pt idx="0">
                  <c:v>0.25703414695456189</c:v>
                </c:pt>
                <c:pt idx="1">
                  <c:v>0.2570354972476509</c:v>
                </c:pt>
                <c:pt idx="2">
                  <c:v>0.25703560767093531</c:v>
                </c:pt>
                <c:pt idx="3">
                  <c:v>0.25703608460169053</c:v>
                </c:pt>
                <c:pt idx="4">
                  <c:v>0.25703677900957705</c:v>
                </c:pt>
                <c:pt idx="5">
                  <c:v>0.25703616958345638</c:v>
                </c:pt>
                <c:pt idx="6">
                  <c:v>0.25703542102271565</c:v>
                </c:pt>
                <c:pt idx="7">
                  <c:v>0.25703495199509246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EF-4801-B678-3EE7D67031EA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BGfix_1!$J$42:$Q$42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0.27481454375547121</c:v>
                </c:pt>
                <c:pt idx="4">
                  <c:v>0.48879298142466504</c:v>
                </c:pt>
                <c:pt idx="5">
                  <c:v>0.55299469863732897</c:v>
                </c:pt>
                <c:pt idx="6">
                  <c:v>0.39864909610971083</c:v>
                </c:pt>
                <c:pt idx="7">
                  <c:v>0.24789934255065993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EF-4801-B678-3EE7D67031EA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BGfix_1!$J$44:$Q$44</c:f>
              <c:numCache>
                <c:formatCode>0.000</c:formatCode>
                <c:ptCount val="8"/>
                <c:pt idx="0">
                  <c:v>8.478643178136118E-2</c:v>
                </c:pt>
                <c:pt idx="1">
                  <c:v>8.4787488861760241E-2</c:v>
                </c:pt>
                <c:pt idx="2">
                  <c:v>8.4787488861784638E-2</c:v>
                </c:pt>
                <c:pt idx="3">
                  <c:v>8.4787488861786664E-2</c:v>
                </c:pt>
                <c:pt idx="4">
                  <c:v>8.4787488861792909E-2</c:v>
                </c:pt>
                <c:pt idx="5">
                  <c:v>8.4787488861776547E-2</c:v>
                </c:pt>
                <c:pt idx="6">
                  <c:v>8.4787164170202114E-2</c:v>
                </c:pt>
                <c:pt idx="7">
                  <c:v>8.4786865364310182E-2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EF-4801-B678-3EE7D67031EA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BGfix_1!$J$45:$Q$45</c:f>
              <c:numCache>
                <c:formatCode>0.000</c:formatCode>
                <c:ptCount val="8"/>
                <c:pt idx="0">
                  <c:v>1.9027730795181892</c:v>
                </c:pt>
                <c:pt idx="1">
                  <c:v>1.9027730795180353</c:v>
                </c:pt>
                <c:pt idx="2">
                  <c:v>1.9027730795184938</c:v>
                </c:pt>
                <c:pt idx="3">
                  <c:v>1.9027730795185998</c:v>
                </c:pt>
                <c:pt idx="4">
                  <c:v>1.9027730795186846</c:v>
                </c:pt>
                <c:pt idx="5">
                  <c:v>1.9027730795183002</c:v>
                </c:pt>
                <c:pt idx="6">
                  <c:v>1.9027730795187403</c:v>
                </c:pt>
                <c:pt idx="7">
                  <c:v>1.9027730795182773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8EF-4801-B678-3EE7D67031EA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BGfix_1!$J$46:$Q$46</c:f>
              <c:numCache>
                <c:formatCode>0.000</c:formatCode>
                <c:ptCount val="8"/>
                <c:pt idx="0">
                  <c:v>1.943959344632846</c:v>
                </c:pt>
                <c:pt idx="1">
                  <c:v>1.6055115907682023</c:v>
                </c:pt>
                <c:pt idx="2">
                  <c:v>1.0694391346620999</c:v>
                </c:pt>
                <c:pt idx="3">
                  <c:v>0.53438624195525997</c:v>
                </c:pt>
                <c:pt idx="4">
                  <c:v>0.26724037216792751</c:v>
                </c:pt>
                <c:pt idx="5">
                  <c:v>0.13394187865639123</c:v>
                </c:pt>
                <c:pt idx="6">
                  <c:v>2.6868167723298218E-2</c:v>
                </c:pt>
                <c:pt idx="7">
                  <c:v>-5.6467238242179076E-17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8EF-4801-B678-3EE7D67031EA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BGfix_1!$J$48:$Q$48</c:f>
              <c:numCache>
                <c:formatCode>0.000</c:formatCode>
                <c:ptCount val="8"/>
                <c:pt idx="0">
                  <c:v>-1.7732886818825993E-2</c:v>
                </c:pt>
                <c:pt idx="1">
                  <c:v>-3.0947984210391508E-2</c:v>
                </c:pt>
                <c:pt idx="2">
                  <c:v>-9.7594169600469363E-2</c:v>
                </c:pt>
                <c:pt idx="3">
                  <c:v>-0.14586122528111939</c:v>
                </c:pt>
                <c:pt idx="4">
                  <c:v>-0.19189521988471919</c:v>
                </c:pt>
                <c:pt idx="5">
                  <c:v>-0.27290374169554149</c:v>
                </c:pt>
                <c:pt idx="6">
                  <c:v>-0.62444598786889072</c:v>
                </c:pt>
                <c:pt idx="7">
                  <c:v>-0.86702883006417131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58EF-4801-B678-3EE7D67031EA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cat>
          <c:val>
            <c:numRef>
              <c:f>BGfix_1!$J$47:$Q$47</c:f>
              <c:numCache>
                <c:formatCode>0.000</c:formatCode>
                <c:ptCount val="8"/>
                <c:pt idx="0">
                  <c:v>-0.47122626486093483</c:v>
                </c:pt>
                <c:pt idx="1">
                  <c:v>-0.47122626486090824</c:v>
                </c:pt>
                <c:pt idx="2">
                  <c:v>-0.47122626486100216</c:v>
                </c:pt>
                <c:pt idx="3">
                  <c:v>-0.47122626486108499</c:v>
                </c:pt>
                <c:pt idx="4">
                  <c:v>-0.47122626486103353</c:v>
                </c:pt>
                <c:pt idx="5">
                  <c:v>-0.47122626486099783</c:v>
                </c:pt>
                <c:pt idx="6">
                  <c:v>-0.47122626486114361</c:v>
                </c:pt>
                <c:pt idx="7">
                  <c:v>-0.47122626486093283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8EF-4801-B678-3EE7D6703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BGfix_1!$J$50:$Q$50</c:f>
              <c:numCache>
                <c:formatCode>0.000</c:formatCode>
                <c:ptCount val="8"/>
                <c:pt idx="0">
                  <c:v>4.7123387260492473</c:v>
                </c:pt>
                <c:pt idx="1">
                  <c:v>4.7780446922347863</c:v>
                </c:pt>
                <c:pt idx="2">
                  <c:v>5.0807291392752338</c:v>
                </c:pt>
                <c:pt idx="3">
                  <c:v>5.8979216836148662</c:v>
                </c:pt>
                <c:pt idx="4">
                  <c:v>6.5452589247369408</c:v>
                </c:pt>
                <c:pt idx="5">
                  <c:v>7.1139625427707704</c:v>
                </c:pt>
                <c:pt idx="6">
                  <c:v>8.5109816770470079</c:v>
                </c:pt>
                <c:pt idx="7">
                  <c:v>10.814488221994376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8EF-4801-B678-3EE7D6703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65960839276558"/>
          <c:y val="3.8805408406176203E-2"/>
          <c:w val="0.81195040443194044"/>
          <c:h val="0.871661599261687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BGfix_1!$J$97:$Q$97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BGfix_1!$J$105:$Q$105</c:f>
              <c:numCache>
                <c:formatCode>0.00</c:formatCode>
                <c:ptCount val="8"/>
                <c:pt idx="0">
                  <c:v>5.183970138920226</c:v>
                </c:pt>
                <c:pt idx="1">
                  <c:v>4.2831891404340841</c:v>
                </c:pt>
                <c:pt idx="2">
                  <c:v>2.8554594269563274</c:v>
                </c:pt>
                <c:pt idx="3">
                  <c:v>1.4277297134772922</c:v>
                </c:pt>
                <c:pt idx="4">
                  <c:v>0.71386485673941369</c:v>
                </c:pt>
                <c:pt idx="5">
                  <c:v>0.35693242836972827</c:v>
                </c:pt>
                <c:pt idx="6">
                  <c:v>7.1386485674186165E-2</c:v>
                </c:pt>
                <c:pt idx="7">
                  <c:v>-1.5507814389768076E-16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30-41E9-879C-6CBAD00A11FF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BGfix_1!$J$107:$Q$107</c:f>
              <c:numCache>
                <c:formatCode>0.00</c:formatCode>
                <c:ptCount val="8"/>
                <c:pt idx="0">
                  <c:v>0</c:v>
                </c:pt>
                <c:pt idx="1">
                  <c:v>3.1654948344324446E-2</c:v>
                </c:pt>
                <c:pt idx="2">
                  <c:v>9.5560150753006071E-2</c:v>
                </c:pt>
                <c:pt idx="3">
                  <c:v>0.1307752073213253</c:v>
                </c:pt>
                <c:pt idx="4">
                  <c:v>0.12979369076632996</c:v>
                </c:pt>
                <c:pt idx="5">
                  <c:v>0.14027732444284638</c:v>
                </c:pt>
                <c:pt idx="6">
                  <c:v>0.22543870335826843</c:v>
                </c:pt>
                <c:pt idx="7">
                  <c:v>0.36756516283560131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30-41E9-879C-6CBAD00A11FF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BGfix_1!$J$5:$Q$5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-9.4245252972206099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30-41E9-879C-6CBAD00A11FF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BGfix_1!$J$97:$Q$97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BGfix_1!$J$106:$Q$106</c:f>
              <c:numCache>
                <c:formatCode>0.00</c:formatCode>
                <c:ptCount val="8"/>
                <c:pt idx="0">
                  <c:v>7.7904831930256019E-2</c:v>
                </c:pt>
                <c:pt idx="1">
                  <c:v>7.7473397028999857E-2</c:v>
                </c:pt>
                <c:pt idx="2">
                  <c:v>8.1655721305834192E-2</c:v>
                </c:pt>
                <c:pt idx="3">
                  <c:v>0.11399851319174414</c:v>
                </c:pt>
                <c:pt idx="4">
                  <c:v>0.16378712627181274</c:v>
                </c:pt>
                <c:pt idx="5">
                  <c:v>0.20247158986016142</c:v>
                </c:pt>
                <c:pt idx="6">
                  <c:v>0.27410237229380474</c:v>
                </c:pt>
                <c:pt idx="7">
                  <c:v>0.21680302704550714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30-41E9-879C-6CBAD00A11FF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BGfix_1!$J$72:$Q$72</c:f>
              <c:numCache>
                <c:formatCode>0%</c:formatCode>
                <c:ptCount val="8"/>
                <c:pt idx="0">
                  <c:v>0.27381631271203372</c:v>
                </c:pt>
                <c:pt idx="1">
                  <c:v>0.39999999999998403</c:v>
                </c:pt>
                <c:pt idx="2">
                  <c:v>0.59999999999990683</c:v>
                </c:pt>
                <c:pt idx="3">
                  <c:v>0.79999999999989868</c:v>
                </c:pt>
                <c:pt idx="4">
                  <c:v>0.89999999999994407</c:v>
                </c:pt>
                <c:pt idx="5">
                  <c:v>0.94999999999980522</c:v>
                </c:pt>
                <c:pt idx="6">
                  <c:v>0.99000000000013433</c:v>
                </c:pt>
                <c:pt idx="7">
                  <c:v>0.99999999999997091</c:v>
                </c:pt>
              </c:numCache>
            </c:numRef>
          </c:xVal>
          <c:yVal>
            <c:numRef>
              <c:f>BGfix_1!$J$110:$Q$110</c:f>
              <c:numCache>
                <c:formatCode>0.00</c:formatCode>
                <c:ptCount val="8"/>
                <c:pt idx="0">
                  <c:v>-4.1626503263687242</c:v>
                </c:pt>
                <c:pt idx="1">
                  <c:v>-5.0322078114117978</c:v>
                </c:pt>
                <c:pt idx="2">
                  <c:v>-6.3918499982040391</c:v>
                </c:pt>
                <c:pt idx="3">
                  <c:v>-7.7093602039064528</c:v>
                </c:pt>
                <c:pt idx="4">
                  <c:v>-8.3309984361331484</c:v>
                </c:pt>
                <c:pt idx="5">
                  <c:v>-8.6095434088288059</c:v>
                </c:pt>
                <c:pt idx="6">
                  <c:v>-8.7167710691224674</c:v>
                </c:pt>
                <c:pt idx="7">
                  <c:v>-8.6217170078423546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30-41E9-879C-6CBAD00A11FF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BGfix_1!$L$97:$Q$97</c:f>
              <c:numCache>
                <c:formatCode>0%</c:formatCode>
                <c:ptCount val="6"/>
                <c:pt idx="0">
                  <c:v>0.59999999999990683</c:v>
                </c:pt>
                <c:pt idx="1">
                  <c:v>0.79999999999989868</c:v>
                </c:pt>
                <c:pt idx="2">
                  <c:v>0.89999999999994407</c:v>
                </c:pt>
                <c:pt idx="3">
                  <c:v>0.94999999999980522</c:v>
                </c:pt>
                <c:pt idx="4">
                  <c:v>0.99000000000013433</c:v>
                </c:pt>
                <c:pt idx="5">
                  <c:v>0.99999999999997091</c:v>
                </c:pt>
              </c:numCache>
            </c:numRef>
          </c:xVal>
          <c:yVal>
            <c:numRef>
              <c:f>BGfix_1!$L$108:$Q$108</c:f>
              <c:numCache>
                <c:formatCode>0.00</c:formatCode>
                <c:ptCount val="6"/>
                <c:pt idx="0">
                  <c:v>0</c:v>
                </c:pt>
                <c:pt idx="1">
                  <c:v>4.2661659323581763E-2</c:v>
                </c:pt>
                <c:pt idx="2">
                  <c:v>8.6081187309366675E-2</c:v>
                </c:pt>
                <c:pt idx="3">
                  <c:v>0.11530054571845577</c:v>
                </c:pt>
                <c:pt idx="4">
                  <c:v>0.13682666677188329</c:v>
                </c:pt>
                <c:pt idx="5">
                  <c:v>0.21844009949714632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30-41E9-879C-6CBAD00A1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050" baseline="0">
                    <a:solidFill>
                      <a:schemeClr val="tx1"/>
                    </a:solidFill>
                  </a:rPr>
                  <a:t>[%]</a:t>
                </a:r>
                <a:endParaRPr lang="it-IT" sz="105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2"/>
          <c:min val="-0.4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emissions [kg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050">
                    <a:solidFill>
                      <a:schemeClr val="tx1"/>
                    </a:solidFill>
                  </a:rPr>
                  <a:t>/kg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05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993466508222E-3"/>
              <c:y val="0.235592150334901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5294626915518106"/>
          <c:y val="3.7155968497160553E-2"/>
          <c:w val="0.72362538695713607"/>
          <c:h val="0.14885714447482998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BGSY_1!$J$19:$Q$19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BGSY_1!$J$26:$Q$26</c:f>
              <c:numCache>
                <c:formatCode>0</c:formatCode>
                <c:ptCount val="8"/>
                <c:pt idx="0">
                  <c:v>2.537382922897158E-15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-648.63978913257029</c:v>
                </c:pt>
                <c:pt idx="5">
                  <c:v>-1038.7662778821048</c:v>
                </c:pt>
                <c:pt idx="6">
                  <c:v>-915.95694344876699</c:v>
                </c:pt>
                <c:pt idx="7">
                  <c:v>-478.95281448375295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8-426B-A9E6-582DA117D160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BGSY_1!$J$19:$Q$19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BGSY_1!$J$25:$Q$25</c:f>
              <c:numCache>
                <c:formatCode>0</c:formatCode>
                <c:ptCount val="8"/>
                <c:pt idx="0">
                  <c:v>-320.57681258179457</c:v>
                </c:pt>
                <c:pt idx="1">
                  <c:v>-591.16106762820152</c:v>
                </c:pt>
                <c:pt idx="2">
                  <c:v>-1154.0440953227451</c:v>
                </c:pt>
                <c:pt idx="3">
                  <c:v>-2327.2402096909332</c:v>
                </c:pt>
                <c:pt idx="4">
                  <c:v>-2657.2624218295291</c:v>
                </c:pt>
                <c:pt idx="5">
                  <c:v>-3238.2669933739471</c:v>
                </c:pt>
                <c:pt idx="6">
                  <c:v>-6879.32911153041</c:v>
                </c:pt>
                <c:pt idx="7">
                  <c:v>-14522.804533180915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8-426B-A9E6-582DA117D160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BGSY_1!$J$19:$Q$19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BGSY_1!$J$27:$Q$27</c:f>
              <c:numCache>
                <c:formatCode>0</c:formatCode>
                <c:ptCount val="8"/>
                <c:pt idx="0">
                  <c:v>-2.3874235921539368E-15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610.30517759483496</c:v>
                </c:pt>
                <c:pt idx="5">
                  <c:v>977.37519085926942</c:v>
                </c:pt>
                <c:pt idx="6">
                  <c:v>861.82388809094141</c:v>
                </c:pt>
                <c:pt idx="7">
                  <c:v>450.64670314776197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8-426B-A9E6-582DA117D160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BGSY_1!$J$19:$Q$19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BGSY_1!$J$22:$Q$22</c:f>
              <c:numCache>
                <c:formatCode>0</c:formatCode>
                <c:ptCount val="8"/>
                <c:pt idx="0">
                  <c:v>2970.8414872927092</c:v>
                </c:pt>
                <c:pt idx="1">
                  <c:v>3850.283158108457</c:v>
                </c:pt>
                <c:pt idx="2">
                  <c:v>3794.2594792621226</c:v>
                </c:pt>
                <c:pt idx="3">
                  <c:v>4851.4227076241341</c:v>
                </c:pt>
                <c:pt idx="4">
                  <c:v>5534.7502722696527</c:v>
                </c:pt>
                <c:pt idx="5">
                  <c:v>6353.3588021494907</c:v>
                </c:pt>
                <c:pt idx="6">
                  <c:v>7181.6284745087323</c:v>
                </c:pt>
                <c:pt idx="7">
                  <c:v>9204.1814544669942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E8-426B-A9E6-582DA117D160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BGSY_1!$J$19:$Q$19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BGSY_1!$J$23:$Q$23</c:f>
              <c:numCache>
                <c:formatCode>0</c:formatCode>
                <c:ptCount val="8"/>
                <c:pt idx="0">
                  <c:v>0</c:v>
                </c:pt>
                <c:pt idx="1">
                  <c:v>612.47291927118306</c:v>
                </c:pt>
                <c:pt idx="2">
                  <c:v>3167.1771306878486</c:v>
                </c:pt>
                <c:pt idx="3">
                  <c:v>5219.0075215702345</c:v>
                </c:pt>
                <c:pt idx="4">
                  <c:v>5871.9355330380549</c:v>
                </c:pt>
                <c:pt idx="5">
                  <c:v>6141.3374264068416</c:v>
                </c:pt>
                <c:pt idx="6">
                  <c:v>9334.0313415141591</c:v>
                </c:pt>
                <c:pt idx="7">
                  <c:v>15025.916714428489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8-426B-A9E6-582DA117D160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BGSY_1!$J$19:$Q$19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BGSY_1!$J$24:$Q$24</c:f>
              <c:numCache>
                <c:formatCode>0</c:formatCode>
                <c:ptCount val="8"/>
                <c:pt idx="0">
                  <c:v>7028.722849667517</c:v>
                </c:pt>
                <c:pt idx="1">
                  <c:v>5807.3925146268248</c:v>
                </c:pt>
                <c:pt idx="2">
                  <c:v>3871.5950097516102</c:v>
                </c:pt>
                <c:pt idx="3">
                  <c:v>1935.7975048752405</c:v>
                </c:pt>
                <c:pt idx="4">
                  <c:v>967.89875243829295</c:v>
                </c:pt>
                <c:pt idx="5">
                  <c:v>483.94937621879745</c:v>
                </c:pt>
                <c:pt idx="6">
                  <c:v>96.789875243921657</c:v>
                </c:pt>
                <c:pt idx="7">
                  <c:v>2.0126378785789712E-11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E8-426B-A9E6-582DA117D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BGSY_1!$J$50:$Q$50</c:f>
              <c:numCache>
                <c:formatCode>0.000</c:formatCode>
                <c:ptCount val="8"/>
                <c:pt idx="0">
                  <c:v>4.7123387260492322</c:v>
                </c:pt>
                <c:pt idx="1">
                  <c:v>4.7808336670069282</c:v>
                </c:pt>
                <c:pt idx="2">
                  <c:v>4.9526105962720077</c:v>
                </c:pt>
                <c:pt idx="3">
                  <c:v>5.4097030744305821</c:v>
                </c:pt>
                <c:pt idx="4">
                  <c:v>5.8608400270282273</c:v>
                </c:pt>
                <c:pt idx="5">
                  <c:v>6.253077418351273</c:v>
                </c:pt>
                <c:pt idx="6">
                  <c:v>7.1420695451086651</c:v>
                </c:pt>
                <c:pt idx="7">
                  <c:v>9.5237196830884141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7-4F95-AED5-507ACBCC525D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BGSY_1!$J$51:$Q$51</c:f>
              <c:numCache>
                <c:formatCode>0.000</c:formatCode>
                <c:ptCount val="8"/>
                <c:pt idx="0">
                  <c:v>4.6946058392304062</c:v>
                </c:pt>
                <c:pt idx="1">
                  <c:v>4.7481332598267478</c:v>
                </c:pt>
                <c:pt idx="2">
                  <c:v>4.888773997606366</c:v>
                </c:pt>
                <c:pt idx="3">
                  <c:v>5.280970472386433</c:v>
                </c:pt>
                <c:pt idx="4">
                  <c:v>5.7138520605725933</c:v>
                </c:pt>
                <c:pt idx="5">
                  <c:v>6.0739508570127363</c:v>
                </c:pt>
                <c:pt idx="6">
                  <c:v>6.7615355833982882</c:v>
                </c:pt>
                <c:pt idx="7">
                  <c:v>8.7203825764374248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D7-4F95-AED5-507ACBCC525D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BGSY_1!$J$52:$Q$52</c:f>
              <c:numCache>
                <c:formatCode>0.000</c:formatCode>
                <c:ptCount val="8"/>
                <c:pt idx="0">
                  <c:v>4.6768729524115802</c:v>
                </c:pt>
                <c:pt idx="1">
                  <c:v>4.7154328526465674</c:v>
                </c:pt>
                <c:pt idx="2">
                  <c:v>4.8249373989407252</c:v>
                </c:pt>
                <c:pt idx="3">
                  <c:v>5.1522378703422831</c:v>
                </c:pt>
                <c:pt idx="4">
                  <c:v>5.5668640941169585</c:v>
                </c:pt>
                <c:pt idx="5">
                  <c:v>5.8948242956741987</c:v>
                </c:pt>
                <c:pt idx="6">
                  <c:v>6.3810016216879104</c:v>
                </c:pt>
                <c:pt idx="7">
                  <c:v>7.9170454697864336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D7-4F95-AED5-507ACBCC5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35470349756061E-2"/>
          <c:y val="3.8805555555555558E-2"/>
          <c:w val="0.80291074005359719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BGSY_1!$J$6:$Q$6</c:f>
              <c:numCache>
                <c:formatCode>0.00</c:formatCode>
                <c:ptCount val="8"/>
                <c:pt idx="0">
                  <c:v>2.0119585039994887</c:v>
                </c:pt>
                <c:pt idx="1">
                  <c:v>2.6075473820791739</c:v>
                </c:pt>
                <c:pt idx="2">
                  <c:v>2.5696061733131299</c:v>
                </c:pt>
                <c:pt idx="3">
                  <c:v>3.2855543504596558</c:v>
                </c:pt>
                <c:pt idx="4">
                  <c:v>3.7483278476611765</c:v>
                </c:pt>
                <c:pt idx="5">
                  <c:v>4.3027183798329771</c:v>
                </c:pt>
                <c:pt idx="6">
                  <c:v>4.863651778008534</c:v>
                </c:pt>
                <c:pt idx="7">
                  <c:v>6.233395901086908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A-4EC5-A112-325A5E4995BC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BGSY_1!$J$7:$Q$7</c:f>
              <c:numCache>
                <c:formatCode>0.00</c:formatCode>
                <c:ptCount val="8"/>
                <c:pt idx="0">
                  <c:v>0</c:v>
                </c:pt>
                <c:pt idx="1">
                  <c:v>0.46845783635064286</c:v>
                </c:pt>
                <c:pt idx="2">
                  <c:v>2.4224564046795618</c:v>
                </c:pt>
                <c:pt idx="3">
                  <c:v>3.9918254252968746</c:v>
                </c:pt>
                <c:pt idx="4">
                  <c:v>4.4912258623136259</c:v>
                </c:pt>
                <c:pt idx="5">
                  <c:v>4.6972813859219098</c:v>
                </c:pt>
                <c:pt idx="6">
                  <c:v>7.1392546332954758</c:v>
                </c:pt>
                <c:pt idx="7">
                  <c:v>11.49276680118728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BA-4EC5-A112-325A5E49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BGSY_1!$J$8:$Q$8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3.212920724674412</c:v>
                </c:pt>
                <c:pt idx="5">
                  <c:v>6.3465660127252024</c:v>
                </c:pt>
                <c:pt idx="6">
                  <c:v>8.6791475348186236</c:v>
                </c:pt>
                <c:pt idx="7">
                  <c:v>17.43592515768017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BA-4EC5-A112-325A5E49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1.0918477553653536E-2"/>
              <c:y val="0.23188407878309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56197199"/>
        <c:scaling>
          <c:orientation val="minMax"/>
          <c:max val="3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9825368347563906E-2"/>
          <c:y val="3.8689902109920557E-2"/>
          <c:w val="0.30061038239988896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BGSY_1!$J$63:$Q$63</c:f>
              <c:numCache>
                <c:formatCode>#,##0\ "€"</c:formatCode>
                <c:ptCount val="8"/>
                <c:pt idx="0">
                  <c:v>1379675.7</c:v>
                </c:pt>
                <c:pt idx="1">
                  <c:v>1656906.123485723</c:v>
                </c:pt>
                <c:pt idx="2">
                  <c:v>1664599.7326660163</c:v>
                </c:pt>
                <c:pt idx="3">
                  <c:v>1946490.1338363681</c:v>
                </c:pt>
                <c:pt idx="4">
                  <c:v>1932109.5371043989</c:v>
                </c:pt>
                <c:pt idx="5">
                  <c:v>1890139.4197478371</c:v>
                </c:pt>
                <c:pt idx="6">
                  <c:v>1664599.7326660168</c:v>
                </c:pt>
                <c:pt idx="7">
                  <c:v>1548253.4226722433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4-4388-8949-759C156247AD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BGSY_1!$J$64:$Q$64</c:f>
              <c:numCache>
                <c:formatCode>#,##0\ "€"</c:formatCode>
                <c:ptCount val="8"/>
                <c:pt idx="0">
                  <c:v>2105340.0956752724</c:v>
                </c:pt>
                <c:pt idx="1">
                  <c:v>2112785.7180419993</c:v>
                </c:pt>
                <c:pt idx="2">
                  <c:v>2129377.1365383216</c:v>
                </c:pt>
                <c:pt idx="3">
                  <c:v>2718176.7409109091</c:v>
                </c:pt>
                <c:pt idx="4">
                  <c:v>2689007.3948395927</c:v>
                </c:pt>
                <c:pt idx="5">
                  <c:v>2603781.8542197775</c:v>
                </c:pt>
                <c:pt idx="6">
                  <c:v>2129377.1365383221</c:v>
                </c:pt>
                <c:pt idx="7">
                  <c:v>2129377.1365383212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4-4388-8949-759C156247AD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BGSY_1!$J$57:$Q$57</c:f>
              <c:numCache>
                <c:formatCode>#,##0\ "€"</c:formatCode>
                <c:ptCount val="8"/>
                <c:pt idx="0">
                  <c:v>1609566.8031995911</c:v>
                </c:pt>
                <c:pt idx="1">
                  <c:v>2086037.9056633392</c:v>
                </c:pt>
                <c:pt idx="2">
                  <c:v>2055684.9386505042</c:v>
                </c:pt>
                <c:pt idx="3">
                  <c:v>2628443.4803677243</c:v>
                </c:pt>
                <c:pt idx="4">
                  <c:v>2998662.2781289411</c:v>
                </c:pt>
                <c:pt idx="5">
                  <c:v>3442174.7038663817</c:v>
                </c:pt>
                <c:pt idx="6">
                  <c:v>3890921.4224068271</c:v>
                </c:pt>
                <c:pt idx="7">
                  <c:v>4986716.7208695263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4-4388-8949-759C156247AD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BGSY_1!$J$58:$Q$58</c:f>
              <c:numCache>
                <c:formatCode>#,##0\ "€"</c:formatCode>
                <c:ptCount val="8"/>
                <c:pt idx="0">
                  <c:v>0</c:v>
                </c:pt>
                <c:pt idx="1">
                  <c:v>702686.75452596426</c:v>
                </c:pt>
                <c:pt idx="2">
                  <c:v>3633684.6070193425</c:v>
                </c:pt>
                <c:pt idx="3">
                  <c:v>5987738.1379453121</c:v>
                </c:pt>
                <c:pt idx="4">
                  <c:v>6736838.7934704386</c:v>
                </c:pt>
                <c:pt idx="5">
                  <c:v>7045922.0788828647</c:v>
                </c:pt>
                <c:pt idx="6">
                  <c:v>10708881.949943213</c:v>
                </c:pt>
                <c:pt idx="7">
                  <c:v>17239150.201780919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04-4388-8949-759C156247AD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BGSY_1!$J$59:$Q$59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1285168.2898697648</c:v>
                </c:pt>
                <c:pt idx="5">
                  <c:v>2538626.405090081</c:v>
                </c:pt>
                <c:pt idx="6">
                  <c:v>3471659.0139274495</c:v>
                </c:pt>
                <c:pt idx="7">
                  <c:v>6974370.0630720677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04-4388-8949-759C156247AD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BGSY_1!$J$60:$Q$60</c:f>
              <c:numCache>
                <c:formatCode>#,##0\ "€"</c:formatCode>
                <c:ptCount val="8"/>
                <c:pt idx="0">
                  <c:v>0</c:v>
                </c:pt>
                <c:pt idx="1">
                  <c:v>73681.180695332514</c:v>
                </c:pt>
                <c:pt idx="2">
                  <c:v>78976.515210754791</c:v>
                </c:pt>
                <c:pt idx="3">
                  <c:v>130796.56298589741</c:v>
                </c:pt>
                <c:pt idx="4">
                  <c:v>144167.07262507151</c:v>
                </c:pt>
                <c:pt idx="5">
                  <c:v>151412.16830646183</c:v>
                </c:pt>
                <c:pt idx="6">
                  <c:v>169479.43898737052</c:v>
                </c:pt>
                <c:pt idx="7">
                  <c:v>126856.38336606364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04-4388-8949-759C156247AD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BGSY_1!$J$61:$Q$61</c:f>
              <c:numCache>
                <c:formatCode>#,##0\ "€"</c:formatCode>
                <c:ptCount val="8"/>
                <c:pt idx="0">
                  <c:v>0</c:v>
                </c:pt>
                <c:pt idx="1">
                  <c:v>96046.733124550534</c:v>
                </c:pt>
                <c:pt idx="2">
                  <c:v>111642.31277061628</c:v>
                </c:pt>
                <c:pt idx="3">
                  <c:v>154158.08244828432</c:v>
                </c:pt>
                <c:pt idx="4">
                  <c:v>208551.18934010019</c:v>
                </c:pt>
                <c:pt idx="5">
                  <c:v>276151.76341712195</c:v>
                </c:pt>
                <c:pt idx="6">
                  <c:v>438029.3206126109</c:v>
                </c:pt>
                <c:pt idx="7">
                  <c:v>214352.19521338967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04-4388-8949-759C156247AD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BGSY_1!$J$62:$Q$62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195888.35964149798</c:v>
                </c:pt>
                <c:pt idx="4">
                  <c:v>200136.62416519719</c:v>
                </c:pt>
                <c:pt idx="5">
                  <c:v>136003.33157450549</c:v>
                </c:pt>
                <c:pt idx="6">
                  <c:v>38290.283231978043</c:v>
                </c:pt>
                <c:pt idx="7">
                  <c:v>73953.583767722113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04-4388-8949-759C15624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BGSY_1!$J$31:$Q$31</c:f>
              <c:numCache>
                <c:formatCode>0.000</c:formatCode>
                <c:ptCount val="8"/>
                <c:pt idx="0">
                  <c:v>0.29678031211521622</c:v>
                </c:pt>
                <c:pt idx="1">
                  <c:v>0.384634536135047</c:v>
                </c:pt>
                <c:pt idx="2">
                  <c:v>0.37903789795523629</c:v>
                </c:pt>
                <c:pt idx="3">
                  <c:v>0.48464610162817923</c:v>
                </c:pt>
                <c:pt idx="4">
                  <c:v>0.55290897219191937</c:v>
                </c:pt>
                <c:pt idx="5">
                  <c:v>0.63468610370065326</c:v>
                </c:pt>
                <c:pt idx="6">
                  <c:v>0.71742836138414201</c:v>
                </c:pt>
                <c:pt idx="7">
                  <c:v>0.91947680699429513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11F-A124-7322B59600F1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BGSY_1!$J$32:$Q$32</c:f>
              <c:numCache>
                <c:formatCode>0.000</c:formatCode>
                <c:ptCount val="8"/>
                <c:pt idx="0">
                  <c:v>0</c:v>
                </c:pt>
                <c:pt idx="1">
                  <c:v>0.12956504440382657</c:v>
                </c:pt>
                <c:pt idx="2">
                  <c:v>0.66999769730329861</c:v>
                </c:pt>
                <c:pt idx="3">
                  <c:v>1.1040503506354955</c:v>
                </c:pt>
                <c:pt idx="4">
                  <c:v>1.2421734318959621</c:v>
                </c:pt>
                <c:pt idx="5">
                  <c:v>1.2991638182110599</c:v>
                </c:pt>
                <c:pt idx="6">
                  <c:v>1.974559441205973</c:v>
                </c:pt>
                <c:pt idx="7">
                  <c:v>3.178644320518905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11F-A124-7322B59600F1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BGSY_1!$J$33:$Q$33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0.23696602429297764</c:v>
                </c:pt>
                <c:pt idx="5">
                  <c:v>0.46808516139184447</c:v>
                </c:pt>
                <c:pt idx="6">
                  <c:v>0.64012257438645259</c:v>
                </c:pt>
                <c:pt idx="7">
                  <c:v>1.2859706847899555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11F-A124-7322B59600F1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BGSY_1!$J$34:$Q$34</c:f>
              <c:numCache>
                <c:formatCode>0.000</c:formatCode>
                <c:ptCount val="8"/>
                <c:pt idx="0">
                  <c:v>0</c:v>
                </c:pt>
                <c:pt idx="1">
                  <c:v>3.1295316937455429E-2</c:v>
                </c:pt>
                <c:pt idx="2">
                  <c:v>3.5147292520506961E-2</c:v>
                </c:pt>
                <c:pt idx="3">
                  <c:v>8.8660338198523633E-2</c:v>
                </c:pt>
                <c:pt idx="4">
                  <c:v>0.10193826396894398</c:v>
                </c:pt>
                <c:pt idx="5">
                  <c:v>0.10391346787661164</c:v>
                </c:pt>
                <c:pt idx="6">
                  <c:v>0.11907579176856908</c:v>
                </c:pt>
                <c:pt idx="7">
                  <c:v>7.654976225584878E-2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11F-A124-7322B59600F1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BGSY_1!$J$36:$Q$36</c:f>
              <c:numCache>
                <c:formatCode>0.000</c:formatCode>
                <c:ptCount val="8"/>
                <c:pt idx="0">
                  <c:v>0.64258536738640193</c:v>
                </c:pt>
                <c:pt idx="1">
                  <c:v>0.69507541972350495</c:v>
                </c:pt>
                <c:pt idx="2">
                  <c:v>0.69955321963785222</c:v>
                </c:pt>
                <c:pt idx="3">
                  <c:v>0.86009557866699571</c:v>
                </c:pt>
                <c:pt idx="4">
                  <c:v>0.85206561334212449</c:v>
                </c:pt>
                <c:pt idx="5">
                  <c:v>0.82861261530632024</c:v>
                </c:pt>
                <c:pt idx="6">
                  <c:v>0.69955321963785688</c:v>
                </c:pt>
                <c:pt idx="7">
                  <c:v>0.67810068090211217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11F-A124-7322B59600F1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BGSY_1!$J$37:$Q$37</c:f>
              <c:numCache>
                <c:formatCode>0.000</c:formatCode>
                <c:ptCount val="8"/>
                <c:pt idx="0">
                  <c:v>5.564630852160303E-2</c:v>
                </c:pt>
                <c:pt idx="1">
                  <c:v>7.2118975525321316E-2</c:v>
                </c:pt>
                <c:pt idx="2">
                  <c:v>7.1069605866606808E-2</c:v>
                </c:pt>
                <c:pt idx="3">
                  <c:v>9.0871144055283598E-2</c:v>
                </c:pt>
                <c:pt idx="4">
                  <c:v>0.1036704322859849</c:v>
                </c:pt>
                <c:pt idx="5">
                  <c:v>0.11900364444387247</c:v>
                </c:pt>
                <c:pt idx="6">
                  <c:v>0.13451781775952665</c:v>
                </c:pt>
                <c:pt idx="7">
                  <c:v>0.17240190131143032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11F-A124-7322B59600F1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BGSY_1!$J$38:$Q$38</c:f>
              <c:numCache>
                <c:formatCode>0.000</c:formatCode>
                <c:ptCount val="8"/>
                <c:pt idx="0">
                  <c:v>0</c:v>
                </c:pt>
                <c:pt idx="1">
                  <c:v>3.8869513321147971E-2</c:v>
                </c:pt>
                <c:pt idx="2">
                  <c:v>0.20099930919098957</c:v>
                </c:pt>
                <c:pt idx="3">
                  <c:v>0.33121510519064862</c:v>
                </c:pt>
                <c:pt idx="4">
                  <c:v>0.37265202956878862</c:v>
                </c:pt>
                <c:pt idx="5">
                  <c:v>0.38974914546331785</c:v>
                </c:pt>
                <c:pt idx="6">
                  <c:v>0.59236783236179202</c:v>
                </c:pt>
                <c:pt idx="7">
                  <c:v>0.95359329615567157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D0-411F-A124-7322B59600F1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BGSY_1!$J$39:$Q$39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5.924150607324441E-2</c:v>
                </c:pt>
                <c:pt idx="5">
                  <c:v>0.1170212903479611</c:v>
                </c:pt>
                <c:pt idx="6">
                  <c:v>0.16003064359661312</c:v>
                </c:pt>
                <c:pt idx="7">
                  <c:v>0.32149267119748887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D0-411F-A124-7322B59600F1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BGSY_1!$J$40:$Q$40</c:f>
              <c:numCache>
                <c:formatCode>0.000</c:formatCode>
                <c:ptCount val="8"/>
                <c:pt idx="0">
                  <c:v>0.25703414695456078</c:v>
                </c:pt>
                <c:pt idx="1">
                  <c:v>0.29054829466438414</c:v>
                </c:pt>
                <c:pt idx="2">
                  <c:v>0.29388020486334365</c:v>
                </c:pt>
                <c:pt idx="3">
                  <c:v>0.36505480025848408</c:v>
                </c:pt>
                <c:pt idx="4">
                  <c:v>0.36684065757912071</c:v>
                </c:pt>
                <c:pt idx="5">
                  <c:v>0.36297963216242451</c:v>
                </c:pt>
                <c:pt idx="6">
                  <c:v>0.32462753980527598</c:v>
                </c:pt>
                <c:pt idx="7">
                  <c:v>0.2964057984504514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D0-411F-A124-7322B59600F1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BGSY_1!$J$42:$Q$42</c:f>
              <c:numCache>
                <c:formatCode>0.000</c:formatCode>
                <c:ptCount val="8"/>
                <c:pt idx="0">
                  <c:v>-6.0821264616738976E-19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0.15547945838122385</c:v>
                </c:pt>
                <c:pt idx="5">
                  <c:v>0.24899307901812998</c:v>
                </c:pt>
                <c:pt idx="6">
                  <c:v>0.21955558671228742</c:v>
                </c:pt>
                <c:pt idx="7">
                  <c:v>0.11480535951345588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D0-411F-A124-7322B59600F1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BGSY_1!$J$44:$Q$44</c:f>
              <c:numCache>
                <c:formatCode>0.000</c:formatCode>
                <c:ptCount val="8"/>
                <c:pt idx="0">
                  <c:v>8.4786431781360944E-2</c:v>
                </c:pt>
                <c:pt idx="1">
                  <c:v>0.10132588809831138</c:v>
                </c:pt>
                <c:pt idx="2">
                  <c:v>0.10179423749557517</c:v>
                </c:pt>
                <c:pt idx="3">
                  <c:v>0.11936396771546942</c:v>
                </c:pt>
                <c:pt idx="4">
                  <c:v>0.11844490119877282</c:v>
                </c:pt>
                <c:pt idx="5">
                  <c:v>0.11577891757226888</c:v>
                </c:pt>
                <c:pt idx="6">
                  <c:v>0.10179423749557198</c:v>
                </c:pt>
                <c:pt idx="7">
                  <c:v>9.473158634145086E-2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D0-411F-A124-7322B59600F1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BGSY_1!$J$45:$Q$45</c:f>
              <c:numCache>
                <c:formatCode>0.000</c:formatCode>
                <c:ptCount val="8"/>
                <c:pt idx="0">
                  <c:v>1.9027730795181843</c:v>
                </c:pt>
                <c:pt idx="1">
                  <c:v>1.9027730795185147</c:v>
                </c:pt>
                <c:pt idx="2">
                  <c:v>1.9027730795183615</c:v>
                </c:pt>
                <c:pt idx="3">
                  <c:v>1.9027730795183653</c:v>
                </c:pt>
                <c:pt idx="4">
                  <c:v>1.9027730795183702</c:v>
                </c:pt>
                <c:pt idx="5">
                  <c:v>1.9027730795183668</c:v>
                </c:pt>
                <c:pt idx="6">
                  <c:v>1.9027730795183742</c:v>
                </c:pt>
                <c:pt idx="7">
                  <c:v>1.9027730795183766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D0-411F-A124-7322B59600F1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BGSY_1!$J$46:$Q$46</c:f>
              <c:numCache>
                <c:formatCode>0.000</c:formatCode>
                <c:ptCount val="8"/>
                <c:pt idx="0">
                  <c:v>1.9439593446328409</c:v>
                </c:pt>
                <c:pt idx="1">
                  <c:v>1.6058538635404782</c:v>
                </c:pt>
                <c:pt idx="2">
                  <c:v>1.0695843167812356</c:v>
                </c:pt>
                <c:pt idx="3">
                  <c:v>0.53419887342410011</c:v>
                </c:pt>
                <c:pt idx="4">
                  <c:v>0.26691192159174443</c:v>
                </c:pt>
                <c:pt idx="5">
                  <c:v>0.13354372819939991</c:v>
                </c:pt>
                <c:pt idx="6">
                  <c:v>2.688968433726549E-2</c:v>
                </c:pt>
                <c:pt idx="7">
                  <c:v>5.4050245046484611E-15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D0-411F-A124-7322B59600F1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BGSY_1!$J$48:$Q$48</c:f>
              <c:numCache>
                <c:formatCode>0.000</c:formatCode>
                <c:ptCount val="8"/>
                <c:pt idx="0">
                  <c:v>-1.7732886818825944E-2</c:v>
                </c:pt>
                <c:pt idx="1">
                  <c:v>-3.2700407180180302E-2</c:v>
                </c:pt>
                <c:pt idx="2">
                  <c:v>-6.38365986656413E-2</c:v>
                </c:pt>
                <c:pt idx="3">
                  <c:v>-0.12873260204414932</c:v>
                </c:pt>
                <c:pt idx="4">
                  <c:v>-0.14698796645563425</c:v>
                </c:pt>
                <c:pt idx="5">
                  <c:v>-0.17912656133853702</c:v>
                </c:pt>
                <c:pt idx="6">
                  <c:v>-0.38053396171037723</c:v>
                </c:pt>
                <c:pt idx="7">
                  <c:v>-0.80333710665099012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8AD0-411F-A124-7322B59600F1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cat>
          <c:val>
            <c:numRef>
              <c:f>BGSY_1!$J$47:$Q$47</c:f>
              <c:numCache>
                <c:formatCode>0.000</c:formatCode>
                <c:ptCount val="8"/>
                <c:pt idx="0">
                  <c:v>-0.47122626486093483</c:v>
                </c:pt>
                <c:pt idx="1">
                  <c:v>-0.47122626486106378</c:v>
                </c:pt>
                <c:pt idx="2">
                  <c:v>-0.4712262648609985</c:v>
                </c:pt>
                <c:pt idx="3">
                  <c:v>-0.47122626486096281</c:v>
                </c:pt>
                <c:pt idx="4">
                  <c:v>-0.47122626486095071</c:v>
                </c:pt>
                <c:pt idx="5">
                  <c:v>-0.47122626486095842</c:v>
                </c:pt>
                <c:pt idx="6">
                  <c:v>-0.47122626486103503</c:v>
                </c:pt>
                <c:pt idx="7">
                  <c:v>-0.47122626486103242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D0-411F-A124-7322B5960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BGSY_1!$J$50:$Q$50</c:f>
              <c:numCache>
                <c:formatCode>0.000</c:formatCode>
                <c:ptCount val="8"/>
                <c:pt idx="0">
                  <c:v>4.7123387260492322</c:v>
                </c:pt>
                <c:pt idx="1">
                  <c:v>4.7808336670069282</c:v>
                </c:pt>
                <c:pt idx="2">
                  <c:v>4.9526105962720077</c:v>
                </c:pt>
                <c:pt idx="3">
                  <c:v>5.4097030744305821</c:v>
                </c:pt>
                <c:pt idx="4">
                  <c:v>5.8608400270282273</c:v>
                </c:pt>
                <c:pt idx="5">
                  <c:v>6.253077418351273</c:v>
                </c:pt>
                <c:pt idx="6">
                  <c:v>7.1420695451086651</c:v>
                </c:pt>
                <c:pt idx="7">
                  <c:v>9.5237196830884141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AD0-411F-A124-7322B5960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38141087458512"/>
          <c:y val="3.8805408406176203E-2"/>
          <c:w val="0.8317035124655382"/>
          <c:h val="0.8422621762037212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58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BGSY_1!$J$105:$Q$105</c:f>
              <c:numCache>
                <c:formatCode>0.00</c:formatCode>
                <c:ptCount val="8"/>
                <c:pt idx="0">
                  <c:v>5.1839701389202277</c:v>
                </c:pt>
                <c:pt idx="1">
                  <c:v>4.283189140433727</c:v>
                </c:pt>
                <c:pt idx="2">
                  <c:v>2.8554594269561084</c:v>
                </c:pt>
                <c:pt idx="3">
                  <c:v>1.4277297134774516</c:v>
                </c:pt>
                <c:pt idx="4">
                  <c:v>0.71386485673927602</c:v>
                </c:pt>
                <c:pt idx="5">
                  <c:v>0.35693242836938133</c:v>
                </c:pt>
                <c:pt idx="6">
                  <c:v>7.1386485673995886E-2</c:v>
                </c:pt>
                <c:pt idx="7">
                  <c:v>1.4844026270727256E-14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F8-40F6-95E1-70AE51CDC7B2}"/>
            </c:ext>
          </c:extLst>
        </c:ser>
        <c:ser>
          <c:idx val="3"/>
          <c:order val="1"/>
          <c:tx>
            <c:v>PV</c:v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BGSY_1!$J$106:$Q$106</c:f>
              <c:numCache>
                <c:formatCode>0.00</c:formatCode>
                <c:ptCount val="8"/>
                <c:pt idx="0">
                  <c:v>7.7904831930256019E-2</c:v>
                </c:pt>
                <c:pt idx="1">
                  <c:v>0.10096656573544757</c:v>
                </c:pt>
                <c:pt idx="2">
                  <c:v>9.9497448213255305E-2</c:v>
                </c:pt>
                <c:pt idx="3">
                  <c:v>0.12721960167738758</c:v>
                </c:pt>
                <c:pt idx="4">
                  <c:v>0.14513860520037866</c:v>
                </c:pt>
                <c:pt idx="5">
                  <c:v>0.16660510222142186</c:v>
                </c:pt>
                <c:pt idx="6">
                  <c:v>0.18832494486333703</c:v>
                </c:pt>
                <c:pt idx="7">
                  <c:v>0.24136266183600108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F8-40F6-95E1-70AE51CDC7B2}"/>
            </c:ext>
          </c:extLst>
        </c:ser>
        <c:ser>
          <c:idx val="1"/>
          <c:order val="2"/>
          <c:tx>
            <c:v>Wind</c:v>
          </c:tx>
          <c:spPr>
            <a:ln w="158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BGSY_1!$J$107:$Q$107</c:f>
              <c:numCache>
                <c:formatCode>0.00</c:formatCode>
                <c:ptCount val="8"/>
                <c:pt idx="0">
                  <c:v>0</c:v>
                </c:pt>
                <c:pt idx="1">
                  <c:v>1.3129257832920798E-2</c:v>
                </c:pt>
                <c:pt idx="2">
                  <c:v>6.7893099993404857E-2</c:v>
                </c:pt>
                <c:pt idx="3">
                  <c:v>0.11187710219772189</c:v>
                </c:pt>
                <c:pt idx="4">
                  <c:v>0.12587357443212402</c:v>
                </c:pt>
                <c:pt idx="5">
                  <c:v>0.13164860024538769</c:v>
                </c:pt>
                <c:pt idx="6">
                  <c:v>0.200088690042205</c:v>
                </c:pt>
                <c:pt idx="7">
                  <c:v>0.32210262447924715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F8-40F6-95E1-70AE51CDC7B2}"/>
            </c:ext>
          </c:extLst>
        </c:ser>
        <c:ser>
          <c:idx val="5"/>
          <c:order val="5"/>
          <c:tx>
            <c:v>BESS</c:v>
          </c:tx>
          <c:spPr>
            <a:ln w="15875" cap="rnd">
              <a:solidFill>
                <a:srgbClr val="B07BD7"/>
              </a:solidFill>
              <a:round/>
            </a:ln>
            <a:effectLst/>
          </c:spPr>
          <c:marker>
            <c:symbol val="x"/>
            <c:size val="5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BGSY_1!$M$97:$Q$97</c:f>
              <c:numCache>
                <c:formatCode>0%</c:formatCode>
                <c:ptCount val="5"/>
                <c:pt idx="0">
                  <c:v>0.80000000000004257</c:v>
                </c:pt>
                <c:pt idx="1">
                  <c:v>0.89999999999992752</c:v>
                </c:pt>
                <c:pt idx="2">
                  <c:v>0.94999999999996454</c:v>
                </c:pt>
                <c:pt idx="3">
                  <c:v>0.99000000000010169</c:v>
                </c:pt>
                <c:pt idx="4">
                  <c:v>1.0000000000000315</c:v>
                </c:pt>
              </c:numCache>
            </c:numRef>
          </c:xVal>
          <c:yVal>
            <c:numRef>
              <c:f>BGSY_1!$M$108:$Q$108</c:f>
              <c:numCache>
                <c:formatCode>0.00</c:formatCode>
                <c:ptCount val="5"/>
                <c:pt idx="0">
                  <c:v>0</c:v>
                </c:pt>
                <c:pt idx="1">
                  <c:v>2.6362470202593739E-2</c:v>
                </c:pt>
                <c:pt idx="2">
                  <c:v>5.2074474204842833E-2</c:v>
                </c:pt>
                <c:pt idx="3">
                  <c:v>7.1213636400492747E-2</c:v>
                </c:pt>
                <c:pt idx="4">
                  <c:v>0.14306423868288171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F8-40F6-95E1-70AE51CDC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3"/>
                <c:tx>
                  <c:v>CO2 captured</c:v>
                </c:tx>
                <c:spPr>
                  <a:ln w="1270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BGSY_1!$J$5:$Q$5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BGSY_1!$J$109:$Q$109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-9.4245252972192066</c:v>
                      </c:pt>
                      <c:pt idx="1">
                        <c:v>-9.4245252972192066</c:v>
                      </c:pt>
                      <c:pt idx="2">
                        <c:v>-9.4245252972192066</c:v>
                      </c:pt>
                      <c:pt idx="3">
                        <c:v>-9.4245252972203968</c:v>
                      </c:pt>
                      <c:pt idx="4">
                        <c:v>-9.4245252972200717</c:v>
                      </c:pt>
                      <c:pt idx="5">
                        <c:v>-9.4245252972199971</c:v>
                      </c:pt>
                      <c:pt idx="6">
                        <c:v>-9.4245252972199971</c:v>
                      </c:pt>
                      <c:pt idx="7">
                        <c:v>-9.4245252972206099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72F8-40F6-95E1-70AE51CDC7B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Net </c:v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BGSY_1!$J$110:$Q$110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-4.1626503263687225</c:v>
                      </c:pt>
                      <c:pt idx="1">
                        <c:v>-5.0272403332171116</c:v>
                      </c:pt>
                      <c:pt idx="2">
                        <c:v>-6.4016753220564375</c:v>
                      </c:pt>
                      <c:pt idx="3">
                        <c:v>-7.7576988798678359</c:v>
                      </c:pt>
                      <c:pt idx="4">
                        <c:v>-8.4132857906456984</c:v>
                      </c:pt>
                      <c:pt idx="5">
                        <c:v>-8.7172646921789632</c:v>
                      </c:pt>
                      <c:pt idx="6">
                        <c:v>-8.8935115402399667</c:v>
                      </c:pt>
                      <c:pt idx="7">
                        <c:v>-8.7179957722224657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2F8-40F6-95E1-70AE51CDC7B2}"/>
                  </c:ext>
                </c:extLst>
              </c15:ser>
            </c15:filteredScatterSeries>
          </c:ext>
        </c:extLst>
      </c:scatterChart>
      <c:valAx>
        <c:axId val="666420911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  <c:majorUnit val="5.000000000000001E-2"/>
      </c:valAx>
      <c:valAx>
        <c:axId val="666441711"/>
        <c:scaling>
          <c:orientation val="minMax"/>
          <c:max val="1.5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baseline="0">
                    <a:effectLst/>
                  </a:rPr>
                  <a:t>Equivalent CO</a:t>
                </a:r>
                <a:r>
                  <a:rPr lang="it-IT" sz="1100" b="0" i="0" u="none" strike="noStrike" baseline="-25000">
                    <a:effectLst/>
                  </a:rPr>
                  <a:t>2</a:t>
                </a:r>
                <a:r>
                  <a:rPr lang="it-IT" sz="1100" b="0" i="0" u="none" strike="noStrike" baseline="0">
                    <a:effectLst/>
                  </a:rPr>
                  <a:t> emissions for hydogen production </a:t>
                </a:r>
                <a:r>
                  <a:rPr lang="it-IT" sz="1100">
                    <a:solidFill>
                      <a:schemeClr val="tx1"/>
                    </a:solidFill>
                  </a:rPr>
                  <a:t>[kg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100">
                    <a:solidFill>
                      <a:schemeClr val="tx1"/>
                    </a:solidFill>
                  </a:rPr>
                  <a:t>/kg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1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34943984678E-3"/>
              <c:y val="8.07717508202059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0.30000000000000004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69277446533394482"/>
          <c:y val="4.0751186067455224E-2"/>
          <c:w val="0.2573752932656137"/>
          <c:h val="0.13622924715558024"/>
        </c:manualLayout>
      </c:layout>
      <c:overlay val="0"/>
      <c:spPr>
        <a:solidFill>
          <a:schemeClr val="lt1"/>
        </a:solidFill>
        <a:ln w="635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43674092581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70AD47">
                  <a:lumMod val="20000"/>
                  <a:lumOff val="80000"/>
                </a:srgb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BGSY_1!$J$56:$Q$56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BGSY_1!$J$78:$Q$78</c:f>
              <c:numCache>
                <c:formatCode>0</c:formatCode>
                <c:ptCount val="8"/>
                <c:pt idx="0">
                  <c:v>72.119611185928136</c:v>
                </c:pt>
                <c:pt idx="1">
                  <c:v>87.577930680219936</c:v>
                </c:pt>
                <c:pt idx="2">
                  <c:v>123.37578070926263</c:v>
                </c:pt>
                <c:pt idx="3">
                  <c:v>140.83777079985612</c:v>
                </c:pt>
                <c:pt idx="4">
                  <c:v>169.53671764395844</c:v>
                </c:pt>
                <c:pt idx="5">
                  <c:v>193.26684723494461</c:v>
                </c:pt>
                <c:pt idx="6">
                  <c:v>251.21933818700668</c:v>
                </c:pt>
                <c:pt idx="7">
                  <c:v>389.22689497355725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9-492E-8914-8E437B869A6F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rgbClr val="FFC000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BGSY_1!$J$112:$Q$112</c:f>
              <c:numCache>
                <c:formatCode>0.00</c:formatCode>
                <c:ptCount val="8"/>
                <c:pt idx="0">
                  <c:v>64.337346404200943</c:v>
                </c:pt>
                <c:pt idx="1">
                  <c:v>64.337346404211985</c:v>
                </c:pt>
                <c:pt idx="2">
                  <c:v>64.337346404206997</c:v>
                </c:pt>
                <c:pt idx="3">
                  <c:v>64.33734640421541</c:v>
                </c:pt>
                <c:pt idx="4">
                  <c:v>64.33734640421072</c:v>
                </c:pt>
                <c:pt idx="5">
                  <c:v>64.337346404210521</c:v>
                </c:pt>
                <c:pt idx="6">
                  <c:v>64.337346404210678</c:v>
                </c:pt>
                <c:pt idx="7">
                  <c:v>64.337346404211232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19-492E-8914-8E437B869A6F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rgbClr val="5B9BD5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BGSY_1!$J$92:$Q$92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BGSY_1!$J$113:$Q$113</c:f>
              <c:numCache>
                <c:formatCode>0.00</c:formatCode>
                <c:ptCount val="8"/>
                <c:pt idx="0">
                  <c:v>149.1482728690751</c:v>
                </c:pt>
                <c:pt idx="1">
                  <c:v>149.1482728690751</c:v>
                </c:pt>
                <c:pt idx="2">
                  <c:v>149.14827286906296</c:v>
                </c:pt>
                <c:pt idx="3">
                  <c:v>149.14827286908198</c:v>
                </c:pt>
                <c:pt idx="4">
                  <c:v>149.14827286907175</c:v>
                </c:pt>
                <c:pt idx="5">
                  <c:v>149.14827286907169</c:v>
                </c:pt>
                <c:pt idx="6">
                  <c:v>149.14827286907152</c:v>
                </c:pt>
                <c:pt idx="7">
                  <c:v>149.14827286907214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19-492E-8914-8E437B869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1019-492E-8914-8E437B869A6F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019-492E-8914-8E437B869A6F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75.976879199049492</c:v>
                      </c:pt>
                      <c:pt idx="2">
                        <c:v>102.92294902939739</c:v>
                      </c:pt>
                      <c:pt idx="3">
                        <c:v>108.29066846271179</c:v>
                      </c:pt>
                      <c:pt idx="4">
                        <c:v>129.90884714304562</c:v>
                      </c:pt>
                      <c:pt idx="5">
                        <c:v>142.93029993798226</c:v>
                      </c:pt>
                      <c:pt idx="6">
                        <c:v>146.23390568758182</c:v>
                      </c:pt>
                      <c:pt idx="7">
                        <c:v>155.66294643147876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019-492E-8914-8E437B869A6F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019-492E-8914-8E437B869A6F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019-492E-8914-8E437B869A6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rgbClr val="ED7D31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BGSY_1!$J$77:$Q$77</c:f>
              <c:numCache>
                <c:formatCode>0.0%</c:formatCode>
                <c:ptCount val="8"/>
                <c:pt idx="0">
                  <c:v>0.10790774733455477</c:v>
                </c:pt>
                <c:pt idx="1">
                  <c:v>0.13246546693972769</c:v>
                </c:pt>
                <c:pt idx="2">
                  <c:v>0.16577671535114916</c:v>
                </c:pt>
                <c:pt idx="3">
                  <c:v>0.23109640370122617</c:v>
                </c:pt>
                <c:pt idx="4">
                  <c:v>0.23295657188988791</c:v>
                </c:pt>
                <c:pt idx="5">
                  <c:v>0.25917132630827511</c:v>
                </c:pt>
                <c:pt idx="6">
                  <c:v>0.41653371334618655</c:v>
                </c:pt>
                <c:pt idx="7">
                  <c:v>0.59937043721201433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019-492E-8914-8E437B869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8698511595705"/>
              <c:y val="0.19122265099285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20179993077195"/>
          <c:h val="0.25155478952172855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60957582358321"/>
          <c:y val="3.8805408406176203E-2"/>
          <c:w val="0.82947540573358081"/>
          <c:h val="0.8422621762037212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BGSY_1!$J$105:$Q$105</c:f>
              <c:numCache>
                <c:formatCode>0.00</c:formatCode>
                <c:ptCount val="8"/>
                <c:pt idx="0">
                  <c:v>5.1839701389202277</c:v>
                </c:pt>
                <c:pt idx="1">
                  <c:v>4.283189140433727</c:v>
                </c:pt>
                <c:pt idx="2">
                  <c:v>2.8554594269561084</c:v>
                </c:pt>
                <c:pt idx="3">
                  <c:v>1.4277297134774516</c:v>
                </c:pt>
                <c:pt idx="4">
                  <c:v>0.71386485673927602</c:v>
                </c:pt>
                <c:pt idx="5">
                  <c:v>0.35693242836938133</c:v>
                </c:pt>
                <c:pt idx="6">
                  <c:v>7.1386485673995886E-2</c:v>
                </c:pt>
                <c:pt idx="7">
                  <c:v>1.4844026270727256E-14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C-402B-B719-474D18FCCF61}"/>
            </c:ext>
          </c:extLst>
        </c:ser>
        <c:ser>
          <c:idx val="3"/>
          <c:order val="1"/>
          <c:tx>
            <c:v>PV</c:v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BGSY_1!$J$129:$Q$129</c:f>
              <c:numCache>
                <c:formatCode>0.00</c:formatCode>
                <c:ptCount val="8"/>
                <c:pt idx="0">
                  <c:v>0.25968277310085336</c:v>
                </c:pt>
                <c:pt idx="1">
                  <c:v>0.33655521911815856</c:v>
                </c:pt>
                <c:pt idx="2">
                  <c:v>0.33165816071085097</c:v>
                </c:pt>
                <c:pt idx="3">
                  <c:v>0.42406533892462528</c:v>
                </c:pt>
                <c:pt idx="4">
                  <c:v>0.48379535066792889</c:v>
                </c:pt>
                <c:pt idx="5">
                  <c:v>0.55535034073807299</c:v>
                </c:pt>
                <c:pt idx="6">
                  <c:v>0.62774981621112347</c:v>
                </c:pt>
                <c:pt idx="7">
                  <c:v>0.8045422061200036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EC-402B-B719-474D18FCCF61}"/>
            </c:ext>
          </c:extLst>
        </c:ser>
        <c:ser>
          <c:idx val="1"/>
          <c:order val="2"/>
          <c:tx>
            <c:v>Wind</c:v>
          </c:tx>
          <c:spPr>
            <a:ln w="158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BGSY_1!$J$130:$Q$130</c:f>
              <c:numCache>
                <c:formatCode>0.00</c:formatCode>
                <c:ptCount val="8"/>
                <c:pt idx="0">
                  <c:v>0</c:v>
                </c:pt>
                <c:pt idx="1">
                  <c:v>2.2457941029996095E-2</c:v>
                </c:pt>
                <c:pt idx="2">
                  <c:v>0.11613293419924514</c:v>
                </c:pt>
                <c:pt idx="3">
                  <c:v>0.19136872744347161</c:v>
                </c:pt>
                <c:pt idx="4">
                  <c:v>0.21531006152863311</c:v>
                </c:pt>
                <c:pt idx="5">
                  <c:v>0.22518839515658429</c:v>
                </c:pt>
                <c:pt idx="6">
                  <c:v>0.34225696980903492</c:v>
                </c:pt>
                <c:pt idx="7">
                  <c:v>0.55096501555660693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EC-402B-B719-474D18FCCF61}"/>
            </c:ext>
          </c:extLst>
        </c:ser>
        <c:ser>
          <c:idx val="5"/>
          <c:order val="5"/>
          <c:tx>
            <c:v>BESS</c:v>
          </c:tx>
          <c:spPr>
            <a:ln w="15875" cap="rnd">
              <a:solidFill>
                <a:srgbClr val="B07BD7"/>
              </a:solidFill>
              <a:round/>
            </a:ln>
            <a:effectLst/>
          </c:spPr>
          <c:marker>
            <c:symbol val="x"/>
            <c:size val="5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BGSY_1!$M$97:$Q$97</c:f>
              <c:numCache>
                <c:formatCode>0%</c:formatCode>
                <c:ptCount val="5"/>
                <c:pt idx="0">
                  <c:v>0.80000000000004257</c:v>
                </c:pt>
                <c:pt idx="1">
                  <c:v>0.89999999999992752</c:v>
                </c:pt>
                <c:pt idx="2">
                  <c:v>0.94999999999996454</c:v>
                </c:pt>
                <c:pt idx="3">
                  <c:v>0.99000000000010169</c:v>
                </c:pt>
                <c:pt idx="4">
                  <c:v>1.0000000000000315</c:v>
                </c:pt>
              </c:numCache>
            </c:numRef>
          </c:xVal>
          <c:yVal>
            <c:numRef>
              <c:f>BGSY_1!$M$131:$Q$131</c:f>
              <c:numCache>
                <c:formatCode>0.00</c:formatCode>
                <c:ptCount val="5"/>
                <c:pt idx="0">
                  <c:v>0</c:v>
                </c:pt>
                <c:pt idx="1">
                  <c:v>5.0059072631891466E-2</c:v>
                </c:pt>
                <c:pt idx="2">
                  <c:v>9.8882990344027394E-2</c:v>
                </c:pt>
                <c:pt idx="3">
                  <c:v>0.13522589383913794</c:v>
                </c:pt>
                <c:pt idx="4">
                  <c:v>0.27166130716187648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EC-402B-B719-474D18FC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3"/>
                <c:tx>
                  <c:v>CO2 captured</c:v>
                </c:tx>
                <c:spPr>
                  <a:ln w="1270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BGSY_1!$J$5:$Q$5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BGSY_1!$J$109:$Q$109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-9.4245252972192066</c:v>
                      </c:pt>
                      <c:pt idx="1">
                        <c:v>-9.4245252972192066</c:v>
                      </c:pt>
                      <c:pt idx="2">
                        <c:v>-9.4245252972192066</c:v>
                      </c:pt>
                      <c:pt idx="3">
                        <c:v>-9.4245252972203968</c:v>
                      </c:pt>
                      <c:pt idx="4">
                        <c:v>-9.4245252972200717</c:v>
                      </c:pt>
                      <c:pt idx="5">
                        <c:v>-9.4245252972199971</c:v>
                      </c:pt>
                      <c:pt idx="6">
                        <c:v>-9.4245252972199971</c:v>
                      </c:pt>
                      <c:pt idx="7">
                        <c:v>-9.4245252972206099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9EC-402B-B719-474D18FCCF6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Net </c:v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BGSY_1!$J$110:$Q$110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-4.1626503263687225</c:v>
                      </c:pt>
                      <c:pt idx="1">
                        <c:v>-5.0272403332171116</c:v>
                      </c:pt>
                      <c:pt idx="2">
                        <c:v>-6.4016753220564375</c:v>
                      </c:pt>
                      <c:pt idx="3">
                        <c:v>-7.7576988798678359</c:v>
                      </c:pt>
                      <c:pt idx="4">
                        <c:v>-8.4132857906456984</c:v>
                      </c:pt>
                      <c:pt idx="5">
                        <c:v>-8.7172646921789632</c:v>
                      </c:pt>
                      <c:pt idx="6">
                        <c:v>-8.8935115402399667</c:v>
                      </c:pt>
                      <c:pt idx="7">
                        <c:v>-8.7179957722224657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9EC-402B-B719-474D18FCCF61}"/>
                  </c:ext>
                </c:extLst>
              </c15:ser>
            </c15:filteredScatterSeries>
          </c:ext>
        </c:extLst>
      </c:scatterChart>
      <c:valAx>
        <c:axId val="666420911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  <c:majorUnit val="5.000000000000001E-2"/>
      </c:valAx>
      <c:valAx>
        <c:axId val="666441711"/>
        <c:scaling>
          <c:orientation val="minMax"/>
          <c:max val="1.5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ysClr val="windowText" lastClr="000000"/>
                    </a:solidFill>
                    <a:effectLst/>
                  </a:rPr>
                  <a:t>Equivalent CO</a:t>
                </a:r>
                <a:r>
                  <a:rPr lang="it-IT" sz="1100" b="0" i="0" u="none" strike="noStrike" kern="1200" baseline="-25000">
                    <a:solidFill>
                      <a:sysClr val="windowText" lastClr="000000"/>
                    </a:solidFill>
                    <a:effectLst/>
                  </a:rPr>
                  <a:t>2</a:t>
                </a:r>
                <a:r>
                  <a:rPr lang="it-IT" sz="1100" b="0" i="0" u="none" strike="noStrike" kern="1200" baseline="0">
                    <a:solidFill>
                      <a:sysClr val="windowText" lastClr="000000"/>
                    </a:solidFill>
                    <a:effectLst/>
                  </a:rPr>
                  <a:t> emissions for hydogen production </a:t>
                </a:r>
                <a:r>
                  <a:rPr lang="it-IT" sz="1100">
                    <a:solidFill>
                      <a:schemeClr val="tx1"/>
                    </a:solidFill>
                  </a:rPr>
                  <a:t>[kg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100">
                    <a:solidFill>
                      <a:schemeClr val="tx1"/>
                    </a:solidFill>
                  </a:rPr>
                  <a:t>/kg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1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5643631185574E-3"/>
              <c:y val="9.419846856126111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0.30000000000000004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69277446533394482"/>
          <c:y val="4.0751186067455224E-2"/>
          <c:w val="0.2573752932656137"/>
          <c:h val="0.13622924715558024"/>
        </c:manualLayout>
      </c:layout>
      <c:overlay val="0"/>
      <c:spPr>
        <a:solidFill>
          <a:schemeClr val="lt1"/>
        </a:solidFill>
        <a:ln w="635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38141087458512"/>
          <c:y val="3.8805408406176203E-2"/>
          <c:w val="0.61854782903043792"/>
          <c:h val="0.8422621762037212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58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BGSY_1!$J$105:$Q$105</c:f>
              <c:numCache>
                <c:formatCode>0.00</c:formatCode>
                <c:ptCount val="8"/>
                <c:pt idx="0">
                  <c:v>5.1839701389202277</c:v>
                </c:pt>
                <c:pt idx="1">
                  <c:v>4.283189140433727</c:v>
                </c:pt>
                <c:pt idx="2">
                  <c:v>2.8554594269561084</c:v>
                </c:pt>
                <c:pt idx="3">
                  <c:v>1.4277297134774516</c:v>
                </c:pt>
                <c:pt idx="4">
                  <c:v>0.71386485673927602</c:v>
                </c:pt>
                <c:pt idx="5">
                  <c:v>0.35693242836938133</c:v>
                </c:pt>
                <c:pt idx="6">
                  <c:v>7.1386485673995886E-2</c:v>
                </c:pt>
                <c:pt idx="7">
                  <c:v>1.4844026270727256E-14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2-4BA0-8044-FAB6336A4718}"/>
            </c:ext>
          </c:extLst>
        </c:ser>
        <c:ser>
          <c:idx val="3"/>
          <c:order val="1"/>
          <c:tx>
            <c:v>Renewables % BESS (high emissions)</c:v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BGSY_1!$J$92:$Q$92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BGSY_1!$J$137:$Q$137</c:f>
              <c:numCache>
                <c:formatCode>0.00</c:formatCode>
                <c:ptCount val="8"/>
                <c:pt idx="0">
                  <c:v>0.25968277310085336</c:v>
                </c:pt>
                <c:pt idx="1">
                  <c:v>0.35901316014815465</c:v>
                </c:pt>
                <c:pt idx="2">
                  <c:v>0.44779109491009611</c:v>
                </c:pt>
                <c:pt idx="3">
                  <c:v>0.61543406636809683</c:v>
                </c:pt>
                <c:pt idx="4">
                  <c:v>0.74916448482845344</c:v>
                </c:pt>
                <c:pt idx="5">
                  <c:v>0.87942172623868464</c:v>
                </c:pt>
                <c:pt idx="6">
                  <c:v>1.1052326798592964</c:v>
                </c:pt>
                <c:pt idx="7">
                  <c:v>1.6271685288384872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D2-4BA0-8044-FAB6336A4718}"/>
            </c:ext>
          </c:extLst>
        </c:ser>
        <c:ser>
          <c:idx val="1"/>
          <c:order val="2"/>
          <c:tx>
            <c:v>Renewables &amp; BESS (low emissions)</c:v>
          </c:tx>
          <c:spPr>
            <a:ln w="158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diamond"/>
            <c:size val="5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BGSY_1!$J$136:$Q$136</c:f>
              <c:numCache>
                <c:formatCode>0.00</c:formatCode>
                <c:ptCount val="8"/>
                <c:pt idx="0">
                  <c:v>7.7904831930256019E-2</c:v>
                </c:pt>
                <c:pt idx="1">
                  <c:v>0.11409582356836837</c:v>
                </c:pt>
                <c:pt idx="2">
                  <c:v>0.16739054820666016</c:v>
                </c:pt>
                <c:pt idx="3">
                  <c:v>0.23909670387510945</c:v>
                </c:pt>
                <c:pt idx="4">
                  <c:v>0.29737464983509643</c:v>
                </c:pt>
                <c:pt idx="5">
                  <c:v>0.35032817667165239</c:v>
                </c:pt>
                <c:pt idx="6">
                  <c:v>0.45962727130603476</c:v>
                </c:pt>
                <c:pt idx="7">
                  <c:v>0.70652952499813004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D2-4BA0-8044-FAB6336A4718}"/>
            </c:ext>
          </c:extLst>
        </c:ser>
        <c:ser>
          <c:idx val="5"/>
          <c:order val="3"/>
          <c:tx>
            <c:v>Net emission (high)</c:v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x"/>
            <c:size val="5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BGSY_1!$J$141:$Q$141</c:f>
              <c:numCache>
                <c:formatCode>0.00</c:formatCode>
                <c:ptCount val="8"/>
                <c:pt idx="0">
                  <c:v>-3.9808723851981256</c:v>
                </c:pt>
                <c:pt idx="1">
                  <c:v>-4.7823229966373253</c:v>
                </c:pt>
                <c:pt idx="2">
                  <c:v>-6.1212747753530019</c:v>
                </c:pt>
                <c:pt idx="3">
                  <c:v>-7.3813615173748488</c:v>
                </c:pt>
                <c:pt idx="4">
                  <c:v>-7.9614959556523424</c:v>
                </c:pt>
                <c:pt idx="5">
                  <c:v>-8.1881711426119317</c:v>
                </c:pt>
                <c:pt idx="6">
                  <c:v>-8.2479061316867046</c:v>
                </c:pt>
                <c:pt idx="7">
                  <c:v>-7.7973567683821079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D2-4BA0-8044-FAB6336A4718}"/>
            </c:ext>
          </c:extLst>
        </c:ser>
        <c:ser>
          <c:idx val="4"/>
          <c:order val="4"/>
          <c:tx>
            <c:v>Net emission (low)</c:v>
          </c:tx>
          <c:spPr>
            <a:ln w="158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BGSY_1!$J$72:$Q$72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  <c:extLst xmlns:c15="http://schemas.microsoft.com/office/drawing/2012/chart"/>
            </c:numRef>
          </c:xVal>
          <c:yVal>
            <c:numRef>
              <c:f>BGSY_1!$J$140:$Q$140</c:f>
              <c:numCache>
                <c:formatCode>0.00</c:formatCode>
                <c:ptCount val="8"/>
                <c:pt idx="0">
                  <c:v>-4.1626503263687225</c:v>
                </c:pt>
                <c:pt idx="1">
                  <c:v>-5.0272403332171116</c:v>
                </c:pt>
                <c:pt idx="2">
                  <c:v>-6.4016753220564375</c:v>
                </c:pt>
                <c:pt idx="3">
                  <c:v>-7.7576988798678359</c:v>
                </c:pt>
                <c:pt idx="4">
                  <c:v>-8.4132857906456984</c:v>
                </c:pt>
                <c:pt idx="5">
                  <c:v>-8.7172646921789632</c:v>
                </c:pt>
                <c:pt idx="6">
                  <c:v>-8.8935115402399667</c:v>
                </c:pt>
                <c:pt idx="7">
                  <c:v>-8.7179957722224657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4D2-4BA0-8044-FAB6336A4718}"/>
            </c:ext>
          </c:extLst>
        </c:ser>
        <c:ser>
          <c:idx val="2"/>
          <c:order val="5"/>
          <c:tx>
            <c:v>CO2 captured</c:v>
          </c:tx>
          <c:spPr>
            <a:ln w="158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  <c:extLst xmlns:c15="http://schemas.microsoft.com/office/drawing/2012/chart"/>
            </c:numRef>
          </c:xVal>
          <c:yVal>
            <c:numRef>
              <c:f>BGSY_1!$J$109:$Q$109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4D2-4BA0-8044-FAB6336A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/>
      </c:scatterChart>
      <c:valAx>
        <c:axId val="666420911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  <c:majorUnit val="5.000000000000001E-2"/>
      </c:valAx>
      <c:valAx>
        <c:axId val="666441711"/>
        <c:scaling>
          <c:orientation val="minMax"/>
          <c:max val="2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baseline="0">
                    <a:effectLst/>
                  </a:rPr>
                  <a:t>Equivalent CO</a:t>
                </a:r>
                <a:r>
                  <a:rPr lang="it-IT" sz="1100" b="0" i="0" u="none" strike="noStrike" baseline="-25000">
                    <a:effectLst/>
                  </a:rPr>
                  <a:t>2</a:t>
                </a:r>
                <a:r>
                  <a:rPr lang="it-IT" sz="1100" b="0" i="0" u="none" strike="noStrike" baseline="0">
                    <a:effectLst/>
                  </a:rPr>
                  <a:t> emissions for hydogen production </a:t>
                </a:r>
                <a:r>
                  <a:rPr lang="it-IT" sz="1100">
                    <a:solidFill>
                      <a:schemeClr val="tx1"/>
                    </a:solidFill>
                  </a:rPr>
                  <a:t>[kg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100">
                    <a:solidFill>
                      <a:schemeClr val="tx1"/>
                    </a:solidFill>
                  </a:rPr>
                  <a:t>/kg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1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34943984678E-3"/>
              <c:y val="8.07717508202059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6051077757496799"/>
          <c:y val="8.0044281641102902E-2"/>
          <c:w val="0.23178793093998684"/>
          <c:h val="0.79077669628538794"/>
        </c:manualLayout>
      </c:layout>
      <c:overlay val="0"/>
      <c:spPr>
        <a:solidFill>
          <a:schemeClr val="lt1"/>
        </a:solidFill>
        <a:ln w="635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BGfix_b!$J$19:$Q$19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BGfix_b!$J$26:$Q$26</c:f>
              <c:numCache>
                <c:formatCode>0</c:formatCode>
                <c:ptCount val="8"/>
                <c:pt idx="2">
                  <c:v>0</c:v>
                </c:pt>
                <c:pt idx="3">
                  <c:v>-456.32071533573429</c:v>
                </c:pt>
                <c:pt idx="4">
                  <c:v>-1384.6948304670498</c:v>
                </c:pt>
                <c:pt idx="5">
                  <c:v>-1974.2000556406585</c:v>
                </c:pt>
                <c:pt idx="6">
                  <c:v>-2088.7236989283278</c:v>
                </c:pt>
                <c:pt idx="7">
                  <c:v>-2025.6926850638977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8-45C1-923A-258EB8472367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BGfix_b!$J$19:$Q$19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BGfix_b!$J$25:$Q$25</c:f>
              <c:numCache>
                <c:formatCode>0</c:formatCode>
                <c:ptCount val="8"/>
                <c:pt idx="2">
                  <c:v>-767.75809599496597</c:v>
                </c:pt>
                <c:pt idx="3">
                  <c:v>-4214.6776844798724</c:v>
                </c:pt>
                <c:pt idx="4">
                  <c:v>-4679.7944761436911</c:v>
                </c:pt>
                <c:pt idx="5">
                  <c:v>-4823.5736334261519</c:v>
                </c:pt>
                <c:pt idx="6">
                  <c:v>-8151.1380055826248</c:v>
                </c:pt>
                <c:pt idx="7">
                  <c:v>-15716.211401512399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8-45C1-923A-258EB8472367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BGfix_b!$J$19:$Q$19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BGfix_b!$J$27:$Q$27</c:f>
              <c:numCache>
                <c:formatCode>0</c:formatCode>
                <c:ptCount val="8"/>
                <c:pt idx="2">
                  <c:v>0</c:v>
                </c:pt>
                <c:pt idx="3">
                  <c:v>429.35216105939327</c:v>
                </c:pt>
                <c:pt idx="4">
                  <c:v>1302.8593659864453</c:v>
                </c:pt>
                <c:pt idx="5">
                  <c:v>1857.5248323522965</c:v>
                </c:pt>
                <c:pt idx="6">
                  <c:v>1965.2801283216641</c:v>
                </c:pt>
                <c:pt idx="7">
                  <c:v>1905.9742473766271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68-45C1-923A-258EB8472367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BGfix_b!$J$19:$Q$19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BGfix_b!$J$22:$Q$22</c:f>
              <c:numCache>
                <c:formatCode>0</c:formatCode>
                <c:ptCount val="8"/>
                <c:pt idx="2">
                  <c:v>2585.6636387105268</c:v>
                </c:pt>
                <c:pt idx="3">
                  <c:v>3460.8879848045567</c:v>
                </c:pt>
                <c:pt idx="4">
                  <c:v>5105.6892757991072</c:v>
                </c:pt>
                <c:pt idx="5">
                  <c:v>6416.6617817374399</c:v>
                </c:pt>
                <c:pt idx="6">
                  <c:v>9009.7698473820255</c:v>
                </c:pt>
                <c:pt idx="7">
                  <c:v>16198.451892800569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68-45C1-923A-258EB8472367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BGfix_b!$J$19:$Q$19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BGfix_b!$J$23:$Q$23</c:f>
              <c:numCache>
                <c:formatCode>0</c:formatCode>
                <c:ptCount val="8"/>
                <c:pt idx="2">
                  <c:v>3674.3099968630863</c:v>
                </c:pt>
                <c:pt idx="3">
                  <c:v>8523.9482734552439</c:v>
                </c:pt>
                <c:pt idx="4">
                  <c:v>8367.0294367665119</c:v>
                </c:pt>
                <c:pt idx="5">
                  <c:v>7718.6252231351955</c:v>
                </c:pt>
                <c:pt idx="6">
                  <c:v>8847.0093779442723</c:v>
                </c:pt>
                <c:pt idx="7">
                  <c:v>9316.4654707772443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68-45C1-923A-258EB8472367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BGfix_b!$J$19:$Q$19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BGfix_b!$J$24:$Q$24</c:f>
              <c:numCache>
                <c:formatCode>0</c:formatCode>
                <c:ptCount val="8"/>
                <c:pt idx="2">
                  <c:v>4186.7719848000152</c:v>
                </c:pt>
                <c:pt idx="3">
                  <c:v>1935.7975048732808</c:v>
                </c:pt>
                <c:pt idx="4">
                  <c:v>967.89875243872916</c:v>
                </c:pt>
                <c:pt idx="5">
                  <c:v>483.94937621952045</c:v>
                </c:pt>
                <c:pt idx="6">
                  <c:v>96.789875241969142</c:v>
                </c:pt>
                <c:pt idx="7">
                  <c:v>2.8424494757928186E-10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68-45C1-923A-258EB84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BGfix_b!$J$50:$Q$50</c:f>
              <c:numCache>
                <c:formatCode>0.000</c:formatCode>
                <c:ptCount val="8"/>
                <c:pt idx="2">
                  <c:v>4.4039086124379612</c:v>
                </c:pt>
                <c:pt idx="3">
                  <c:v>4.9042149472651841</c:v>
                </c:pt>
                <c:pt idx="4">
                  <c:v>5.5180803811213677</c:v>
                </c:pt>
                <c:pt idx="5">
                  <c:v>5.946887907236186</c:v>
                </c:pt>
                <c:pt idx="6">
                  <c:v>6.6773362385139592</c:v>
                </c:pt>
                <c:pt idx="7">
                  <c:v>7.7805660328519748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2-4439-BBFA-4F11B6C18E51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BGfix_b!$J$51:$Q$51</c:f>
              <c:numCache>
                <c:formatCode>0.000</c:formatCode>
                <c:ptCount val="8"/>
                <c:pt idx="2">
                  <c:v>4.361439641239234</c:v>
                </c:pt>
                <c:pt idx="3">
                  <c:v>4.6710776789929866</c:v>
                </c:pt>
                <c:pt idx="4">
                  <c:v>5.2592149157356802</c:v>
                </c:pt>
                <c:pt idx="5">
                  <c:v>5.6800692168419582</c:v>
                </c:pt>
                <c:pt idx="6">
                  <c:v>6.2264514520144028</c:v>
                </c:pt>
                <c:pt idx="7">
                  <c:v>6.9112149535918705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2-4439-BBFA-4F11B6C18E51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BGfix_b!$J$52:$Q$52</c:f>
              <c:numCache>
                <c:formatCode>0.000</c:formatCode>
                <c:ptCount val="8"/>
                <c:pt idx="2">
                  <c:v>4.3189706700405059</c:v>
                </c:pt>
                <c:pt idx="3">
                  <c:v>4.4379404107207883</c:v>
                </c:pt>
                <c:pt idx="4">
                  <c:v>5.0003494503499937</c:v>
                </c:pt>
                <c:pt idx="5">
                  <c:v>5.4132505264477313</c:v>
                </c:pt>
                <c:pt idx="6">
                  <c:v>5.7755666655148454</c:v>
                </c:pt>
                <c:pt idx="7">
                  <c:v>6.0418638743317672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2-4439-BBFA-4F11B6C18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BGfix_b!$J$63:$Q$63</c:f>
              <c:numCache>
                <c:formatCode>#,##0\ "€"</c:formatCode>
                <c:ptCount val="8"/>
                <c:pt idx="2">
                  <c:v>1379677.4918294421</c:v>
                </c:pt>
                <c:pt idx="3">
                  <c:v>1379677.4918294421</c:v>
                </c:pt>
                <c:pt idx="4">
                  <c:v>1379677.4918294421</c:v>
                </c:pt>
                <c:pt idx="5">
                  <c:v>1379677.4918294421</c:v>
                </c:pt>
                <c:pt idx="6">
                  <c:v>1379677.089244267</c:v>
                </c:pt>
                <c:pt idx="7">
                  <c:v>1379676.9622064792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B-4D5E-8EF3-C86E7605B8A3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BGfix_b!$J$64:$Q$64</c:f>
              <c:numCache>
                <c:formatCode>#,##0\ "€"</c:formatCode>
                <c:ptCount val="8"/>
                <c:pt idx="2">
                  <c:v>2105340.1442442373</c:v>
                </c:pt>
                <c:pt idx="3">
                  <c:v>2105341.3744819388</c:v>
                </c:pt>
                <c:pt idx="4">
                  <c:v>2105341.3876995794</c:v>
                </c:pt>
                <c:pt idx="5">
                  <c:v>2105341.800100781</c:v>
                </c:pt>
                <c:pt idx="6">
                  <c:v>2105342.1682557222</c:v>
                </c:pt>
                <c:pt idx="7">
                  <c:v>2105340.9400163759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4B-4D5E-8EF3-C86E7605B8A3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BGfix_b!$J$57:$Q$57</c:f>
              <c:numCache>
                <c:formatCode>#,##0\ "€"</c:formatCode>
                <c:ptCount val="8"/>
                <c:pt idx="2">
                  <c:v>1246230.2781046662</c:v>
                </c:pt>
                <c:pt idx="3">
                  <c:v>1668068.2402847314</c:v>
                </c:pt>
                <c:pt idx="4">
                  <c:v>2460824.5522872</c:v>
                </c:pt>
                <c:pt idx="5">
                  <c:v>3092683.0841563628</c:v>
                </c:pt>
                <c:pt idx="6">
                  <c:v>4342501.4044601126</c:v>
                </c:pt>
                <c:pt idx="7">
                  <c:v>7807280.4617762417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4B-4D5E-8EF3-C86E7605B8A3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BGfix_b!$J$58:$Q$58</c:f>
              <c:numCache>
                <c:formatCode>#,##0\ "€"</c:formatCode>
                <c:ptCount val="8"/>
                <c:pt idx="2">
                  <c:v>2308413.2119964119</c:v>
                </c:pt>
                <c:pt idx="3">
                  <c:v>5355235.3583712392</c:v>
                </c:pt>
                <c:pt idx="4">
                  <c:v>5256649.905284116</c:v>
                </c:pt>
                <c:pt idx="5">
                  <c:v>4849285.0246021254</c:v>
                </c:pt>
                <c:pt idx="6">
                  <c:v>5558200.955319088</c:v>
                </c:pt>
                <c:pt idx="7">
                  <c:v>5853140.3175593428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4B-4D5E-8EF3-C86E7605B8A3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BGfix_b!$J$59:$Q$59</c:f>
              <c:numCache>
                <c:formatCode>#,##0\ "€"</c:formatCode>
                <c:ptCount val="8"/>
                <c:pt idx="2">
                  <c:v>0</c:v>
                </c:pt>
                <c:pt idx="3">
                  <c:v>830157.92086222046</c:v>
                </c:pt>
                <c:pt idx="4">
                  <c:v>3042728.1275901455</c:v>
                </c:pt>
                <c:pt idx="5">
                  <c:v>4696998.3528488372</c:v>
                </c:pt>
                <c:pt idx="6">
                  <c:v>6292038.3840116458</c:v>
                </c:pt>
                <c:pt idx="7">
                  <c:v>7664771.7353307391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4B-4D5E-8EF3-C86E7605B8A3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BGfix_b!$J$60:$Q$60</c:f>
              <c:numCache>
                <c:formatCode>#,##0\ "€"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4B-4D5E-8EF3-C86E7605B8A3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BGfix_b!$J$61:$Q$61</c:f>
              <c:numCache>
                <c:formatCode>#,##0\ "€"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4B-4D5E-8EF3-C86E7605B8A3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BGfix_b!$J$62:$Q$62</c:f>
              <c:numCache>
                <c:formatCode>#,##0\ "€"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4B-4D5E-8EF3-C86E7605B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BGfix_b!$J$31:$Q$31</c:f>
              <c:numCache>
                <c:formatCode>0.000</c:formatCode>
                <c:ptCount val="8"/>
                <c:pt idx="2">
                  <c:v>0.2297864308384808</c:v>
                </c:pt>
                <c:pt idx="3">
                  <c:v>0.30756711184474739</c:v>
                </c:pt>
                <c:pt idx="4">
                  <c:v>0.45373965046806874</c:v>
                </c:pt>
                <c:pt idx="5">
                  <c:v>0.57024501820299933</c:v>
                </c:pt>
                <c:pt idx="6">
                  <c:v>0.80069303095389177</c:v>
                </c:pt>
                <c:pt idx="7">
                  <c:v>1.4395470430993629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7F-4016-B239-D36CCAA89539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BGfix_b!$J$32:$Q$32</c:f>
              <c:numCache>
                <c:formatCode>0.000</c:formatCode>
                <c:ptCount val="8"/>
                <c:pt idx="2">
                  <c:v>0.42563725356743343</c:v>
                </c:pt>
                <c:pt idx="3">
                  <c:v>0.98742619315260249</c:v>
                </c:pt>
                <c:pt idx="4">
                  <c:v>0.969248493737498</c:v>
                </c:pt>
                <c:pt idx="5">
                  <c:v>0.89413643489439443</c:v>
                </c:pt>
                <c:pt idx="6">
                  <c:v>1.0248500472548634</c:v>
                </c:pt>
                <c:pt idx="7">
                  <c:v>1.0792325033333361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7F-4016-B239-D36CCAA89539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BGfix_b!$J$33:$Q$33</c:f>
              <c:numCache>
                <c:formatCode>0.000</c:formatCode>
                <c:ptCount val="8"/>
                <c:pt idx="2">
                  <c:v>0</c:v>
                </c:pt>
                <c:pt idx="3">
                  <c:v>0.15306884210627381</c:v>
                </c:pt>
                <c:pt idx="4">
                  <c:v>0.56103406307406878</c:v>
                </c:pt>
                <c:pt idx="5">
                  <c:v>0.86605702502827919</c:v>
                </c:pt>
                <c:pt idx="6">
                  <c:v>1.1601588152390863</c:v>
                </c:pt>
                <c:pt idx="7">
                  <c:v>1.4132705417267191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7F-4016-B239-D36CCAA89539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BGfix_b!$J$34:$Q$34</c:f>
              <c:numCache>
                <c:formatCode>0.000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7F-4016-B239-D36CCAA89539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BGfix_b!$J$36:$Q$36</c:f>
              <c:numCache>
                <c:formatCode>0.000</c:formatCode>
                <c:ptCount val="8"/>
                <c:pt idx="2">
                  <c:v>0.64258570672865123</c:v>
                </c:pt>
                <c:pt idx="3">
                  <c:v>0.64258593356641269</c:v>
                </c:pt>
                <c:pt idx="4">
                  <c:v>0.64258593600360348</c:v>
                </c:pt>
                <c:pt idx="5">
                  <c:v>0.64258601204418686</c:v>
                </c:pt>
                <c:pt idx="6">
                  <c:v>0.64258600569578217</c:v>
                </c:pt>
                <c:pt idx="7">
                  <c:v>0.64258575580258681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7F-4016-B239-D36CCAA89539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BGfix_b!$J$37:$Q$37</c:f>
              <c:numCache>
                <c:formatCode>0.000</c:formatCode>
                <c:ptCount val="8"/>
                <c:pt idx="2">
                  <c:v>4.3084955782215148E-2</c:v>
                </c:pt>
                <c:pt idx="3">
                  <c:v>5.7668833470890135E-2</c:v>
                </c:pt>
                <c:pt idx="4">
                  <c:v>8.5076184462762869E-2</c:v>
                </c:pt>
                <c:pt idx="5">
                  <c:v>0.10692094091306235</c:v>
                </c:pt>
                <c:pt idx="6">
                  <c:v>0.15012994330385471</c:v>
                </c:pt>
                <c:pt idx="7">
                  <c:v>0.26991507058113057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7F-4016-B239-D36CCAA89539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BGfix_b!$J$38:$Q$38</c:f>
              <c:numCache>
                <c:formatCode>0.000</c:formatCode>
                <c:ptCount val="8"/>
                <c:pt idx="2">
                  <c:v>0.12769117607023003</c:v>
                </c:pt>
                <c:pt idx="3">
                  <c:v>0.29622785794578077</c:v>
                </c:pt>
                <c:pt idx="4">
                  <c:v>0.29077454812124942</c:v>
                </c:pt>
                <c:pt idx="5">
                  <c:v>0.26824093046831837</c:v>
                </c:pt>
                <c:pt idx="6">
                  <c:v>0.30745501417645904</c:v>
                </c:pt>
                <c:pt idx="7">
                  <c:v>0.32376975100000083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7F-4016-B239-D36CCAA89539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BGfix_b!$J$39:$Q$39</c:f>
              <c:numCache>
                <c:formatCode>0.000</c:formatCode>
                <c:ptCount val="8"/>
                <c:pt idx="2">
                  <c:v>0</c:v>
                </c:pt>
                <c:pt idx="3">
                  <c:v>3.8267210526568451E-2</c:v>
                </c:pt>
                <c:pt idx="4">
                  <c:v>0.14025851576851719</c:v>
                </c:pt>
                <c:pt idx="5">
                  <c:v>0.2165142562570698</c:v>
                </c:pt>
                <c:pt idx="6">
                  <c:v>0.29003970380977157</c:v>
                </c:pt>
                <c:pt idx="7">
                  <c:v>0.35331763543167977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7F-4016-B239-D36CCAA89539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BGfix_b!$J$40:$Q$40</c:f>
              <c:numCache>
                <c:formatCode>0.000</c:formatCode>
                <c:ptCount val="8"/>
                <c:pt idx="2">
                  <c:v>0.2570342826914605</c:v>
                </c:pt>
                <c:pt idx="3">
                  <c:v>0.25703437342656504</c:v>
                </c:pt>
                <c:pt idx="4">
                  <c:v>0.25703437440144139</c:v>
                </c:pt>
                <c:pt idx="5">
                  <c:v>0.25703440481767476</c:v>
                </c:pt>
                <c:pt idx="6">
                  <c:v>0.25703440227831287</c:v>
                </c:pt>
                <c:pt idx="7">
                  <c:v>0.25703430232103469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7F-4016-B239-D36CCAA89539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BGfix_b!$J$42:$Q$42</c:f>
              <c:numCache>
                <c:formatCode>0.000</c:formatCode>
                <c:ptCount val="8"/>
                <c:pt idx="2">
                  <c:v>0</c:v>
                </c:pt>
                <c:pt idx="3">
                  <c:v>0.10938042786955716</c:v>
                </c:pt>
                <c:pt idx="4">
                  <c:v>0.3319124202236316</c:v>
                </c:pt>
                <c:pt idx="5">
                  <c:v>0.47321727795589641</c:v>
                </c:pt>
                <c:pt idx="6">
                  <c:v>0.50066868369533568</c:v>
                </c:pt>
                <c:pt idx="7">
                  <c:v>0.48556010099485958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7F-4016-B239-D36CCAA89539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BGfix_b!$J$44:$Q$44</c:f>
              <c:numCache>
                <c:formatCode>0.000</c:formatCode>
                <c:ptCount val="8"/>
                <c:pt idx="2">
                  <c:v>8.4786537489401181E-2</c:v>
                </c:pt>
                <c:pt idx="3">
                  <c:v>8.4786537489419861E-2</c:v>
                </c:pt>
                <c:pt idx="4">
                  <c:v>8.4786537489424121E-2</c:v>
                </c:pt>
                <c:pt idx="5">
                  <c:v>8.4786537489415545E-2</c:v>
                </c:pt>
                <c:pt idx="6">
                  <c:v>8.4786522169409267E-2</c:v>
                </c:pt>
                <c:pt idx="7">
                  <c:v>8.4786513903966382E-2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7F-4016-B239-D36CCAA89539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BGfix_b!$J$45:$Q$45</c:f>
              <c:numCache>
                <c:formatCode>0.000</c:formatCode>
                <c:ptCount val="8"/>
                <c:pt idx="2">
                  <c:v>1.9027730795181945</c:v>
                </c:pt>
                <c:pt idx="3">
                  <c:v>1.9027730795185653</c:v>
                </c:pt>
                <c:pt idx="4">
                  <c:v>1.9027730795187234</c:v>
                </c:pt>
                <c:pt idx="5">
                  <c:v>1.9027730795184319</c:v>
                </c:pt>
                <c:pt idx="6">
                  <c:v>1.9027730795184943</c:v>
                </c:pt>
                <c:pt idx="7">
                  <c:v>1.9027730795180884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7F-4016-B239-D36CCAA89539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BGfix_b!$J$46:$Q$46</c:f>
              <c:numCache>
                <c:formatCode>0.000</c:formatCode>
                <c:ptCount val="8"/>
                <c:pt idx="2">
                  <c:v>1.1617554546128019</c:v>
                </c:pt>
                <c:pt idx="3">
                  <c:v>0.53865481120887659</c:v>
                </c:pt>
                <c:pt idx="4">
                  <c:v>0.27008284271347793</c:v>
                </c:pt>
                <c:pt idx="5">
                  <c:v>0.13560225450753188</c:v>
                </c:pt>
                <c:pt idx="6">
                  <c:v>2.7387255279745584E-2</c:v>
                </c:pt>
                <c:pt idx="7">
                  <c:v>8.1145423409433941E-14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7F-4016-B239-D36CCAA89539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BGfix_b!$J$48:$Q$48</c:f>
              <c:numCache>
                <c:formatCode>0.000</c:formatCode>
                <c:ptCount val="8"/>
                <c:pt idx="2">
                  <c:v>-4.2468971198727543E-2</c:v>
                </c:pt>
                <c:pt idx="3">
                  <c:v>-0.23313726827219794</c:v>
                </c:pt>
                <c:pt idx="4">
                  <c:v>-0.25886546538568711</c:v>
                </c:pt>
                <c:pt idx="5">
                  <c:v>-0.26681869039422745</c:v>
                </c:pt>
                <c:pt idx="6">
                  <c:v>-0.45088478649955682</c:v>
                </c:pt>
                <c:pt idx="7">
                  <c:v>-0.86935107926010402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747F-4016-B239-D36CCAA89539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cat>
          <c:val>
            <c:numRef>
              <c:f>BGfix_b!$J$47:$Q$47</c:f>
              <c:numCache>
                <c:formatCode>0.000</c:formatCode>
                <c:ptCount val="8"/>
                <c:pt idx="2">
                  <c:v>-0.4712262648609073</c:v>
                </c:pt>
                <c:pt idx="3">
                  <c:v>-0.47122626486107516</c:v>
                </c:pt>
                <c:pt idx="4">
                  <c:v>-0.4712262648610987</c:v>
                </c:pt>
                <c:pt idx="5">
                  <c:v>-0.47122626486107472</c:v>
                </c:pt>
                <c:pt idx="6">
                  <c:v>-0.47122626486104768</c:v>
                </c:pt>
                <c:pt idx="7">
                  <c:v>-0.47122626486087138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47F-4016-B239-D36CCAA89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BGfix_b!$J$50:$Q$50</c:f>
              <c:numCache>
                <c:formatCode>0.000</c:formatCode>
                <c:ptCount val="8"/>
                <c:pt idx="2">
                  <c:v>4.4039086124379612</c:v>
                </c:pt>
                <c:pt idx="3">
                  <c:v>4.9042149472651841</c:v>
                </c:pt>
                <c:pt idx="4">
                  <c:v>5.5180803811213677</c:v>
                </c:pt>
                <c:pt idx="5">
                  <c:v>5.946887907236186</c:v>
                </c:pt>
                <c:pt idx="6">
                  <c:v>6.6773362385139592</c:v>
                </c:pt>
                <c:pt idx="7">
                  <c:v>7.7805660328519748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47F-4016-B239-D36CCAA89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65960839276558"/>
          <c:y val="3.8805408406176203E-2"/>
          <c:w val="0.81195040443194044"/>
          <c:h val="0.871661599261687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BGfix_b!$J$105:$Q$105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3.0879153171756846</c:v>
                </c:pt>
                <c:pt idx="3">
                  <c:v>1.4277297134760061</c:v>
                </c:pt>
                <c:pt idx="4">
                  <c:v>0.71386485673959776</c:v>
                </c:pt>
                <c:pt idx="5">
                  <c:v>0.35693242836991462</c:v>
                </c:pt>
                <c:pt idx="6">
                  <c:v>7.1386485672555816E-2</c:v>
                </c:pt>
                <c:pt idx="7">
                  <c:v>2.096422567664E-13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1-4907-A829-C306E2FAC288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BGfix_b!$J$107:$Q$107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4.3131241694839548E-2</c:v>
                </c:pt>
                <c:pt idx="3">
                  <c:v>0.10005918757277908</c:v>
                </c:pt>
                <c:pt idx="4">
                  <c:v>9.8217180698714782E-2</c:v>
                </c:pt>
                <c:pt idx="5">
                  <c:v>9.0605825402629125E-2</c:v>
                </c:pt>
                <c:pt idx="6">
                  <c:v>0.10385147145515283</c:v>
                </c:pt>
                <c:pt idx="7">
                  <c:v>0.10936222700446069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1-4907-A829-C306E2FAC288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51-4907-A829-C306E2FAC288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BGfix_b!$J$106:$Q$106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6.0318938095109999E-2</c:v>
                </c:pt>
                <c:pt idx="3">
                  <c:v>8.0736366859231662E-2</c:v>
                </c:pt>
                <c:pt idx="4">
                  <c:v>0.11910665824784576</c:v>
                </c:pt>
                <c:pt idx="5">
                  <c:v>0.14968931727828258</c:v>
                </c:pt>
                <c:pt idx="6">
                  <c:v>0.21018192062538305</c:v>
                </c:pt>
                <c:pt idx="7">
                  <c:v>0.37788109881363779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51-4907-A829-C306E2FAC288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BGfix_b!$J$72:$Q$72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BGfix_b!$J$110:$Q$110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-6.2331598002535724</c:v>
                </c:pt>
                <c:pt idx="3">
                  <c:v>-7.7989711206280603</c:v>
                </c:pt>
                <c:pt idx="4">
                  <c:v>-8.4309215620169358</c:v>
                </c:pt>
                <c:pt idx="5">
                  <c:v>-8.7309488821347774</c:v>
                </c:pt>
                <c:pt idx="6">
                  <c:v>-8.9100377512715649</c:v>
                </c:pt>
                <c:pt idx="7">
                  <c:v>-8.7800556236351817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51-4907-A829-C306E2FAC288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BGfix_b!$L$97:$Q$97</c:f>
              <c:numCache>
                <c:formatCode>0%</c:formatCode>
                <c:ptCount val="6"/>
                <c:pt idx="0">
                  <c:v>0.56743698922489505</c:v>
                </c:pt>
                <c:pt idx="1">
                  <c:v>0.80000000000001781</c:v>
                </c:pt>
                <c:pt idx="2">
                  <c:v>0.90000000000004754</c:v>
                </c:pt>
                <c:pt idx="3">
                  <c:v>0.94999999999985107</c:v>
                </c:pt>
                <c:pt idx="4">
                  <c:v>0.99000000000024946</c:v>
                </c:pt>
                <c:pt idx="5">
                  <c:v>1.0000000000000029</c:v>
                </c:pt>
              </c:numCache>
            </c:numRef>
          </c:xVal>
          <c:yVal>
            <c:numRef>
              <c:f>BGfix_b!$L$108:$Q$108</c:f>
              <c:numCache>
                <c:formatCode>0.00</c:formatCode>
                <c:ptCount val="6"/>
                <c:pt idx="0">
                  <c:v>0</c:v>
                </c:pt>
                <c:pt idx="1">
                  <c:v>1.7028908684319898E-2</c:v>
                </c:pt>
                <c:pt idx="2">
                  <c:v>6.2415039516978486E-2</c:v>
                </c:pt>
                <c:pt idx="3">
                  <c:v>9.6348844034393019E-2</c:v>
                </c:pt>
                <c:pt idx="4">
                  <c:v>0.12906766819534005</c:v>
                </c:pt>
                <c:pt idx="5">
                  <c:v>0.15722634776712038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51-4907-A829-C306E2FAC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050" baseline="0">
                    <a:solidFill>
                      <a:schemeClr val="tx1"/>
                    </a:solidFill>
                  </a:rPr>
                  <a:t>[%]</a:t>
                </a:r>
                <a:endParaRPr lang="it-IT" sz="105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2"/>
          <c:min val="-0.4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emissions [kg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050">
                    <a:solidFill>
                      <a:schemeClr val="tx1"/>
                    </a:solidFill>
                  </a:rPr>
                  <a:t>/kg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05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993466508222E-3"/>
              <c:y val="0.235592150334901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5294626915518106"/>
          <c:y val="3.7155968497160553E-2"/>
          <c:w val="0.72362538695713607"/>
          <c:h val="0.14885714447482998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13487461639288E-2"/>
          <c:y val="3.8805408406176203E-2"/>
          <c:w val="0.85857149104624808"/>
          <c:h val="0.8422621762037212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BGSY_1!$J$105:$Q$105</c:f>
              <c:numCache>
                <c:formatCode>0.00</c:formatCode>
                <c:ptCount val="8"/>
                <c:pt idx="0">
                  <c:v>5.1839701389202277</c:v>
                </c:pt>
                <c:pt idx="1">
                  <c:v>4.283189140433727</c:v>
                </c:pt>
                <c:pt idx="2">
                  <c:v>2.8554594269561084</c:v>
                </c:pt>
                <c:pt idx="3">
                  <c:v>1.4277297134774516</c:v>
                </c:pt>
                <c:pt idx="4">
                  <c:v>0.71386485673927602</c:v>
                </c:pt>
                <c:pt idx="5">
                  <c:v>0.35693242836938133</c:v>
                </c:pt>
                <c:pt idx="6">
                  <c:v>7.1386485673995886E-2</c:v>
                </c:pt>
                <c:pt idx="7">
                  <c:v>1.4844026270727256E-14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4-4631-BCFF-2B1A305473E1}"/>
            </c:ext>
          </c:extLst>
        </c:ser>
        <c:ser>
          <c:idx val="3"/>
          <c:order val="1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BGSY_1!$J$97:$Q$97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BGSY_1!$J$106:$Q$106</c:f>
              <c:numCache>
                <c:formatCode>0.00</c:formatCode>
                <c:ptCount val="8"/>
                <c:pt idx="0">
                  <c:v>7.7904831930256019E-2</c:v>
                </c:pt>
                <c:pt idx="1">
                  <c:v>0.10096656573544757</c:v>
                </c:pt>
                <c:pt idx="2">
                  <c:v>9.9497448213255305E-2</c:v>
                </c:pt>
                <c:pt idx="3">
                  <c:v>0.12721960167738758</c:v>
                </c:pt>
                <c:pt idx="4">
                  <c:v>0.14513860520037866</c:v>
                </c:pt>
                <c:pt idx="5">
                  <c:v>0.16660510222142186</c:v>
                </c:pt>
                <c:pt idx="6">
                  <c:v>0.18832494486333703</c:v>
                </c:pt>
                <c:pt idx="7">
                  <c:v>0.24136266183600108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4-4631-BCFF-2B1A305473E1}"/>
            </c:ext>
          </c:extLst>
        </c:ser>
        <c:ser>
          <c:idx val="1"/>
          <c:order val="2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BGSY_1!$J$107:$Q$107</c:f>
              <c:numCache>
                <c:formatCode>0.00</c:formatCode>
                <c:ptCount val="8"/>
                <c:pt idx="0">
                  <c:v>0</c:v>
                </c:pt>
                <c:pt idx="1">
                  <c:v>1.3129257832920798E-2</c:v>
                </c:pt>
                <c:pt idx="2">
                  <c:v>6.7893099993404857E-2</c:v>
                </c:pt>
                <c:pt idx="3">
                  <c:v>0.11187710219772189</c:v>
                </c:pt>
                <c:pt idx="4">
                  <c:v>0.12587357443212402</c:v>
                </c:pt>
                <c:pt idx="5">
                  <c:v>0.13164860024538769</c:v>
                </c:pt>
                <c:pt idx="6">
                  <c:v>0.200088690042205</c:v>
                </c:pt>
                <c:pt idx="7">
                  <c:v>0.32210262447924715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C4-4631-BCFF-2B1A305473E1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x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BGSY_1!$N$97:$Q$97</c:f>
              <c:numCache>
                <c:formatCode>0%</c:formatCode>
                <c:ptCount val="4"/>
                <c:pt idx="0">
                  <c:v>0.89999999999992752</c:v>
                </c:pt>
                <c:pt idx="1">
                  <c:v>0.94999999999996454</c:v>
                </c:pt>
                <c:pt idx="2">
                  <c:v>0.99000000000010169</c:v>
                </c:pt>
                <c:pt idx="3">
                  <c:v>1.0000000000000315</c:v>
                </c:pt>
              </c:numCache>
            </c:numRef>
          </c:xVal>
          <c:yVal>
            <c:numRef>
              <c:f>BGSY_1!$N$108:$Q$108</c:f>
              <c:numCache>
                <c:formatCode>0.00</c:formatCode>
                <c:ptCount val="4"/>
                <c:pt idx="0">
                  <c:v>2.6362470202593739E-2</c:v>
                </c:pt>
                <c:pt idx="1">
                  <c:v>5.2074474204842833E-2</c:v>
                </c:pt>
                <c:pt idx="2">
                  <c:v>7.1213636400492747E-2</c:v>
                </c:pt>
                <c:pt idx="3">
                  <c:v>0.14306423868288171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C4-4631-BCFF-2B1A30547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3"/>
                <c:tx>
                  <c:v>CO2 captured</c:v>
                </c:tx>
                <c:spPr>
                  <a:ln w="1270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BGSY_1!$J$5:$Q$5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BGSY_1!$J$109:$Q$109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-9.4245252972192066</c:v>
                      </c:pt>
                      <c:pt idx="1">
                        <c:v>-9.4245252972192066</c:v>
                      </c:pt>
                      <c:pt idx="2">
                        <c:v>-9.4245252972192066</c:v>
                      </c:pt>
                      <c:pt idx="3">
                        <c:v>-9.4245252972203968</c:v>
                      </c:pt>
                      <c:pt idx="4">
                        <c:v>-9.4245252972200717</c:v>
                      </c:pt>
                      <c:pt idx="5">
                        <c:v>-9.4245252972199971</c:v>
                      </c:pt>
                      <c:pt idx="6">
                        <c:v>-9.4245252972199971</c:v>
                      </c:pt>
                      <c:pt idx="7">
                        <c:v>-9.4245252972206099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FC4-4631-BCFF-2B1A305473E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Net </c:v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BGSY_1!$J$110:$Q$110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-4.1626503263687225</c:v>
                      </c:pt>
                      <c:pt idx="1">
                        <c:v>-5.0272403332171116</c:v>
                      </c:pt>
                      <c:pt idx="2">
                        <c:v>-6.4016753220564375</c:v>
                      </c:pt>
                      <c:pt idx="3">
                        <c:v>-7.7576988798678359</c:v>
                      </c:pt>
                      <c:pt idx="4">
                        <c:v>-8.4132857906456984</c:v>
                      </c:pt>
                      <c:pt idx="5">
                        <c:v>-8.7172646921789632</c:v>
                      </c:pt>
                      <c:pt idx="6">
                        <c:v>-8.8935115402399667</c:v>
                      </c:pt>
                      <c:pt idx="7">
                        <c:v>-8.7179957722224657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FC4-4631-BCFF-2B1A305473E1}"/>
                  </c:ext>
                </c:extLst>
              </c15:ser>
            </c15:filteredScatterSeries>
          </c:ext>
        </c:extLst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Embedded emissions [kg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100">
                    <a:solidFill>
                      <a:schemeClr val="tx1"/>
                    </a:solidFill>
                  </a:rPr>
                  <a:t>/kg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1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5023208879188E-3"/>
              <c:y val="0.16804529202081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3627860630346142"/>
          <c:y val="4.0751186067455224E-2"/>
          <c:w val="0.21387118611233294"/>
          <c:h val="0.25042748672756793"/>
        </c:manualLayout>
      </c:layout>
      <c:overlay val="0"/>
      <c:spPr>
        <a:solidFill>
          <a:schemeClr val="lt1"/>
        </a:solidFill>
        <a:ln w="635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BGfix_b!$J$56:$Q$56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BGfix_b!$J$78:$Q$78</c:f>
              <c:numCache>
                <c:formatCode>0</c:formatCode>
                <c:ptCount val="8"/>
                <c:pt idx="2">
                  <c:v>81.585210896300481</c:v>
                </c:pt>
                <c:pt idx="3">
                  <c:v>136.55291043616711</c:v>
                </c:pt>
                <c:pt idx="4">
                  <c:v>176.31995120148801</c:v>
                </c:pt>
                <c:pt idx="5">
                  <c:v>200.26387504983822</c:v>
                </c:pt>
                <c:pt idx="6">
                  <c:v>239.63991653209797</c:v>
                </c:pt>
                <c:pt idx="7">
                  <c:v>300.59541917636892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E-4279-8F3E-341A7A075BAA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BGfix_b!$J$112:$Q$112</c:f>
              <c:numCache>
                <c:formatCode>0.00</c:formatCode>
                <c:ptCount val="8"/>
                <c:pt idx="0">
                  <c:v>57.23476298669312</c:v>
                </c:pt>
                <c:pt idx="1">
                  <c:v>57.2347629867118</c:v>
                </c:pt>
                <c:pt idx="2">
                  <c:v>57.23476298669312</c:v>
                </c:pt>
                <c:pt idx="3">
                  <c:v>57.2347629867118</c:v>
                </c:pt>
                <c:pt idx="4">
                  <c:v>57.234762986712092</c:v>
                </c:pt>
                <c:pt idx="5">
                  <c:v>57.234762986703309</c:v>
                </c:pt>
                <c:pt idx="6">
                  <c:v>57.234762986705014</c:v>
                </c:pt>
                <c:pt idx="7">
                  <c:v>57.234762986693276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CE-4279-8F3E-341A7A075BAA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BGfix_b!$J$113:$Q$113</c:f>
              <c:numCache>
                <c:formatCode>0.00</c:formatCode>
                <c:ptCount val="8"/>
                <c:pt idx="0">
                  <c:v>81.673489121982243</c:v>
                </c:pt>
                <c:pt idx="1">
                  <c:v>81.673489121982243</c:v>
                </c:pt>
                <c:pt idx="2">
                  <c:v>81.673489121955569</c:v>
                </c:pt>
                <c:pt idx="3">
                  <c:v>81.673489121982243</c:v>
                </c:pt>
                <c:pt idx="4">
                  <c:v>81.673489121983195</c:v>
                </c:pt>
                <c:pt idx="5">
                  <c:v>81.673489121970078</c:v>
                </c:pt>
                <c:pt idx="6">
                  <c:v>81.673489121973375</c:v>
                </c:pt>
                <c:pt idx="7">
                  <c:v>81.673489121955967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CE-4279-8F3E-341A7A075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DCE-4279-8F3E-341A7A075BAA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DCE-4279-8F3E-341A7A075BAA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DCE-4279-8F3E-341A7A075BAA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DCE-4279-8F3E-341A7A075BAA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DCE-4279-8F3E-341A7A075BA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BGfix_b!$J$77:$Q$77</c:f>
              <c:numCache>
                <c:formatCode>0.0%</c:formatCode>
                <c:ptCount val="8"/>
                <c:pt idx="2">
                  <c:v>0.12264557978839073</c:v>
                </c:pt>
                <c:pt idx="3">
                  <c:v>0.35166752333184104</c:v>
                </c:pt>
                <c:pt idx="4">
                  <c:v>0.34735338694327378</c:v>
                </c:pt>
                <c:pt idx="5">
                  <c:v>0.34124341668926828</c:v>
                </c:pt>
                <c:pt idx="6">
                  <c:v>0.45647302364705578</c:v>
                </c:pt>
                <c:pt idx="7">
                  <c:v>0.61596168145725883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DCE-4279-8F3E-341A7A075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BGfix_b!$J$6:$Q$6</c:f>
              <c:numCache>
                <c:formatCode>0.00</c:formatCode>
                <c:ptCount val="8"/>
                <c:pt idx="2">
                  <c:v>1.5577878476308327</c:v>
                </c:pt>
                <c:pt idx="3">
                  <c:v>2.0850853003559142</c:v>
                </c:pt>
                <c:pt idx="4">
                  <c:v>3.0760306903589996</c:v>
                </c:pt>
                <c:pt idx="5">
                  <c:v>3.8658538551954535</c:v>
                </c:pt>
                <c:pt idx="6">
                  <c:v>5.4281267555751409</c:v>
                </c:pt>
                <c:pt idx="7">
                  <c:v>9.7591005772203019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9-4266-AA2B-E07FC8147741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BGfix_b!$J$7:$Q$7</c:f>
              <c:numCache>
                <c:formatCode>0.00</c:formatCode>
                <c:ptCount val="8"/>
                <c:pt idx="2">
                  <c:v>1.5389421413309414</c:v>
                </c:pt>
                <c:pt idx="3">
                  <c:v>3.5701569055808267</c:v>
                </c:pt>
                <c:pt idx="4">
                  <c:v>3.504433270189411</c:v>
                </c:pt>
                <c:pt idx="5">
                  <c:v>3.2328566830680838</c:v>
                </c:pt>
                <c:pt idx="6">
                  <c:v>3.705467303546059</c:v>
                </c:pt>
                <c:pt idx="7">
                  <c:v>3.9020935450395622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9-4266-AA2B-E07FC8147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BGfix_b!$J$5:$Q$5</c:f>
              <c:numCache>
                <c:formatCode>0%</c:formatCode>
                <c:ptCount val="8"/>
                <c:pt idx="2">
                  <c:v>0.56743698922489505</c:v>
                </c:pt>
                <c:pt idx="3">
                  <c:v>0.80000000000001781</c:v>
                </c:pt>
                <c:pt idx="4">
                  <c:v>0.90000000000004754</c:v>
                </c:pt>
                <c:pt idx="5">
                  <c:v>0.94999999999985107</c:v>
                </c:pt>
                <c:pt idx="6">
                  <c:v>0.99000000000024946</c:v>
                </c:pt>
                <c:pt idx="7">
                  <c:v>1.0000000000000029</c:v>
                </c:pt>
              </c:numCache>
            </c:numRef>
          </c:xVal>
          <c:yVal>
            <c:numRef>
              <c:f>BGfix_b!$J$8:$Q$8</c:f>
              <c:numCache>
                <c:formatCode>0.00</c:formatCode>
                <c:ptCount val="8"/>
                <c:pt idx="2">
                  <c:v>0</c:v>
                </c:pt>
                <c:pt idx="3">
                  <c:v>2.0753948021555511</c:v>
                </c:pt>
                <c:pt idx="4">
                  <c:v>7.6068203189753643</c:v>
                </c:pt>
                <c:pt idx="5">
                  <c:v>11.742495882122093</c:v>
                </c:pt>
                <c:pt idx="6">
                  <c:v>15.730095960029116</c:v>
                </c:pt>
                <c:pt idx="7">
                  <c:v>19.16192933832685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F9-4266-AA2B-E07FC8147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BGSY_b!$J$19:$Q$19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BGSY_b!$J$26:$Q$26</c:f>
              <c:numCache>
                <c:formatCode>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-301.9886675237035</c:v>
                </c:pt>
                <c:pt idx="5">
                  <c:v>-866.77519619414261</c:v>
                </c:pt>
                <c:pt idx="6">
                  <c:v>-1066.9839377914514</c:v>
                </c:pt>
                <c:pt idx="7">
                  <c:v>-1126.3134423910262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7-4BA6-A72B-73B8AD80683D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BGSY_b!$J$19:$Q$19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BGSY_b!$J$25:$Q$25</c:f>
              <c:numCache>
                <c:formatCode>0</c:formatCode>
                <c:ptCount val="8"/>
                <c:pt idx="2">
                  <c:v>-869.28004624543655</c:v>
                </c:pt>
                <c:pt idx="3">
                  <c:v>-2716.2030697971782</c:v>
                </c:pt>
                <c:pt idx="4">
                  <c:v>-3873.6694484881723</c:v>
                </c:pt>
                <c:pt idx="5">
                  <c:v>-3845.7177349524895</c:v>
                </c:pt>
                <c:pt idx="6">
                  <c:v>-6867.9564139967624</c:v>
                </c:pt>
                <c:pt idx="7">
                  <c:v>-15532.826951386915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7-4BA6-A72B-73B8AD80683D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BGSY_b!$J$19:$Q$19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BGSY_b!$J$27:$Q$27</c:f>
              <c:numCache>
                <c:formatCode>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284.14113727305272</c:v>
                </c:pt>
                <c:pt idx="5">
                  <c:v>815.54878209906667</c:v>
                </c:pt>
                <c:pt idx="6">
                  <c:v>1003.925187067976</c:v>
                </c:pt>
                <c:pt idx="7">
                  <c:v>1059.7483179457174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E7-4BA6-A72B-73B8AD80683D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BGSY_b!$J$19:$Q$19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BGSY_b!$J$22:$Q$22</c:f>
              <c:numCache>
                <c:formatCode>0</c:formatCode>
                <c:ptCount val="8"/>
                <c:pt idx="2">
                  <c:v>3359.3214978428373</c:v>
                </c:pt>
                <c:pt idx="3">
                  <c:v>3667.018377752468</c:v>
                </c:pt>
                <c:pt idx="4">
                  <c:v>4629.5558431474601</c:v>
                </c:pt>
                <c:pt idx="5">
                  <c:v>5547.301917888095</c:v>
                </c:pt>
                <c:pt idx="6">
                  <c:v>7732.4033234914104</c:v>
                </c:pt>
                <c:pt idx="7">
                  <c:v>16141.689291690664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E7-4BA6-A72B-73B8AD80683D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BGSY_b!$J$19:$Q$19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BGSY_b!$J$23:$Q$23</c:f>
              <c:numCache>
                <c:formatCode>0</c:formatCode>
                <c:ptCount val="8"/>
                <c:pt idx="2">
                  <c:v>3878.5010596656593</c:v>
                </c:pt>
                <c:pt idx="3">
                  <c:v>6792.3747115463575</c:v>
                </c:pt>
                <c:pt idx="4">
                  <c:v>7973.0499075314819</c:v>
                </c:pt>
                <c:pt idx="5">
                  <c:v>7544.6803793195068</c:v>
                </c:pt>
                <c:pt idx="6">
                  <c:v>8780.8094903635538</c:v>
                </c:pt>
                <c:pt idx="7">
                  <c:v>9136.6903085202484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E7-4BA6-A72B-73B8AD80683D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BGSY_b!$J$19:$Q$19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BGSY_b!$J$24:$Q$24</c:f>
              <c:numCache>
                <c:formatCode>0</c:formatCode>
                <c:ptCount val="8"/>
                <c:pt idx="2">
                  <c:v>3310.4450131156163</c:v>
                </c:pt>
                <c:pt idx="3">
                  <c:v>1935.7975048756075</c:v>
                </c:pt>
                <c:pt idx="4">
                  <c:v>967.89875243817926</c:v>
                </c:pt>
                <c:pt idx="5">
                  <c:v>483.94937621891995</c:v>
                </c:pt>
                <c:pt idx="6">
                  <c:v>96.789875243907616</c:v>
                </c:pt>
                <c:pt idx="7">
                  <c:v>-1.7354528836222017E-10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E7-4BA6-A72B-73B8AD806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BGSY_b!$J$50:$Q$50</c:f>
              <c:numCache>
                <c:formatCode>0.000</c:formatCode>
                <c:ptCount val="8"/>
                <c:pt idx="2">
                  <c:v>4.4088408444107134</c:v>
                </c:pt>
                <c:pt idx="3">
                  <c:v>4.5474336668605266</c:v>
                </c:pt>
                <c:pt idx="4">
                  <c:v>4.9507184854342698</c:v>
                </c:pt>
                <c:pt idx="5">
                  <c:v>5.2841226703767212</c:v>
                </c:pt>
                <c:pt idx="6">
                  <c:v>5.9082435569353597</c:v>
                </c:pt>
                <c:pt idx="7">
                  <c:v>7.4649937486666262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C-4B0C-9570-E06704E03B9F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BGSY_b!$J$51:$Q$51</c:f>
              <c:numCache>
                <c:formatCode>0.000</c:formatCode>
                <c:ptCount val="8"/>
                <c:pt idx="2">
                  <c:v>4.3607561293940895</c:v>
                </c:pt>
                <c:pt idx="3">
                  <c:v>4.397185365288852</c:v>
                </c:pt>
                <c:pt idx="4">
                  <c:v>4.7364442796663004</c:v>
                </c:pt>
                <c:pt idx="5">
                  <c:v>5.0713946293750949</c:v>
                </c:pt>
                <c:pt idx="6">
                  <c:v>5.5283386823899745</c:v>
                </c:pt>
                <c:pt idx="7">
                  <c:v>6.6057866834797121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5C-4B0C-9570-E06704E03B9F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BGSY_b!$J$52:$Q$52</c:f>
              <c:numCache>
                <c:formatCode>0.000</c:formatCode>
                <c:ptCount val="8"/>
                <c:pt idx="2">
                  <c:v>4.3126714143774647</c:v>
                </c:pt>
                <c:pt idx="3">
                  <c:v>4.2469370637171764</c:v>
                </c:pt>
                <c:pt idx="4">
                  <c:v>4.5221700738983301</c:v>
                </c:pt>
                <c:pt idx="5">
                  <c:v>4.8586665883734685</c:v>
                </c:pt>
                <c:pt idx="6">
                  <c:v>5.1484338078445901</c:v>
                </c:pt>
                <c:pt idx="7">
                  <c:v>5.7465796182927971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5C-4B0C-9570-E06704E03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BGSY_b!$J$63:$Q$63</c:f>
              <c:numCache>
                <c:formatCode>#,##0\ "€"</c:formatCode>
                <c:ptCount val="8"/>
                <c:pt idx="2">
                  <c:v>1657013.9416931625</c:v>
                </c:pt>
                <c:pt idx="3">
                  <c:v>1666414.0533259201</c:v>
                </c:pt>
                <c:pt idx="4">
                  <c:v>1811761.1115730922</c:v>
                </c:pt>
                <c:pt idx="5">
                  <c:v>1762116.4301844207</c:v>
                </c:pt>
                <c:pt idx="6">
                  <c:v>1686087.4077943447</c:v>
                </c:pt>
                <c:pt idx="7">
                  <c:v>1665166.1718686451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6-416F-813D-9FBB89951A35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BGSY_b!$J$64:$Q$64</c:f>
              <c:numCache>
                <c:formatCode>#,##0\ "€"</c:formatCode>
                <c:ptCount val="8"/>
                <c:pt idx="2">
                  <c:v>2113018.2301126313</c:v>
                </c:pt>
                <c:pt idx="3">
                  <c:v>2133289.7544851867</c:v>
                </c:pt>
                <c:pt idx="4">
                  <c:v>2442929.4433002099</c:v>
                </c:pt>
                <c:pt idx="5">
                  <c:v>2338340.6226143297</c:v>
                </c:pt>
                <c:pt idx="6">
                  <c:v>2175715.7277264842</c:v>
                </c:pt>
                <c:pt idx="7">
                  <c:v>2130598.6737445006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6-416F-813D-9FBB89951A35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BGSY_b!$J$57:$Q$57</c:f>
              <c:numCache>
                <c:formatCode>#,##0\ "€"</c:formatCode>
                <c:ptCount val="8"/>
                <c:pt idx="2">
                  <c:v>1619115.5345277076</c:v>
                </c:pt>
                <c:pt idx="3">
                  <c:v>1767418.3386824515</c:v>
                </c:pt>
                <c:pt idx="4">
                  <c:v>2231339.2119262633</c:v>
                </c:pt>
                <c:pt idx="5">
                  <c:v>2673671.6672505238</c:v>
                </c:pt>
                <c:pt idx="6">
                  <c:v>3726840.1813693787</c:v>
                </c:pt>
                <c:pt idx="7">
                  <c:v>7779922.1963359239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6-416F-813D-9FBB89951A35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BGSY_b!$J$58:$Q$58</c:f>
              <c:numCache>
                <c:formatCode>#,##0\ "€"</c:formatCode>
                <c:ptCount val="8"/>
                <c:pt idx="2">
                  <c:v>2436697.800816481</c:v>
                </c:pt>
                <c:pt idx="3">
                  <c:v>4267361.0931985369</c:v>
                </c:pt>
                <c:pt idx="4">
                  <c:v>5009129.2683975203</c:v>
                </c:pt>
                <c:pt idx="5">
                  <c:v>4740002.8529928904</c:v>
                </c:pt>
                <c:pt idx="6">
                  <c:v>5516610.3722559949</c:v>
                </c:pt>
                <c:pt idx="7">
                  <c:v>5740195.2040285915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D6-416F-813D-9FBB89951A35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BGSY_b!$J$59:$Q$59</c:f>
              <c:numCache>
                <c:formatCode>#,##0\ "€"</c:formatCode>
                <c:ptCount val="8"/>
                <c:pt idx="2">
                  <c:v>0</c:v>
                </c:pt>
                <c:pt idx="3">
                  <c:v>0</c:v>
                </c:pt>
                <c:pt idx="4">
                  <c:v>630247.45665885531</c:v>
                </c:pt>
                <c:pt idx="5">
                  <c:v>2068385.281867818</c:v>
                </c:pt>
                <c:pt idx="6">
                  <c:v>3572603.8938097511</c:v>
                </c:pt>
                <c:pt idx="7">
                  <c:v>6645951.8424389241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D6-416F-813D-9FBB89951A35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BGSY_b!$J$60:$Q$60</c:f>
              <c:numCache>
                <c:formatCode>#,##0\ "€"</c:formatCode>
                <c:ptCount val="8"/>
                <c:pt idx="2">
                  <c:v>81040.220021711575</c:v>
                </c:pt>
                <c:pt idx="3">
                  <c:v>115978.47878333989</c:v>
                </c:pt>
                <c:pt idx="4">
                  <c:v>150212.02565461272</c:v>
                </c:pt>
                <c:pt idx="5">
                  <c:v>159665.26341566828</c:v>
                </c:pt>
                <c:pt idx="6">
                  <c:v>146132.81684611557</c:v>
                </c:pt>
                <c:pt idx="7">
                  <c:v>101514.1029423038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D6-416F-813D-9FBB89951A35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BGSY_b!$J$61:$Q$61</c:f>
              <c:numCache>
                <c:formatCode>#,##0\ "€"</c:formatCode>
                <c:ptCount val="8"/>
                <c:pt idx="2">
                  <c:v>122672.7251764587</c:v>
                </c:pt>
                <c:pt idx="3">
                  <c:v>235688.02405084428</c:v>
                </c:pt>
                <c:pt idx="4">
                  <c:v>257999.46233665172</c:v>
                </c:pt>
                <c:pt idx="5">
                  <c:v>276403.91850760765</c:v>
                </c:pt>
                <c:pt idx="6">
                  <c:v>313308.77886674949</c:v>
                </c:pt>
                <c:pt idx="7">
                  <c:v>167255.75381755081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D6-416F-813D-9FBB89951A35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BGSY_b!$J$62:$Q$62</c:f>
              <c:numCache>
                <c:formatCode>#,##0\ "€"</c:formatCode>
                <c:ptCount val="8"/>
                <c:pt idx="2">
                  <c:v>0</c:v>
                </c:pt>
                <c:pt idx="3">
                  <c:v>5076.2690271443544</c:v>
                </c:pt>
                <c:pt idx="4">
                  <c:v>148720.89529056699</c:v>
                </c:pt>
                <c:pt idx="5">
                  <c:v>172700.69586058668</c:v>
                </c:pt>
                <c:pt idx="6">
                  <c:v>71277.417319574801</c:v>
                </c:pt>
                <c:pt idx="7">
                  <c:v>6800.0452403105237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D6-416F-813D-9FBB89951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BGSY_b!$J$31:$Q$31</c:f>
              <c:numCache>
                <c:formatCode>0.000</c:formatCode>
                <c:ptCount val="8"/>
                <c:pt idx="2">
                  <c:v>0.29854095694101968</c:v>
                </c:pt>
                <c:pt idx="3">
                  <c:v>0.32588580054570931</c:v>
                </c:pt>
                <c:pt idx="4">
                  <c:v>0.41142594792217757</c:v>
                </c:pt>
                <c:pt idx="5">
                  <c:v>0.49298551033914501</c:v>
                </c:pt>
                <c:pt idx="6">
                  <c:v>0.68717420739031343</c:v>
                </c:pt>
                <c:pt idx="7">
                  <c:v>1.4345025835964484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D27-83CF-4A51BE2B3F5A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BGSY_b!$J$32:$Q$32</c:f>
              <c:numCache>
                <c:formatCode>0.000</c:formatCode>
                <c:ptCount val="8"/>
                <c:pt idx="2">
                  <c:v>0.44929103434488826</c:v>
                </c:pt>
                <c:pt idx="3">
                  <c:v>0.78683826892467124</c:v>
                </c:pt>
                <c:pt idx="4">
                  <c:v>0.92360934926431859</c:v>
                </c:pt>
                <c:pt idx="5">
                  <c:v>0.8739864187941625</c:v>
                </c:pt>
                <c:pt idx="6">
                  <c:v>1.017181358885985</c:v>
                </c:pt>
                <c:pt idx="7">
                  <c:v>1.0584070949199262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00-4D27-83CF-4A51BE2B3F5A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BGSY_b!$J$33:$Q$33</c:f>
              <c:numCache>
                <c:formatCode>0.000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0.11620830929492038</c:v>
                </c:pt>
                <c:pt idx="5">
                  <c:v>0.38137965339931834</c:v>
                </c:pt>
                <c:pt idx="6">
                  <c:v>0.65873531720542022</c:v>
                </c:pt>
                <c:pt idx="7">
                  <c:v>1.2254152223946697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0-4D27-83CF-4A51BE2B3F5A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BGSY_b!$J$34:$Q$34</c:f>
              <c:numCache>
                <c:formatCode>0.000</c:formatCode>
                <c:ptCount val="8"/>
                <c:pt idx="2">
                  <c:v>3.7561654065949857E-2</c:v>
                </c:pt>
                <c:pt idx="3">
                  <c:v>6.577809070578626E-2</c:v>
                </c:pt>
                <c:pt idx="4">
                  <c:v>0.1026900941352063</c:v>
                </c:pt>
                <c:pt idx="5">
                  <c:v>0.11224816141579569</c:v>
                </c:pt>
                <c:pt idx="6">
                  <c:v>9.7856736371650196E-2</c:v>
                </c:pt>
                <c:pt idx="7">
                  <c:v>5.0811014095594992E-2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00-4D27-83CF-4A51BE2B3F5A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BGSY_b!$J$36:$Q$36</c:f>
              <c:numCache>
                <c:formatCode>0.000</c:formatCode>
                <c:ptCount val="8"/>
                <c:pt idx="2">
                  <c:v>0.69513817159294999</c:v>
                </c:pt>
                <c:pt idx="3">
                  <c:v>0.70060918241246106</c:v>
                </c:pt>
                <c:pt idx="4">
                  <c:v>0.78450200906169121</c:v>
                </c:pt>
                <c:pt idx="5">
                  <c:v>0.75606363247904607</c:v>
                </c:pt>
                <c:pt idx="6">
                  <c:v>0.71205937995813773</c:v>
                </c:pt>
                <c:pt idx="7">
                  <c:v>0.69988289604246379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00-4D27-83CF-4A51BE2B3F5A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BGSY_b!$J$37:$Q$37</c:f>
              <c:numCache>
                <c:formatCode>0.000</c:formatCode>
                <c:ptCount val="8"/>
                <c:pt idx="2">
                  <c:v>5.5976429426441196E-2</c:v>
                </c:pt>
                <c:pt idx="3">
                  <c:v>6.1103587602320493E-2</c:v>
                </c:pt>
                <c:pt idx="4">
                  <c:v>7.7142365235408281E-2</c:v>
                </c:pt>
                <c:pt idx="5">
                  <c:v>9.2434783188589678E-2</c:v>
                </c:pt>
                <c:pt idx="6">
                  <c:v>0.12884516388568379</c:v>
                </c:pt>
                <c:pt idx="7">
                  <c:v>0.26896923442433412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00-4D27-83CF-4A51BE2B3F5A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BGSY_b!$J$38:$Q$38</c:f>
              <c:numCache>
                <c:formatCode>0.000</c:formatCode>
                <c:ptCount val="8"/>
                <c:pt idx="2">
                  <c:v>0.13478731030346647</c:v>
                </c:pt>
                <c:pt idx="3">
                  <c:v>0.23605148067740137</c:v>
                </c:pt>
                <c:pt idx="4">
                  <c:v>0.27708280477929553</c:v>
                </c:pt>
                <c:pt idx="5">
                  <c:v>0.26219592563824873</c:v>
                </c:pt>
                <c:pt idx="6">
                  <c:v>0.30515440766579549</c:v>
                </c:pt>
                <c:pt idx="7">
                  <c:v>0.31752212847597783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00-4D27-83CF-4A51BE2B3F5A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BGSY_b!$J$39:$Q$39</c:f>
              <c:numCache>
                <c:formatCode>0.000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2.905207732373009E-2</c:v>
                </c:pt>
                <c:pt idx="5">
                  <c:v>9.5344913349829585E-2</c:v>
                </c:pt>
                <c:pt idx="6">
                  <c:v>0.16468382930135506</c:v>
                </c:pt>
                <c:pt idx="7">
                  <c:v>0.30635380559866743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00-4D27-83CF-4A51BE2B3F5A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BGSY_b!$J$40:$Q$40</c:f>
              <c:numCache>
                <c:formatCode>0.000</c:formatCode>
                <c:ptCount val="8"/>
                <c:pt idx="2">
                  <c:v>0.29307993026355994</c:v>
                </c:pt>
                <c:pt idx="3">
                  <c:v>0.3061805136762018</c:v>
                </c:pt>
                <c:pt idx="4">
                  <c:v>0.343908067908271</c:v>
                </c:pt>
                <c:pt idx="5">
                  <c:v>0.33458733596727797</c:v>
                </c:pt>
                <c:pt idx="6">
                  <c:v>0.31870944592359707</c:v>
                </c:pt>
                <c:pt idx="7">
                  <c:v>0.29977603294888966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00-4D27-83CF-4A51BE2B3F5A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BGSY_b!$J$42:$Q$42</c:f>
              <c:numCache>
                <c:formatCode>0.000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7.2386916822730532E-2</c:v>
                </c:pt>
                <c:pt idx="5">
                  <c:v>0.20776668391368189</c:v>
                </c:pt>
                <c:pt idx="6">
                  <c:v>0.25575687389010032</c:v>
                </c:pt>
                <c:pt idx="7">
                  <c:v>0.26997820196111455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00-4D27-83CF-4A51BE2B3F5A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BGSY_b!$J$44:$Q$44</c:f>
              <c:numCache>
                <c:formatCode>0.000</c:formatCode>
                <c:ptCount val="8"/>
                <c:pt idx="2">
                  <c:v>0.10133245154481586</c:v>
                </c:pt>
                <c:pt idx="3">
                  <c:v>0.10190468448706165</c:v>
                </c:pt>
                <c:pt idx="4">
                  <c:v>0.11088087542441442</c:v>
                </c:pt>
                <c:pt idx="5">
                  <c:v>0.10777846421497228</c:v>
                </c:pt>
                <c:pt idx="6">
                  <c:v>0.10310230233996387</c:v>
                </c:pt>
                <c:pt idx="7">
                  <c:v>0.10182871955112914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00-4D27-83CF-4A51BE2B3F5A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BGSY_b!$J$45:$Q$45</c:f>
              <c:numCache>
                <c:formatCode>0.000</c:formatCode>
                <c:ptCount val="8"/>
                <c:pt idx="2">
                  <c:v>1.9027730795180879</c:v>
                </c:pt>
                <c:pt idx="3">
                  <c:v>1.9027730795187721</c:v>
                </c:pt>
                <c:pt idx="4">
                  <c:v>1.9027730795183677</c:v>
                </c:pt>
                <c:pt idx="5">
                  <c:v>1.9027730795183657</c:v>
                </c:pt>
                <c:pt idx="6">
                  <c:v>1.9027730795183677</c:v>
                </c:pt>
                <c:pt idx="7">
                  <c:v>1.9027730795183624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00-4D27-83CF-4A51BE2B3F5A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BGSY_b!$J$46:$Q$46</c:f>
              <c:numCache>
                <c:formatCode>0.000</c:formatCode>
                <c:ptCount val="8"/>
                <c:pt idx="2">
                  <c:v>0.91158609127044377</c:v>
                </c:pt>
                <c:pt idx="3">
                  <c:v>0.53153524317115453</c:v>
                </c:pt>
                <c:pt idx="4">
                  <c:v>0.27028285360471038</c:v>
                </c:pt>
                <c:pt idx="5">
                  <c:v>0.13580437301926185</c:v>
                </c:pt>
                <c:pt idx="6">
                  <c:v>2.7437719459924199E-2</c:v>
                </c:pt>
                <c:pt idx="7">
                  <c:v>-4.9534803120596749E-14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00-4D27-83CF-4A51BE2B3F5A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BGSY_b!$J$48:$Q$48</c:f>
              <c:numCache>
                <c:formatCode>0.000</c:formatCode>
                <c:ptCount val="8"/>
                <c:pt idx="2">
                  <c:v>-4.8084715016624174E-2</c:v>
                </c:pt>
                <c:pt idx="3">
                  <c:v>-0.15024830157167507</c:v>
                </c:pt>
                <c:pt idx="4">
                  <c:v>-0.21427420576796968</c:v>
                </c:pt>
                <c:pt idx="5">
                  <c:v>-0.21272804100162634</c:v>
                </c:pt>
                <c:pt idx="6">
                  <c:v>-0.37990487454538496</c:v>
                </c:pt>
                <c:pt idx="7">
                  <c:v>-0.85920706518691448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2F00-4D27-83CF-4A51BE2B3F5A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cat>
          <c:val>
            <c:numRef>
              <c:f>BGSY_b!$J$47:$Q$47</c:f>
              <c:numCache>
                <c:formatCode>0.000</c:formatCode>
                <c:ptCount val="8"/>
                <c:pt idx="2">
                  <c:v>-0.47122626486091013</c:v>
                </c:pt>
                <c:pt idx="3">
                  <c:v>-0.47122626486101299</c:v>
                </c:pt>
                <c:pt idx="4">
                  <c:v>-0.47122626486097108</c:v>
                </c:pt>
                <c:pt idx="5">
                  <c:v>-0.47122626486097496</c:v>
                </c:pt>
                <c:pt idx="6">
                  <c:v>-0.47122626486093472</c:v>
                </c:pt>
                <c:pt idx="7">
                  <c:v>-0.47122626486090236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00-4D27-83CF-4A51BE2B3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BGSY_b!$J$50:$Q$50</c:f>
              <c:numCache>
                <c:formatCode>0.000</c:formatCode>
                <c:ptCount val="8"/>
                <c:pt idx="2">
                  <c:v>4.4088408444107134</c:v>
                </c:pt>
                <c:pt idx="3">
                  <c:v>4.5474336668605266</c:v>
                </c:pt>
                <c:pt idx="4">
                  <c:v>4.9507184854342698</c:v>
                </c:pt>
                <c:pt idx="5">
                  <c:v>5.2841226703767212</c:v>
                </c:pt>
                <c:pt idx="6">
                  <c:v>5.9082435569353597</c:v>
                </c:pt>
                <c:pt idx="7">
                  <c:v>7.4649937486666262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F00-4D27-83CF-4A51BE2B3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65960839276558"/>
          <c:y val="3.8805408406176203E-2"/>
          <c:w val="0.81195040443194044"/>
          <c:h val="0.871661599261687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BGSY_b!$J$105:$Q$105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2.4415883883286882</c:v>
                </c:pt>
                <c:pt idx="3">
                  <c:v>1.4277297134777225</c:v>
                </c:pt>
                <c:pt idx="4">
                  <c:v>0.7138648567391922</c:v>
                </c:pt>
                <c:pt idx="5">
                  <c:v>0.3569324283694717</c:v>
                </c:pt>
                <c:pt idx="6">
                  <c:v>7.138648567398552E-2</c:v>
                </c:pt>
                <c:pt idx="7">
                  <c:v>-1.2799673736780728E-13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05C-83CA-9F9979411069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BGSY_b!$J$107:$Q$107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4.5528158146957862E-2</c:v>
                </c:pt>
                <c:pt idx="3">
                  <c:v>7.9732944584343698E-2</c:v>
                </c:pt>
                <c:pt idx="4">
                  <c:v>9.3592414058784282E-2</c:v>
                </c:pt>
                <c:pt idx="5">
                  <c:v>8.8563957104475427E-2</c:v>
                </c:pt>
                <c:pt idx="6">
                  <c:v>0.10307437770044671</c:v>
                </c:pt>
                <c:pt idx="7">
                  <c:v>0.10725191895188603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57-405C-83CA-9F9979411069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57-405C-83CA-9F9979411069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BGSY_b!$J$106:$Q$106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7.8367001197033492E-2</c:v>
                </c:pt>
                <c:pt idx="3">
                  <c:v>8.5545022643224028E-2</c:v>
                </c:pt>
                <c:pt idx="4">
                  <c:v>0.10799931132957161</c:v>
                </c:pt>
                <c:pt idx="5">
                  <c:v>0.12940869646402595</c:v>
                </c:pt>
                <c:pt idx="6">
                  <c:v>0.18038322943995769</c:v>
                </c:pt>
                <c:pt idx="7">
                  <c:v>0.37655692819406844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57-405C-83CA-9F9979411069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BGSY_b!$J$72:$Q$72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BGSY_b!$J$110:$Q$110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-6.8590417495465275</c:v>
                </c:pt>
                <c:pt idx="3">
                  <c:v>-7.8315176165151064</c:v>
                </c:pt>
                <c:pt idx="4">
                  <c:v>-8.4961405406834629</c:v>
                </c:pt>
                <c:pt idx="5">
                  <c:v>-8.8071917288413495</c:v>
                </c:pt>
                <c:pt idx="6">
                  <c:v>-8.9963969003665039</c:v>
                </c:pt>
                <c:pt idx="7">
                  <c:v>-8.8043890065833761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57-405C-83CA-9F9979411069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BGSY_b!$L$97:$Q$97</c:f>
              <c:numCache>
                <c:formatCode>0%</c:formatCode>
                <c:ptCount val="6"/>
                <c:pt idx="0">
                  <c:v>0.65797610496169012</c:v>
                </c:pt>
                <c:pt idx="1">
                  <c:v>0.80000000000006277</c:v>
                </c:pt>
                <c:pt idx="2">
                  <c:v>0.89999999999991331</c:v>
                </c:pt>
                <c:pt idx="3">
                  <c:v>0.95000000000007079</c:v>
                </c:pt>
                <c:pt idx="4">
                  <c:v>0.99000000000005506</c:v>
                </c:pt>
                <c:pt idx="5">
                  <c:v>1.0000000000000129</c:v>
                </c:pt>
              </c:numCache>
            </c:numRef>
          </c:xVal>
          <c:yVal>
            <c:numRef>
              <c:f>BGSY_b!$L$108:$Q$108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1.2928174409059889E-2</c:v>
                </c:pt>
                <c:pt idx="3">
                  <c:v>4.2428486440674304E-2</c:v>
                </c:pt>
                <c:pt idx="4">
                  <c:v>7.3284304039103132E-2</c:v>
                </c:pt>
                <c:pt idx="5">
                  <c:v>0.13632744349140727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857-405C-83CA-9F9979411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050" baseline="0">
                    <a:solidFill>
                      <a:schemeClr val="tx1"/>
                    </a:solidFill>
                  </a:rPr>
                  <a:t>[%]</a:t>
                </a:r>
                <a:endParaRPr lang="it-IT" sz="105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2"/>
          <c:min val="-0.4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emissions [kg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050">
                    <a:solidFill>
                      <a:schemeClr val="tx1"/>
                    </a:solidFill>
                  </a:rPr>
                  <a:t>/kg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05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993466508222E-3"/>
              <c:y val="0.235592150334901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5294626915518106"/>
          <c:y val="3.7155968497160553E-2"/>
          <c:w val="0.72362538695713607"/>
          <c:h val="0.14885714447482998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BGSY_b!$J$56:$Q$56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BGSY_b!$J$78:$Q$78</c:f>
              <c:numCache>
                <c:formatCode>0</c:formatCode>
                <c:ptCount val="8"/>
                <c:pt idx="2">
                  <c:v>79.930483769409719</c:v>
                </c:pt>
                <c:pt idx="3">
                  <c:v>98.749723035153309</c:v>
                </c:pt>
                <c:pt idx="4">
                  <c:v>118.7219901259283</c:v>
                </c:pt>
                <c:pt idx="5">
                  <c:v>141.9165202022476</c:v>
                </c:pt>
                <c:pt idx="6">
                  <c:v>182.10906124729902</c:v>
                </c:pt>
                <c:pt idx="7">
                  <c:v>273.5054527642074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7-4C6A-957F-EBB9BB68F15B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BGSY_b!$J$112:$Q$112</c:f>
              <c:numCache>
                <c:formatCode>0.00</c:formatCode>
                <c:ptCount val="8"/>
                <c:pt idx="0">
                  <c:v>57.23476298668978</c:v>
                </c:pt>
                <c:pt idx="1">
                  <c:v>57.23476298668978</c:v>
                </c:pt>
                <c:pt idx="2">
                  <c:v>57.23476298668978</c:v>
                </c:pt>
                <c:pt idx="3">
                  <c:v>57.234762986717996</c:v>
                </c:pt>
                <c:pt idx="4">
                  <c:v>57.234762986701483</c:v>
                </c:pt>
                <c:pt idx="5">
                  <c:v>57.23476298670132</c:v>
                </c:pt>
                <c:pt idx="6">
                  <c:v>57.234762986701362</c:v>
                </c:pt>
                <c:pt idx="7">
                  <c:v>57.234762986701298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B7-4C6A-957F-EBB9BB68F15B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BGSY_b!$J$97:$Q$97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BGSY_b!$J$113:$Q$113</c:f>
              <c:numCache>
                <c:formatCode>0.00</c:formatCode>
                <c:ptCount val="8"/>
                <c:pt idx="0">
                  <c:v>81.673489121950993</c:v>
                </c:pt>
                <c:pt idx="1">
                  <c:v>81.673489121950993</c:v>
                </c:pt>
                <c:pt idx="2">
                  <c:v>81.673489121950993</c:v>
                </c:pt>
                <c:pt idx="3">
                  <c:v>81.673489121991224</c:v>
                </c:pt>
                <c:pt idx="4">
                  <c:v>81.673489121967648</c:v>
                </c:pt>
                <c:pt idx="5">
                  <c:v>81.673489121967549</c:v>
                </c:pt>
                <c:pt idx="6">
                  <c:v>81.673489121967634</c:v>
                </c:pt>
                <c:pt idx="7">
                  <c:v>81.673489121967634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B7-4C6A-957F-EBB9BB68F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BB7-4C6A-957F-EBB9BB68F15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BB7-4C6A-957F-EBB9BB68F15B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BB7-4C6A-957F-EBB9BB68F15B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BB7-4C6A-957F-EBB9BB68F15B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BB7-4C6A-957F-EBB9BB68F15B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BGSY_b!$J$77:$Q$77</c:f>
              <c:numCache>
                <c:formatCode>0.0%</c:formatCode>
                <c:ptCount val="8"/>
                <c:pt idx="2">
                  <c:v>0.12010242574179274</c:v>
                </c:pt>
                <c:pt idx="3">
                  <c:v>0.25969031344430199</c:v>
                </c:pt>
                <c:pt idx="4">
                  <c:v>0.30737051726619991</c:v>
                </c:pt>
                <c:pt idx="5">
                  <c:v>0.29374602314981324</c:v>
                </c:pt>
                <c:pt idx="6">
                  <c:v>0.4159067342870062</c:v>
                </c:pt>
                <c:pt idx="7">
                  <c:v>0.61447083227032939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BB7-4C6A-957F-EBB9BB68F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BGSY_b!$J$6:$Q$6</c:f>
              <c:numCache>
                <c:formatCode>0.00</c:formatCode>
                <c:ptCount val="8"/>
                <c:pt idx="2">
                  <c:v>2.0238944181596348</c:v>
                </c:pt>
                <c:pt idx="3">
                  <c:v>2.2092729233530646</c:v>
                </c:pt>
                <c:pt idx="4">
                  <c:v>2.7891740149078292</c:v>
                </c:pt>
                <c:pt idx="5">
                  <c:v>3.3420895840631548</c:v>
                </c:pt>
                <c:pt idx="6">
                  <c:v>4.6585502267117231</c:v>
                </c:pt>
                <c:pt idx="7">
                  <c:v>9.7249027454199055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2-4B5E-A179-A278677DBB25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BGSY_b!$J$7:$Q$7</c:f>
              <c:numCache>
                <c:formatCode>0.00</c:formatCode>
                <c:ptCount val="8"/>
                <c:pt idx="2">
                  <c:v>1.6244652005443208</c:v>
                </c:pt>
                <c:pt idx="3">
                  <c:v>2.8449073954656914</c:v>
                </c:pt>
                <c:pt idx="4">
                  <c:v>3.3394195122650134</c:v>
                </c:pt>
                <c:pt idx="5">
                  <c:v>3.1600019019952601</c:v>
                </c:pt>
                <c:pt idx="6">
                  <c:v>3.6777402481706631</c:v>
                </c:pt>
                <c:pt idx="7">
                  <c:v>3.8267968026857275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22-4B5E-A179-A278677D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BGSY_b!$J$5:$Q$5</c:f>
              <c:numCache>
                <c:formatCode>0%</c:formatCode>
                <c:ptCount val="8"/>
                <c:pt idx="2">
                  <c:v>0.65797610496169012</c:v>
                </c:pt>
                <c:pt idx="3">
                  <c:v>0.80000000000006277</c:v>
                </c:pt>
                <c:pt idx="4">
                  <c:v>0.89999999999991331</c:v>
                </c:pt>
                <c:pt idx="5">
                  <c:v>0.95000000000007079</c:v>
                </c:pt>
                <c:pt idx="6">
                  <c:v>0.99000000000005506</c:v>
                </c:pt>
                <c:pt idx="7">
                  <c:v>1.0000000000000129</c:v>
                </c:pt>
              </c:numCache>
            </c:numRef>
          </c:xVal>
          <c:yVal>
            <c:numRef>
              <c:f>BGSY_b!$J$8:$Q$8</c:f>
              <c:numCache>
                <c:formatCode>0.00</c:formatCode>
                <c:ptCount val="8"/>
                <c:pt idx="2">
                  <c:v>0</c:v>
                </c:pt>
                <c:pt idx="3">
                  <c:v>0</c:v>
                </c:pt>
                <c:pt idx="4">
                  <c:v>1.5756186416471383</c:v>
                </c:pt>
                <c:pt idx="5">
                  <c:v>5.1709632046695448</c:v>
                </c:pt>
                <c:pt idx="6">
                  <c:v>8.9315097345243775</c:v>
                </c:pt>
                <c:pt idx="7">
                  <c:v>16.614879606097311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2-4B5E-A179-A278677D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BGfix_d!$J$19:$P$19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BGfix_d!$J$26:$P$26</c:f>
              <c:numCache>
                <c:formatCode>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-282.4049001255126</c:v>
                </c:pt>
                <c:pt idx="4">
                  <c:v>-600.18281310512145</c:v>
                </c:pt>
                <c:pt idx="5">
                  <c:v>-639.06238500284269</c:v>
                </c:pt>
                <c:pt idx="6">
                  <c:v>-444.17706262792012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3-4BC4-9621-67211F3B3E5B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BGfix_d!$J$19:$P$19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BGfix_d!$J$25:$P$25</c:f>
              <c:numCache>
                <c:formatCode>0</c:formatCode>
                <c:ptCount val="7"/>
                <c:pt idx="1">
                  <c:v>-502.86768622439524</c:v>
                </c:pt>
                <c:pt idx="2">
                  <c:v>-2736.1717689112734</c:v>
                </c:pt>
                <c:pt idx="3">
                  <c:v>-6086.5703416942906</c:v>
                </c:pt>
                <c:pt idx="4">
                  <c:v>-7648.5596090241215</c:v>
                </c:pt>
                <c:pt idx="5">
                  <c:v>-14318.474371966142</c:v>
                </c:pt>
                <c:pt idx="6">
                  <c:v>-44761.687993222928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3-4BC4-9621-67211F3B3E5B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BGfix_d!$J$19:$P$19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BGfix_d!$J$27:$P$27</c:f>
              <c:numCache>
                <c:formatCode>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265.71477052809479</c:v>
                </c:pt>
                <c:pt idx="4">
                  <c:v>564.71200885061012</c:v>
                </c:pt>
                <c:pt idx="5">
                  <c:v>601.29379804917403</c:v>
                </c:pt>
                <c:pt idx="6">
                  <c:v>417.92619822661015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3-4BC4-9621-67211F3B3E5B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BGfix_d!$J$19:$P$19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BGfix_d!$J$22:$P$22</c:f>
              <c:numCache>
                <c:formatCode>0</c:formatCode>
                <c:ptCount val="7"/>
                <c:pt idx="1">
                  <c:v>0</c:v>
                </c:pt>
                <c:pt idx="2">
                  <c:v>735.75044200381114</c:v>
                </c:pt>
                <c:pt idx="3">
                  <c:v>1672.3792558085495</c:v>
                </c:pt>
                <c:pt idx="4">
                  <c:v>2424.7966550166088</c:v>
                </c:pt>
                <c:pt idx="5">
                  <c:v>4129.2429742852355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3-4BC4-9621-67211F3B3E5B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BGfix_d!$J$19:$P$19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BGfix_d!$J$23:$P$23</c:f>
              <c:numCache>
                <c:formatCode>0</c:formatCode>
                <c:ptCount val="7"/>
                <c:pt idx="1">
                  <c:v>6968.7053270859296</c:v>
                </c:pt>
                <c:pt idx="2">
                  <c:v>9743.6113464105456</c:v>
                </c:pt>
                <c:pt idx="3">
                  <c:v>13141.969987424307</c:v>
                </c:pt>
                <c:pt idx="4">
                  <c:v>14454.271906422266</c:v>
                </c:pt>
                <c:pt idx="5">
                  <c:v>19809.197633771433</c:v>
                </c:pt>
                <c:pt idx="6">
                  <c:v>54466.926382002777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3-4BC4-9621-67211F3B3E5B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BGfix_d!$J$19:$P$19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BGfix_d!$J$24:$P$24</c:f>
              <c:numCache>
                <c:formatCode>0</c:formatCode>
                <c:ptCount val="7"/>
                <c:pt idx="1">
                  <c:v>3213.1498835171114</c:v>
                </c:pt>
                <c:pt idx="2">
                  <c:v>1935.7975048756398</c:v>
                </c:pt>
                <c:pt idx="3">
                  <c:v>967.89875243642962</c:v>
                </c:pt>
                <c:pt idx="4">
                  <c:v>483.94937621679196</c:v>
                </c:pt>
                <c:pt idx="5">
                  <c:v>96.789875241722086</c:v>
                </c:pt>
                <c:pt idx="6">
                  <c:v>6.9149876935625795E-11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3-4BC4-9621-67211F3B3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BGfix_d!$J$50:$P$50</c:f>
              <c:numCache>
                <c:formatCode>0.000</c:formatCode>
                <c:ptCount val="7"/>
                <c:pt idx="1">
                  <c:v>4.2257694835053723</c:v>
                </c:pt>
                <c:pt idx="2">
                  <c:v>4.442115692087353</c:v>
                </c:pt>
                <c:pt idx="3">
                  <c:v>5.199152345552319</c:v>
                </c:pt>
                <c:pt idx="4">
                  <c:v>6.0494119543169962</c:v>
                </c:pt>
                <c:pt idx="5">
                  <c:v>8.5751124801231935</c:v>
                </c:pt>
                <c:pt idx="6">
                  <c:v>16.129182145976657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BE-48CE-A04D-6A42974202BB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BGfix_d!$J$51:$P$51</c:f>
              <c:numCache>
                <c:formatCode>0.000</c:formatCode>
                <c:ptCount val="7"/>
                <c:pt idx="1">
                  <c:v>4.1979530744118829</c:v>
                </c:pt>
                <c:pt idx="2">
                  <c:v>4.2907628106851838</c:v>
                </c:pt>
                <c:pt idx="3">
                  <c:v>4.8624702813853258</c:v>
                </c:pt>
                <c:pt idx="4">
                  <c:v>5.6263275746903103</c:v>
                </c:pt>
                <c:pt idx="5">
                  <c:v>7.7830780113433669</c:v>
                </c:pt>
                <c:pt idx="6">
                  <c:v>13.653164181324335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BE-48CE-A04D-6A42974202BB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BGfix_d!$J$52:$P$52</c:f>
              <c:numCache>
                <c:formatCode>0.000</c:formatCode>
                <c:ptCount val="7"/>
                <c:pt idx="1">
                  <c:v>4.1701366653183936</c:v>
                </c:pt>
                <c:pt idx="2">
                  <c:v>4.1394099292830147</c:v>
                </c:pt>
                <c:pt idx="3">
                  <c:v>4.5257882172183317</c:v>
                </c:pt>
                <c:pt idx="4">
                  <c:v>5.2032431950636244</c:v>
                </c:pt>
                <c:pt idx="5">
                  <c:v>6.9910435425635402</c:v>
                </c:pt>
                <c:pt idx="6">
                  <c:v>11.177146216672012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BE-48CE-A04D-6A4297420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BGfix_d!$J$63:$P$63</c:f>
              <c:numCache>
                <c:formatCode>#,##0\ "€"</c:formatCode>
                <c:ptCount val="7"/>
                <c:pt idx="1">
                  <c:v>1379675.7</c:v>
                </c:pt>
                <c:pt idx="2">
                  <c:v>1379675.8616787228</c:v>
                </c:pt>
                <c:pt idx="3">
                  <c:v>1379675.80384463</c:v>
                </c:pt>
                <c:pt idx="4">
                  <c:v>1379675.778191864</c:v>
                </c:pt>
                <c:pt idx="5">
                  <c:v>1379675.7353689403</c:v>
                </c:pt>
                <c:pt idx="6">
                  <c:v>1379675.7185210409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7-42EA-9B90-2CBCB637927E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BGfix_d!$J$64:$P$64</c:f>
              <c:numCache>
                <c:formatCode>#,##0\ "€"</c:formatCode>
                <c:ptCount val="7"/>
                <c:pt idx="1">
                  <c:v>2105340.0956752691</c:v>
                </c:pt>
                <c:pt idx="2">
                  <c:v>2105340.2404235196</c:v>
                </c:pt>
                <c:pt idx="3">
                  <c:v>2105340.2155309943</c:v>
                </c:pt>
                <c:pt idx="4">
                  <c:v>2105340.2127581914</c:v>
                </c:pt>
                <c:pt idx="5">
                  <c:v>2105340.1527813994</c:v>
                </c:pt>
                <c:pt idx="6">
                  <c:v>2105340.1155461376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7-42EA-9B90-2CBCB637927E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BGfix_d!$J$57:$P$57</c:f>
              <c:numCache>
                <c:formatCode>#,##0\ "€"</c:formatCode>
                <c:ptCount val="7"/>
                <c:pt idx="1">
                  <c:v>0</c:v>
                </c:pt>
                <c:pt idx="2">
                  <c:v>975252.62142507313</c:v>
                </c:pt>
                <c:pt idx="3">
                  <c:v>2216773.7321396745</c:v>
                </c:pt>
                <c:pt idx="4">
                  <c:v>3214118.7544341814</c:v>
                </c:pt>
                <c:pt idx="5">
                  <c:v>5473398.05084599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7-42EA-9B90-2CBCB637927E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BGfix_d!$J$58:$P$58</c:f>
              <c:numCache>
                <c:formatCode>#,##0\ "€"</c:formatCode>
                <c:ptCount val="7"/>
                <c:pt idx="1">
                  <c:v>3535631.5975239202</c:v>
                </c:pt>
                <c:pt idx="2">
                  <c:v>4943503.6399748502</c:v>
                </c:pt>
                <c:pt idx="3">
                  <c:v>6667689.6439640941</c:v>
                </c:pt>
                <c:pt idx="4">
                  <c:v>7333497.1236212319</c:v>
                </c:pt>
                <c:pt idx="5">
                  <c:v>10050363.989898462</c:v>
                </c:pt>
                <c:pt idx="6">
                  <c:v>27634255.847742483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07-42EA-9B90-2CBCB637927E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BGfix_d!$J$59:$P$59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1081438.5233260056</c:v>
                </c:pt>
                <c:pt idx="4">
                  <c:v>3365266.9715228002</c:v>
                </c:pt>
                <c:pt idx="5">
                  <c:v>9633309.7151098717</c:v>
                </c:pt>
                <c:pt idx="6">
                  <c:v>27811440.229084954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07-42EA-9B90-2CBCB637927E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BGfix_d!$J$60:$P$60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07-42EA-9B90-2CBCB637927E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BGfix_d!$J$61:$P$61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07-42EA-9B90-2CBCB637927E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BGfix_d!$J$62:$P$62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07-42EA-9B90-2CBCB6379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BGfix_d!$J$31:$P$31</c:f>
              <c:numCache>
                <c:formatCode>0.000</c:formatCode>
                <c:ptCount val="7"/>
                <c:pt idx="1">
                  <c:v>0</c:v>
                </c:pt>
                <c:pt idx="2">
                  <c:v>0.17982215885814926</c:v>
                </c:pt>
                <c:pt idx="3">
                  <c:v>0.40874028888119729</c:v>
                </c:pt>
                <c:pt idx="4">
                  <c:v>0.59263595970055882</c:v>
                </c:pt>
                <c:pt idx="5">
                  <c:v>1.0092136459523904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E-42DA-AA84-D9FDFA958537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BGfix_d!$J$32:$P$32</c:f>
              <c:numCache>
                <c:formatCode>0.000</c:formatCode>
                <c:ptCount val="7"/>
                <c:pt idx="1">
                  <c:v>0.65191817261122498</c:v>
                </c:pt>
                <c:pt idx="2">
                  <c:v>0.91150895402304044</c:v>
                </c:pt>
                <c:pt idx="3">
                  <c:v>1.2294233514818338</c:v>
                </c:pt>
                <c:pt idx="4">
                  <c:v>1.3521884030646683</c:v>
                </c:pt>
                <c:pt idx="5">
                  <c:v>1.85313846922321</c:v>
                </c:pt>
                <c:pt idx="6">
                  <c:v>5.0953480521979975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E-42DA-AA84-D9FDFA958537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BGfix_d!$J$33:$P$33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0.19940126861972202</c:v>
                </c:pt>
                <c:pt idx="4">
                  <c:v>0.62050545536488777</c:v>
                </c:pt>
                <c:pt idx="5">
                  <c:v>1.7762398294185702</c:v>
                </c:pt>
                <c:pt idx="6">
                  <c:v>5.1280182314612839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CE-42DA-AA84-D9FDFA958537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BGfix_d!$J$34:$P$34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CE-42DA-AA84-D9FDFA958537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BGfix_d!$J$36:$P$36</c:f>
              <c:numCache>
                <c:formatCode>0.000</c:formatCode>
                <c:ptCount val="7"/>
                <c:pt idx="1">
                  <c:v>0.64258536738640082</c:v>
                </c:pt>
                <c:pt idx="2">
                  <c:v>0.6425854238871016</c:v>
                </c:pt>
                <c:pt idx="3">
                  <c:v>0.64258540863359537</c:v>
                </c:pt>
                <c:pt idx="4">
                  <c:v>0.64258540339218639</c:v>
                </c:pt>
                <c:pt idx="5">
                  <c:v>0.6425853844374777</c:v>
                </c:pt>
                <c:pt idx="6">
                  <c:v>0.64258537446536768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CE-42DA-AA84-D9FDFA958537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BGfix_d!$J$37:$P$37</c:f>
              <c:numCache>
                <c:formatCode>0.000</c:formatCode>
                <c:ptCount val="7"/>
                <c:pt idx="1">
                  <c:v>0</c:v>
                </c:pt>
                <c:pt idx="2">
                  <c:v>2.3495926680071767E-2</c:v>
                </c:pt>
                <c:pt idx="3">
                  <c:v>5.3406832170888152E-2</c:v>
                </c:pt>
                <c:pt idx="4">
                  <c:v>7.7435012155996366E-2</c:v>
                </c:pt>
                <c:pt idx="5">
                  <c:v>0.13186589450597436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CE-42DA-AA84-D9FDFA958537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BGfix_d!$J$38:$P$38</c:f>
              <c:numCache>
                <c:formatCode>0.000</c:formatCode>
                <c:ptCount val="7"/>
                <c:pt idx="1">
                  <c:v>0.26885967919041942</c:v>
                </c:pt>
                <c:pt idx="2">
                  <c:v>0.37591835180207056</c:v>
                </c:pt>
                <c:pt idx="3">
                  <c:v>0.50703045528650559</c:v>
                </c:pt>
                <c:pt idx="4">
                  <c:v>0.55766038672736418</c:v>
                </c:pt>
                <c:pt idx="5">
                  <c:v>0.76425882152529268</c:v>
                </c:pt>
                <c:pt idx="6">
                  <c:v>2.101388947619427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CE-42DA-AA84-D9FDFA958537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BGfix_d!$J$39:$P$39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4.985031715493049E-2</c:v>
                </c:pt>
                <c:pt idx="4">
                  <c:v>0.15512636384122194</c:v>
                </c:pt>
                <c:pt idx="5">
                  <c:v>0.44405995735464249</c:v>
                </c:pt>
                <c:pt idx="6">
                  <c:v>1.2820045578653207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CE-42DA-AA84-D9FDFA958537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BGfix_d!$J$40:$P$40</c:f>
              <c:numCache>
                <c:formatCode>0.000</c:formatCode>
                <c:ptCount val="7"/>
                <c:pt idx="1">
                  <c:v>0.25703414695456034</c:v>
                </c:pt>
                <c:pt idx="2">
                  <c:v>0.2570341695548406</c:v>
                </c:pt>
                <c:pt idx="3">
                  <c:v>0.25703416345343816</c:v>
                </c:pt>
                <c:pt idx="4">
                  <c:v>0.25703416135687451</c:v>
                </c:pt>
                <c:pt idx="5">
                  <c:v>0.25703415377499111</c:v>
                </c:pt>
                <c:pt idx="6">
                  <c:v>0.25703414978614708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CE-42DA-AA84-D9FDFA958537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BGfix_d!$J$42:$P$42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6.7692672653405062E-2</c:v>
                </c:pt>
                <c:pt idx="4">
                  <c:v>0.14386428380548008</c:v>
                </c:pt>
                <c:pt idx="5">
                  <c:v>0.15318374721496489</c:v>
                </c:pt>
                <c:pt idx="6">
                  <c:v>0.1064695849372842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CE-42DA-AA84-D9FDFA958537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BGfix_d!$J$44:$P$44</c:f>
              <c:numCache>
                <c:formatCode>0.000</c:formatCode>
                <c:ptCount val="7"/>
                <c:pt idx="1">
                  <c:v>8.4786431781360902E-2</c:v>
                </c:pt>
                <c:pt idx="2">
                  <c:v>8.4786442300641848E-2</c:v>
                </c:pt>
                <c:pt idx="3">
                  <c:v>8.4786438537795994E-2</c:v>
                </c:pt>
                <c:pt idx="4">
                  <c:v>8.4786436868742543E-2</c:v>
                </c:pt>
                <c:pt idx="5">
                  <c:v>8.4786434082571666E-2</c:v>
                </c:pt>
                <c:pt idx="6">
                  <c:v>8.4786432986404953E-2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CE-42DA-AA84-D9FDFA958537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BGfix_d!$J$45:$P$45</c:f>
              <c:numCache>
                <c:formatCode>0.000</c:formatCode>
                <c:ptCount val="7"/>
                <c:pt idx="1">
                  <c:v>1.9027730795181828</c:v>
                </c:pt>
                <c:pt idx="2">
                  <c:v>1.9027730795184759</c:v>
                </c:pt>
                <c:pt idx="3">
                  <c:v>1.9027730795186495</c:v>
                </c:pt>
                <c:pt idx="4">
                  <c:v>1.9027730795181921</c:v>
                </c:pt>
                <c:pt idx="5">
                  <c:v>1.902773079518306</c:v>
                </c:pt>
                <c:pt idx="6">
                  <c:v>1.9027730795183795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CE-42DA-AA84-D9FDFA958537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BGfix_d!$J$46:$P$46</c:f>
              <c:numCache>
                <c:formatCode>0.000</c:formatCode>
                <c:ptCount val="7"/>
                <c:pt idx="1">
                  <c:v>0.88903887092415879</c:v>
                </c:pt>
                <c:pt idx="2">
                  <c:v>0.53541745032393329</c:v>
                </c:pt>
                <c:pt idx="3">
                  <c:v>0.2676543340214379</c:v>
                </c:pt>
                <c:pt idx="4">
                  <c:v>0.13404327338182828</c:v>
                </c:pt>
                <c:pt idx="5">
                  <c:v>2.7199327975751256E-2</c:v>
                </c:pt>
                <c:pt idx="6">
                  <c:v>1.9684808621149424E-14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CE-42DA-AA84-D9FDFA958537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BGfix_d!$J$48:$P$48</c:f>
              <c:numCache>
                <c:formatCode>0.000</c:formatCode>
                <c:ptCount val="7"/>
                <c:pt idx="1">
                  <c:v>-2.7816409093489383E-2</c:v>
                </c:pt>
                <c:pt idx="2">
                  <c:v>-0.15135288140216938</c:v>
                </c:pt>
                <c:pt idx="3">
                  <c:v>-0.33668206416699353</c:v>
                </c:pt>
                <c:pt idx="4">
                  <c:v>-0.42308437962668599</c:v>
                </c:pt>
                <c:pt idx="5">
                  <c:v>-0.79203446877982686</c:v>
                </c:pt>
                <c:pt idx="6">
                  <c:v>-2.4760179646523222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8ACE-42DA-AA84-D9FDFA958537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cat>
          <c:val>
            <c:numRef>
              <c:f>BGfix_d!$J$47:$P$47</c:f>
              <c:numCache>
                <c:formatCode>0.000</c:formatCode>
                <c:ptCount val="7"/>
                <c:pt idx="1">
                  <c:v>-0.47122626486093511</c:v>
                </c:pt>
                <c:pt idx="2">
                  <c:v>-0.47122626486097258</c:v>
                </c:pt>
                <c:pt idx="3">
                  <c:v>-0.47122626486108127</c:v>
                </c:pt>
                <c:pt idx="4">
                  <c:v>-0.47122626486100555</c:v>
                </c:pt>
                <c:pt idx="5">
                  <c:v>-0.47122626486094865</c:v>
                </c:pt>
                <c:pt idx="6">
                  <c:v>-0.47122626486097613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CE-42DA-AA84-D9FDFA958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BGfix_d!$J$50:$P$50</c:f>
              <c:numCache>
                <c:formatCode>0.000</c:formatCode>
                <c:ptCount val="7"/>
                <c:pt idx="1">
                  <c:v>4.2257694835053723</c:v>
                </c:pt>
                <c:pt idx="2">
                  <c:v>4.442115692087353</c:v>
                </c:pt>
                <c:pt idx="3">
                  <c:v>5.199152345552319</c:v>
                </c:pt>
                <c:pt idx="4">
                  <c:v>6.0494119543169962</c:v>
                </c:pt>
                <c:pt idx="5">
                  <c:v>8.5751124801231935</c:v>
                </c:pt>
                <c:pt idx="6">
                  <c:v>16.129182145976657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ACE-42DA-AA84-D9FDFA958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65960839276558"/>
          <c:y val="3.8805408406176203E-2"/>
          <c:w val="0.81195040443194044"/>
          <c:h val="0.871661599261687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BGfix_d!$J$97:$P$97</c:f>
              <c:numCache>
                <c:formatCode>0%</c:formatCode>
                <c:ptCount val="7"/>
                <c:pt idx="0">
                  <c:v>0</c:v>
                </c:pt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BGfix_d!$J$105:$P$105</c:f>
              <c:numCache>
                <c:formatCode>0.00</c:formatCode>
                <c:ptCount val="7"/>
                <c:pt idx="0">
                  <c:v>0</c:v>
                </c:pt>
                <c:pt idx="1">
                  <c:v>2.3698292569347279</c:v>
                </c:pt>
                <c:pt idx="2">
                  <c:v>1.4277297134779323</c:v>
                </c:pt>
                <c:pt idx="3">
                  <c:v>0.71386485673784761</c:v>
                </c:pt>
                <c:pt idx="4">
                  <c:v>0.35693242836790146</c:v>
                </c:pt>
                <c:pt idx="5">
                  <c:v>7.1386485672373601E-2</c:v>
                </c:pt>
                <c:pt idx="6">
                  <c:v>5.1000858166036465E-14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A-4325-95FA-FECEBE258E2F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BGfix_d!$J$107:$P$107</c:f>
              <c:numCache>
                <c:formatCode>0.00</c:formatCode>
                <c:ptCount val="7"/>
                <c:pt idx="0">
                  <c:v>0</c:v>
                </c:pt>
                <c:pt idx="1">
                  <c:v>4.0462050729653427E-2</c:v>
                </c:pt>
                <c:pt idx="2">
                  <c:v>5.6573850964271873E-2</c:v>
                </c:pt>
                <c:pt idx="3">
                  <c:v>7.630557346884316E-2</c:v>
                </c:pt>
                <c:pt idx="4">
                  <c:v>8.3925127507492245E-2</c:v>
                </c:pt>
                <c:pt idx="5">
                  <c:v>0.11501716918004801</c:v>
                </c:pt>
                <c:pt idx="6">
                  <c:v>0.31624863370113915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2A-4325-95FA-FECEBE258E2F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BGfix_d!$J$109:$P$109</c:f>
              <c:numCache>
                <c:formatCode>0.00</c:formatCode>
                <c:ptCount val="7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A-4325-95FA-FECEBE258E2F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BGfix_d!$J$97:$P$97</c:f>
              <c:numCache>
                <c:formatCode>0%</c:formatCode>
                <c:ptCount val="7"/>
                <c:pt idx="0">
                  <c:v>0</c:v>
                </c:pt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BGfix_d!$J$106:$P$106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3.2894297352100407E-2</c:v>
                </c:pt>
                <c:pt idx="3">
                  <c:v>7.476956503922666E-2</c:v>
                </c:pt>
                <c:pt idx="4">
                  <c:v>0.1084090170184049</c:v>
                </c:pt>
                <c:pt idx="5">
                  <c:v>0.18461225230837044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2A-4325-95FA-FECEBE258E2F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BGfix_d!$J$72:$P$72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BGfix_d!$J$110:$P$110</c:f>
              <c:numCache>
                <c:formatCode>0.00</c:formatCode>
                <c:ptCount val="7"/>
                <c:pt idx="0">
                  <c:v>-9.4245252972192066</c:v>
                </c:pt>
                <c:pt idx="1">
                  <c:v>-7.0142339895548247</c:v>
                </c:pt>
                <c:pt idx="2">
                  <c:v>-7.9073274354249019</c:v>
                </c:pt>
                <c:pt idx="3">
                  <c:v>-8.5374019108405399</c:v>
                </c:pt>
                <c:pt idx="4">
                  <c:v>-8.806227492416923</c:v>
                </c:pt>
                <c:pt idx="5">
                  <c:v>-8.855902709036382</c:v>
                </c:pt>
                <c:pt idx="6">
                  <c:v>-8.5377846352693556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2A-4325-95FA-FECEBE258E2F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BGfix_d!$K$97:$P$97</c:f>
              <c:numCache>
                <c:formatCode>0%</c:formatCode>
                <c:ptCount val="6"/>
                <c:pt idx="0">
                  <c:v>0.66802830611946218</c:v>
                </c:pt>
                <c:pt idx="1">
                  <c:v>0.8000000000000429</c:v>
                </c:pt>
                <c:pt idx="2">
                  <c:v>0.90000000000008307</c:v>
                </c:pt>
                <c:pt idx="3">
                  <c:v>0.95000000000001505</c:v>
                </c:pt>
                <c:pt idx="4">
                  <c:v>0.99000000000015587</c:v>
                </c:pt>
                <c:pt idx="5">
                  <c:v>1.0000000000000226</c:v>
                </c:pt>
              </c:numCache>
            </c:numRef>
          </c:xVal>
          <c:yVal>
            <c:numRef>
              <c:f>BGfix_d!$K$108:$P$108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2.2183391133939103E-2</c:v>
                </c:pt>
                <c:pt idx="3">
                  <c:v>6.9031231909350135E-2</c:v>
                </c:pt>
                <c:pt idx="4">
                  <c:v>0.19760668102282272</c:v>
                </c:pt>
                <c:pt idx="5">
                  <c:v>0.57049202825006362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2A-4325-95FA-FECEBE258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050" baseline="0">
                    <a:solidFill>
                      <a:schemeClr val="tx1"/>
                    </a:solidFill>
                  </a:rPr>
                  <a:t>[%]</a:t>
                </a:r>
                <a:endParaRPr lang="it-IT" sz="105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2"/>
          <c:min val="-0.4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emissions [kg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050">
                    <a:solidFill>
                      <a:schemeClr val="tx1"/>
                    </a:solidFill>
                  </a:rPr>
                  <a:t>/kg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05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993466508222E-3"/>
              <c:y val="0.235592150334901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5294626915518106"/>
          <c:y val="3.7155968497160553E-2"/>
          <c:w val="0.72362538695713607"/>
          <c:h val="0.14885714447482998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BGfix_d!$J$56:$P$56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BGfix_d!$J$78:$P$78</c:f>
              <c:numCache>
                <c:formatCode>0</c:formatCode>
                <c:ptCount val="7"/>
                <c:pt idx="1">
                  <c:v>77.23319269262737</c:v>
                </c:pt>
                <c:pt idx="2">
                  <c:v>104.41369800533114</c:v>
                </c:pt>
                <c:pt idx="3">
                  <c:v>156.61508928793208</c:v>
                </c:pt>
                <c:pt idx="4">
                  <c:v>206.40296897864116</c:v>
                </c:pt>
                <c:pt idx="5">
                  <c:v>347.06285372144123</c:v>
                </c:pt>
                <c:pt idx="6">
                  <c:v>768.39358288208371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8-4F66-AA31-4E0BC9990D20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BGfix_d!$J$97:$P$97</c:f>
              <c:numCache>
                <c:formatCode>0%</c:formatCode>
                <c:ptCount val="7"/>
                <c:pt idx="0">
                  <c:v>0</c:v>
                </c:pt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BGfix_d!$J$112:$P$112</c:f>
              <c:numCache>
                <c:formatCode>0.00</c:formatCode>
                <c:ptCount val="7"/>
                <c:pt idx="0">
                  <c:v>149.87161908202606</c:v>
                </c:pt>
                <c:pt idx="1">
                  <c:v>149.87161908202606</c:v>
                </c:pt>
                <c:pt idx="2">
                  <c:v>149.87161908202606</c:v>
                </c:pt>
                <c:pt idx="3">
                  <c:v>149.87161908205957</c:v>
                </c:pt>
                <c:pt idx="4">
                  <c:v>149.87161908201139</c:v>
                </c:pt>
                <c:pt idx="5">
                  <c:v>149.87161908202035</c:v>
                </c:pt>
                <c:pt idx="6">
                  <c:v>149.87161908202606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D8-4F66-AA31-4E0BC9990D20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BGfix_d!$J$97:$P$97</c:f>
              <c:numCache>
                <c:formatCode>0%</c:formatCode>
                <c:ptCount val="7"/>
                <c:pt idx="0">
                  <c:v>0</c:v>
                </c:pt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BGfix_d!$J$113:$P$113</c:f>
              <c:numCache>
                <c:formatCode>0.00</c:formatCode>
                <c:ptCount val="7"/>
                <c:pt idx="0">
                  <c:v>71.65998001018194</c:v>
                </c:pt>
                <c:pt idx="1">
                  <c:v>71.65998001018194</c:v>
                </c:pt>
                <c:pt idx="2">
                  <c:v>71.659980010192385</c:v>
                </c:pt>
                <c:pt idx="3">
                  <c:v>71.659980010208656</c:v>
                </c:pt>
                <c:pt idx="4">
                  <c:v>71.659980010185862</c:v>
                </c:pt>
                <c:pt idx="5">
                  <c:v>71.659980010189997</c:v>
                </c:pt>
                <c:pt idx="6">
                  <c:v>71.659980010193479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D8-4F66-AA31-4E0BC9990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AD8-4F66-AA31-4E0BC9990D20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AD8-4F66-AA31-4E0BC9990D20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AD8-4F66-AA31-4E0BC9990D20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D8-4F66-AA31-4E0BC9990D20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AD8-4F66-AA31-4E0BC9990D20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BGfix_d!$J$77:$P$77</c:f>
              <c:numCache>
                <c:formatCode>0.0%</c:formatCode>
                <c:ptCount val="7"/>
                <c:pt idx="1">
                  <c:v>7.2160848051624676E-2</c:v>
                </c:pt>
                <c:pt idx="2">
                  <c:v>0.26110099299523148</c:v>
                </c:pt>
                <c:pt idx="3">
                  <c:v>0.41085640967149567</c:v>
                </c:pt>
                <c:pt idx="4">
                  <c:v>0.45313872511292835</c:v>
                </c:pt>
                <c:pt idx="5">
                  <c:v>0.598137305867248</c:v>
                </c:pt>
                <c:pt idx="6">
                  <c:v>0.82181409832615959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AD8-4F66-AA31-4E0BC9990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BGfix_d!$J$6:$P$6</c:f>
              <c:numCache>
                <c:formatCode>0.00</c:formatCode>
                <c:ptCount val="7"/>
                <c:pt idx="1">
                  <c:v>0</c:v>
                </c:pt>
                <c:pt idx="2">
                  <c:v>0.84952318939466298</c:v>
                </c:pt>
                <c:pt idx="3">
                  <c:v>1.9309875715502391</c:v>
                </c:pt>
                <c:pt idx="4">
                  <c:v>2.7997550125733288</c:v>
                </c:pt>
                <c:pt idx="5">
                  <c:v>4.7677683369738588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4FE4-A247-8117BB015695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BGfix_d!$J$7:$P$7</c:f>
              <c:numCache>
                <c:formatCode>0.00</c:formatCode>
                <c:ptCount val="7"/>
                <c:pt idx="1">
                  <c:v>1.4437042047872275</c:v>
                </c:pt>
                <c:pt idx="2">
                  <c:v>2.0185804981522457</c:v>
                </c:pt>
                <c:pt idx="3">
                  <c:v>2.7226172494749261</c:v>
                </c:pt>
                <c:pt idx="4">
                  <c:v>2.9944863714255745</c:v>
                </c:pt>
                <c:pt idx="5">
                  <c:v>4.1038644303382856</c:v>
                </c:pt>
                <c:pt idx="6">
                  <c:v>11.283893772046746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71-4FE4-A247-8117BB015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BGfix_d!$J$5:$P$5</c:f>
              <c:numCache>
                <c:formatCode>0%</c:formatCode>
                <c:ptCount val="7"/>
                <c:pt idx="1">
                  <c:v>0.66802830611946218</c:v>
                </c:pt>
                <c:pt idx="2">
                  <c:v>0.8000000000000429</c:v>
                </c:pt>
                <c:pt idx="3">
                  <c:v>0.90000000000008307</c:v>
                </c:pt>
                <c:pt idx="4">
                  <c:v>0.95000000000001505</c:v>
                </c:pt>
                <c:pt idx="5">
                  <c:v>0.99000000000015587</c:v>
                </c:pt>
                <c:pt idx="6">
                  <c:v>1.0000000000000226</c:v>
                </c:pt>
              </c:numCache>
            </c:numRef>
          </c:xVal>
          <c:yVal>
            <c:numRef>
              <c:f>BGfix_d!$J$8:$P$8</c:f>
              <c:numCache>
                <c:formatCode>0.00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2.7035963083150136</c:v>
                </c:pt>
                <c:pt idx="4">
                  <c:v>8.4131674288070002</c:v>
                </c:pt>
                <c:pt idx="5">
                  <c:v>24.083274287774678</c:v>
                </c:pt>
                <c:pt idx="6">
                  <c:v>69.528600572712378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71-4FE4-A247-8117BB015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BGSY_d!$J$19:$P$19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BGSY_d!$J$26:$P$26</c:f>
              <c:numCache>
                <c:formatCode>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-97.419255788981559</c:v>
                </c:pt>
                <c:pt idx="5">
                  <c:v>-253.67515582557004</c:v>
                </c:pt>
                <c:pt idx="6">
                  <c:v>-262.48613171634383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1-4CFD-B587-1F62CF0A16DB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BGSY_d!$J$19:$P$19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BGSY_d!$J$25:$P$25</c:f>
              <c:numCache>
                <c:formatCode>0</c:formatCode>
                <c:ptCount val="7"/>
                <c:pt idx="1">
                  <c:v>-504.30633106233859</c:v>
                </c:pt>
                <c:pt idx="2">
                  <c:v>-1172.674276642638</c:v>
                </c:pt>
                <c:pt idx="3">
                  <c:v>-2644.4239302492329</c:v>
                </c:pt>
                <c:pt idx="4">
                  <c:v>-5227.5070235872099</c:v>
                </c:pt>
                <c:pt idx="5">
                  <c:v>-11657.426973452602</c:v>
                </c:pt>
                <c:pt idx="6">
                  <c:v>-44690.474581250222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E1-4CFD-B587-1F62CF0A16DB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BGSY_d!$J$19:$P$19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BGSY_d!$J$27:$P$27</c:f>
              <c:numCache>
                <c:formatCode>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91.661777771852726</c:v>
                </c:pt>
                <c:pt idx="5">
                  <c:v>238.68295411627884</c:v>
                </c:pt>
                <c:pt idx="6">
                  <c:v>246.97320133190797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E1-4CFD-B587-1F62CF0A16DB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BGSY_d!$J$19:$P$19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BGSY_d!$J$22:$P$22</c:f>
              <c:numCache>
                <c:formatCode>0</c:formatCode>
                <c:ptCount val="7"/>
                <c:pt idx="1">
                  <c:v>0</c:v>
                </c:pt>
                <c:pt idx="2">
                  <c:v>119.75032208107197</c:v>
                </c:pt>
                <c:pt idx="3">
                  <c:v>1117.0396413959788</c:v>
                </c:pt>
                <c:pt idx="4">
                  <c:v>1353.558135116022</c:v>
                </c:pt>
                <c:pt idx="5">
                  <c:v>2879.0083871939678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E1-4CFD-B587-1F62CF0A16DB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BGSY_d!$J$19:$P$19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BGSY_d!$J$23:$P$23</c:f>
              <c:numCache>
                <c:formatCode>0</c:formatCode>
                <c:ptCount val="7"/>
                <c:pt idx="1">
                  <c:v>7175.977610695204</c:v>
                </c:pt>
                <c:pt idx="2">
                  <c:v>8796.1139740648814</c:v>
                </c:pt>
                <c:pt idx="3">
                  <c:v>10238.473060794631</c:v>
                </c:pt>
                <c:pt idx="4">
                  <c:v>13074.744514647831</c:v>
                </c:pt>
                <c:pt idx="5">
                  <c:v>18375.608437102961</c:v>
                </c:pt>
                <c:pt idx="6">
                  <c:v>54384.975036013246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E1-4CFD-B587-1F62CF0A16DB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BGSY_d!$J$19:$P$19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BGSY_d!$J$24:$P$24</c:f>
              <c:numCache>
                <c:formatCode>0</c:formatCode>
                <c:ptCount val="7"/>
                <c:pt idx="1">
                  <c:v>3007.3162447457912</c:v>
                </c:pt>
                <c:pt idx="2">
                  <c:v>1935.7975048755484</c:v>
                </c:pt>
                <c:pt idx="3">
                  <c:v>967.89875243742938</c:v>
                </c:pt>
                <c:pt idx="4">
                  <c:v>483.94937621893439</c:v>
                </c:pt>
                <c:pt idx="5">
                  <c:v>96.789875243627463</c:v>
                </c:pt>
                <c:pt idx="6">
                  <c:v>-1.165972207672894E-12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E1-4CFD-B587-1F62CF0A1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BGSY_d!$J$50:$P$50</c:f>
              <c:numCache>
                <c:formatCode>0.000</c:formatCode>
                <c:ptCount val="7"/>
                <c:pt idx="1">
                  <c:v>4.2575363167475402</c:v>
                </c:pt>
                <c:pt idx="2">
                  <c:v>4.3191996156580235</c:v>
                </c:pt>
                <c:pt idx="3">
                  <c:v>4.5899664300859877</c:v>
                </c:pt>
                <c:pt idx="4">
                  <c:v>5.0565751011974474</c:v>
                </c:pt>
                <c:pt idx="5">
                  <c:v>6.9733825588638148</c:v>
                </c:pt>
                <c:pt idx="6">
                  <c:v>15.349438253926301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CA-479F-9051-3A91D346890F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BGSY_d!$J$51:$P$51</c:f>
              <c:numCache>
                <c:formatCode>0.000</c:formatCode>
                <c:ptCount val="7"/>
                <c:pt idx="1">
                  <c:v>4.2296403282051243</c:v>
                </c:pt>
                <c:pt idx="2">
                  <c:v>4.2543324780270115</c:v>
                </c:pt>
                <c:pt idx="3">
                  <c:v>4.4436886320180315</c:v>
                </c:pt>
                <c:pt idx="4">
                  <c:v>4.7674126079798622</c:v>
                </c:pt>
                <c:pt idx="5">
                  <c:v>6.3285454246551911</c:v>
                </c:pt>
                <c:pt idx="6">
                  <c:v>12.877359499238461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CA-479F-9051-3A91D346890F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BGSY_d!$J$52:$P$52</c:f>
              <c:numCache>
                <c:formatCode>0.000</c:formatCode>
                <c:ptCount val="7"/>
                <c:pt idx="1">
                  <c:v>4.2017443396627074</c:v>
                </c:pt>
                <c:pt idx="2">
                  <c:v>4.1894653403959996</c:v>
                </c:pt>
                <c:pt idx="3">
                  <c:v>4.2974108339500745</c:v>
                </c:pt>
                <c:pt idx="4">
                  <c:v>4.4782501147622771</c:v>
                </c:pt>
                <c:pt idx="5">
                  <c:v>5.6837082904465674</c:v>
                </c:pt>
                <c:pt idx="6">
                  <c:v>10.40528074455062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CA-479F-9051-3A91D3468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BGSY_d!$J$63:$P$63</c:f>
              <c:numCache>
                <c:formatCode>#,##0\ "€"</c:formatCode>
                <c:ptCount val="7"/>
                <c:pt idx="1">
                  <c:v>1431485.27382003</c:v>
                </c:pt>
                <c:pt idx="2">
                  <c:v>1603743.5204229834</c:v>
                </c:pt>
                <c:pt idx="3">
                  <c:v>1665287.0840963759</c:v>
                </c:pt>
                <c:pt idx="4">
                  <c:v>1668298.7656553932</c:v>
                </c:pt>
                <c:pt idx="5">
                  <c:v>1571486.9686533059</c:v>
                </c:pt>
                <c:pt idx="6">
                  <c:v>1423019.9297183519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D-448E-92A8-CAC23F49DC29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BGSY_d!$J$64:$P$64</c:f>
              <c:numCache>
                <c:formatCode>#,##0\ "€"</c:formatCode>
                <c:ptCount val="7"/>
                <c:pt idx="1">
                  <c:v>2112987.6746329805</c:v>
                </c:pt>
                <c:pt idx="2">
                  <c:v>2129377.1365383198</c:v>
                </c:pt>
                <c:pt idx="3">
                  <c:v>2130859.4233256914</c:v>
                </c:pt>
                <c:pt idx="4">
                  <c:v>2137354.1734426208</c:v>
                </c:pt>
                <c:pt idx="5">
                  <c:v>2129377.136538248</c:v>
                </c:pt>
                <c:pt idx="6">
                  <c:v>2114701.3205046412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5D-448E-92A8-CAC23F49DC29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BGSY_d!$J$57:$P$57</c:f>
              <c:numCache>
                <c:formatCode>#,##0\ "€"</c:formatCode>
                <c:ptCount val="7"/>
                <c:pt idx="1">
                  <c:v>0</c:v>
                </c:pt>
                <c:pt idx="2">
                  <c:v>158731.56013062512</c:v>
                </c:pt>
                <c:pt idx="3">
                  <c:v>1480659.4414543414</c:v>
                </c:pt>
                <c:pt idx="4">
                  <c:v>1794169.6588424179</c:v>
                </c:pt>
                <c:pt idx="5">
                  <c:v>3816185.9190580486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5D-448E-92A8-CAC23F49DC29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BGSY_d!$J$58:$P$58</c:f>
              <c:numCache>
                <c:formatCode>#,##0\ "€"</c:formatCode>
                <c:ptCount val="7"/>
                <c:pt idx="1">
                  <c:v>3640792.9439753839</c:v>
                </c:pt>
                <c:pt idx="2">
                  <c:v>4462782.8330245055</c:v>
                </c:pt>
                <c:pt idx="3">
                  <c:v>5194575.9169128686</c:v>
                </c:pt>
                <c:pt idx="4">
                  <c:v>6633582.2316757422</c:v>
                </c:pt>
                <c:pt idx="5">
                  <c:v>9323020.3839192018</c:v>
                </c:pt>
                <c:pt idx="6">
                  <c:v>27592677.139109969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5D-448E-92A8-CAC23F49DC29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BGSY_d!$J$59:$P$59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539184.02533116611</c:v>
                </c:pt>
                <c:pt idx="5">
                  <c:v>4375185.7596910847</c:v>
                </c:pt>
                <c:pt idx="6">
                  <c:v>24313908.815715536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5D-448E-92A8-CAC23F49DC29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BGSY_d!$J$60:$P$60</c:f>
              <c:numCache>
                <c:formatCode>#,##0\ "€"</c:formatCode>
                <c:ptCount val="7"/>
                <c:pt idx="1">
                  <c:v>74191.059206938065</c:v>
                </c:pt>
                <c:pt idx="2">
                  <c:v>121680.70662621854</c:v>
                </c:pt>
                <c:pt idx="3">
                  <c:v>162484.6414185325</c:v>
                </c:pt>
                <c:pt idx="4">
                  <c:v>177176.92068604354</c:v>
                </c:pt>
                <c:pt idx="5">
                  <c:v>174357.91280142841</c:v>
                </c:pt>
                <c:pt idx="6">
                  <c:v>95987.691595773518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5D-448E-92A8-CAC23F49DC29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BGSY_d!$J$61:$P$61</c:f>
              <c:numCache>
                <c:formatCode>#,##0\ "€"</c:formatCode>
                <c:ptCount val="7"/>
                <c:pt idx="1">
                  <c:v>92320.387980125102</c:v>
                </c:pt>
                <c:pt idx="2">
                  <c:v>247045.87168066407</c:v>
                </c:pt>
                <c:pt idx="3">
                  <c:v>403072.01432345103</c:v>
                </c:pt>
                <c:pt idx="4">
                  <c:v>412304.9266375631</c:v>
                </c:pt>
                <c:pt idx="5">
                  <c:v>393433.85316437244</c:v>
                </c:pt>
                <c:pt idx="6">
                  <c:v>125790.38890963525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48E-92A8-CAC23F49DC29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BGSY_d!$J$62:$P$62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8262.2030710383478</c:v>
                </c:pt>
                <c:pt idx="4">
                  <c:v>27978.362989439891</c:v>
                </c:pt>
                <c:pt idx="5">
                  <c:v>128392.44493419889</c:v>
                </c:pt>
                <c:pt idx="6">
                  <c:v>39808.571628289348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5D-448E-92A8-CAC23F49D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BGSY_d!$J$31:$P$31</c:f>
              <c:numCache>
                <c:formatCode>0.000</c:formatCode>
                <c:ptCount val="7"/>
                <c:pt idx="1">
                  <c:v>0</c:v>
                </c:pt>
                <c:pt idx="2">
                  <c:v>2.9267751959385288E-2</c:v>
                </c:pt>
                <c:pt idx="3">
                  <c:v>0.27301170122151863</c:v>
                </c:pt>
                <c:pt idx="4">
                  <c:v>0.33081834831612422</c:v>
                </c:pt>
                <c:pt idx="5">
                  <c:v>0.70364823994657499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1-4C09-A5B7-B6BE5EF61967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BGSY_d!$J$32:$P$32</c:f>
              <c:numCache>
                <c:formatCode>0.000</c:formatCode>
                <c:ptCount val="7"/>
                <c:pt idx="1">
                  <c:v>0.67130836950166117</c:v>
                </c:pt>
                <c:pt idx="2">
                  <c:v>0.82287114735139222</c:v>
                </c:pt>
                <c:pt idx="3">
                  <c:v>0.95780296839071888</c:v>
                </c:pt>
                <c:pt idx="4">
                  <c:v>1.2231344491234106</c:v>
                </c:pt>
                <c:pt idx="5">
                  <c:v>1.7190270661000786</c:v>
                </c:pt>
                <c:pt idx="6">
                  <c:v>5.0876815532984976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61-4C09-A5B7-B6BE5EF61967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BGSY_d!$J$33:$P$33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9.9417559437260591E-2</c:v>
                </c:pt>
                <c:pt idx="5">
                  <c:v>0.806719542638489</c:v>
                </c:pt>
                <c:pt idx="6">
                  <c:v>4.4831251692849605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61-4C09-A5B7-B6BE5EF61967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BGSY_d!$J$34:$P$34</c:f>
              <c:numCache>
                <c:formatCode>0.000</c:formatCode>
                <c:ptCount val="7"/>
                <c:pt idx="1">
                  <c:v>3.070224806370233E-2</c:v>
                </c:pt>
                <c:pt idx="2">
                  <c:v>6.7987727367120887E-2</c:v>
                </c:pt>
                <c:pt idx="3">
                  <c:v>0.1058037104627238</c:v>
                </c:pt>
                <c:pt idx="4">
                  <c:v>0.11385053019929012</c:v>
                </c:pt>
                <c:pt idx="5">
                  <c:v>0.12836607153544935</c:v>
                </c:pt>
                <c:pt idx="6">
                  <c:v>4.8232709640317839E-2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61-4C09-A5B7-B6BE5EF61967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BGSY_d!$J$36:$P$36</c:f>
              <c:numCache>
                <c:formatCode>0.000</c:formatCode>
                <c:ptCount val="7"/>
                <c:pt idx="1">
                  <c:v>0.65354838695403272</c:v>
                </c:pt>
                <c:pt idx="2">
                  <c:v>0.68833223419770706</c:v>
                </c:pt>
                <c:pt idx="3">
                  <c:v>0.69995326883503584</c:v>
                </c:pt>
                <c:pt idx="4">
                  <c:v>0.70170611423063034</c:v>
                </c:pt>
                <c:pt idx="5">
                  <c:v>0.68238460314382865</c:v>
                </c:pt>
                <c:pt idx="6">
                  <c:v>0.65230347366185981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61-4C09-A5B7-B6BE5EF61967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BGSY_d!$J$37:$P$37</c:f>
              <c:numCache>
                <c:formatCode>0.000</c:formatCode>
                <c:ptCount val="7"/>
                <c:pt idx="1">
                  <c:v>0</c:v>
                </c:pt>
                <c:pt idx="2">
                  <c:v>3.8241836183865799E-3</c:v>
                </c:pt>
                <c:pt idx="3">
                  <c:v>3.5672260612567765E-2</c:v>
                </c:pt>
                <c:pt idx="4">
                  <c:v>4.3225393943744451E-2</c:v>
                </c:pt>
                <c:pt idx="5">
                  <c:v>9.1940101038315555E-2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61-4C09-A5B7-B6BE5EF61967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BGSY_d!$J$38:$P$38</c:f>
              <c:numCache>
                <c:formatCode>0.000</c:formatCode>
                <c:ptCount val="7"/>
                <c:pt idx="1">
                  <c:v>0.27685645291820243</c:v>
                </c:pt>
                <c:pt idx="2">
                  <c:v>0.33936294766227287</c:v>
                </c:pt>
                <c:pt idx="3">
                  <c:v>0.39501061579200741</c:v>
                </c:pt>
                <c:pt idx="4">
                  <c:v>0.50443682875240703</c:v>
                </c:pt>
                <c:pt idx="5">
                  <c:v>0.7089495045982358</c:v>
                </c:pt>
                <c:pt idx="6">
                  <c:v>2.0982271820463385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61-4C09-A5B7-B6BE5EF61967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BGSY_d!$J$39:$P$39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2.4854389859315148E-2</c:v>
                </c:pt>
                <c:pt idx="5">
                  <c:v>0.20167988565962225</c:v>
                </c:pt>
                <c:pt idx="6">
                  <c:v>1.1207812923212401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61-4C09-A5B7-B6BE5EF61967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BGSY_d!$J$40:$P$40</c:f>
              <c:numCache>
                <c:formatCode>0.000</c:formatCode>
                <c:ptCount val="7"/>
                <c:pt idx="1">
                  <c:v>0.27370025400709397</c:v>
                </c:pt>
                <c:pt idx="2">
                  <c:v>0.30252798462593117</c:v>
                </c:pt>
                <c:pt idx="3">
                  <c:v>0.32169342050162891</c:v>
                </c:pt>
                <c:pt idx="4">
                  <c:v>0.32415913924413242</c:v>
                </c:pt>
                <c:pt idx="5">
                  <c:v>0.31483080273184122</c:v>
                </c:pt>
                <c:pt idx="6">
                  <c:v>0.27727842859399909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61-4C09-A5B7-B6BE5EF61967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BGSY_d!$J$42:$P$42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2.335147084675215E-2</c:v>
                </c:pt>
                <c:pt idx="5">
                  <c:v>6.08061307575294E-2</c:v>
                </c:pt>
                <c:pt idx="6">
                  <c:v>6.2918128483015964E-2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61-4C09-A5B7-B6BE5EF61967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BGSY_d!$J$44:$P$44</c:f>
              <c:numCache>
                <c:formatCode>0.000</c:formatCode>
                <c:ptCount val="7"/>
                <c:pt idx="1">
                  <c:v>8.7842910485457226E-2</c:v>
                </c:pt>
                <c:pt idx="2">
                  <c:v>9.8089608152369362E-2</c:v>
                </c:pt>
                <c:pt idx="3">
                  <c:v>0.10183608009774026</c:v>
                </c:pt>
                <c:pt idx="4">
                  <c:v>0.10201941657998792</c:v>
                </c:pt>
                <c:pt idx="5">
                  <c:v>9.6125986628909116E-2</c:v>
                </c:pt>
                <c:pt idx="6">
                  <c:v>8.7343501938704382E-2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61-4C09-A5B7-B6BE5EF61967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BGSY_d!$J$45:$P$45</c:f>
              <c:numCache>
                <c:formatCode>0.000</c:formatCode>
                <c:ptCount val="7"/>
                <c:pt idx="1">
                  <c:v>1.9027730795182325</c:v>
                </c:pt>
                <c:pt idx="2">
                  <c:v>1.9027730795183546</c:v>
                </c:pt>
                <c:pt idx="3">
                  <c:v>1.9027730795183595</c:v>
                </c:pt>
                <c:pt idx="4">
                  <c:v>1.9027730795183599</c:v>
                </c:pt>
                <c:pt idx="5">
                  <c:v>1.9027730795183302</c:v>
                </c:pt>
                <c:pt idx="6">
                  <c:v>1.9027730795183575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61-4C09-A5B7-B6BE5EF61967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BGSY_d!$J$46:$P$46</c:f>
              <c:numCache>
                <c:formatCode>0.000</c:formatCode>
                <c:ptCount val="7"/>
                <c:pt idx="1">
                  <c:v>0.83203088016007465</c:v>
                </c:pt>
                <c:pt idx="2">
                  <c:v>0.53538921606611856</c:v>
                </c:pt>
                <c:pt idx="3">
                  <c:v>0.26763558951462657</c:v>
                </c:pt>
                <c:pt idx="4">
                  <c:v>0.13405464600707942</c:v>
                </c:pt>
                <c:pt idx="5">
                  <c:v>2.7357809427531618E-2</c:v>
                </c:pt>
                <c:pt idx="6">
                  <c:v>-3.3191584400051154E-16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61-4C09-A5B7-B6BE5EF61967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BGSY_d!$J$48:$P$48</c:f>
              <c:numCache>
                <c:formatCode>0.000</c:formatCode>
                <c:ptCount val="7"/>
                <c:pt idx="1">
                  <c:v>-2.7895988542416195E-2</c:v>
                </c:pt>
                <c:pt idx="2">
                  <c:v>-6.4867137631011818E-2</c:v>
                </c:pt>
                <c:pt idx="3">
                  <c:v>-0.14627779806795638</c:v>
                </c:pt>
                <c:pt idx="4">
                  <c:v>-0.28916249321758519</c:v>
                </c:pt>
                <c:pt idx="5">
                  <c:v>-0.64483713420862387</c:v>
                </c:pt>
                <c:pt idx="6">
                  <c:v>-2.4720787546878413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DD61-4C09-A5B7-B6BE5EF61967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cat>
          <c:val>
            <c:numRef>
              <c:f>BGSY_d!$J$47:$P$47</c:f>
              <c:numCache>
                <c:formatCode>0.000</c:formatCode>
                <c:ptCount val="7"/>
                <c:pt idx="1">
                  <c:v>-0.47122626486091646</c:v>
                </c:pt>
                <c:pt idx="2">
                  <c:v>-0.47122626486101465</c:v>
                </c:pt>
                <c:pt idx="3">
                  <c:v>-0.47122626486094032</c:v>
                </c:pt>
                <c:pt idx="4">
                  <c:v>-0.47122626486104713</c:v>
                </c:pt>
                <c:pt idx="5">
                  <c:v>-0.47122626486092184</c:v>
                </c:pt>
                <c:pt idx="6">
                  <c:v>-0.47122626486098934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D61-4C09-A5B7-B6BE5EF61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BGSY_d!$J$50:$P$50</c:f>
              <c:numCache>
                <c:formatCode>0.000</c:formatCode>
                <c:ptCount val="7"/>
                <c:pt idx="1">
                  <c:v>4.2575363167475402</c:v>
                </c:pt>
                <c:pt idx="2">
                  <c:v>4.3191996156580235</c:v>
                </c:pt>
                <c:pt idx="3">
                  <c:v>4.5899664300859877</c:v>
                </c:pt>
                <c:pt idx="4">
                  <c:v>5.0565751011974474</c:v>
                </c:pt>
                <c:pt idx="5">
                  <c:v>6.9733825588638148</c:v>
                </c:pt>
                <c:pt idx="6">
                  <c:v>15.349438253926301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D61-4C09-A5B7-B6BE5EF61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65960839276558"/>
          <c:y val="3.8805408406176203E-2"/>
          <c:w val="0.81195040443194044"/>
          <c:h val="0.8716615992616874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BGSY_d!$J$97:$P$97</c:f>
              <c:numCache>
                <c:formatCode>0%</c:formatCode>
                <c:ptCount val="7"/>
                <c:pt idx="0">
                  <c:v>0</c:v>
                </c:pt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BGSY_d!$J$105:$P$105</c:f>
              <c:numCache>
                <c:formatCode>0.00</c:formatCode>
                <c:ptCount val="7"/>
                <c:pt idx="0">
                  <c:v>0</c:v>
                </c:pt>
                <c:pt idx="1">
                  <c:v>2.2180185425563264</c:v>
                </c:pt>
                <c:pt idx="2">
                  <c:v>1.427729713477865</c:v>
                </c:pt>
                <c:pt idx="3">
                  <c:v>0.71386485673858491</c:v>
                </c:pt>
                <c:pt idx="4">
                  <c:v>0.35693242836948158</c:v>
                </c:pt>
                <c:pt idx="5">
                  <c:v>7.1386485673778893E-2</c:v>
                </c:pt>
                <c:pt idx="6">
                  <c:v>-8.5995211885083212E-16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E0-46DF-9997-B15FFA79C94C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BGSY_d!$J$107:$P$107</c:f>
              <c:numCache>
                <c:formatCode>0.00</c:formatCode>
                <c:ptCount val="7"/>
                <c:pt idx="0">
                  <c:v>0</c:v>
                </c:pt>
                <c:pt idx="1">
                  <c:v>4.166552558769511E-2</c:v>
                </c:pt>
                <c:pt idx="2">
                  <c:v>5.1072443608582825E-2</c:v>
                </c:pt>
                <c:pt idx="3">
                  <c:v>5.9447142178594897E-2</c:v>
                </c:pt>
                <c:pt idx="4">
                  <c:v>7.5915245515214044E-2</c:v>
                </c:pt>
                <c:pt idx="5">
                  <c:v>0.10669339079102394</c:v>
                </c:pt>
                <c:pt idx="6">
                  <c:v>0.31577280363469784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E0-46DF-9997-B15FFA79C94C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BGSY_d!$J$109:$P$109</c:f>
              <c:numCache>
                <c:formatCode>0.00</c:formatCode>
                <c:ptCount val="7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E0-46DF-9997-B15FFA79C94C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BGSY_d!$J$97:$P$97</c:f>
              <c:numCache>
                <c:formatCode>0%</c:formatCode>
                <c:ptCount val="7"/>
                <c:pt idx="0">
                  <c:v>0</c:v>
                </c:pt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BGSY_d!$J$106:$P$106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5.3538570657415416E-3</c:v>
                </c:pt>
                <c:pt idx="3">
                  <c:v>4.99411648575913E-2</c:v>
                </c:pt>
                <c:pt idx="4">
                  <c:v>6.051555152124248E-2</c:v>
                </c:pt>
                <c:pt idx="5">
                  <c:v>0.1287161414536446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E0-46DF-9997-B15FFA79C94C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BGSY_d!$J$72:$P$72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BGSY_d!$J$110:$P$110</c:f>
              <c:numCache>
                <c:formatCode>0.00</c:formatCode>
                <c:ptCount val="7"/>
                <c:pt idx="0">
                  <c:v>-9.4245252972192066</c:v>
                </c:pt>
                <c:pt idx="1">
                  <c:v>-7.1648412290751846</c:v>
                </c:pt>
                <c:pt idx="2">
                  <c:v>-7.9403692830670174</c:v>
                </c:pt>
                <c:pt idx="3">
                  <c:v>-8.6012721334456259</c:v>
                </c:pt>
                <c:pt idx="4">
                  <c:v>-8.9201018683267375</c:v>
                </c:pt>
                <c:pt idx="5">
                  <c:v>-9.027981730183015</c:v>
                </c:pt>
                <c:pt idx="6">
                  <c:v>-8.6100048185029578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E0-46DF-9997-B15FFA79C94C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BGSY_d!$K$97:$P$97</c:f>
              <c:numCache>
                <c:formatCode>0%</c:formatCode>
                <c:ptCount val="6"/>
                <c:pt idx="0">
                  <c:v>0.68929433608924784</c:v>
                </c:pt>
                <c:pt idx="1">
                  <c:v>0.80000000000006166</c:v>
                </c:pt>
                <c:pt idx="2">
                  <c:v>0.90000000000004898</c:v>
                </c:pt>
                <c:pt idx="3">
                  <c:v>0.95000000000000062</c:v>
                </c:pt>
                <c:pt idx="4">
                  <c:v>0.99000000000013721</c:v>
                </c:pt>
                <c:pt idx="5">
                  <c:v>0.99999999999999623</c:v>
                </c:pt>
              </c:numCache>
            </c:numRef>
          </c:xVal>
          <c:yVal>
            <c:numRef>
              <c:f>BGSY_d!$K$108:$P$108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1.1060203487395287E-2</c:v>
                </c:pt>
                <c:pt idx="4">
                  <c:v>8.9747549118533859E-2</c:v>
                </c:pt>
                <c:pt idx="5">
                  <c:v>0.4987476750829542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E0-46DF-9997-B15FFA79C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050" baseline="0">
                    <a:solidFill>
                      <a:schemeClr val="tx1"/>
                    </a:solidFill>
                  </a:rPr>
                  <a:t>[%]</a:t>
                </a:r>
                <a:endParaRPr lang="it-IT" sz="105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2"/>
          <c:min val="-0.4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50">
                    <a:solidFill>
                      <a:schemeClr val="tx1"/>
                    </a:solidFill>
                  </a:rPr>
                  <a:t>emissions [kg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050">
                    <a:solidFill>
                      <a:schemeClr val="tx1"/>
                    </a:solidFill>
                  </a:rPr>
                  <a:t>/kg</a:t>
                </a:r>
                <a:r>
                  <a:rPr lang="it-IT" sz="105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05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993466508222E-3"/>
              <c:y val="0.235592150334901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5294626915518106"/>
          <c:y val="3.7155968497160553E-2"/>
          <c:w val="0.72362538695713607"/>
          <c:h val="0.14885714447482998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BGSY_d!$J$56:$P$56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BGSY_d!$J$78:$P$78</c:f>
              <c:numCache>
                <c:formatCode>0</c:formatCode>
                <c:ptCount val="7"/>
                <c:pt idx="1">
                  <c:v>77.076700961847479</c:v>
                </c:pt>
                <c:pt idx="2">
                  <c:v>83.722151280272371</c:v>
                </c:pt>
                <c:pt idx="3">
                  <c:v>103.443018214753</c:v>
                </c:pt>
                <c:pt idx="4">
                  <c:v>132.66485321245312</c:v>
                </c:pt>
                <c:pt idx="5">
                  <c:v>242.96653618351192</c:v>
                </c:pt>
                <c:pt idx="6">
                  <c:v>720.17739515276776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55-4CC9-A58D-6737FA4A4FA4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BGSY_d!$J$97:$P$97</c:f>
              <c:numCache>
                <c:formatCode>0%</c:formatCode>
                <c:ptCount val="7"/>
                <c:pt idx="0">
                  <c:v>0</c:v>
                </c:pt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BGSY_d!$J$112:$P$112</c:f>
              <c:numCache>
                <c:formatCode>0.00</c:formatCode>
                <c:ptCount val="7"/>
                <c:pt idx="0">
                  <c:v>149.87161908201614</c:v>
                </c:pt>
                <c:pt idx="1">
                  <c:v>149.87161908201614</c:v>
                </c:pt>
                <c:pt idx="2">
                  <c:v>149.87161908201614</c:v>
                </c:pt>
                <c:pt idx="3">
                  <c:v>149.87161908203592</c:v>
                </c:pt>
                <c:pt idx="4">
                  <c:v>149.8716190820254</c:v>
                </c:pt>
                <c:pt idx="5">
                  <c:v>149.87161908202194</c:v>
                </c:pt>
                <c:pt idx="6">
                  <c:v>149.87161908201614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5-4CC9-A58D-6737FA4A4FA4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BGSY_d!$J$97:$P$97</c:f>
              <c:numCache>
                <c:formatCode>0%</c:formatCode>
                <c:ptCount val="7"/>
                <c:pt idx="0">
                  <c:v>0</c:v>
                </c:pt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BGSY_d!$J$113:$P$113</c:f>
              <c:numCache>
                <c:formatCode>0.00</c:formatCode>
                <c:ptCount val="7"/>
                <c:pt idx="0">
                  <c:v>71.659980010183688</c:v>
                </c:pt>
                <c:pt idx="1">
                  <c:v>71.659980010183688</c:v>
                </c:pt>
                <c:pt idx="2">
                  <c:v>71.659980010188463</c:v>
                </c:pt>
                <c:pt idx="3">
                  <c:v>71.659980010198041</c:v>
                </c:pt>
                <c:pt idx="4">
                  <c:v>71.659980010192371</c:v>
                </c:pt>
                <c:pt idx="5">
                  <c:v>71.659980010191362</c:v>
                </c:pt>
                <c:pt idx="6">
                  <c:v>71.659980010192442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55-4CC9-A58D-6737FA4A4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455-4CC9-A58D-6737FA4A4FA4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455-4CC9-A58D-6737FA4A4FA4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55-4CC9-A58D-6737FA4A4FA4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455-4CC9-A58D-6737FA4A4FA4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55-4CC9-A58D-6737FA4A4FA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BGSY_d!$J$77:$P$77</c:f>
              <c:numCache>
                <c:formatCode>0.0%</c:formatCode>
                <c:ptCount val="7"/>
                <c:pt idx="1">
                  <c:v>7.0277021253621452E-2</c:v>
                </c:pt>
                <c:pt idx="2">
                  <c:v>0.13152670764062077</c:v>
                </c:pt>
                <c:pt idx="3">
                  <c:v>0.23287578461684894</c:v>
                </c:pt>
                <c:pt idx="4">
                  <c:v>0.36230921616221906</c:v>
                </c:pt>
                <c:pt idx="5">
                  <c:v>0.54846563783387392</c:v>
                </c:pt>
                <c:pt idx="6">
                  <c:v>0.82174303751461852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455-4CC9-A58D-6737FA4A4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BGSY_d!$J$6:$P$6</c:f>
              <c:numCache>
                <c:formatCode>0.00</c:formatCode>
                <c:ptCount val="7"/>
                <c:pt idx="1">
                  <c:v>0</c:v>
                </c:pt>
                <c:pt idx="2">
                  <c:v>0.13826790952145046</c:v>
                </c:pt>
                <c:pt idx="3">
                  <c:v>1.2897730326257331</c:v>
                </c:pt>
                <c:pt idx="4">
                  <c:v>1.5628655564829423</c:v>
                </c:pt>
                <c:pt idx="5">
                  <c:v>3.3242037622456868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9-4423-B44F-1FA661B594BC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BGSY_d!$J$7:$P$7</c:f>
              <c:numCache>
                <c:formatCode>0.00</c:formatCode>
                <c:ptCount val="7"/>
                <c:pt idx="1">
                  <c:v>1.4866447300838646</c:v>
                </c:pt>
                <c:pt idx="2">
                  <c:v>1.8222878044199697</c:v>
                </c:pt>
                <c:pt idx="3">
                  <c:v>2.1211008235658917</c:v>
                </c:pt>
                <c:pt idx="4">
                  <c:v>2.7086901721828269</c:v>
                </c:pt>
                <c:pt idx="5">
                  <c:v>3.8068682661981228</c:v>
                </c:pt>
                <c:pt idx="6">
                  <c:v>11.266915940837064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39-4423-B44F-1FA661B5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BGSY_d!$J$5:$P$5</c:f>
              <c:numCache>
                <c:formatCode>0%</c:formatCode>
                <c:ptCount val="7"/>
                <c:pt idx="1">
                  <c:v>0.68929433608924784</c:v>
                </c:pt>
                <c:pt idx="2">
                  <c:v>0.80000000000006166</c:v>
                </c:pt>
                <c:pt idx="3">
                  <c:v>0.90000000000004898</c:v>
                </c:pt>
                <c:pt idx="4">
                  <c:v>0.95000000000000062</c:v>
                </c:pt>
                <c:pt idx="5">
                  <c:v>0.99000000000013721</c:v>
                </c:pt>
                <c:pt idx="6">
                  <c:v>0.99999999999999623</c:v>
                </c:pt>
              </c:numCache>
            </c:numRef>
          </c:xVal>
          <c:yVal>
            <c:numRef>
              <c:f>BGSY_d!$J$8:$P$8</c:f>
              <c:numCache>
                <c:formatCode>0.00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1.3479600633279154</c:v>
                </c:pt>
                <c:pt idx="5">
                  <c:v>10.937964399227713</c:v>
                </c:pt>
                <c:pt idx="6">
                  <c:v>60.784772039288846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39-4423-B44F-1FA661B5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BGfix_2!$J$26:$Q$26</c:f>
              <c:numCache>
                <c:formatCode>0</c:formatCode>
                <c:ptCount val="8"/>
                <c:pt idx="0">
                  <c:v>0</c:v>
                </c:pt>
                <c:pt idx="1">
                  <c:v>-687.5126693062698</c:v>
                </c:pt>
                <c:pt idx="2">
                  <c:v>-1482.2445241701182</c:v>
                </c:pt>
                <c:pt idx="3">
                  <c:v>-3403.5846804427251</c:v>
                </c:pt>
                <c:pt idx="4">
                  <c:v>-3519.7038651602229</c:v>
                </c:pt>
                <c:pt idx="5">
                  <c:v>-3403.7745520933345</c:v>
                </c:pt>
                <c:pt idx="6">
                  <c:v>-2739.5219369799288</c:v>
                </c:pt>
                <c:pt idx="7">
                  <c:v>-1173.6174346795399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87-48E3-8F35-4E4EDF859BB4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BGfix_2!$J$25:$Q$25</c:f>
              <c:numCache>
                <c:formatCode>0</c:formatCode>
                <c:ptCount val="8"/>
                <c:pt idx="0">
                  <c:v>-1067.8754546619139</c:v>
                </c:pt>
                <c:pt idx="1">
                  <c:v>-970.38894295064415</c:v>
                </c:pt>
                <c:pt idx="2">
                  <c:v>-915.08258928131579</c:v>
                </c:pt>
                <c:pt idx="3">
                  <c:v>-1409.9130457225583</c:v>
                </c:pt>
                <c:pt idx="4">
                  <c:v>-3043.5066972726477</c:v>
                </c:pt>
                <c:pt idx="5">
                  <c:v>-5066.2512664416945</c:v>
                </c:pt>
                <c:pt idx="6">
                  <c:v>-9642.5070820859892</c:v>
                </c:pt>
                <c:pt idx="7">
                  <c:v>-15340.504259141673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87-48E3-8F35-4E4EDF859BB4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BGfix_2!$J$27:$Q$27</c:f>
              <c:numCache>
                <c:formatCode>0</c:formatCode>
                <c:ptCount val="8"/>
                <c:pt idx="0">
                  <c:v>-1.0097419586828951E-31</c:v>
                </c:pt>
                <c:pt idx="1">
                  <c:v>646.88067055026852</c:v>
                </c:pt>
                <c:pt idx="2">
                  <c:v>1394.6438727916679</c:v>
                </c:pt>
                <c:pt idx="3">
                  <c:v>3202.4328258285632</c:v>
                </c:pt>
                <c:pt idx="4">
                  <c:v>3311.6893667292525</c:v>
                </c:pt>
                <c:pt idx="5">
                  <c:v>3202.6114760646224</c:v>
                </c:pt>
                <c:pt idx="6">
                  <c:v>2577.6161905044164</c:v>
                </c:pt>
                <c:pt idx="7">
                  <c:v>1104.2566442899815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87-48E3-8F35-4E4EDF859BB4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BGfix_2!$J$22:$Q$22</c:f>
              <c:numCache>
                <c:formatCode>0</c:formatCode>
                <c:ptCount val="8"/>
                <c:pt idx="0">
                  <c:v>4077.2135938436545</c:v>
                </c:pt>
                <c:pt idx="1">
                  <c:v>4807.9042778718431</c:v>
                </c:pt>
                <c:pt idx="2">
                  <c:v>5237.8665146728044</c:v>
                </c:pt>
                <c:pt idx="3">
                  <c:v>7997.6239996111635</c:v>
                </c:pt>
                <c:pt idx="4">
                  <c:v>9406.309612861507</c:v>
                </c:pt>
                <c:pt idx="5">
                  <c:v>10919.217530557162</c:v>
                </c:pt>
                <c:pt idx="6">
                  <c:v>13436.544812430473</c:v>
                </c:pt>
                <c:pt idx="7">
                  <c:v>9867.1917835472832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87-48E3-8F35-4E4EDF859BB4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BGfix_2!$J$23:$Q$23</c:f>
              <c:numCache>
                <c:formatCode>0</c:formatCode>
                <c:ptCount val="8"/>
                <c:pt idx="0">
                  <c:v>0</c:v>
                </c:pt>
                <c:pt idx="1">
                  <c:v>74.711673586237154</c:v>
                </c:pt>
                <c:pt idx="2">
                  <c:v>1572.2092406120369</c:v>
                </c:pt>
                <c:pt idx="3">
                  <c:v>1356.6309202295076</c:v>
                </c:pt>
                <c:pt idx="4">
                  <c:v>2556.3003547802564</c:v>
                </c:pt>
                <c:pt idx="5">
                  <c:v>3543.2349600774578</c:v>
                </c:pt>
                <c:pt idx="6">
                  <c:v>5950.0656652612079</c:v>
                </c:pt>
                <c:pt idx="7">
                  <c:v>15221.660790363543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87-48E3-8F35-4E4EDF859BB4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BGfix_2!$J$24:$Q$24</c:f>
              <c:numCache>
                <c:formatCode>0</c:formatCode>
                <c:ptCount val="8"/>
                <c:pt idx="0">
                  <c:v>6669.6493851967252</c:v>
                </c:pt>
                <c:pt idx="1">
                  <c:v>5807.3925146268675</c:v>
                </c:pt>
                <c:pt idx="2">
                  <c:v>3871.5950097539485</c:v>
                </c:pt>
                <c:pt idx="3">
                  <c:v>1935.7975048746309</c:v>
                </c:pt>
                <c:pt idx="4">
                  <c:v>967.89875244143354</c:v>
                </c:pt>
                <c:pt idx="5">
                  <c:v>483.94937621534984</c:v>
                </c:pt>
                <c:pt idx="6">
                  <c:v>96.789875248448695</c:v>
                </c:pt>
                <c:pt idx="7">
                  <c:v>3.942045623261947E-11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87-48E3-8F35-4E4EDF859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BGfix_2!$J$50:$Q$50</c:f>
              <c:numCache>
                <c:formatCode>0.000</c:formatCode>
                <c:ptCount val="8"/>
                <c:pt idx="0">
                  <c:v>3.8321074142246463</c:v>
                </c:pt>
                <c:pt idx="1">
                  <c:v>3.8510543893577012</c:v>
                </c:pt>
                <c:pt idx="2">
                  <c:v>3.9204803102926213</c:v>
                </c:pt>
                <c:pt idx="3">
                  <c:v>4.0264535050690675</c:v>
                </c:pt>
                <c:pt idx="4">
                  <c:v>4.1773457230206548</c:v>
                </c:pt>
                <c:pt idx="5">
                  <c:v>4.3756724929727513</c:v>
                </c:pt>
                <c:pt idx="6">
                  <c:v>5.0962420388076826</c:v>
                </c:pt>
                <c:pt idx="7">
                  <c:v>6.4673448919778105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03-4C28-B872-E5B5DD759A9E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BGfix_2!$J$51:$Q$51</c:f>
              <c:numCache>
                <c:formatCode>0.000</c:formatCode>
                <c:ptCount val="8"/>
                <c:pt idx="0">
                  <c:v>3.7730372824156264</c:v>
                </c:pt>
                <c:pt idx="1">
                  <c:v>3.7973767788125112</c:v>
                </c:pt>
                <c:pt idx="2">
                  <c:v>3.8698620018288317</c:v>
                </c:pt>
                <c:pt idx="3">
                  <c:v>3.948463371400853</c:v>
                </c:pt>
                <c:pt idx="4">
                  <c:v>4.0089924370782901</c:v>
                </c:pt>
                <c:pt idx="5">
                  <c:v>4.0954299527215845</c:v>
                </c:pt>
                <c:pt idx="6">
                  <c:v>4.5628613324512903</c:v>
                </c:pt>
                <c:pt idx="7">
                  <c:v>5.618776264757873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03-4C28-B872-E5B5DD759A9E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BGfix_2!$J$52:$Q$52</c:f>
              <c:numCache>
                <c:formatCode>0.000</c:formatCode>
                <c:ptCount val="8"/>
                <c:pt idx="0">
                  <c:v>3.713967150606607</c:v>
                </c:pt>
                <c:pt idx="1">
                  <c:v>3.7436991682673213</c:v>
                </c:pt>
                <c:pt idx="2">
                  <c:v>3.819243693365042</c:v>
                </c:pt>
                <c:pt idx="3">
                  <c:v>3.8704732377326385</c:v>
                </c:pt>
                <c:pt idx="4">
                  <c:v>3.8406391511359259</c:v>
                </c:pt>
                <c:pt idx="5">
                  <c:v>3.8151874124704186</c:v>
                </c:pt>
                <c:pt idx="6">
                  <c:v>4.0294806260948972</c:v>
                </c:pt>
                <c:pt idx="7">
                  <c:v>4.7702076375379354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03-4C28-B872-E5B5DD759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BGfix_2!$J$63:$Q$63</c:f>
              <c:numCache>
                <c:formatCode>#,##0\ "€"</c:formatCode>
                <c:ptCount val="8"/>
                <c:pt idx="0">
                  <c:v>1379675.7</c:v>
                </c:pt>
                <c:pt idx="1">
                  <c:v>1379675.7</c:v>
                </c:pt>
                <c:pt idx="2">
                  <c:v>1379675.7</c:v>
                </c:pt>
                <c:pt idx="3">
                  <c:v>1379675.7</c:v>
                </c:pt>
                <c:pt idx="4">
                  <c:v>1379675.7</c:v>
                </c:pt>
                <c:pt idx="5">
                  <c:v>1379675.7</c:v>
                </c:pt>
                <c:pt idx="6">
                  <c:v>1379675.7</c:v>
                </c:pt>
                <c:pt idx="7">
                  <c:v>1379675.7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1-4389-94D7-5EC27E775CFE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BGfix_2!$J$64:$Q$64</c:f>
              <c:numCache>
                <c:formatCode>#,##0\ "€"</c:formatCode>
                <c:ptCount val="8"/>
                <c:pt idx="0">
                  <c:v>2105340.0956752724</c:v>
                </c:pt>
                <c:pt idx="1">
                  <c:v>2105340.0956752724</c:v>
                </c:pt>
                <c:pt idx="2">
                  <c:v>2105340.0956752724</c:v>
                </c:pt>
                <c:pt idx="3">
                  <c:v>2105340.0956752729</c:v>
                </c:pt>
                <c:pt idx="4">
                  <c:v>2105340.0956752724</c:v>
                </c:pt>
                <c:pt idx="5">
                  <c:v>2105340.0956752724</c:v>
                </c:pt>
                <c:pt idx="6">
                  <c:v>2105340.0956752724</c:v>
                </c:pt>
                <c:pt idx="7">
                  <c:v>2105340.0956752724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51-4389-94D7-5EC27E775CFE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BGfix_2!$J$57:$Q$57</c:f>
              <c:numCache>
                <c:formatCode>#,##0\ "€"</c:formatCode>
                <c:ptCount val="8"/>
                <c:pt idx="0">
                  <c:v>844937.19605714886</c:v>
                </c:pt>
                <c:pt idx="1">
                  <c:v>996361.13388568978</c:v>
                </c:pt>
                <c:pt idx="2">
                  <c:v>1085463.9190136543</c:v>
                </c:pt>
                <c:pt idx="3">
                  <c:v>1657379.4435381622</c:v>
                </c:pt>
                <c:pt idx="4">
                  <c:v>1949306.9682533264</c:v>
                </c:pt>
                <c:pt idx="5">
                  <c:v>2262832.8958134078</c:v>
                </c:pt>
                <c:pt idx="6">
                  <c:v>2784508.644740534</c:v>
                </c:pt>
                <c:pt idx="7">
                  <c:v>2044817.4143089249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51-4389-94D7-5EC27E775CFE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BGfix_2!$J$58:$Q$58</c:f>
              <c:numCache>
                <c:formatCode>#,##0\ "€"</c:formatCode>
                <c:ptCount val="8"/>
                <c:pt idx="0">
                  <c:v>0</c:v>
                </c:pt>
                <c:pt idx="1">
                  <c:v>57144.19014638495</c:v>
                </c:pt>
                <c:pt idx="2">
                  <c:v>1202524.5785952841</c:v>
                </c:pt>
                <c:pt idx="3">
                  <c:v>1037636.7111436349</c:v>
                </c:pt>
                <c:pt idx="4">
                  <c:v>1955219.399231127</c:v>
                </c:pt>
                <c:pt idx="5">
                  <c:v>2710089.1008454706</c:v>
                </c:pt>
                <c:pt idx="6">
                  <c:v>4550984.7047757609</c:v>
                </c:pt>
                <c:pt idx="7">
                  <c:v>11642484.190162025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51-4389-94D7-5EC27E775CFE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BGfix_2!$J$59:$Q$59</c:f>
              <c:numCache>
                <c:formatCode>#,##0\ "€"</c:formatCode>
                <c:ptCount val="8"/>
                <c:pt idx="0">
                  <c:v>0</c:v>
                </c:pt>
                <c:pt idx="1">
                  <c:v>366082.1562269656</c:v>
                </c:pt>
                <c:pt idx="2">
                  <c:v>795884.0774027661</c:v>
                </c:pt>
                <c:pt idx="3">
                  <c:v>1838918.3432632629</c:v>
                </c:pt>
                <c:pt idx="4">
                  <c:v>2078565.4377967222</c:v>
                </c:pt>
                <c:pt idx="5">
                  <c:v>2348573.454704552</c:v>
                </c:pt>
                <c:pt idx="6">
                  <c:v>3787028.4576284797</c:v>
                </c:pt>
                <c:pt idx="7">
                  <c:v>4232848.6413171804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51-4389-94D7-5EC27E775CFE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BGfix_2!$J$60:$Q$60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51-4389-94D7-5EC27E775CFE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BGfix_2!$J$61:$Q$61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51-4389-94D7-5EC27E775CFE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BGfix_2!$J$62:$Q$62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51-4389-94D7-5EC27E77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BGfix_2!$J$31:$Q$31</c:f>
              <c:numCache>
                <c:formatCode>0.000</c:formatCode>
                <c:ptCount val="8"/>
                <c:pt idx="0">
                  <c:v>0.15579392185842764</c:v>
                </c:pt>
                <c:pt idx="1">
                  <c:v>0.18371425634913394</c:v>
                </c:pt>
                <c:pt idx="2">
                  <c:v>0.20014349204661822</c:v>
                </c:pt>
                <c:pt idx="3">
                  <c:v>0.30559625581791089</c:v>
                </c:pt>
                <c:pt idx="4">
                  <c:v>0.35942337360374244</c:v>
                </c:pt>
                <c:pt idx="5">
                  <c:v>0.41723291742169816</c:v>
                </c:pt>
                <c:pt idx="6">
                  <c:v>0.51342220964726182</c:v>
                </c:pt>
                <c:pt idx="7">
                  <c:v>0.37703408720338738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24-4FC2-AF8C-059321A20F93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BGfix_2!$J$32:$Q$32</c:f>
              <c:numCache>
                <c:formatCode>0.000</c:formatCode>
                <c:ptCount val="8"/>
                <c:pt idx="0">
                  <c:v>0</c:v>
                </c:pt>
                <c:pt idx="1">
                  <c:v>1.0536543468405758E-2</c:v>
                </c:pt>
                <c:pt idx="2">
                  <c:v>0.22172774628073166</c:v>
                </c:pt>
                <c:pt idx="3">
                  <c:v>0.19132486230658657</c:v>
                </c:pt>
                <c:pt idx="4">
                  <c:v>0.36051353842788225</c:v>
                </c:pt>
                <c:pt idx="5">
                  <c:v>0.49970034645976025</c:v>
                </c:pt>
                <c:pt idx="6">
                  <c:v>0.83913426794715129</c:v>
                </c:pt>
                <c:pt idx="7">
                  <c:v>2.1467018858019364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24-4FC2-AF8C-059321A20F93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BGfix_2!$J$33:$Q$33</c:f>
              <c:numCache>
                <c:formatCode>0.000</c:formatCode>
                <c:ptCount val="8"/>
                <c:pt idx="0">
                  <c:v>0</c:v>
                </c:pt>
                <c:pt idx="1">
                  <c:v>6.7500135048062224E-2</c:v>
                </c:pt>
                <c:pt idx="2">
                  <c:v>0.14674925230166663</c:v>
                </c:pt>
                <c:pt idx="3">
                  <c:v>0.33906934386518434</c:v>
                </c:pt>
                <c:pt idx="4">
                  <c:v>0.38325672358236229</c:v>
                </c:pt>
                <c:pt idx="5">
                  <c:v>0.43304220833032248</c:v>
                </c:pt>
                <c:pt idx="6">
                  <c:v>0.69827203531409876</c:v>
                </c:pt>
                <c:pt idx="7">
                  <c:v>0.78047468325600511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24-4FC2-AF8C-059321A20F93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BGfix_2!$J$34:$Q$34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24-4FC2-AF8C-059321A20F93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BGfix_2!$J$36:$Q$36</c:f>
              <c:numCache>
                <c:formatCode>0.000</c:formatCode>
                <c:ptCount val="8"/>
                <c:pt idx="0">
                  <c:v>0.64258536738640193</c:v>
                </c:pt>
                <c:pt idx="1">
                  <c:v>0.64258536738640193</c:v>
                </c:pt>
                <c:pt idx="2">
                  <c:v>0.64258536738640193</c:v>
                </c:pt>
                <c:pt idx="3">
                  <c:v>0.64258536738640248</c:v>
                </c:pt>
                <c:pt idx="4">
                  <c:v>0.64258536738640193</c:v>
                </c:pt>
                <c:pt idx="5">
                  <c:v>0.64258536738640193</c:v>
                </c:pt>
                <c:pt idx="6">
                  <c:v>0.64258536738640193</c:v>
                </c:pt>
                <c:pt idx="7">
                  <c:v>0.64258536738640193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24-4FC2-AF8C-059321A20F93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BGfix_2!$J$37:$Q$37</c:f>
              <c:numCache>
                <c:formatCode>0.000</c:formatCode>
                <c:ptCount val="8"/>
                <c:pt idx="0">
                  <c:v>3.0547827815377966E-2</c:v>
                </c:pt>
                <c:pt idx="1">
                  <c:v>3.6022403205712539E-2</c:v>
                </c:pt>
                <c:pt idx="2">
                  <c:v>3.9243821969925138E-2</c:v>
                </c:pt>
                <c:pt idx="3">
                  <c:v>5.9920834474100182E-2</c:v>
                </c:pt>
                <c:pt idx="4">
                  <c:v>7.0475171294851452E-2</c:v>
                </c:pt>
                <c:pt idx="5">
                  <c:v>8.1810375965038859E-2</c:v>
                </c:pt>
                <c:pt idx="6">
                  <c:v>0.1006710214994631</c:v>
                </c:pt>
                <c:pt idx="7">
                  <c:v>7.3928252392821053E-2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24-4FC2-AF8C-059321A20F93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BGfix_2!$J$38:$Q$38</c:f>
              <c:numCache>
                <c:formatCode>0.000</c:formatCode>
                <c:ptCount val="8"/>
                <c:pt idx="0">
                  <c:v>0</c:v>
                </c:pt>
                <c:pt idx="1">
                  <c:v>2.107308693681152E-3</c:v>
                </c:pt>
                <c:pt idx="2">
                  <c:v>4.4345549256146324E-2</c:v>
                </c:pt>
                <c:pt idx="3">
                  <c:v>3.8264972461317312E-2</c:v>
                </c:pt>
                <c:pt idx="4">
                  <c:v>7.2102707685576445E-2</c:v>
                </c:pt>
                <c:pt idx="5">
                  <c:v>9.9940069291952038E-2</c:v>
                </c:pt>
                <c:pt idx="6">
                  <c:v>0.16782685358943022</c:v>
                </c:pt>
                <c:pt idx="7">
                  <c:v>0.4293403771603872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24-4FC2-AF8C-059321A20F93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BGfix_2!$J$39:$Q$39</c:f>
              <c:numCache>
                <c:formatCode>0.000</c:formatCode>
                <c:ptCount val="8"/>
                <c:pt idx="0">
                  <c:v>0</c:v>
                </c:pt>
                <c:pt idx="1">
                  <c:v>1.3608898195173835E-2</c:v>
                </c:pt>
                <c:pt idx="2">
                  <c:v>2.958654280275537E-2</c:v>
                </c:pt>
                <c:pt idx="3">
                  <c:v>6.8360754811529104E-2</c:v>
                </c:pt>
                <c:pt idx="4">
                  <c:v>7.7269500722250459E-2</c:v>
                </c:pt>
                <c:pt idx="5">
                  <c:v>8.7306896840790821E-2</c:v>
                </c:pt>
                <c:pt idx="6">
                  <c:v>0.14078065228106831</c:v>
                </c:pt>
                <c:pt idx="7">
                  <c:v>0.15735376678548491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24-4FC2-AF8C-059321A20F93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BGfix_2!$J$40:$Q$40</c:f>
              <c:numCache>
                <c:formatCode>0.000</c:formatCode>
                <c:ptCount val="8"/>
                <c:pt idx="0">
                  <c:v>0.25703414695456078</c:v>
                </c:pt>
                <c:pt idx="1">
                  <c:v>0.25703414695456078</c:v>
                </c:pt>
                <c:pt idx="2">
                  <c:v>0.25703414695456078</c:v>
                </c:pt>
                <c:pt idx="3">
                  <c:v>0.25703414695456095</c:v>
                </c:pt>
                <c:pt idx="4">
                  <c:v>0.25703414695456078</c:v>
                </c:pt>
                <c:pt idx="5">
                  <c:v>0.25703414695456078</c:v>
                </c:pt>
                <c:pt idx="6">
                  <c:v>0.25703414695456078</c:v>
                </c:pt>
                <c:pt idx="7">
                  <c:v>0.25703414695456078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24-4FC2-AF8C-059321A20F93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BGfix_2!$J$42:$Q$42</c:f>
              <c:numCache>
                <c:formatCode>0.000</c:formatCode>
                <c:ptCount val="8"/>
                <c:pt idx="0">
                  <c:v>0</c:v>
                </c:pt>
                <c:pt idx="1">
                  <c:v>5.0706867009005674E-2</c:v>
                </c:pt>
                <c:pt idx="2">
                  <c:v>0.1093215868120085</c:v>
                </c:pt>
                <c:pt idx="3">
                  <c:v>0.25102826965973485</c:v>
                </c:pt>
                <c:pt idx="4">
                  <c:v>0.25959253373737801</c:v>
                </c:pt>
                <c:pt idx="5">
                  <c:v>0.25104227346936042</c:v>
                </c:pt>
                <c:pt idx="6">
                  <c:v>0.2020509304459272</c:v>
                </c:pt>
                <c:pt idx="7">
                  <c:v>8.6559078598208911E-2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24-4FC2-AF8C-059321A20F93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BGfix_2!$J$44:$Q$44</c:f>
              <c:numCache>
                <c:formatCode>0.000</c:formatCode>
                <c:ptCount val="8"/>
                <c:pt idx="0">
                  <c:v>8.4786431781360944E-2</c:v>
                </c:pt>
                <c:pt idx="1">
                  <c:v>8.4786431781360944E-2</c:v>
                </c:pt>
                <c:pt idx="2">
                  <c:v>8.4786431781360944E-2</c:v>
                </c:pt>
                <c:pt idx="3">
                  <c:v>8.4786431781360971E-2</c:v>
                </c:pt>
                <c:pt idx="4">
                  <c:v>8.4786431781360944E-2</c:v>
                </c:pt>
                <c:pt idx="5">
                  <c:v>8.4786431781360944E-2</c:v>
                </c:pt>
                <c:pt idx="6">
                  <c:v>8.4786431781360944E-2</c:v>
                </c:pt>
                <c:pt idx="7">
                  <c:v>8.4786431781360944E-2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24-4FC2-AF8C-059321A20F93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BGfix_2!$J$45:$Q$45</c:f>
              <c:numCache>
                <c:formatCode>0.000</c:formatCode>
                <c:ptCount val="8"/>
                <c:pt idx="0">
                  <c:v>1.9027730795181843</c:v>
                </c:pt>
                <c:pt idx="1">
                  <c:v>1.9027730795181843</c:v>
                </c:pt>
                <c:pt idx="2">
                  <c:v>1.9027730795181843</c:v>
                </c:pt>
                <c:pt idx="3">
                  <c:v>1.9027730795181852</c:v>
                </c:pt>
                <c:pt idx="4">
                  <c:v>1.9027730795181843</c:v>
                </c:pt>
                <c:pt idx="5">
                  <c:v>1.9027730795181843</c:v>
                </c:pt>
                <c:pt idx="6">
                  <c:v>1.9027730795181843</c:v>
                </c:pt>
                <c:pt idx="7">
                  <c:v>1.9027730795181843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E24-4FC2-AF8C-059321A20F93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BGfix_2!$J$46:$Q$46</c:f>
              <c:numCache>
                <c:formatCode>0.000</c:formatCode>
                <c:ptCount val="8"/>
                <c:pt idx="0">
                  <c:v>1.2298129037712684</c:v>
                </c:pt>
                <c:pt idx="1">
                  <c:v>1.0709052166089532</c:v>
                </c:pt>
                <c:pt idx="2">
                  <c:v>0.7134095580431965</c:v>
                </c:pt>
                <c:pt idx="3">
                  <c:v>0.35693545089312989</c:v>
                </c:pt>
                <c:pt idx="4">
                  <c:v>0.1787594131870385</c:v>
                </c:pt>
                <c:pt idx="5">
                  <c:v>8.9644644414255903E-2</c:v>
                </c:pt>
                <c:pt idx="6">
                  <c:v>1.8131307303708943E-2</c:v>
                </c:pt>
                <c:pt idx="7">
                  <c:v>7.631395646151808E-15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E24-4FC2-AF8C-059321A20F93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BGfix_2!$J$48:$Q$48</c:f>
              <c:numCache>
                <c:formatCode>0.000</c:formatCode>
                <c:ptCount val="8"/>
                <c:pt idx="0">
                  <c:v>-5.9070131809019724E-2</c:v>
                </c:pt>
                <c:pt idx="1">
                  <c:v>-5.3677610545189963E-2</c:v>
                </c:pt>
                <c:pt idx="2">
                  <c:v>-5.061830846378966E-2</c:v>
                </c:pt>
                <c:pt idx="3">
                  <c:v>-7.7990133668214515E-2</c:v>
                </c:pt>
                <c:pt idx="4">
                  <c:v>-0.1683532859423644</c:v>
                </c:pt>
                <c:pt idx="5">
                  <c:v>-0.28024254025116635</c:v>
                </c:pt>
                <c:pt idx="6">
                  <c:v>-0.53338070635639256</c:v>
                </c:pt>
                <c:pt idx="7">
                  <c:v>-0.84856862721993764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9E24-4FC2-AF8C-059321A20F93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cat>
          <c:val>
            <c:numRef>
              <c:f>BGfix_2!$J$47:$Q$47</c:f>
              <c:numCache>
                <c:formatCode>0.000</c:formatCode>
                <c:ptCount val="8"/>
                <c:pt idx="0">
                  <c:v>-0.47122626486093483</c:v>
                </c:pt>
                <c:pt idx="1">
                  <c:v>-0.47122626486093483</c:v>
                </c:pt>
                <c:pt idx="2">
                  <c:v>-0.47122626486093483</c:v>
                </c:pt>
                <c:pt idx="3">
                  <c:v>-0.47122626486093505</c:v>
                </c:pt>
                <c:pt idx="4">
                  <c:v>-0.47122626486093483</c:v>
                </c:pt>
                <c:pt idx="5">
                  <c:v>-0.47122626486093483</c:v>
                </c:pt>
                <c:pt idx="6">
                  <c:v>-0.47122626486093483</c:v>
                </c:pt>
                <c:pt idx="7">
                  <c:v>-0.47122626486093483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E24-4FC2-AF8C-059321A20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BGfix_2!$J$50:$Q$50</c:f>
              <c:numCache>
                <c:formatCode>0.000</c:formatCode>
                <c:ptCount val="8"/>
                <c:pt idx="0">
                  <c:v>3.8321074142246463</c:v>
                </c:pt>
                <c:pt idx="1">
                  <c:v>3.8510543893577012</c:v>
                </c:pt>
                <c:pt idx="2">
                  <c:v>3.9204803102926213</c:v>
                </c:pt>
                <c:pt idx="3">
                  <c:v>4.0264535050690675</c:v>
                </c:pt>
                <c:pt idx="4">
                  <c:v>4.1773457230206548</c:v>
                </c:pt>
                <c:pt idx="5">
                  <c:v>4.3756724929727513</c:v>
                </c:pt>
                <c:pt idx="6">
                  <c:v>5.0962420388076826</c:v>
                </c:pt>
                <c:pt idx="7">
                  <c:v>6.4673448919778105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24-4FC2-AF8C-059321A20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BGfix_2!$J$105:$Q$105</c:f>
              <c:numCache>
                <c:formatCode>0.00</c:formatCode>
                <c:ptCount val="8"/>
                <c:pt idx="0">
                  <c:v>4.9191387951173819</c:v>
                </c:pt>
                <c:pt idx="1">
                  <c:v>4.283189140433759</c:v>
                </c:pt>
                <c:pt idx="2">
                  <c:v>2.8554594269578333</c:v>
                </c:pt>
                <c:pt idx="3">
                  <c:v>1.4277297134770019</c:v>
                </c:pt>
                <c:pt idx="4">
                  <c:v>0.71386485674159228</c:v>
                </c:pt>
                <c:pt idx="5">
                  <c:v>0.35693242836683858</c:v>
                </c:pt>
                <c:pt idx="6">
                  <c:v>7.1386485677334757E-2</c:v>
                </c:pt>
                <c:pt idx="7">
                  <c:v>2.9074196314650019E-14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A-4FA6-B951-55D89DC34EFE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BGfix_2!$J$107:$Q$107</c:f>
              <c:numCache>
                <c:formatCode>0.00</c:formatCode>
                <c:ptCount val="8"/>
                <c:pt idx="0">
                  <c:v>0</c:v>
                </c:pt>
                <c:pt idx="1">
                  <c:v>1.6015546071979176E-3</c:v>
                </c:pt>
                <c:pt idx="2">
                  <c:v>3.3702617434676306E-2</c:v>
                </c:pt>
                <c:pt idx="3">
                  <c:v>2.9081379070601751E-2</c:v>
                </c:pt>
                <c:pt idx="4">
                  <c:v>5.4798057841043371E-2</c:v>
                </c:pt>
                <c:pt idx="5">
                  <c:v>7.5954452661891048E-2</c:v>
                </c:pt>
                <c:pt idx="6">
                  <c:v>0.12754840872797954</c:v>
                </c:pt>
                <c:pt idx="7">
                  <c:v>0.32629868664192541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4A-4FA6-B951-55D89DC34EFE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4A-4FA6-B951-55D89DC34EFE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BGfix_2!$J$106:$Q$106</c:f>
              <c:numCache>
                <c:formatCode>0.00</c:formatCode>
                <c:ptCount val="8"/>
                <c:pt idx="0">
                  <c:v>0.10691739735383905</c:v>
                </c:pt>
                <c:pt idx="1">
                  <c:v>0.12607841122001295</c:v>
                </c:pt>
                <c:pt idx="2">
                  <c:v>0.13735337689475871</c:v>
                </c:pt>
                <c:pt idx="3">
                  <c:v>0.20972292065935486</c:v>
                </c:pt>
                <c:pt idx="4">
                  <c:v>0.24666309953200391</c:v>
                </c:pt>
                <c:pt idx="5">
                  <c:v>0.28633631587766428</c:v>
                </c:pt>
                <c:pt idx="6">
                  <c:v>0.3523485752481556</c:v>
                </c:pt>
                <c:pt idx="7">
                  <c:v>0.25874888337489832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4A-4FA6-B951-55D89DC34EFE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BGfix_2!$J$72:$Q$72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BGfix_2!$J$110:$Q$110</c:f>
              <c:numCache>
                <c:formatCode>0.00</c:formatCode>
                <c:ptCount val="8"/>
                <c:pt idx="0">
                  <c:v>-4.3984691047479858</c:v>
                </c:pt>
                <c:pt idx="1">
                  <c:v>-4.989432352170823</c:v>
                </c:pt>
                <c:pt idx="2">
                  <c:v>-6.3453458297430263</c:v>
                </c:pt>
                <c:pt idx="3">
                  <c:v>-7.6363091404489136</c:v>
                </c:pt>
                <c:pt idx="4">
                  <c:v>-8.2716595718198125</c:v>
                </c:pt>
                <c:pt idx="5">
                  <c:v>-8.5498958239369802</c:v>
                </c:pt>
                <c:pt idx="6">
                  <c:v>-8.6226522665062006</c:v>
                </c:pt>
                <c:pt idx="7">
                  <c:v>-8.5593880223255674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4A-4FA6-B951-55D89DC34EFE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BGfix_2!$L$97:$Q$97</c:f>
              <c:numCache>
                <c:formatCode>0%</c:formatCode>
                <c:ptCount val="6"/>
                <c:pt idx="0">
                  <c:v>0.59999999999983189</c:v>
                </c:pt>
                <c:pt idx="1">
                  <c:v>0.80000000000017357</c:v>
                </c:pt>
                <c:pt idx="2">
                  <c:v>0.89999999999980262</c:v>
                </c:pt>
                <c:pt idx="3">
                  <c:v>0.95000000000054419</c:v>
                </c:pt>
                <c:pt idx="4">
                  <c:v>0.98999999999959887</c:v>
                </c:pt>
                <c:pt idx="5">
                  <c:v>1.0000000000001812</c:v>
                </c:pt>
              </c:numCache>
            </c:numRef>
          </c:xVal>
          <c:yVal>
            <c:numRef>
              <c:f>BGfix_2!$L$108:$Q$108</c:f>
              <c:numCache>
                <c:formatCode>0.00</c:formatCode>
                <c:ptCount val="6"/>
                <c:pt idx="0">
                  <c:v>5.2664046188912524E-2</c:v>
                </c:pt>
                <c:pt idx="1">
                  <c:v>0.12168214356452424</c:v>
                </c:pt>
                <c:pt idx="2">
                  <c:v>0.13753971128561907</c:v>
                </c:pt>
                <c:pt idx="3">
                  <c:v>0.15540627637662296</c:v>
                </c:pt>
                <c:pt idx="4">
                  <c:v>0.2505895610603262</c:v>
                </c:pt>
                <c:pt idx="5">
                  <c:v>0.28008970487818985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E-4FF0-B005-1EF711C0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46202173486239589"/>
          <c:h val="0.149675077204896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BGfix_2!$J$105:$Q$105</c:f>
              <c:numCache>
                <c:formatCode>0.00</c:formatCode>
                <c:ptCount val="8"/>
                <c:pt idx="0">
                  <c:v>4.9191387951173819</c:v>
                </c:pt>
                <c:pt idx="1">
                  <c:v>4.283189140433759</c:v>
                </c:pt>
                <c:pt idx="2">
                  <c:v>2.8554594269578333</c:v>
                </c:pt>
                <c:pt idx="3">
                  <c:v>1.4277297134770019</c:v>
                </c:pt>
                <c:pt idx="4">
                  <c:v>0.71386485674159228</c:v>
                </c:pt>
                <c:pt idx="5">
                  <c:v>0.35693242836683858</c:v>
                </c:pt>
                <c:pt idx="6">
                  <c:v>7.1386485677334757E-2</c:v>
                </c:pt>
                <c:pt idx="7">
                  <c:v>2.9074196314650019E-14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1-4D76-9EE9-FAD9D8687569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BGfix_2!$J$107:$Q$107</c:f>
              <c:numCache>
                <c:formatCode>0.00</c:formatCode>
                <c:ptCount val="8"/>
                <c:pt idx="0">
                  <c:v>0</c:v>
                </c:pt>
                <c:pt idx="1">
                  <c:v>1.6015546071979176E-3</c:v>
                </c:pt>
                <c:pt idx="2">
                  <c:v>3.3702617434676306E-2</c:v>
                </c:pt>
                <c:pt idx="3">
                  <c:v>2.9081379070601751E-2</c:v>
                </c:pt>
                <c:pt idx="4">
                  <c:v>5.4798057841043371E-2</c:v>
                </c:pt>
                <c:pt idx="5">
                  <c:v>7.5954452661891048E-2</c:v>
                </c:pt>
                <c:pt idx="6">
                  <c:v>0.12754840872797954</c:v>
                </c:pt>
                <c:pt idx="7">
                  <c:v>0.32629868664192541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1-4D76-9EE9-FAD9D8687569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1-4D76-9EE9-FAD9D8687569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BGfix_2!$J$106:$Q$106</c:f>
              <c:numCache>
                <c:formatCode>0.00</c:formatCode>
                <c:ptCount val="8"/>
                <c:pt idx="0">
                  <c:v>0.10691739735383905</c:v>
                </c:pt>
                <c:pt idx="1">
                  <c:v>0.12607841122001295</c:v>
                </c:pt>
                <c:pt idx="2">
                  <c:v>0.13735337689475871</c:v>
                </c:pt>
                <c:pt idx="3">
                  <c:v>0.20972292065935486</c:v>
                </c:pt>
                <c:pt idx="4">
                  <c:v>0.24666309953200391</c:v>
                </c:pt>
                <c:pt idx="5">
                  <c:v>0.28633631587766428</c:v>
                </c:pt>
                <c:pt idx="6">
                  <c:v>0.3523485752481556</c:v>
                </c:pt>
                <c:pt idx="7">
                  <c:v>0.25874888337489832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1-4D76-9EE9-FAD9D8687569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BGfix_2!$J$72:$Q$72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BGfix_2!$J$110:$Q$110</c:f>
              <c:numCache>
                <c:formatCode>0.00</c:formatCode>
                <c:ptCount val="8"/>
                <c:pt idx="0">
                  <c:v>-4.3984691047479858</c:v>
                </c:pt>
                <c:pt idx="1">
                  <c:v>-4.989432352170823</c:v>
                </c:pt>
                <c:pt idx="2">
                  <c:v>-6.3453458297430263</c:v>
                </c:pt>
                <c:pt idx="3">
                  <c:v>-7.6363091404489136</c:v>
                </c:pt>
                <c:pt idx="4">
                  <c:v>-8.2716595718198125</c:v>
                </c:pt>
                <c:pt idx="5">
                  <c:v>-8.5498958239369802</c:v>
                </c:pt>
                <c:pt idx="6">
                  <c:v>-8.6226522665062006</c:v>
                </c:pt>
                <c:pt idx="7">
                  <c:v>-8.5593880223255674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41-4D76-9EE9-FAD9D8687569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BGfix_2!$L$97:$Q$97</c:f>
              <c:numCache>
                <c:formatCode>0%</c:formatCode>
                <c:ptCount val="6"/>
                <c:pt idx="0">
                  <c:v>0.59999999999983189</c:v>
                </c:pt>
                <c:pt idx="1">
                  <c:v>0.80000000000017357</c:v>
                </c:pt>
                <c:pt idx="2">
                  <c:v>0.89999999999980262</c:v>
                </c:pt>
                <c:pt idx="3">
                  <c:v>0.95000000000054419</c:v>
                </c:pt>
                <c:pt idx="4">
                  <c:v>0.98999999999959887</c:v>
                </c:pt>
                <c:pt idx="5">
                  <c:v>1.0000000000001812</c:v>
                </c:pt>
              </c:numCache>
            </c:numRef>
          </c:xVal>
          <c:yVal>
            <c:numRef>
              <c:f>BGfix_2!$L$108:$Q$108</c:f>
              <c:numCache>
                <c:formatCode>0.00</c:formatCode>
                <c:ptCount val="6"/>
                <c:pt idx="0">
                  <c:v>5.2664046188912524E-2</c:v>
                </c:pt>
                <c:pt idx="1">
                  <c:v>0.12168214356452424</c:v>
                </c:pt>
                <c:pt idx="2">
                  <c:v>0.13753971128561907</c:v>
                </c:pt>
                <c:pt idx="3">
                  <c:v>0.15540627637662296</c:v>
                </c:pt>
                <c:pt idx="4">
                  <c:v>0.2505895610603262</c:v>
                </c:pt>
                <c:pt idx="5">
                  <c:v>0.28008970487818985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41-4D76-9EE9-FAD9D8687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21465309698605339"/>
          <c:h val="0.339408499448238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BGfix_2!$J$6:$Q$6</c:f>
              <c:numCache>
                <c:formatCode>0.00</c:formatCode>
                <c:ptCount val="8"/>
                <c:pt idx="0">
                  <c:v>2.7612326668534277</c:v>
                </c:pt>
                <c:pt idx="1">
                  <c:v>3.2560821368813393</c:v>
                </c:pt>
                <c:pt idx="2">
                  <c:v>3.5472677091949487</c:v>
                </c:pt>
                <c:pt idx="3">
                  <c:v>5.4162726913011836</c:v>
                </c:pt>
                <c:pt idx="4">
                  <c:v>6.3702842099781911</c:v>
                </c:pt>
                <c:pt idx="5">
                  <c:v>7.3948787444882615</c:v>
                </c:pt>
                <c:pt idx="6">
                  <c:v>9.0997014534004386</c:v>
                </c:pt>
                <c:pt idx="7">
                  <c:v>6.6824098506827614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4-4582-B920-51F97C9099F5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BGfix_2!$J$7:$Q$7</c:f>
              <c:numCache>
                <c:formatCode>0.00</c:formatCode>
                <c:ptCount val="8"/>
                <c:pt idx="0">
                  <c:v>0</c:v>
                </c:pt>
                <c:pt idx="1">
                  <c:v>5.7144190146384957E-2</c:v>
                </c:pt>
                <c:pt idx="2">
                  <c:v>1.2025245785952841</c:v>
                </c:pt>
                <c:pt idx="3">
                  <c:v>1.0376367111436349</c:v>
                </c:pt>
                <c:pt idx="4">
                  <c:v>1.9552193992311271</c:v>
                </c:pt>
                <c:pt idx="5">
                  <c:v>2.7100891008454706</c:v>
                </c:pt>
                <c:pt idx="6">
                  <c:v>4.5509847047757601</c:v>
                </c:pt>
                <c:pt idx="7">
                  <c:v>11.642484190162026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54-4582-B920-51F97C909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BGfix_2!$J$8:$Q$8</c:f>
              <c:numCache>
                <c:formatCode>0.00</c:formatCode>
                <c:ptCount val="8"/>
                <c:pt idx="0">
                  <c:v>0</c:v>
                </c:pt>
                <c:pt idx="1">
                  <c:v>2.9522754534432711</c:v>
                </c:pt>
                <c:pt idx="2">
                  <c:v>6.4184199790545655</c:v>
                </c:pt>
                <c:pt idx="3">
                  <c:v>14.829986639219863</c:v>
                </c:pt>
                <c:pt idx="4">
                  <c:v>16.762624498360662</c:v>
                </c:pt>
                <c:pt idx="5">
                  <c:v>18.94010850568187</c:v>
                </c:pt>
                <c:pt idx="6">
                  <c:v>30.540552077649032</c:v>
                </c:pt>
                <c:pt idx="7">
                  <c:v>34.135876139654684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54-4582-B920-51F97C909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BGfix_2!$J$56:$Q$56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BGfix_2!$J$78:$Q$78</c:f>
              <c:numCache>
                <c:formatCode>0</c:formatCode>
                <c:ptCount val="8"/>
                <c:pt idx="0">
                  <c:v>33.582505831104328</c:v>
                </c:pt>
                <c:pt idx="1">
                  <c:v>51.017557249269181</c:v>
                </c:pt>
                <c:pt idx="2">
                  <c:v>73.881210054627559</c:v>
                </c:pt>
                <c:pt idx="3">
                  <c:v>87.801303115185362</c:v>
                </c:pt>
                <c:pt idx="4">
                  <c:v>98.533032103855902</c:v>
                </c:pt>
                <c:pt idx="5">
                  <c:v>110.30099458267166</c:v>
                </c:pt>
                <c:pt idx="6">
                  <c:v>150.67549158044932</c:v>
                </c:pt>
                <c:pt idx="7">
                  <c:v>227.01171477781281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E-4014-AE1D-C24372A64F93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BGfix_2!$J$112:$Q$112</c:f>
              <c:numCache>
                <c:formatCode>0.00</c:formatCode>
                <c:ptCount val="8"/>
                <c:pt idx="0">
                  <c:v>24.786809246250023</c:v>
                </c:pt>
                <c:pt idx="1">
                  <c:v>24.786809246250055</c:v>
                </c:pt>
                <c:pt idx="2">
                  <c:v>24.786809246250073</c:v>
                </c:pt>
                <c:pt idx="3">
                  <c:v>24.786809246253306</c:v>
                </c:pt>
                <c:pt idx="4">
                  <c:v>24.78680924625143</c:v>
                </c:pt>
                <c:pt idx="5">
                  <c:v>24.786809246251316</c:v>
                </c:pt>
                <c:pt idx="6">
                  <c:v>24.786809246251426</c:v>
                </c:pt>
                <c:pt idx="7">
                  <c:v>24.786809246251416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0E-4014-AE1D-C24372A64F93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BGfix_2!$J$113:$Q$113</c:f>
              <c:numCache>
                <c:formatCode>0.00</c:formatCode>
                <c:ptCount val="8"/>
                <c:pt idx="0">
                  <c:v>91.783552534799085</c:v>
                </c:pt>
                <c:pt idx="1">
                  <c:v>91.783552534799085</c:v>
                </c:pt>
                <c:pt idx="2">
                  <c:v>91.783552534799625</c:v>
                </c:pt>
                <c:pt idx="3">
                  <c:v>91.783552534810752</c:v>
                </c:pt>
                <c:pt idx="4">
                  <c:v>91.783552534804357</c:v>
                </c:pt>
                <c:pt idx="5">
                  <c:v>91.783552534804286</c:v>
                </c:pt>
                <c:pt idx="6">
                  <c:v>91.783552534804329</c:v>
                </c:pt>
                <c:pt idx="7">
                  <c:v>91.783552534804755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0E-4014-AE1D-C24372A6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B0E-4014-AE1D-C24372A64F93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0E-4014-AE1D-C24372A64F93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0E-4014-AE1D-C24372A64F93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0E-4014-AE1D-C24372A64F93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0E-4014-AE1D-C24372A64F93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0.40000000000003094</c:v>
                </c:pt>
                <c:pt idx="2">
                  <c:v>0.59999999999983189</c:v>
                </c:pt>
                <c:pt idx="3">
                  <c:v>0.80000000000017357</c:v>
                </c:pt>
                <c:pt idx="4">
                  <c:v>0.89999999999980262</c:v>
                </c:pt>
                <c:pt idx="5">
                  <c:v>0.95000000000054419</c:v>
                </c:pt>
                <c:pt idx="6">
                  <c:v>0.98999999999959887</c:v>
                </c:pt>
                <c:pt idx="7">
                  <c:v>1.0000000000001812</c:v>
                </c:pt>
              </c:numCache>
            </c:numRef>
          </c:xVal>
          <c:yVal>
            <c:numRef>
              <c:f>BGfix_2!$J$77:$Q$77</c:f>
              <c:numCache>
                <c:formatCode>0.0%</c:formatCode>
                <c:ptCount val="8"/>
                <c:pt idx="0">
                  <c:v>0.26191305166703582</c:v>
                </c:pt>
                <c:pt idx="1">
                  <c:v>0.19874365557275908</c:v>
                </c:pt>
                <c:pt idx="2">
                  <c:v>0.13437186635863513</c:v>
                </c:pt>
                <c:pt idx="3">
                  <c:v>0.15072424878352289</c:v>
                </c:pt>
                <c:pt idx="4">
                  <c:v>0.25441828376125064</c:v>
                </c:pt>
                <c:pt idx="5">
                  <c:v>0.35030374479863785</c:v>
                </c:pt>
                <c:pt idx="6">
                  <c:v>0.49737972984920159</c:v>
                </c:pt>
                <c:pt idx="7">
                  <c:v>0.61144702468752277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B0E-4014-AE1D-C24372A6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BGSY_2!$J$26:$Q$26</c:f>
              <c:numCache>
                <c:formatCode>0</c:formatCode>
                <c:ptCount val="8"/>
                <c:pt idx="0">
                  <c:v>0</c:v>
                </c:pt>
                <c:pt idx="1">
                  <c:v>-155.8174549626107</c:v>
                </c:pt>
                <c:pt idx="2">
                  <c:v>-1220.3906683393368</c:v>
                </c:pt>
                <c:pt idx="3">
                  <c:v>-2619.4497752398402</c:v>
                </c:pt>
                <c:pt idx="4">
                  <c:v>-2692.9485006200662</c:v>
                </c:pt>
                <c:pt idx="5">
                  <c:v>-2606.2204891962288</c:v>
                </c:pt>
                <c:pt idx="6">
                  <c:v>-2311.33105611979</c:v>
                </c:pt>
                <c:pt idx="7">
                  <c:v>-1071.6714918174266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7-47E4-BDA6-6E0727BA3B48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BGSY_2!$J$25:$Q$25</c:f>
              <c:numCache>
                <c:formatCode>0</c:formatCode>
                <c:ptCount val="8"/>
                <c:pt idx="0">
                  <c:v>-1067.8754546619139</c:v>
                </c:pt>
                <c:pt idx="1">
                  <c:v>-1383.169392757489</c:v>
                </c:pt>
                <c:pt idx="2">
                  <c:v>-1016.2758934109223</c:v>
                </c:pt>
                <c:pt idx="3">
                  <c:v>-1438.5066009890127</c:v>
                </c:pt>
                <c:pt idx="4">
                  <c:v>-2041.3357488094796</c:v>
                </c:pt>
                <c:pt idx="5">
                  <c:v>-3102.1225592188785</c:v>
                </c:pt>
                <c:pt idx="6">
                  <c:v>-7180.3944003359502</c:v>
                </c:pt>
                <c:pt idx="7">
                  <c:v>-14583.988635324637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D7-47E4-BDA6-6E0727BA3B48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BGSY_2!$J$27:$Q$27</c:f>
              <c:numCache>
                <c:formatCode>0</c:formatCode>
                <c:ptCount val="8"/>
                <c:pt idx="0">
                  <c:v>0</c:v>
                </c:pt>
                <c:pt idx="1">
                  <c:v>146.60864337432122</c:v>
                </c:pt>
                <c:pt idx="2">
                  <c:v>1148.2655798404849</c:v>
                </c:pt>
                <c:pt idx="3">
                  <c:v>2464.6402935231572</c:v>
                </c:pt>
                <c:pt idx="4">
                  <c:v>2533.7952442334204</c:v>
                </c:pt>
                <c:pt idx="5">
                  <c:v>2452.1928582847218</c:v>
                </c:pt>
                <c:pt idx="6">
                  <c:v>2174.7313907031121</c:v>
                </c:pt>
                <c:pt idx="7">
                  <c:v>1008.3357066510172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D7-47E4-BDA6-6E0727BA3B48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BGSY_2!$J$22:$Q$22</c:f>
              <c:numCache>
                <c:formatCode>0</c:formatCode>
                <c:ptCount val="8"/>
                <c:pt idx="0">
                  <c:v>4077.2135938436545</c:v>
                </c:pt>
                <c:pt idx="1">
                  <c:v>5263.9732140972501</c:v>
                </c:pt>
                <c:pt idx="2">
                  <c:v>5930.9871808871476</c:v>
                </c:pt>
                <c:pt idx="3">
                  <c:v>7887.3778607424156</c:v>
                </c:pt>
                <c:pt idx="4">
                  <c:v>8256.9894200662184</c:v>
                </c:pt>
                <c:pt idx="5">
                  <c:v>9006.6615665753034</c:v>
                </c:pt>
                <c:pt idx="6">
                  <c:v>11298.630067226182</c:v>
                </c:pt>
                <c:pt idx="7">
                  <c:v>9302.5529716131678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D7-47E4-BDA6-6E0727BA3B48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BGSY_2!$J$23:$Q$23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964.80631564998544</c:v>
                </c:pt>
                <c:pt idx="3">
                  <c:v>1449.1282414662749</c:v>
                </c:pt>
                <c:pt idx="4">
                  <c:v>2654.5883570711862</c:v>
                </c:pt>
                <c:pt idx="5">
                  <c:v>3444.5267717149436</c:v>
                </c:pt>
                <c:pt idx="6">
                  <c:v>5600.5616476611194</c:v>
                </c:pt>
                <c:pt idx="7">
                  <c:v>15023.758973256545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D7-47E4-BDA6-6E0727BA3B48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BGSY_2!$J$19:$Q$19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BGSY_2!$J$24:$Q$24</c:f>
              <c:numCache>
                <c:formatCode>0</c:formatCode>
                <c:ptCount val="8"/>
                <c:pt idx="0">
                  <c:v>6669.6493851967252</c:v>
                </c:pt>
                <c:pt idx="1">
                  <c:v>5807.392514627586</c:v>
                </c:pt>
                <c:pt idx="2">
                  <c:v>3871.5950097513123</c:v>
                </c:pt>
                <c:pt idx="3">
                  <c:v>1935.7975048757173</c:v>
                </c:pt>
                <c:pt idx="4">
                  <c:v>967.89875243784172</c:v>
                </c:pt>
                <c:pt idx="5">
                  <c:v>483.94937621882713</c:v>
                </c:pt>
                <c:pt idx="6">
                  <c:v>96.789875244082367</c:v>
                </c:pt>
                <c:pt idx="7">
                  <c:v>1.8506227661418961E-12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D7-47E4-BDA6-6E0727BA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BGSY_2!$J$50:$Q$50</c:f>
              <c:numCache>
                <c:formatCode>0.000</c:formatCode>
                <c:ptCount val="8"/>
                <c:pt idx="0">
                  <c:v>3.832107414224672</c:v>
                </c:pt>
                <c:pt idx="1">
                  <c:v>3.8812166139838586</c:v>
                </c:pt>
                <c:pt idx="2">
                  <c:v>3.9364817937534289</c:v>
                </c:pt>
                <c:pt idx="3">
                  <c:v>4.0267177788367485</c:v>
                </c:pt>
                <c:pt idx="4">
                  <c:v>4.137439623607321</c:v>
                </c:pt>
                <c:pt idx="5">
                  <c:v>4.2598994911465624</c:v>
                </c:pt>
                <c:pt idx="6">
                  <c:v>4.6834273299437088</c:v>
                </c:pt>
                <c:pt idx="7">
                  <c:v>6.0015776315185914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A-4397-B66D-C73C5F0AEF31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BGSY_2!$J$51:$Q$51</c:f>
              <c:numCache>
                <c:formatCode>0.000</c:formatCode>
                <c:ptCount val="8"/>
                <c:pt idx="0">
                  <c:v>3.7730372824156522</c:v>
                </c:pt>
                <c:pt idx="1">
                  <c:v>3.8047058205315776</c:v>
                </c:pt>
                <c:pt idx="2">
                  <c:v>3.8802659207168815</c:v>
                </c:pt>
                <c:pt idx="3">
                  <c:v>3.9471459765655963</c:v>
                </c:pt>
                <c:pt idx="4">
                  <c:v>4.0245219877329879</c:v>
                </c:pt>
                <c:pt idx="5">
                  <c:v>4.0883038358097465</c:v>
                </c:pt>
                <c:pt idx="6">
                  <c:v>4.2862397723339019</c:v>
                </c:pt>
                <c:pt idx="7">
                  <c:v>5.1948560918211637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2A-4397-B66D-C73C5F0AEF31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BGSY_2!$J$52:$Q$52</c:f>
              <c:numCache>
                <c:formatCode>0.000</c:formatCode>
                <c:ptCount val="8"/>
                <c:pt idx="0">
                  <c:v>3.7139671506066319</c:v>
                </c:pt>
                <c:pt idx="1">
                  <c:v>3.7281950270792965</c:v>
                </c:pt>
                <c:pt idx="2">
                  <c:v>3.8240500476803341</c:v>
                </c:pt>
                <c:pt idx="3">
                  <c:v>3.8675741742944436</c:v>
                </c:pt>
                <c:pt idx="4">
                  <c:v>3.9116043518586552</c:v>
                </c:pt>
                <c:pt idx="5">
                  <c:v>3.9167081804729311</c:v>
                </c:pt>
                <c:pt idx="6">
                  <c:v>3.8890522147240949</c:v>
                </c:pt>
                <c:pt idx="7">
                  <c:v>4.3881345521237369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2A-4397-B66D-C73C5F0AE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BGSY_2!$J$63:$Q$63</c:f>
              <c:numCache>
                <c:formatCode>#,##0\ "€"</c:formatCode>
                <c:ptCount val="8"/>
                <c:pt idx="0">
                  <c:v>1379675.7</c:v>
                </c:pt>
                <c:pt idx="1">
                  <c:v>1627587.9956152753</c:v>
                </c:pt>
                <c:pt idx="2">
                  <c:v>1657379.0862240284</c:v>
                </c:pt>
                <c:pt idx="3">
                  <c:v>1659172.561880073</c:v>
                </c:pt>
                <c:pt idx="4">
                  <c:v>1671603.1352555389</c:v>
                </c:pt>
                <c:pt idx="5">
                  <c:v>1683446.4395040944</c:v>
                </c:pt>
                <c:pt idx="6">
                  <c:v>1529068.0679596332</c:v>
                </c:pt>
                <c:pt idx="7">
                  <c:v>1400087.8816674352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C-42D2-889F-505D6F50E5E3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BGSY_2!$J$64:$Q$64</c:f>
              <c:numCache>
                <c:formatCode>#,##0\ "€"</c:formatCode>
                <c:ptCount val="8"/>
                <c:pt idx="0">
                  <c:v>2105340.0956752803</c:v>
                </c:pt>
                <c:pt idx="1">
                  <c:v>2111956.8813148551</c:v>
                </c:pt>
                <c:pt idx="2">
                  <c:v>2113805.6714267503</c:v>
                </c:pt>
                <c:pt idx="3">
                  <c:v>2117673.3367155748</c:v>
                </c:pt>
                <c:pt idx="4">
                  <c:v>2144480.1110380688</c:v>
                </c:pt>
                <c:pt idx="5">
                  <c:v>2170020.4280157452</c:v>
                </c:pt>
                <c:pt idx="6">
                  <c:v>2129377.1365383207</c:v>
                </c:pt>
                <c:pt idx="7">
                  <c:v>2129377.1365383235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3C-42D2-889F-505D6F50E5E3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BGSY_2!$J$57:$Q$57</c:f>
              <c:numCache>
                <c:formatCode>#,##0\ "€"</c:formatCode>
                <c:ptCount val="8"/>
                <c:pt idx="0">
                  <c:v>844937.19605714886</c:v>
                </c:pt>
                <c:pt idx="1">
                  <c:v>1090874.1142124769</c:v>
                </c:pt>
                <c:pt idx="2">
                  <c:v>1229102.0725616331</c:v>
                </c:pt>
                <c:pt idx="3">
                  <c:v>1634532.6975171724</c:v>
                </c:pt>
                <c:pt idx="4">
                  <c:v>1711128.7716195679</c:v>
                </c:pt>
                <c:pt idx="5">
                  <c:v>1866486.3134441951</c:v>
                </c:pt>
                <c:pt idx="6">
                  <c:v>2341460.0654485929</c:v>
                </c:pt>
                <c:pt idx="7">
                  <c:v>1927805.0666455564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3C-42D2-889F-505D6F50E5E3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BGSY_2!$J$58:$Q$58</c:f>
              <c:numCache>
                <c:formatCode>#,##0\ "€"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737944.59298649896</c:v>
                </c:pt>
                <c:pt idx="3">
                  <c:v>1108384.4840025096</c:v>
                </c:pt>
                <c:pt idx="4">
                  <c:v>2030396.2494128898</c:v>
                </c:pt>
                <c:pt idx="5">
                  <c:v>2634590.8659105855</c:v>
                </c:pt>
                <c:pt idx="6">
                  <c:v>4283662.0351046911</c:v>
                </c:pt>
                <c:pt idx="7">
                  <c:v>11491116.42493551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3C-42D2-889F-505D6F50E5E3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BGSY_2!$J$59:$Q$59</c:f>
              <c:numCache>
                <c:formatCode>#,##0\ "€"</c:formatCode>
                <c:ptCount val="8"/>
                <c:pt idx="0">
                  <c:v>0</c:v>
                </c:pt>
                <c:pt idx="1">
                  <c:v>79997.549120587064</c:v>
                </c:pt>
                <c:pt idx="2">
                  <c:v>658473.96652865736</c:v>
                </c:pt>
                <c:pt idx="3">
                  <c:v>1422072.0646317811</c:v>
                </c:pt>
                <c:pt idx="4">
                  <c:v>1536901.3738763367</c:v>
                </c:pt>
                <c:pt idx="5">
                  <c:v>1655102.709382005</c:v>
                </c:pt>
                <c:pt idx="6">
                  <c:v>2088843.6547220924</c:v>
                </c:pt>
                <c:pt idx="7">
                  <c:v>2139370.3263943824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3C-42D2-889F-505D6F50E5E3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BGSY_2!$J$60:$Q$60</c:f>
              <c:numCache>
                <c:formatCode>#,##0\ "€"</c:formatCode>
                <c:ptCount val="8"/>
                <c:pt idx="0">
                  <c:v>0</c:v>
                </c:pt>
                <c:pt idx="1">
                  <c:v>73969.098718250665</c:v>
                </c:pt>
                <c:pt idx="2">
                  <c:v>75566.625274590639</c:v>
                </c:pt>
                <c:pt idx="3">
                  <c:v>78061.014509603076</c:v>
                </c:pt>
                <c:pt idx="4">
                  <c:v>112526.92118835112</c:v>
                </c:pt>
                <c:pt idx="5">
                  <c:v>137884.90550620848</c:v>
                </c:pt>
                <c:pt idx="6">
                  <c:v>149383.36264048275</c:v>
                </c:pt>
                <c:pt idx="7">
                  <c:v>117782.08786159812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3C-42D2-889F-505D6F50E5E3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BGSY_2!$J$61:$Q$61</c:f>
              <c:numCache>
                <c:formatCode>#,##0\ "€"</c:formatCode>
                <c:ptCount val="8"/>
                <c:pt idx="0">
                  <c:v>0</c:v>
                </c:pt>
                <c:pt idx="1">
                  <c:v>97290.474816433896</c:v>
                </c:pt>
                <c:pt idx="2">
                  <c:v>103579.75607658285</c:v>
                </c:pt>
                <c:pt idx="3">
                  <c:v>107741.89417562367</c:v>
                </c:pt>
                <c:pt idx="4">
                  <c:v>171678.99842368416</c:v>
                </c:pt>
                <c:pt idx="5">
                  <c:v>193338.93080601332</c:v>
                </c:pt>
                <c:pt idx="6">
                  <c:v>216408.13167097076</c:v>
                </c:pt>
                <c:pt idx="7">
                  <c:v>68912.710715295834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3C-42D2-889F-505D6F50E5E3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BGSY_2!$J$62:$Q$62</c:f>
              <c:numCache>
                <c:formatCode>#,##0\ "€"</c:formatCode>
                <c:ptCount val="8"/>
                <c:pt idx="0">
                  <c:v>0</c:v>
                </c:pt>
                <c:pt idx="1">
                  <c:v>14.872883692138638</c:v>
                </c:pt>
                <c:pt idx="2">
                  <c:v>14.872883692138638</c:v>
                </c:pt>
                <c:pt idx="3">
                  <c:v>14.872883692138638</c:v>
                </c:pt>
                <c:pt idx="4">
                  <c:v>4209.0767134503722</c:v>
                </c:pt>
                <c:pt idx="5">
                  <c:v>8990.6211224416948</c:v>
                </c:pt>
                <c:pt idx="6">
                  <c:v>14313.976174143016</c:v>
                </c:pt>
                <c:pt idx="7">
                  <c:v>15527.290574591598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3C-42D2-889F-505D6F50E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BGSY_2!$J$31:$Q$31</c:f>
              <c:numCache>
                <c:formatCode>0.000</c:formatCode>
                <c:ptCount val="8"/>
                <c:pt idx="0">
                  <c:v>0.15579392185842858</c:v>
                </c:pt>
                <c:pt idx="1">
                  <c:v>0.20114105202149213</c:v>
                </c:pt>
                <c:pt idx="2">
                  <c:v>0.22662824307212723</c:v>
                </c:pt>
                <c:pt idx="3">
                  <c:v>0.30138365376784532</c:v>
                </c:pt>
                <c:pt idx="4">
                  <c:v>0.31550683693347681</c:v>
                </c:pt>
                <c:pt idx="5">
                  <c:v>0.34415246982085862</c:v>
                </c:pt>
                <c:pt idx="6">
                  <c:v>0.43173060456257273</c:v>
                </c:pt>
                <c:pt idx="7">
                  <c:v>0.35545874097247293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F-466A-B797-C8907A2F0328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BGSY_2!$J$32:$Q$32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0.13606606833275853</c:v>
                </c:pt>
                <c:pt idx="3">
                  <c:v>0.20436970522258685</c:v>
                </c:pt>
                <c:pt idx="4">
                  <c:v>0.37437503769370301</c:v>
                </c:pt>
                <c:pt idx="5">
                  <c:v>0.48577958859900927</c:v>
                </c:pt>
                <c:pt idx="6">
                  <c:v>0.78984392151192662</c:v>
                </c:pt>
                <c:pt idx="7">
                  <c:v>2.1187919087084097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DF-466A-B797-C8907A2F0328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BGSY_2!$J$33:$Q$33</c:f>
              <c:numCache>
                <c:formatCode>0.000</c:formatCode>
                <c:ptCount val="8"/>
                <c:pt idx="0">
                  <c:v>0</c:v>
                </c:pt>
                <c:pt idx="1">
                  <c:v>1.4750364849267806E-2</c:v>
                </c:pt>
                <c:pt idx="2">
                  <c:v>0.12141286022901997</c:v>
                </c:pt>
                <c:pt idx="3">
                  <c:v>0.26220905547556778</c:v>
                </c:pt>
                <c:pt idx="4">
                  <c:v>0.28338188171044637</c:v>
                </c:pt>
                <c:pt idx="5">
                  <c:v>0.30517645971371982</c:v>
                </c:pt>
                <c:pt idx="6">
                  <c:v>0.38515187476284657</c:v>
                </c:pt>
                <c:pt idx="7">
                  <c:v>0.39446824570143768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DF-466A-B797-C8907A2F0328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BGSY_2!$J$34:$Q$34</c:f>
              <c:numCache>
                <c:formatCode>0.000</c:formatCode>
                <c:ptCount val="8"/>
                <c:pt idx="0">
                  <c:v>0</c:v>
                </c:pt>
                <c:pt idx="1">
                  <c:v>3.1580474674533211E-2</c:v>
                </c:pt>
                <c:pt idx="2">
                  <c:v>3.3034685385586869E-2</c:v>
                </c:pt>
                <c:pt idx="3">
                  <c:v>3.4262050572217324E-2</c:v>
                </c:pt>
                <c:pt idx="4">
                  <c:v>5.317945950304287E-2</c:v>
                </c:pt>
                <c:pt idx="5">
                  <c:v>6.273051398852568E-2</c:v>
                </c:pt>
                <c:pt idx="6">
                  <c:v>7.0085826784685196E-2</c:v>
                </c:pt>
                <c:pt idx="7">
                  <c:v>3.728676226154265E-2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DF-466A-B797-C8907A2F0328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BGSY_2!$J$36:$Q$36</c:f>
              <c:numCache>
                <c:formatCode>0.000</c:formatCode>
                <c:ptCount val="8"/>
                <c:pt idx="0">
                  <c:v>0.64258536738640737</c:v>
                </c:pt>
                <c:pt idx="1">
                  <c:v>0.68951676534218453</c:v>
                </c:pt>
                <c:pt idx="2">
                  <c:v>0.6953506913754921</c:v>
                </c:pt>
                <c:pt idx="3">
                  <c:v>0.69639452203426999</c:v>
                </c:pt>
                <c:pt idx="4">
                  <c:v>0.70362930860741391</c:v>
                </c:pt>
                <c:pt idx="5">
                  <c:v>0.71052229543683221</c:v>
                </c:pt>
                <c:pt idx="6">
                  <c:v>0.67456318525524051</c:v>
                </c:pt>
                <c:pt idx="7">
                  <c:v>0.65078114659217812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DF-466A-B797-C8907A2F0328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BGSY_2!$J$37:$Q$37</c:f>
              <c:numCache>
                <c:formatCode>0.000</c:formatCode>
                <c:ptCount val="8"/>
                <c:pt idx="0">
                  <c:v>3.054782781537815E-2</c:v>
                </c:pt>
                <c:pt idx="1">
                  <c:v>3.9439421964998451E-2</c:v>
                </c:pt>
                <c:pt idx="2">
                  <c:v>4.4436910406299455E-2</c:v>
                </c:pt>
                <c:pt idx="3">
                  <c:v>5.9094834072126526E-2</c:v>
                </c:pt>
                <c:pt idx="4">
                  <c:v>6.1864085673230741E-2</c:v>
                </c:pt>
                <c:pt idx="5">
                  <c:v>6.7480876435462453E-2</c:v>
                </c:pt>
                <c:pt idx="6">
                  <c:v>8.4653059718151513E-2</c:v>
                </c:pt>
                <c:pt idx="7">
                  <c:v>6.9697792347543711E-2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DF-466A-B797-C8907A2F0328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BGSY_2!$J$38:$Q$38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2.7213213666551699E-2</c:v>
                </c:pt>
                <c:pt idx="3">
                  <c:v>4.0873941044517366E-2</c:v>
                </c:pt>
                <c:pt idx="4">
                  <c:v>7.4875007538740601E-2</c:v>
                </c:pt>
                <c:pt idx="5">
                  <c:v>9.7155917719801824E-2</c:v>
                </c:pt>
                <c:pt idx="6">
                  <c:v>0.15796878430238531</c:v>
                </c:pt>
                <c:pt idx="7">
                  <c:v>0.42375838174168196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DF-466A-B797-C8907A2F0328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BGSY_2!$J$39:$Q$39</c:f>
              <c:numCache>
                <c:formatCode>0.000</c:formatCode>
                <c:ptCount val="8"/>
                <c:pt idx="0">
                  <c:v>0</c:v>
                </c:pt>
                <c:pt idx="1">
                  <c:v>2.9738638809007675E-3</c:v>
                </c:pt>
                <c:pt idx="2">
                  <c:v>2.4478399239721765E-2</c:v>
                </c:pt>
                <c:pt idx="3">
                  <c:v>5.2864728926525752E-2</c:v>
                </c:pt>
                <c:pt idx="4">
                  <c:v>5.7133443893235152E-2</c:v>
                </c:pt>
                <c:pt idx="5">
                  <c:v>6.1527512039056403E-2</c:v>
                </c:pt>
                <c:pt idx="6">
                  <c:v>7.7651587653799703E-2</c:v>
                </c:pt>
                <c:pt idx="7">
                  <c:v>7.9529888246257577E-2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DF-466A-B797-C8907A2F0328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BGSY_2!$J$40:$Q$40</c:f>
              <c:numCache>
                <c:formatCode>0.000</c:formatCode>
                <c:ptCount val="8"/>
                <c:pt idx="0">
                  <c:v>0.25703414695456289</c:v>
                </c:pt>
                <c:pt idx="1">
                  <c:v>0.28843779907077727</c:v>
                </c:pt>
                <c:pt idx="2">
                  <c:v>0.29135305376852177</c:v>
                </c:pt>
                <c:pt idx="3">
                  <c:v>0.29226153210668504</c:v>
                </c:pt>
                <c:pt idx="4">
                  <c:v>0.30241307064763967</c:v>
                </c:pt>
                <c:pt idx="5">
                  <c:v>0.30863802874668111</c:v>
                </c:pt>
                <c:pt idx="6">
                  <c:v>0.29680389061805629</c:v>
                </c:pt>
                <c:pt idx="7">
                  <c:v>0.27408196245163702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DF-466A-B797-C8907A2F0328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BGSY_2!$J$42:$Q$42</c:f>
              <c:numCache>
                <c:formatCode>0.000</c:formatCode>
                <c:ptCount val="8"/>
                <c:pt idx="0">
                  <c:v>0</c:v>
                </c:pt>
                <c:pt idx="1">
                  <c:v>1.1492173627061219E-2</c:v>
                </c:pt>
                <c:pt idx="2">
                  <c:v>9.0008795592033869E-2</c:v>
                </c:pt>
                <c:pt idx="3">
                  <c:v>0.19319511816981566</c:v>
                </c:pt>
                <c:pt idx="4">
                  <c:v>0.19861594931892962</c:v>
                </c:pt>
                <c:pt idx="5">
                  <c:v>0.19221940429865905</c:v>
                </c:pt>
                <c:pt idx="6">
                  <c:v>0.17047010434690754</c:v>
                </c:pt>
                <c:pt idx="7">
                  <c:v>7.9040148987750844E-2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DF-466A-B797-C8907A2F0328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BGSY_2!$J$44:$Q$44</c:f>
              <c:numCache>
                <c:formatCode>0.000</c:formatCode>
                <c:ptCount val="8"/>
                <c:pt idx="0">
                  <c:v>8.4786431781361443E-2</c:v>
                </c:pt>
                <c:pt idx="1">
                  <c:v>9.9541143488130784E-2</c:v>
                </c:pt>
                <c:pt idx="2">
                  <c:v>0.10135467976268582</c:v>
                </c:pt>
                <c:pt idx="3">
                  <c:v>0.10146385781200835</c:v>
                </c:pt>
                <c:pt idx="4">
                  <c:v>0.10222057048244759</c:v>
                </c:pt>
                <c:pt idx="5">
                  <c:v>0.10294153307316345</c:v>
                </c:pt>
                <c:pt idx="6">
                  <c:v>9.3599756376716192E-2</c:v>
                </c:pt>
                <c:pt idx="7">
                  <c:v>8.5990637760504432E-2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DF-466A-B797-C8907A2F0328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BGSY_2!$J$45:$Q$45</c:f>
              <c:numCache>
                <c:formatCode>0.000</c:formatCode>
                <c:ptCount val="8"/>
                <c:pt idx="0">
                  <c:v>1.9027730795181959</c:v>
                </c:pt>
                <c:pt idx="1">
                  <c:v>1.9027730795184596</c:v>
                </c:pt>
                <c:pt idx="2">
                  <c:v>1.9027730795184095</c:v>
                </c:pt>
                <c:pt idx="3">
                  <c:v>1.9027730795183824</c:v>
                </c:pt>
                <c:pt idx="4">
                  <c:v>1.9027730795183682</c:v>
                </c:pt>
                <c:pt idx="5">
                  <c:v>1.9027730795183755</c:v>
                </c:pt>
                <c:pt idx="6">
                  <c:v>1.9027730795183462</c:v>
                </c:pt>
                <c:pt idx="7">
                  <c:v>1.9027730795183555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DF-466A-B797-C8907A2F0328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BGSY_2!$J$46:$Q$46</c:f>
              <c:numCache>
                <c:formatCode>0.000</c:formatCode>
                <c:ptCount val="8"/>
                <c:pt idx="0">
                  <c:v>1.2298129037712757</c:v>
                </c:pt>
                <c:pt idx="1">
                  <c:v>1.0707956434710733</c:v>
                </c:pt>
                <c:pt idx="2">
                  <c:v>0.71359628132926123</c:v>
                </c:pt>
                <c:pt idx="3">
                  <c:v>0.35679686803925448</c:v>
                </c:pt>
                <c:pt idx="4">
                  <c:v>0.17838772035111558</c:v>
                </c:pt>
                <c:pt idx="5">
                  <c:v>8.9364981593908821E-2</c:v>
                </c:pt>
                <c:pt idx="6">
                  <c:v>1.8302205195193842E-2</c:v>
                </c:pt>
                <c:pt idx="7">
                  <c:v>3.5826156949750491E-16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DF-466A-B797-C8907A2F0328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BGSY_2!$J$48:$Q$48</c:f>
              <c:numCache>
                <c:formatCode>0.000</c:formatCode>
                <c:ptCount val="8"/>
                <c:pt idx="0">
                  <c:v>-5.9070131809020078E-2</c:v>
                </c:pt>
                <c:pt idx="1">
                  <c:v>-7.6510793452281109E-2</c:v>
                </c:pt>
                <c:pt idx="2">
                  <c:v>-5.6215873036547473E-2</c:v>
                </c:pt>
                <c:pt idx="3">
                  <c:v>-7.9571802271152375E-2</c:v>
                </c:pt>
                <c:pt idx="4">
                  <c:v>-0.1129176358743328</c:v>
                </c:pt>
                <c:pt idx="5">
                  <c:v>-0.17159565533681573</c:v>
                </c:pt>
                <c:pt idx="6">
                  <c:v>-0.39718755760980701</c:v>
                </c:pt>
                <c:pt idx="7">
                  <c:v>-0.80672153969742733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BCDF-466A-B797-C8907A2F0328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cat>
          <c:val>
            <c:numRef>
              <c:f>BGSY_2!$J$47:$Q$47</c:f>
              <c:numCache>
                <c:formatCode>0.000</c:formatCode>
                <c:ptCount val="8"/>
                <c:pt idx="0">
                  <c:v>-0.47122626486093722</c:v>
                </c:pt>
                <c:pt idx="1">
                  <c:v>-0.47122626486093117</c:v>
                </c:pt>
                <c:pt idx="2">
                  <c:v>-0.47122626486095082</c:v>
                </c:pt>
                <c:pt idx="3">
                  <c:v>-0.47122626486096458</c:v>
                </c:pt>
                <c:pt idx="4">
                  <c:v>-0.47122626486101205</c:v>
                </c:pt>
                <c:pt idx="5">
                  <c:v>-0.47122626486095531</c:v>
                </c:pt>
                <c:pt idx="6">
                  <c:v>-0.47122626486103375</c:v>
                </c:pt>
                <c:pt idx="7">
                  <c:v>-0.47122626486103303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DF-466A-B797-C8907A2F0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BGSY_2!$J$50:$Q$50</c:f>
              <c:numCache>
                <c:formatCode>0.000</c:formatCode>
                <c:ptCount val="8"/>
                <c:pt idx="0">
                  <c:v>3.832107414224672</c:v>
                </c:pt>
                <c:pt idx="1">
                  <c:v>3.8812166139838586</c:v>
                </c:pt>
                <c:pt idx="2">
                  <c:v>3.9364817937534289</c:v>
                </c:pt>
                <c:pt idx="3">
                  <c:v>4.0267177788367485</c:v>
                </c:pt>
                <c:pt idx="4">
                  <c:v>4.137439623607321</c:v>
                </c:pt>
                <c:pt idx="5">
                  <c:v>4.2598994911465624</c:v>
                </c:pt>
                <c:pt idx="6">
                  <c:v>4.6834273299437088</c:v>
                </c:pt>
                <c:pt idx="7">
                  <c:v>6.0015776315185914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CDF-466A-B797-C8907A2F0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BGSY_2!$J$105:$Q$105</c:f>
              <c:numCache>
                <c:formatCode>0.00</c:formatCode>
                <c:ptCount val="8"/>
                <c:pt idx="0">
                  <c:v>4.9191387951173819</c:v>
                </c:pt>
                <c:pt idx="1">
                  <c:v>4.2831891404342892</c:v>
                </c:pt>
                <c:pt idx="2">
                  <c:v>2.8554594269558891</c:v>
                </c:pt>
                <c:pt idx="3">
                  <c:v>1.4277297134778033</c:v>
                </c:pt>
                <c:pt idx="4">
                  <c:v>0.71386485673894318</c:v>
                </c:pt>
                <c:pt idx="5">
                  <c:v>0.35693242836940325</c:v>
                </c:pt>
                <c:pt idx="6">
                  <c:v>7.1386485674114403E-2</c:v>
                </c:pt>
                <c:pt idx="7">
                  <c:v>1.3649098653162594E-15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0-405E-9801-2CE64730B61D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BGSY_2!$J$107:$Q$107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2.0682042386579978E-2</c:v>
                </c:pt>
                <c:pt idx="3">
                  <c:v>3.1064195193830604E-2</c:v>
                </c:pt>
                <c:pt idx="4">
                  <c:v>5.6905005729442834E-2</c:v>
                </c:pt>
                <c:pt idx="5">
                  <c:v>7.3838497467049249E-2</c:v>
                </c:pt>
                <c:pt idx="6">
                  <c:v>0.12005627606981444</c:v>
                </c:pt>
                <c:pt idx="7">
                  <c:v>0.32205637012368005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60-405E-9801-2CE64730B61D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BGSY_2!$J$109:$Q$109</c:f>
              <c:numCache>
                <c:formatCode>0.00</c:formatCode>
                <c:ptCount val="8"/>
                <c:pt idx="0">
                  <c:v>-9.4245252972192066</c:v>
                </c:pt>
                <c:pt idx="1">
                  <c:v>-9.4245252972192066</c:v>
                </c:pt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60-405E-9801-2CE64730B61D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BGSY_2!$J$106:$Q$106</c:f>
              <c:numCache>
                <c:formatCode>0.00</c:formatCode>
                <c:ptCount val="8"/>
                <c:pt idx="0">
                  <c:v>0.10691739735383905</c:v>
                </c:pt>
                <c:pt idx="1">
                  <c:v>0.13803797687749547</c:v>
                </c:pt>
                <c:pt idx="2">
                  <c:v>0.15552918642205321</c:v>
                </c:pt>
                <c:pt idx="3">
                  <c:v>0.20683191925242558</c:v>
                </c:pt>
                <c:pt idx="4">
                  <c:v>0.21652429985630753</c:v>
                </c:pt>
                <c:pt idx="5">
                  <c:v>0.23618306752411816</c:v>
                </c:pt>
                <c:pt idx="6">
                  <c:v>0.29628570901353429</c:v>
                </c:pt>
                <c:pt idx="7">
                  <c:v>0.24394227321640435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60-405E-9801-2CE64730B61D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BGSY_2!$J$72:$Q$72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BGSY_2!$J$110:$Q$110</c:f>
              <c:numCache>
                <c:formatCode>0.00</c:formatCode>
                <c:ptCount val="8"/>
                <c:pt idx="0">
                  <c:v>-4.3984691047479858</c:v>
                </c:pt>
                <c:pt idx="1">
                  <c:v>-4.9980047021994185</c:v>
                </c:pt>
                <c:pt idx="2">
                  <c:v>-6.3492830908079778</c:v>
                </c:pt>
                <c:pt idx="3">
                  <c:v>-7.6648002518071294</c:v>
                </c:pt>
                <c:pt idx="4">
                  <c:v>-8.3355336047654198</c:v>
                </c:pt>
                <c:pt idx="5">
                  <c:v>-8.6480523324299057</c:v>
                </c:pt>
                <c:pt idx="6">
                  <c:v>-8.7985770004387689</c:v>
                </c:pt>
                <c:pt idx="7">
                  <c:v>-8.7169634528021849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60-405E-9801-2CE64730B61D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BGSY_2!$L$97:$Q$97</c:f>
              <c:numCache>
                <c:formatCode>0%</c:formatCode>
                <c:ptCount val="6"/>
                <c:pt idx="0">
                  <c:v>0.60000000000001419</c:v>
                </c:pt>
                <c:pt idx="1">
                  <c:v>0.80000000000006211</c:v>
                </c:pt>
                <c:pt idx="2">
                  <c:v>0.90000000000004798</c:v>
                </c:pt>
                <c:pt idx="3">
                  <c:v>0.95000000000000251</c:v>
                </c:pt>
                <c:pt idx="4">
                  <c:v>0.99000000000014476</c:v>
                </c:pt>
                <c:pt idx="5">
                  <c:v>0.99999999999998379</c:v>
                </c:pt>
              </c:numCache>
            </c:numRef>
          </c:xVal>
          <c:yVal>
            <c:numRef>
              <c:f>BGSY_2!$L$108:$Q$108</c:f>
              <c:numCache>
                <c:formatCode>0.00</c:formatCode>
                <c:ptCount val="6"/>
                <c:pt idx="0">
                  <c:v>4.3571550646706182E-2</c:v>
                </c:pt>
                <c:pt idx="1">
                  <c:v>9.4099217489208006E-2</c:v>
                </c:pt>
                <c:pt idx="2">
                  <c:v>0.10169753012995855</c:v>
                </c:pt>
                <c:pt idx="3">
                  <c:v>0.10951897142952018</c:v>
                </c:pt>
                <c:pt idx="4">
                  <c:v>0.13821982602376537</c:v>
                </c:pt>
                <c:pt idx="5">
                  <c:v>0.14156320107833925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60-405E-9801-2CE64730B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30000000000000004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35968961623991763"/>
          <c:y val="0.41961615368487115"/>
          <c:w val="0.46202173486239589"/>
          <c:h val="0.149675077204896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27841173856"/>
          <c:y val="3.8805316784865956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58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4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BGSY_2!$J$105:$Q$105</c:f>
              <c:numCache>
                <c:formatCode>0.00</c:formatCode>
                <c:ptCount val="8"/>
                <c:pt idx="0">
                  <c:v>4.9191387951173819</c:v>
                </c:pt>
                <c:pt idx="1">
                  <c:v>4.2831891404342892</c:v>
                </c:pt>
                <c:pt idx="2">
                  <c:v>2.8554594269558891</c:v>
                </c:pt>
                <c:pt idx="3">
                  <c:v>1.4277297134778033</c:v>
                </c:pt>
                <c:pt idx="4">
                  <c:v>0.71386485673894318</c:v>
                </c:pt>
                <c:pt idx="5">
                  <c:v>0.35693242836940325</c:v>
                </c:pt>
                <c:pt idx="6">
                  <c:v>7.1386485674114403E-2</c:v>
                </c:pt>
                <c:pt idx="7">
                  <c:v>1.3649098653162594E-15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B-4863-BFCA-9F409FC0B429}"/>
            </c:ext>
          </c:extLst>
        </c:ser>
        <c:ser>
          <c:idx val="1"/>
          <c:order val="1"/>
          <c:tx>
            <c:v>Wind</c:v>
          </c:tx>
          <c:spPr>
            <a:ln w="158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BGSY_2!$J$107:$Q$107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2.0682042386579978E-2</c:v>
                </c:pt>
                <c:pt idx="3">
                  <c:v>3.1064195193830604E-2</c:v>
                </c:pt>
                <c:pt idx="4">
                  <c:v>5.6905005729442834E-2</c:v>
                </c:pt>
                <c:pt idx="5">
                  <c:v>7.3838497467049249E-2</c:v>
                </c:pt>
                <c:pt idx="6">
                  <c:v>0.12005627606981444</c:v>
                </c:pt>
                <c:pt idx="7">
                  <c:v>0.32205637012368005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7B-4863-BFCA-9F409FC0B429}"/>
            </c:ext>
          </c:extLst>
        </c:ser>
        <c:ser>
          <c:idx val="3"/>
          <c:order val="3"/>
          <c:tx>
            <c:v>PV</c:v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BGSY_2!$J$106:$Q$106</c:f>
              <c:numCache>
                <c:formatCode>0.00</c:formatCode>
                <c:ptCount val="8"/>
                <c:pt idx="0">
                  <c:v>0.10691739735383905</c:v>
                </c:pt>
                <c:pt idx="1">
                  <c:v>0.13803797687749547</c:v>
                </c:pt>
                <c:pt idx="2">
                  <c:v>0.15552918642205321</c:v>
                </c:pt>
                <c:pt idx="3">
                  <c:v>0.20683191925242558</c:v>
                </c:pt>
                <c:pt idx="4">
                  <c:v>0.21652429985630753</c:v>
                </c:pt>
                <c:pt idx="5">
                  <c:v>0.23618306752411816</c:v>
                </c:pt>
                <c:pt idx="6">
                  <c:v>0.29628570901353429</c:v>
                </c:pt>
                <c:pt idx="7">
                  <c:v>0.24394227321640435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7B-4863-BFCA-9F409FC0B429}"/>
            </c:ext>
          </c:extLst>
        </c:ser>
        <c:ser>
          <c:idx val="5"/>
          <c:order val="5"/>
          <c:tx>
            <c:v>BESS (Li-ion)</c:v>
          </c:tx>
          <c:spPr>
            <a:ln w="15875" cap="rnd">
              <a:solidFill>
                <a:srgbClr val="B07BD7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BGSY_2!$L$97:$Q$97</c:f>
              <c:numCache>
                <c:formatCode>0%</c:formatCode>
                <c:ptCount val="6"/>
                <c:pt idx="0">
                  <c:v>0.60000000000001419</c:v>
                </c:pt>
                <c:pt idx="1">
                  <c:v>0.80000000000006211</c:v>
                </c:pt>
                <c:pt idx="2">
                  <c:v>0.90000000000004798</c:v>
                </c:pt>
                <c:pt idx="3">
                  <c:v>0.95000000000000251</c:v>
                </c:pt>
                <c:pt idx="4">
                  <c:v>0.99000000000014476</c:v>
                </c:pt>
                <c:pt idx="5">
                  <c:v>0.99999999999998379</c:v>
                </c:pt>
              </c:numCache>
            </c:numRef>
          </c:xVal>
          <c:yVal>
            <c:numRef>
              <c:f>BGSY_2!$L$108:$Q$108</c:f>
              <c:numCache>
                <c:formatCode>0.00</c:formatCode>
                <c:ptCount val="6"/>
                <c:pt idx="0">
                  <c:v>4.3571550646706182E-2</c:v>
                </c:pt>
                <c:pt idx="1">
                  <c:v>9.4099217489208006E-2</c:v>
                </c:pt>
                <c:pt idx="2">
                  <c:v>0.10169753012995855</c:v>
                </c:pt>
                <c:pt idx="3">
                  <c:v>0.10951897142952018</c:v>
                </c:pt>
                <c:pt idx="4">
                  <c:v>0.13821982602376537</c:v>
                </c:pt>
                <c:pt idx="5">
                  <c:v>0.14156320107833925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7B-4863-BFCA-9F409FC0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CO2 captured</c:v>
                </c:tx>
                <c:spPr>
                  <a:ln w="1270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BGSY_2!$J$5:$Q$5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0.31091455915221666</c:v>
                      </c:pt>
                      <c:pt idx="1">
                        <c:v>0.40000000000001379</c:v>
                      </c:pt>
                      <c:pt idx="2">
                        <c:v>0.60000000000001419</c:v>
                      </c:pt>
                      <c:pt idx="3">
                        <c:v>0.80000000000006211</c:v>
                      </c:pt>
                      <c:pt idx="4">
                        <c:v>0.90000000000004798</c:v>
                      </c:pt>
                      <c:pt idx="5">
                        <c:v>0.95000000000000251</c:v>
                      </c:pt>
                      <c:pt idx="6">
                        <c:v>0.99000000000014476</c:v>
                      </c:pt>
                      <c:pt idx="7">
                        <c:v>0.99999999999998379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BGSY_2!$J$109:$Q$109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-9.4245252972192066</c:v>
                      </c:pt>
                      <c:pt idx="1">
                        <c:v>-9.4245252972192066</c:v>
                      </c:pt>
                      <c:pt idx="2">
                        <c:v>-9.4245252972192066</c:v>
                      </c:pt>
                      <c:pt idx="3">
                        <c:v>-9.4245252972203968</c:v>
                      </c:pt>
                      <c:pt idx="4">
                        <c:v>-9.4245252972200717</c:v>
                      </c:pt>
                      <c:pt idx="5">
                        <c:v>-9.4245252972199971</c:v>
                      </c:pt>
                      <c:pt idx="6">
                        <c:v>-9.4245252972199971</c:v>
                      </c:pt>
                      <c:pt idx="7">
                        <c:v>-9.4245252972206099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47B-4863-BFCA-9F409FC0B42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Net </c:v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0.31091455915221666</c:v>
                      </c:pt>
                      <c:pt idx="1">
                        <c:v>0.40000000000001379</c:v>
                      </c:pt>
                      <c:pt idx="2">
                        <c:v>0.60000000000001419</c:v>
                      </c:pt>
                      <c:pt idx="3">
                        <c:v>0.80000000000006211</c:v>
                      </c:pt>
                      <c:pt idx="4">
                        <c:v>0.90000000000004798</c:v>
                      </c:pt>
                      <c:pt idx="5">
                        <c:v>0.95000000000000251</c:v>
                      </c:pt>
                      <c:pt idx="6">
                        <c:v>0.99000000000014476</c:v>
                      </c:pt>
                      <c:pt idx="7">
                        <c:v>0.99999999999998379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BGSY_2!$J$110:$Q$110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-4.3984691047479858</c:v>
                      </c:pt>
                      <c:pt idx="1">
                        <c:v>-4.9980047021994185</c:v>
                      </c:pt>
                      <c:pt idx="2">
                        <c:v>-6.3492830908079778</c:v>
                      </c:pt>
                      <c:pt idx="3">
                        <c:v>-7.6648002518071294</c:v>
                      </c:pt>
                      <c:pt idx="4">
                        <c:v>-8.3355336047654198</c:v>
                      </c:pt>
                      <c:pt idx="5">
                        <c:v>-8.6480523324299057</c:v>
                      </c:pt>
                      <c:pt idx="6">
                        <c:v>-8.7985770004387689</c:v>
                      </c:pt>
                      <c:pt idx="7">
                        <c:v>-8.7169634528021849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47B-4863-BFCA-9F409FC0B429}"/>
                  </c:ext>
                </c:extLst>
              </c15:ser>
            </c15:filteredScatterSeries>
          </c:ext>
        </c:extLst>
      </c:scatterChart>
      <c:valAx>
        <c:axId val="666420911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4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embedded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emissions [kg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100">
                    <a:solidFill>
                      <a:schemeClr val="tx1"/>
                    </a:solidFill>
                  </a:rPr>
                  <a:t>/kg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1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218929422694E-3"/>
              <c:y val="0.127641055214292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6946761692904786"/>
          <c:y val="4.075116857710806E-2"/>
          <c:w val="0.25495743266246895"/>
          <c:h val="0.2349883501828984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58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4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BGSY_2!$J$128:$Q$128</c:f>
              <c:numCache>
                <c:formatCode>0.00</c:formatCode>
                <c:ptCount val="8"/>
                <c:pt idx="0">
                  <c:v>4.9191387951173819</c:v>
                </c:pt>
                <c:pt idx="1">
                  <c:v>4.2831891404342892</c:v>
                </c:pt>
                <c:pt idx="2">
                  <c:v>2.8554594269558891</c:v>
                </c:pt>
                <c:pt idx="3">
                  <c:v>1.4277297134778033</c:v>
                </c:pt>
                <c:pt idx="4">
                  <c:v>0.71386485673894318</c:v>
                </c:pt>
                <c:pt idx="5">
                  <c:v>0.35693242836940325</c:v>
                </c:pt>
                <c:pt idx="6">
                  <c:v>7.1386485674114403E-2</c:v>
                </c:pt>
                <c:pt idx="7">
                  <c:v>1.3649098653162594E-15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E-4D3C-BAEE-9245A642B5F6}"/>
            </c:ext>
          </c:extLst>
        </c:ser>
        <c:ser>
          <c:idx val="1"/>
          <c:order val="1"/>
          <c:tx>
            <c:v>Wind</c:v>
          </c:tx>
          <c:spPr>
            <a:ln w="158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BGSY_2!$J$130:$Q$130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3.5377177766518365E-2</c:v>
                </c:pt>
                <c:pt idx="3">
                  <c:v>5.3136123357868124E-2</c:v>
                </c:pt>
                <c:pt idx="4">
                  <c:v>9.7337509800362737E-2</c:v>
                </c:pt>
                <c:pt idx="5">
                  <c:v>0.12630269303574215</c:v>
                </c:pt>
                <c:pt idx="6">
                  <c:v>0.20535941959310366</c:v>
                </c:pt>
                <c:pt idx="7">
                  <c:v>0.55088589626418938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0E-4D3C-BAEE-9245A642B5F6}"/>
            </c:ext>
          </c:extLst>
        </c:ser>
        <c:ser>
          <c:idx val="3"/>
          <c:order val="3"/>
          <c:tx>
            <c:v>PV</c:v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BGSY_2!$J$129:$Q$129</c:f>
              <c:numCache>
                <c:formatCode>0.00</c:formatCode>
                <c:ptCount val="8"/>
                <c:pt idx="0">
                  <c:v>0.35639132451279681</c:v>
                </c:pt>
                <c:pt idx="1">
                  <c:v>0.46012658959165165</c:v>
                </c:pt>
                <c:pt idx="2">
                  <c:v>0.51843062140684393</c:v>
                </c:pt>
                <c:pt idx="3">
                  <c:v>0.68943973084141863</c:v>
                </c:pt>
                <c:pt idx="4">
                  <c:v>0.72174766618769182</c:v>
                </c:pt>
                <c:pt idx="5">
                  <c:v>0.78727689174706061</c:v>
                </c:pt>
                <c:pt idx="6">
                  <c:v>0.98761903004511431</c:v>
                </c:pt>
                <c:pt idx="7">
                  <c:v>0.81314091072134753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0E-4D3C-BAEE-9245A642B5F6}"/>
            </c:ext>
          </c:extLst>
        </c:ser>
        <c:ser>
          <c:idx val="5"/>
          <c:order val="5"/>
          <c:tx>
            <c:v>BESS (Li-ion)</c:v>
          </c:tx>
          <c:spPr>
            <a:ln w="15875" cap="rnd">
              <a:solidFill>
                <a:srgbClr val="B07BD7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BGSY_2!$L$97:$Q$97</c:f>
              <c:numCache>
                <c:formatCode>0%</c:formatCode>
                <c:ptCount val="6"/>
                <c:pt idx="0">
                  <c:v>0.60000000000001419</c:v>
                </c:pt>
                <c:pt idx="1">
                  <c:v>0.80000000000006211</c:v>
                </c:pt>
                <c:pt idx="2">
                  <c:v>0.90000000000004798</c:v>
                </c:pt>
                <c:pt idx="3">
                  <c:v>0.95000000000000251</c:v>
                </c:pt>
                <c:pt idx="4">
                  <c:v>0.99000000000014476</c:v>
                </c:pt>
                <c:pt idx="5">
                  <c:v>0.99999999999998379</c:v>
                </c:pt>
              </c:numCache>
            </c:numRef>
          </c:xVal>
          <c:yVal>
            <c:numRef>
              <c:f>BGSY_2!$J$131:$Q$131</c:f>
              <c:numCache>
                <c:formatCode>0.00</c:formatCode>
                <c:ptCount val="8"/>
                <c:pt idx="0">
                  <c:v>0</c:v>
                </c:pt>
                <c:pt idx="1">
                  <c:v>1.0051659917444659E-2</c:v>
                </c:pt>
                <c:pt idx="2">
                  <c:v>8.2736989430262295E-2</c:v>
                </c:pt>
                <c:pt idx="3">
                  <c:v>0.17868278377164215</c:v>
                </c:pt>
                <c:pt idx="4">
                  <c:v>0.19311104035913479</c:v>
                </c:pt>
                <c:pt idx="5">
                  <c:v>0.20796299069201021</c:v>
                </c:pt>
                <c:pt idx="6">
                  <c:v>0.26246236626984659</c:v>
                </c:pt>
                <c:pt idx="7">
                  <c:v>0.2688110222723521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0E-4D3C-BAEE-9245A642B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CO2 captured</c:v>
                </c:tx>
                <c:spPr>
                  <a:ln w="1270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BGSY_2!$J$5:$Q$5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0.31091455915221666</c:v>
                      </c:pt>
                      <c:pt idx="1">
                        <c:v>0.40000000000001379</c:v>
                      </c:pt>
                      <c:pt idx="2">
                        <c:v>0.60000000000001419</c:v>
                      </c:pt>
                      <c:pt idx="3">
                        <c:v>0.80000000000006211</c:v>
                      </c:pt>
                      <c:pt idx="4">
                        <c:v>0.90000000000004798</c:v>
                      </c:pt>
                      <c:pt idx="5">
                        <c:v>0.95000000000000251</c:v>
                      </c:pt>
                      <c:pt idx="6">
                        <c:v>0.99000000000014476</c:v>
                      </c:pt>
                      <c:pt idx="7">
                        <c:v>0.99999999999998379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BGSY_2!$J$109:$Q$109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-9.4245252972192066</c:v>
                      </c:pt>
                      <c:pt idx="1">
                        <c:v>-9.4245252972192066</c:v>
                      </c:pt>
                      <c:pt idx="2">
                        <c:v>-9.4245252972192066</c:v>
                      </c:pt>
                      <c:pt idx="3">
                        <c:v>-9.4245252972203968</c:v>
                      </c:pt>
                      <c:pt idx="4">
                        <c:v>-9.4245252972200717</c:v>
                      </c:pt>
                      <c:pt idx="5">
                        <c:v>-9.4245252972199971</c:v>
                      </c:pt>
                      <c:pt idx="6">
                        <c:v>-9.4245252972199971</c:v>
                      </c:pt>
                      <c:pt idx="7">
                        <c:v>-9.4245252972206099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40E-4D3C-BAEE-9245A642B5F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Net </c:v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0.31091455915221666</c:v>
                      </c:pt>
                      <c:pt idx="1">
                        <c:v>0.40000000000001379</c:v>
                      </c:pt>
                      <c:pt idx="2">
                        <c:v>0.60000000000001419</c:v>
                      </c:pt>
                      <c:pt idx="3">
                        <c:v>0.80000000000006211</c:v>
                      </c:pt>
                      <c:pt idx="4">
                        <c:v>0.90000000000004798</c:v>
                      </c:pt>
                      <c:pt idx="5">
                        <c:v>0.95000000000000251</c:v>
                      </c:pt>
                      <c:pt idx="6">
                        <c:v>0.99000000000014476</c:v>
                      </c:pt>
                      <c:pt idx="7">
                        <c:v>0.99999999999998379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BGSY_2!$J$110:$Q$110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-4.3984691047479858</c:v>
                      </c:pt>
                      <c:pt idx="1">
                        <c:v>-4.9980047021994185</c:v>
                      </c:pt>
                      <c:pt idx="2">
                        <c:v>-6.3492830908079778</c:v>
                      </c:pt>
                      <c:pt idx="3">
                        <c:v>-7.6648002518071294</c:v>
                      </c:pt>
                      <c:pt idx="4">
                        <c:v>-8.3355336047654198</c:v>
                      </c:pt>
                      <c:pt idx="5">
                        <c:v>-8.6480523324299057</c:v>
                      </c:pt>
                      <c:pt idx="6">
                        <c:v>-8.7985770004387689</c:v>
                      </c:pt>
                      <c:pt idx="7">
                        <c:v>-8.7169634528021849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40E-4D3C-BAEE-9245A642B5F6}"/>
                  </c:ext>
                </c:extLst>
              </c15:ser>
            </c15:filteredScatterSeries>
          </c:ext>
        </c:extLst>
      </c:scatterChart>
      <c:valAx>
        <c:axId val="666420911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.4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embedded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emissions [kg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100">
                    <a:solidFill>
                      <a:schemeClr val="tx1"/>
                    </a:solidFill>
                  </a:rPr>
                  <a:t>/kg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1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779454758238E-3"/>
              <c:y val="0.14565843399787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3050238428634717"/>
          <c:y val="4.075116857710806E-2"/>
          <c:w val="0.21465309698605339"/>
          <c:h val="0.339408499448238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35470349756061E-2"/>
          <c:y val="3.8805555555555558E-2"/>
          <c:w val="0.80291074005359719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BGSY_2!$J$6:$Q$6</c:f>
              <c:numCache>
                <c:formatCode>0.00</c:formatCode>
                <c:ptCount val="8"/>
                <c:pt idx="0">
                  <c:v>2.7612326668534277</c:v>
                </c:pt>
                <c:pt idx="1">
                  <c:v>3.5649480856616891</c:v>
                </c:pt>
                <c:pt idx="2">
                  <c:v>4.016673439743899</c:v>
                </c:pt>
                <c:pt idx="3">
                  <c:v>5.3416101226051387</c:v>
                </c:pt>
                <c:pt idx="4">
                  <c:v>5.5919240902600258</c:v>
                </c:pt>
                <c:pt idx="5">
                  <c:v>6.0996284753078269</c:v>
                </c:pt>
                <c:pt idx="6">
                  <c:v>7.651830279243768</c:v>
                </c:pt>
                <c:pt idx="7">
                  <c:v>6.3000165576652165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64-404A-9A64-21F6F7F97411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BGSY_2!$J$7:$Q$7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0.73794459298649895</c:v>
                </c:pt>
                <c:pt idx="3">
                  <c:v>1.1083844840025094</c:v>
                </c:pt>
                <c:pt idx="4">
                  <c:v>2.0303962494128895</c:v>
                </c:pt>
                <c:pt idx="5">
                  <c:v>2.6345908659105852</c:v>
                </c:pt>
                <c:pt idx="6">
                  <c:v>4.2836620351046903</c:v>
                </c:pt>
                <c:pt idx="7">
                  <c:v>11.491116424935511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64-404A-9A64-21F6F7F97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BGSY_2!$J$8:$Q$8</c:f>
              <c:numCache>
                <c:formatCode>0.00</c:formatCode>
                <c:ptCount val="8"/>
                <c:pt idx="0">
                  <c:v>0</c:v>
                </c:pt>
                <c:pt idx="1">
                  <c:v>0.64514152516602474</c:v>
                </c:pt>
                <c:pt idx="2">
                  <c:v>5.3102739236182046</c:v>
                </c:pt>
                <c:pt idx="3">
                  <c:v>11.468323101869203</c:v>
                </c:pt>
                <c:pt idx="4">
                  <c:v>12.394365918357554</c:v>
                </c:pt>
                <c:pt idx="5">
                  <c:v>13.34760249501617</c:v>
                </c:pt>
                <c:pt idx="6">
                  <c:v>16.845513344533003</c:v>
                </c:pt>
                <c:pt idx="7">
                  <c:v>17.252986503180502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64-404A-9A64-21F6F7F97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1.0918477553653536E-2"/>
              <c:y val="0.23188407878309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56197199"/>
        <c:scaling>
          <c:orientation val="minMax"/>
          <c:max val="3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9825368347563906E-2"/>
          <c:y val="3.8689902109920557E-2"/>
          <c:w val="0.30061038239988896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43674092581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70AD47">
                  <a:lumMod val="20000"/>
                  <a:lumOff val="80000"/>
                </a:srgb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BGSY_2!$J$56:$Q$56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BGSY_2!$J$78:$Q$78</c:f>
              <c:numCache>
                <c:formatCode>0</c:formatCode>
                <c:ptCount val="8"/>
                <c:pt idx="0">
                  <c:v>33.582505831104328</c:v>
                </c:pt>
                <c:pt idx="1">
                  <c:v>37.793830834617403</c:v>
                </c:pt>
                <c:pt idx="2">
                  <c:v>62.593032300282886</c:v>
                </c:pt>
                <c:pt idx="3">
                  <c:v>78.025345145006909</c:v>
                </c:pt>
                <c:pt idx="4">
                  <c:v>85.030239414759919</c:v>
                </c:pt>
                <c:pt idx="5">
                  <c:v>91.628266166327492</c:v>
                </c:pt>
                <c:pt idx="6">
                  <c:v>118.71471087991436</c:v>
                </c:pt>
                <c:pt idx="7">
                  <c:v>197.2779622624289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9-43E3-A3A5-F593771391C2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rgbClr val="FFC000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BGSY_2!$J$97:$Q$97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BGSY_2!$J$112:$Q$112</c:f>
              <c:numCache>
                <c:formatCode>0.00</c:formatCode>
                <c:ptCount val="8"/>
                <c:pt idx="0">
                  <c:v>24.786809246250176</c:v>
                </c:pt>
                <c:pt idx="1">
                  <c:v>24.786809246253597</c:v>
                </c:pt>
                <c:pt idx="2">
                  <c:v>24.786809246253053</c:v>
                </c:pt>
                <c:pt idx="3">
                  <c:v>24.786809246255924</c:v>
                </c:pt>
                <c:pt idx="4">
                  <c:v>24.786809246253785</c:v>
                </c:pt>
                <c:pt idx="5">
                  <c:v>24.786809246253739</c:v>
                </c:pt>
                <c:pt idx="6">
                  <c:v>24.786809246253355</c:v>
                </c:pt>
                <c:pt idx="7">
                  <c:v>24.786809246253654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9-43E3-A3A5-F593771391C2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rgbClr val="5B9BD5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BGSY_2!$J$92:$Q$92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BGSY_2!$J$113:$Q$113</c:f>
              <c:numCache>
                <c:formatCode>0.00</c:formatCode>
                <c:ptCount val="8"/>
                <c:pt idx="0">
                  <c:v>91.783552534810056</c:v>
                </c:pt>
                <c:pt idx="1">
                  <c:v>91.783552534810056</c:v>
                </c:pt>
                <c:pt idx="2">
                  <c:v>91.783552534810056</c:v>
                </c:pt>
                <c:pt idx="3">
                  <c:v>91.783552534820757</c:v>
                </c:pt>
                <c:pt idx="4">
                  <c:v>91.783552534813253</c:v>
                </c:pt>
                <c:pt idx="5">
                  <c:v>91.783552534813737</c:v>
                </c:pt>
                <c:pt idx="6">
                  <c:v>91.783552534811719</c:v>
                </c:pt>
                <c:pt idx="7">
                  <c:v>91.783552534812586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D9-43E3-A3A5-F59377139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ED9-43E3-A3A5-F593771391C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D9-43E3-A3A5-F593771391C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0.27381631271203366</c:v>
                      </c:pt>
                      <c:pt idx="1">
                        <c:v>0.40000000000002983</c:v>
                      </c:pt>
                      <c:pt idx="2">
                        <c:v>0.6000000000000506</c:v>
                      </c:pt>
                      <c:pt idx="3">
                        <c:v>0.80000000000004257</c:v>
                      </c:pt>
                      <c:pt idx="4">
                        <c:v>0.89999999999992752</c:v>
                      </c:pt>
                      <c:pt idx="5">
                        <c:v>0.94999999999996454</c:v>
                      </c:pt>
                      <c:pt idx="6">
                        <c:v>0.99000000000010169</c:v>
                      </c:pt>
                      <c:pt idx="7">
                        <c:v>1.0000000000000315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75.976879199049492</c:v>
                      </c:pt>
                      <c:pt idx="2">
                        <c:v>102.92294902939739</c:v>
                      </c:pt>
                      <c:pt idx="3">
                        <c:v>108.29066846271179</c:v>
                      </c:pt>
                      <c:pt idx="4">
                        <c:v>129.90884714304562</c:v>
                      </c:pt>
                      <c:pt idx="5">
                        <c:v>142.93029993798226</c:v>
                      </c:pt>
                      <c:pt idx="6">
                        <c:v>146.23390568758182</c:v>
                      </c:pt>
                      <c:pt idx="7">
                        <c:v>155.66294643147876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9-43E3-A3A5-F593771391C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9-43E3-A3A5-F593771391C2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D9-43E3-A3A5-F593771391C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rgbClr val="ED7D31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BGSY_2!$J$77:$Q$77</c:f>
              <c:numCache>
                <c:formatCode>0.0%</c:formatCode>
                <c:ptCount val="8"/>
                <c:pt idx="0">
                  <c:v>0.26191305166703582</c:v>
                </c:pt>
                <c:pt idx="1">
                  <c:v>0.26276148006476835</c:v>
                </c:pt>
                <c:pt idx="2">
                  <c:v>0.1473762075272797</c:v>
                </c:pt>
                <c:pt idx="3">
                  <c:v>0.15407333163405873</c:v>
                </c:pt>
                <c:pt idx="4">
                  <c:v>0.18707979638715577</c:v>
                </c:pt>
                <c:pt idx="5">
                  <c:v>0.24914269023456526</c:v>
                </c:pt>
                <c:pt idx="6">
                  <c:v>0.42489573001354841</c:v>
                </c:pt>
                <c:pt idx="7">
                  <c:v>0.59951498888841315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ED9-43E3-A3A5-F59377139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2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8698511595705"/>
              <c:y val="0.19122265099285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20179993077195"/>
          <c:h val="0.25155478952172855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BGfix_b2!$J$19:$Q$19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BGfix_b2!$J$26:$Q$26</c:f>
              <c:numCache>
                <c:formatCode>0</c:formatCode>
                <c:ptCount val="8"/>
                <c:pt idx="2">
                  <c:v>-70.012270249161119</c:v>
                </c:pt>
                <c:pt idx="3">
                  <c:v>-1607.1279677633993</c:v>
                </c:pt>
                <c:pt idx="4">
                  <c:v>-2764.6964642577404</c:v>
                </c:pt>
                <c:pt idx="5">
                  <c:v>-3283.4585556337888</c:v>
                </c:pt>
                <c:pt idx="6">
                  <c:v>-3368.8307722009285</c:v>
                </c:pt>
                <c:pt idx="7">
                  <c:v>-2369.337293347106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D-4029-8F38-A152731FA063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BGfix_b2!$J$19:$Q$19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BGfix_b2!$J$25:$Q$25</c:f>
              <c:numCache>
                <c:formatCode>0</c:formatCode>
                <c:ptCount val="8"/>
                <c:pt idx="2">
                  <c:v>-1200.6427598198127</c:v>
                </c:pt>
                <c:pt idx="3">
                  <c:v>-1538.7385081443158</c:v>
                </c:pt>
                <c:pt idx="4">
                  <c:v>-1843.4945905722461</c:v>
                </c:pt>
                <c:pt idx="5">
                  <c:v>-2399.8728127067297</c:v>
                </c:pt>
                <c:pt idx="6">
                  <c:v>-5892.7171216627257</c:v>
                </c:pt>
                <c:pt idx="7">
                  <c:v>-11008.181928340144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D-4029-8F38-A152731FA063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BGfix_b2!$J$19:$Q$19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BGfix_b2!$J$27:$Q$27</c:f>
              <c:numCache>
                <c:formatCode>0</c:formatCode>
                <c:ptCount val="8"/>
                <c:pt idx="2">
                  <c:v>65.874545077435386</c:v>
                </c:pt>
                <c:pt idx="3">
                  <c:v>1512.1467048685831</c:v>
                </c:pt>
                <c:pt idx="4">
                  <c:v>2601.3029032201093</c:v>
                </c:pt>
                <c:pt idx="5">
                  <c:v>3089.4061549958433</c:v>
                </c:pt>
                <c:pt idx="6">
                  <c:v>3169.7328735638548</c:v>
                </c:pt>
                <c:pt idx="7">
                  <c:v>2229.3094593102833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7D-4029-8F38-A152731FA063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BGfix_b2!$J$19:$Q$19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BGfix_b2!$J$22:$Q$22</c:f>
              <c:numCache>
                <c:formatCode>0</c:formatCode>
                <c:ptCount val="8"/>
                <c:pt idx="2">
                  <c:v>3195.6746572059169</c:v>
                </c:pt>
                <c:pt idx="3">
                  <c:v>5043.2378020028009</c:v>
                </c:pt>
                <c:pt idx="4">
                  <c:v>6963.8338363993153</c:v>
                </c:pt>
                <c:pt idx="5">
                  <c:v>8170.9838639557674</c:v>
                </c:pt>
                <c:pt idx="6">
                  <c:v>11566.46853575047</c:v>
                </c:pt>
                <c:pt idx="7">
                  <c:v>13221.614680987555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7D-4029-8F38-A152731FA063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BGfix_b2!$J$19:$Q$19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BGfix_b2!$J$23:$Q$23</c:f>
              <c:numCache>
                <c:formatCode>0</c:formatCode>
                <c:ptCount val="8"/>
                <c:pt idx="2">
                  <c:v>3815.1559527606864</c:v>
                </c:pt>
                <c:pt idx="3">
                  <c:v>4333.6719885398998</c:v>
                </c:pt>
                <c:pt idx="4">
                  <c:v>3754.14308715267</c:v>
                </c:pt>
                <c:pt idx="5">
                  <c:v>3617.9794975471304</c:v>
                </c:pt>
                <c:pt idx="6">
                  <c:v>4107.5441336841741</c:v>
                </c:pt>
                <c:pt idx="7">
                  <c:v>7605.5826057706645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7D-4029-8F38-A152731FA063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BGfix_b2!$J$19:$Q$19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BGfix_b2!$J$24:$Q$24</c:f>
              <c:numCache>
                <c:formatCode>0</c:formatCode>
                <c:ptCount val="8"/>
                <c:pt idx="2">
                  <c:v>3872.9373994035946</c:v>
                </c:pt>
                <c:pt idx="3">
                  <c:v>1935.7975048744022</c:v>
                </c:pt>
                <c:pt idx="4">
                  <c:v>967.8987524372593</c:v>
                </c:pt>
                <c:pt idx="5">
                  <c:v>483.94937621892319</c:v>
                </c:pt>
                <c:pt idx="6">
                  <c:v>96.789875245471293</c:v>
                </c:pt>
                <c:pt idx="7">
                  <c:v>8.3669976902456259E-10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7D-4029-8F38-A152731FA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BGfix_b2!$J$50:$Q$50</c:f>
              <c:numCache>
                <c:formatCode>0.000</c:formatCode>
                <c:ptCount val="8"/>
                <c:pt idx="2">
                  <c:v>3.6463504625425411</c:v>
                </c:pt>
                <c:pt idx="3">
                  <c:v>3.687566544924588</c:v>
                </c:pt>
                <c:pt idx="4">
                  <c:v>3.764241273675236</c:v>
                </c:pt>
                <c:pt idx="5">
                  <c:v>3.8359745109136578</c:v>
                </c:pt>
                <c:pt idx="6">
                  <c:v>4.0854102883749865</c:v>
                </c:pt>
                <c:pt idx="7">
                  <c:v>4.5397207345316168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38-4F54-B0FC-39728995469C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BGfix_b2!$J$51:$Q$51</c:f>
              <c:numCache>
                <c:formatCode>0.000</c:formatCode>
                <c:ptCount val="8"/>
                <c:pt idx="2">
                  <c:v>3.5799362325230133</c:v>
                </c:pt>
                <c:pt idx="3">
                  <c:v>3.602450358295417</c:v>
                </c:pt>
                <c:pt idx="4">
                  <c:v>3.6622673328201305</c:v>
                </c:pt>
                <c:pt idx="5">
                  <c:v>3.7032241955537173</c:v>
                </c:pt>
                <c:pt idx="6">
                  <c:v>3.7594513241808434</c:v>
                </c:pt>
                <c:pt idx="7">
                  <c:v>3.9307969554091069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38-4F54-B0FC-39728995469C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BGfix_b2!$J$52:$Q$52</c:f>
              <c:numCache>
                <c:formatCode>0.000</c:formatCode>
                <c:ptCount val="8"/>
                <c:pt idx="2">
                  <c:v>3.5135220025034859</c:v>
                </c:pt>
                <c:pt idx="3">
                  <c:v>3.5173341716662461</c:v>
                </c:pt>
                <c:pt idx="4">
                  <c:v>3.560293391965025</c:v>
                </c:pt>
                <c:pt idx="5">
                  <c:v>3.5704738801937763</c:v>
                </c:pt>
                <c:pt idx="6">
                  <c:v>3.4334923599867007</c:v>
                </c:pt>
                <c:pt idx="7">
                  <c:v>3.321873176286597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38-4F54-B0FC-397289954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BGfix_b2!$J$63:$Q$63</c:f>
              <c:numCache>
                <c:formatCode>#,##0\ "€"</c:formatCode>
                <c:ptCount val="8"/>
                <c:pt idx="2">
                  <c:v>1379677.4918294421</c:v>
                </c:pt>
                <c:pt idx="3">
                  <c:v>1379677.4918294421</c:v>
                </c:pt>
                <c:pt idx="4">
                  <c:v>1379677.4918294421</c:v>
                </c:pt>
                <c:pt idx="5">
                  <c:v>1379677.4918294421</c:v>
                </c:pt>
                <c:pt idx="6">
                  <c:v>1379676.3057845081</c:v>
                </c:pt>
                <c:pt idx="7">
                  <c:v>1379676.6941403588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9-4A46-931F-977FA059A42B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BGfix_b2!$J$64:$Q$64</c:f>
              <c:numCache>
                <c:formatCode>#,##0\ "€"</c:formatCode>
                <c:ptCount val="8"/>
                <c:pt idx="2">
                  <c:v>2105340.1375109223</c:v>
                </c:pt>
                <c:pt idx="3">
                  <c:v>2105340.1797063397</c:v>
                </c:pt>
                <c:pt idx="4">
                  <c:v>2105340.3589772987</c:v>
                </c:pt>
                <c:pt idx="5">
                  <c:v>2105340.5966424472</c:v>
                </c:pt>
                <c:pt idx="6">
                  <c:v>2105341.1158316038</c:v>
                </c:pt>
                <c:pt idx="7">
                  <c:v>2105341.7698326386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9-4A46-931F-977FA059A42B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BGfix_b2!$J$57:$Q$57</c:f>
              <c:numCache>
                <c:formatCode>#,##0\ "€"</c:formatCode>
                <c:ptCount val="8"/>
                <c:pt idx="2">
                  <c:v>589142.3849038257</c:v>
                </c:pt>
                <c:pt idx="3">
                  <c:v>929752.07585958694</c:v>
                </c:pt>
                <c:pt idx="4">
                  <c:v>1283825.8316437528</c:v>
                </c:pt>
                <c:pt idx="5">
                  <c:v>1506371.4041624323</c:v>
                </c:pt>
                <c:pt idx="6">
                  <c:v>2132350.0008680741</c:v>
                </c:pt>
                <c:pt idx="7">
                  <c:v>2437486.4280605409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9-4A46-931F-977FA059A42B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BGfix_b2!$J$58:$Q$58</c:f>
              <c:numCache>
                <c:formatCode>#,##0\ "€"</c:formatCode>
                <c:ptCount val="8"/>
                <c:pt idx="2">
                  <c:v>1597933.8369559471</c:v>
                </c:pt>
                <c:pt idx="3">
                  <c:v>1815108.2667394378</c:v>
                </c:pt>
                <c:pt idx="4">
                  <c:v>1572379.3055942238</c:v>
                </c:pt>
                <c:pt idx="5">
                  <c:v>1515348.7648021441</c:v>
                </c:pt>
                <c:pt idx="6">
                  <c:v>1720397.2365151686</c:v>
                </c:pt>
                <c:pt idx="7">
                  <c:v>3185510.0934289116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9-4A46-931F-977FA059A42B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BGfix_b2!$J$59:$Q$59</c:f>
              <c:numCache>
                <c:formatCode>#,##0\ "€"</c:formatCode>
                <c:ptCount val="8"/>
                <c:pt idx="2">
                  <c:v>31177.034994797847</c:v>
                </c:pt>
                <c:pt idx="3">
                  <c:v>841350.73347973207</c:v>
                </c:pt>
                <c:pt idx="4">
                  <c:v>1501559.3775624495</c:v>
                </c:pt>
                <c:pt idx="5">
                  <c:v>1893448.0327216026</c:v>
                </c:pt>
                <c:pt idx="6">
                  <c:v>2490228.6815785845</c:v>
                </c:pt>
                <c:pt idx="7">
                  <c:v>3189319.6955423844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F9-4A46-931F-977FA059A42B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BGfix_b2!$J$60:$Q$60</c:f>
              <c:numCache>
                <c:formatCode>#,##0\ "€"</c:formatCode>
                <c:ptCount val="8"/>
                <c:pt idx="2">
                  <c:v>66223.07777133667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F9-4A46-931F-977FA059A42B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BGfix_b2!$J$61:$Q$61</c:f>
              <c:numCache>
                <c:formatCode>#,##0\ "€"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F9-4A46-931F-977FA059A42B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BGfix_b2!$J$62:$Q$62</c:f>
              <c:numCache>
                <c:formatCode>#,##0\ "€"</c:formatCode>
                <c:ptCount val="8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F9-4A46-931F-977FA059A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BGfix_b2!$J$31:$Q$31</c:f>
              <c:numCache>
                <c:formatCode>0.000</c:formatCode>
                <c:ptCount val="8"/>
                <c:pt idx="2">
                  <c:v>0.10862914203035678</c:v>
                </c:pt>
                <c:pt idx="3">
                  <c:v>0.17143253123443553</c:v>
                </c:pt>
                <c:pt idx="4">
                  <c:v>0.23671849485177726</c:v>
                </c:pt>
                <c:pt idx="5">
                  <c:v>0.27775260685060937</c:v>
                </c:pt>
                <c:pt idx="6">
                  <c:v>0.39317380150896908</c:v>
                </c:pt>
                <c:pt idx="7">
                  <c:v>0.44943644554460133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3-46E6-84CC-15974A6FF536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BGfix_b2!$J$32:$Q$32</c:f>
              <c:numCache>
                <c:formatCode>0.000</c:formatCode>
                <c:ptCount val="8"/>
                <c:pt idx="2">
                  <c:v>0.29463536519806993</c:v>
                </c:pt>
                <c:pt idx="3">
                  <c:v>0.33467911791861821</c:v>
                </c:pt>
                <c:pt idx="4">
                  <c:v>0.28992348758069841</c:v>
                </c:pt>
                <c:pt idx="5">
                  <c:v>0.2794078993723792</c:v>
                </c:pt>
                <c:pt idx="6">
                  <c:v>0.31721580477446343</c:v>
                </c:pt>
                <c:pt idx="7">
                  <c:v>0.58736094574947173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3-46E6-84CC-15974A6FF536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BGfix_b2!$J$33:$Q$33</c:f>
              <c:numCache>
                <c:formatCode>0.000</c:formatCode>
                <c:ptCount val="8"/>
                <c:pt idx="2">
                  <c:v>5.7485841272278604E-3</c:v>
                </c:pt>
                <c:pt idx="3">
                  <c:v>0.1551326312049687</c:v>
                </c:pt>
                <c:pt idx="4">
                  <c:v>0.27686534031805266</c:v>
                </c:pt>
                <c:pt idx="5">
                  <c:v>0.34912381207674203</c:v>
                </c:pt>
                <c:pt idx="6">
                  <c:v>0.45916133700580775</c:v>
                </c:pt>
                <c:pt idx="7">
                  <c:v>0.58806338003304681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3-46E6-84CC-15974A6FF536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BGfix_b2!$J$34:$Q$34</c:f>
              <c:numCache>
                <c:formatCode>0.000</c:formatCode>
                <c:ptCount val="8"/>
                <c:pt idx="2">
                  <c:v>1.2210556064616258E-2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3-46E6-84CC-15974A6FF536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BGfix_b2!$J$36:$Q$36</c:f>
              <c:numCache>
                <c:formatCode>0.000</c:formatCode>
                <c:ptCount val="8"/>
                <c:pt idx="2">
                  <c:v>0.64258570548732796</c:v>
                </c:pt>
                <c:pt idx="3">
                  <c:v>0.64258571326744207</c:v>
                </c:pt>
                <c:pt idx="4">
                  <c:v>0.64258574632222132</c:v>
                </c:pt>
                <c:pt idx="5">
                  <c:v>0.64258579014436612</c:v>
                </c:pt>
                <c:pt idx="6">
                  <c:v>0.64258566718595944</c:v>
                </c:pt>
                <c:pt idx="7">
                  <c:v>0.64258585938121471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3-46E6-84CC-15974A6FF536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BGfix_b2!$J$37:$Q$37</c:f>
              <c:numCache>
                <c:formatCode>0.000</c:formatCode>
                <c:ptCount val="8"/>
                <c:pt idx="2">
                  <c:v>2.1299831770658192E-2</c:v>
                </c:pt>
                <c:pt idx="3">
                  <c:v>3.3614221810673632E-2</c:v>
                </c:pt>
                <c:pt idx="4">
                  <c:v>4.6415391147407309E-2</c:v>
                </c:pt>
                <c:pt idx="5">
                  <c:v>5.4461295460903801E-2</c:v>
                </c:pt>
                <c:pt idx="6">
                  <c:v>7.7092902256660614E-2</c:v>
                </c:pt>
                <c:pt idx="7">
                  <c:v>8.812479324403949E-2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3-46E6-84CC-15974A6FF536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BGfix_b2!$J$38:$Q$38</c:f>
              <c:numCache>
                <c:formatCode>0.000</c:formatCode>
                <c:ptCount val="8"/>
                <c:pt idx="2">
                  <c:v>5.8927073039613982E-2</c:v>
                </c:pt>
                <c:pt idx="3">
                  <c:v>6.693582358372363E-2</c:v>
                </c:pt>
                <c:pt idx="4">
                  <c:v>5.7984697516139681E-2</c:v>
                </c:pt>
                <c:pt idx="5">
                  <c:v>5.588157987447584E-2</c:v>
                </c:pt>
                <c:pt idx="6">
                  <c:v>6.3443160954892663E-2</c:v>
                </c:pt>
                <c:pt idx="7">
                  <c:v>0.11747218914989434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3-46E6-84CC-15974A6FF536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BGfix_b2!$J$39:$Q$39</c:f>
              <c:numCache>
                <c:formatCode>0.000</c:formatCode>
                <c:ptCount val="8"/>
                <c:pt idx="2">
                  <c:v>1.1589887353281975E-3</c:v>
                </c:pt>
                <c:pt idx="3">
                  <c:v>3.127674016229208E-2</c:v>
                </c:pt>
                <c:pt idx="4">
                  <c:v>5.5819625064123517E-2</c:v>
                </c:pt>
                <c:pt idx="5">
                  <c:v>7.038786533805283E-2</c:v>
                </c:pt>
                <c:pt idx="6">
                  <c:v>9.2572850202783816E-2</c:v>
                </c:pt>
                <c:pt idx="7">
                  <c:v>0.11856116532924327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3-46E6-84CC-15974A6FF536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BGfix_b2!$J$40:$Q$40</c:f>
              <c:numCache>
                <c:formatCode>0.000</c:formatCode>
                <c:ptCount val="8"/>
                <c:pt idx="2">
                  <c:v>0.26191850462077765</c:v>
                </c:pt>
                <c:pt idx="3">
                  <c:v>0.25703428530697681</c:v>
                </c:pt>
                <c:pt idx="4">
                  <c:v>0.25703429852888854</c:v>
                </c:pt>
                <c:pt idx="5">
                  <c:v>0.25703431605774646</c:v>
                </c:pt>
                <c:pt idx="6">
                  <c:v>0.25703426687438374</c:v>
                </c:pt>
                <c:pt idx="7">
                  <c:v>0.25703434375248585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3-46E6-84CC-15974A6FF536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BGfix_b2!$J$42:$Q$42</c:f>
              <c:numCache>
                <c:formatCode>0.000</c:formatCode>
                <c:ptCount val="8"/>
                <c:pt idx="2">
                  <c:v>5.1636908452990559E-3</c:v>
                </c:pt>
                <c:pt idx="3">
                  <c:v>0.11853225077302973</c:v>
                </c:pt>
                <c:pt idx="4">
                  <c:v>0.203907654639785</c:v>
                </c:pt>
                <c:pt idx="5">
                  <c:v>0.2421684773869702</c:v>
                </c:pt>
                <c:pt idx="6">
                  <c:v>0.24846502699977396</c:v>
                </c:pt>
                <c:pt idx="7">
                  <c:v>0.17474830122692953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3-46E6-84CC-15974A6FF536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BGfix_b2!$J$44:$Q$44</c:f>
              <c:numCache>
                <c:formatCode>0.000</c:formatCode>
                <c:ptCount val="8"/>
                <c:pt idx="2">
                  <c:v>8.4786537489434752E-2</c:v>
                </c:pt>
                <c:pt idx="3">
                  <c:v>8.4786537489413713E-2</c:v>
                </c:pt>
                <c:pt idx="4">
                  <c:v>8.4786537489401945E-2</c:v>
                </c:pt>
                <c:pt idx="5">
                  <c:v>8.4786537489430033E-2</c:v>
                </c:pt>
                <c:pt idx="6">
                  <c:v>8.4786471195379548E-2</c:v>
                </c:pt>
                <c:pt idx="7">
                  <c:v>8.4786496462884386E-2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3-46E6-84CC-15974A6FF536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BGfix_b2!$J$45:$Q$45</c:f>
              <c:numCache>
                <c:formatCode>0.000</c:formatCode>
                <c:ptCount val="8"/>
                <c:pt idx="2">
                  <c:v>1.902773079518788</c:v>
                </c:pt>
                <c:pt idx="3">
                  <c:v>1.9027730795185016</c:v>
                </c:pt>
                <c:pt idx="4">
                  <c:v>1.9027730795181046</c:v>
                </c:pt>
                <c:pt idx="5">
                  <c:v>1.9027730795187165</c:v>
                </c:pt>
                <c:pt idx="6">
                  <c:v>1.9027730795185254</c:v>
                </c:pt>
                <c:pt idx="7">
                  <c:v>1.9027730795187112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3-46E6-84CC-15974A6FF536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BGfix_b2!$J$46:$Q$46</c:f>
              <c:numCache>
                <c:formatCode>0.000</c:formatCode>
                <c:ptCount val="8"/>
                <c:pt idx="2">
                  <c:v>0.71773966847613535</c:v>
                </c:pt>
                <c:pt idx="3">
                  <c:v>0.36000987751555141</c:v>
                </c:pt>
                <c:pt idx="4">
                  <c:v>0.18065318555960572</c:v>
                </c:pt>
                <c:pt idx="5">
                  <c:v>9.0837516204317167E-2</c:v>
                </c:pt>
                <c:pt idx="6">
                  <c:v>1.8332184758355345E-2</c:v>
                </c:pt>
                <c:pt idx="7">
                  <c:v>1.6032787926453704E-13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C3-46E6-84CC-15974A6FF536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BGfix_b2!$J$48:$Q$48</c:f>
              <c:numCache>
                <c:formatCode>0.000</c:formatCode>
                <c:ptCount val="8"/>
                <c:pt idx="2">
                  <c:v>-6.6414230019527676E-2</c:v>
                </c:pt>
                <c:pt idx="3">
                  <c:v>-8.5116186629170962E-2</c:v>
                </c:pt>
                <c:pt idx="4">
                  <c:v>-0.10197394085510547</c:v>
                </c:pt>
                <c:pt idx="5">
                  <c:v>-0.13275031535994067</c:v>
                </c:pt>
                <c:pt idx="6">
                  <c:v>-0.32595896419414294</c:v>
                </c:pt>
                <c:pt idx="7">
                  <c:v>-0.60892377912251006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44C3-46E6-84CC-15974A6FF536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cat>
          <c:val>
            <c:numRef>
              <c:f>BGfix_b2!$J$47:$Q$47</c:f>
              <c:numCache>
                <c:formatCode>0.000</c:formatCode>
                <c:ptCount val="8"/>
                <c:pt idx="2">
                  <c:v>-0.47122626486109281</c:v>
                </c:pt>
                <c:pt idx="3">
                  <c:v>-0.47122626486103919</c:v>
                </c:pt>
                <c:pt idx="4">
                  <c:v>-0.47122626486096963</c:v>
                </c:pt>
                <c:pt idx="5">
                  <c:v>-0.47122626486105129</c:v>
                </c:pt>
                <c:pt idx="6">
                  <c:v>-0.47122626486096875</c:v>
                </c:pt>
                <c:pt idx="7">
                  <c:v>-0.47122626486106722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4C3-46E6-84CC-15974A6FF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BGfix_b2!$J$50:$Q$50</c:f>
              <c:numCache>
                <c:formatCode>0.000</c:formatCode>
                <c:ptCount val="8"/>
                <c:pt idx="2">
                  <c:v>3.6463504625425411</c:v>
                </c:pt>
                <c:pt idx="3">
                  <c:v>3.687566544924588</c:v>
                </c:pt>
                <c:pt idx="4">
                  <c:v>3.764241273675236</c:v>
                </c:pt>
                <c:pt idx="5">
                  <c:v>3.8359745109136578</c:v>
                </c:pt>
                <c:pt idx="6">
                  <c:v>4.0854102883749865</c:v>
                </c:pt>
                <c:pt idx="7">
                  <c:v>4.5397207345316168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4C3-46E6-84CC-15974A6FF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BGfix_b2!$J$97:$Q$97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BGfix_b2!$J$105:$Q$105</c:f>
              <c:numCache>
                <c:formatCode>0.00</c:formatCode>
                <c:ptCount val="8"/>
                <c:pt idx="2">
                  <c:v>2.8564494941446323</c:v>
                </c:pt>
                <c:pt idx="3">
                  <c:v>1.4277297134768334</c:v>
                </c:pt>
                <c:pt idx="4">
                  <c:v>0.71386485673851352</c:v>
                </c:pt>
                <c:pt idx="5">
                  <c:v>0.35693242836947414</c:v>
                </c:pt>
                <c:pt idx="6">
                  <c:v>7.1386485675138792E-2</c:v>
                </c:pt>
                <c:pt idx="7">
                  <c:v>6.1710024859917721E-13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4-4B7B-AE75-A086DAFC25E5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BGfix_b2!$J$107:$Q$107</c:f>
              <c:numCache>
                <c:formatCode>0.00</c:formatCode>
                <c:ptCount val="8"/>
                <c:pt idx="2">
                  <c:v>4.4784575510099185E-2</c:v>
                </c:pt>
                <c:pt idx="3">
                  <c:v>5.0871225923622525E-2</c:v>
                </c:pt>
                <c:pt idx="4">
                  <c:v>4.4068370112272243E-2</c:v>
                </c:pt>
                <c:pt idx="5">
                  <c:v>4.2470000704593946E-2</c:v>
                </c:pt>
                <c:pt idx="6">
                  <c:v>4.8216802325714542E-2</c:v>
                </c:pt>
                <c:pt idx="7">
                  <c:v>8.9278863753903481E-2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4-4B7B-AE75-A086DAFC25E5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BGfix_b2!$J$109:$Q$109</c:f>
              <c:numCache>
                <c:formatCode>0.00</c:formatCode>
                <c:ptCount val="8"/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84-4B7B-AE75-A086DAFC25E5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BGfix_b2!$J$97:$Q$97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BGfix_b2!$J$106:$Q$106</c:f>
              <c:numCache>
                <c:formatCode>0.00</c:formatCode>
                <c:ptCount val="8"/>
                <c:pt idx="2">
                  <c:v>7.4549411197291277E-2</c:v>
                </c:pt>
                <c:pt idx="3">
                  <c:v>0.11764977633734053</c:v>
                </c:pt>
                <c:pt idx="4">
                  <c:v>0.16245386901594802</c:v>
                </c:pt>
                <c:pt idx="5">
                  <c:v>0.19061453411312873</c:v>
                </c:pt>
                <c:pt idx="6">
                  <c:v>0.26982515789829037</c:v>
                </c:pt>
                <c:pt idx="7">
                  <c:v>0.30843677635408223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84-4B7B-AE75-A086DAFC25E5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BGfix_b2!$J$72:$Q$72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BGfix_b2!$J$110:$Q$110</c:f>
              <c:numCache>
                <c:formatCode>0.00</c:formatCode>
                <c:ptCount val="8"/>
                <c:pt idx="2">
                  <c:v>-6.4466788164183004</c:v>
                </c:pt>
                <c:pt idx="3">
                  <c:v>-7.772601983993729</c:v>
                </c:pt>
                <c:pt idx="4">
                  <c:v>-8.4047792687391834</c:v>
                </c:pt>
                <c:pt idx="5">
                  <c:v>-8.7092179337310895</c:v>
                </c:pt>
                <c:pt idx="6">
                  <c:v>-8.8703171779599117</c:v>
                </c:pt>
                <c:pt idx="7">
                  <c:v>-8.815770782825993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84-4B7B-AE75-A086DAFC25E5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BGfix_b2!$L$97:$Q$97</c:f>
              <c:numCache>
                <c:formatCode>0%</c:formatCode>
                <c:ptCount val="6"/>
                <c:pt idx="0">
                  <c:v>0.59986130887667632</c:v>
                </c:pt>
                <c:pt idx="1">
                  <c:v>0.8000000000000651</c:v>
                </c:pt>
                <c:pt idx="2">
                  <c:v>0.90000000000011726</c:v>
                </c:pt>
                <c:pt idx="3">
                  <c:v>0.94999999999991647</c:v>
                </c:pt>
                <c:pt idx="4">
                  <c:v>0.98999999999994415</c:v>
                </c:pt>
                <c:pt idx="5">
                  <c:v>1.0000000000003633</c:v>
                </c:pt>
              </c:numCache>
            </c:numRef>
          </c:xVal>
          <c:yVal>
            <c:numRef>
              <c:f>BGfix_b2!$L$108:$Q$108</c:f>
              <c:numCache>
                <c:formatCode>0.00</c:formatCode>
                <c:ptCount val="6"/>
                <c:pt idx="0">
                  <c:v>2.0629999488838494E-3</c:v>
                </c:pt>
                <c:pt idx="1">
                  <c:v>5.567259748887176E-2</c:v>
                </c:pt>
                <c:pt idx="2">
                  <c:v>9.93589326141536E-2</c:v>
                </c:pt>
                <c:pt idx="3">
                  <c:v>0.12529040030171132</c:v>
                </c:pt>
                <c:pt idx="4">
                  <c:v>0.1647796733609419</c:v>
                </c:pt>
                <c:pt idx="5">
                  <c:v>0.2110388742860147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84-4B7B-AE75-A086DAFC2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46202173486239589"/>
          <c:h val="0.149675077204896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BGfix_b2!$J$97:$Q$97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BGfix_b2!$J$105:$Q$105</c:f>
              <c:numCache>
                <c:formatCode>0.00</c:formatCode>
                <c:ptCount val="8"/>
                <c:pt idx="2">
                  <c:v>2.8564494941446323</c:v>
                </c:pt>
                <c:pt idx="3">
                  <c:v>1.4277297134768334</c:v>
                </c:pt>
                <c:pt idx="4">
                  <c:v>0.71386485673851352</c:v>
                </c:pt>
                <c:pt idx="5">
                  <c:v>0.35693242836947414</c:v>
                </c:pt>
                <c:pt idx="6">
                  <c:v>7.1386485675138792E-2</c:v>
                </c:pt>
                <c:pt idx="7">
                  <c:v>6.1710024859917721E-13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61-40BC-B496-DF113295113B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BGfix_b2!$J$107:$Q$107</c:f>
              <c:numCache>
                <c:formatCode>0.00</c:formatCode>
                <c:ptCount val="8"/>
                <c:pt idx="2">
                  <c:v>4.4784575510099185E-2</c:v>
                </c:pt>
                <c:pt idx="3">
                  <c:v>5.0871225923622525E-2</c:v>
                </c:pt>
                <c:pt idx="4">
                  <c:v>4.4068370112272243E-2</c:v>
                </c:pt>
                <c:pt idx="5">
                  <c:v>4.2470000704593946E-2</c:v>
                </c:pt>
                <c:pt idx="6">
                  <c:v>4.8216802325714542E-2</c:v>
                </c:pt>
                <c:pt idx="7">
                  <c:v>8.9278863753903481E-2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61-40BC-B496-DF113295113B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BGfix_b2!$J$109:$Q$109</c:f>
              <c:numCache>
                <c:formatCode>0.00</c:formatCode>
                <c:ptCount val="8"/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61-40BC-B496-DF113295113B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BGfix_b2!$J$97:$Q$97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BGfix_b2!$J$106:$Q$106</c:f>
              <c:numCache>
                <c:formatCode>0.00</c:formatCode>
                <c:ptCount val="8"/>
                <c:pt idx="2">
                  <c:v>7.4549411197291277E-2</c:v>
                </c:pt>
                <c:pt idx="3">
                  <c:v>0.11764977633734053</c:v>
                </c:pt>
                <c:pt idx="4">
                  <c:v>0.16245386901594802</c:v>
                </c:pt>
                <c:pt idx="5">
                  <c:v>0.19061453411312873</c:v>
                </c:pt>
                <c:pt idx="6">
                  <c:v>0.26982515789829037</c:v>
                </c:pt>
                <c:pt idx="7">
                  <c:v>0.30843677635408223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61-40BC-B496-DF113295113B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BGfix_b2!$J$72:$Q$72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BGfix_b2!$J$110:$Q$110</c:f>
              <c:numCache>
                <c:formatCode>0.00</c:formatCode>
                <c:ptCount val="8"/>
                <c:pt idx="2">
                  <c:v>-6.4466788164183004</c:v>
                </c:pt>
                <c:pt idx="3">
                  <c:v>-7.772601983993729</c:v>
                </c:pt>
                <c:pt idx="4">
                  <c:v>-8.4047792687391834</c:v>
                </c:pt>
                <c:pt idx="5">
                  <c:v>-8.7092179337310895</c:v>
                </c:pt>
                <c:pt idx="6">
                  <c:v>-8.8703171779599117</c:v>
                </c:pt>
                <c:pt idx="7">
                  <c:v>-8.815770782825993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D61-40BC-B496-DF113295113B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BGfix_b2!$L$97:$Q$97</c:f>
              <c:numCache>
                <c:formatCode>0%</c:formatCode>
                <c:ptCount val="6"/>
                <c:pt idx="0">
                  <c:v>0.59986130887667632</c:v>
                </c:pt>
                <c:pt idx="1">
                  <c:v>0.8000000000000651</c:v>
                </c:pt>
                <c:pt idx="2">
                  <c:v>0.90000000000011726</c:v>
                </c:pt>
                <c:pt idx="3">
                  <c:v>0.94999999999991647</c:v>
                </c:pt>
                <c:pt idx="4">
                  <c:v>0.98999999999994415</c:v>
                </c:pt>
                <c:pt idx="5">
                  <c:v>1.0000000000003633</c:v>
                </c:pt>
              </c:numCache>
            </c:numRef>
          </c:xVal>
          <c:yVal>
            <c:numRef>
              <c:f>BGfix_b2!$L$108:$Q$108</c:f>
              <c:numCache>
                <c:formatCode>0.00</c:formatCode>
                <c:ptCount val="6"/>
                <c:pt idx="0">
                  <c:v>2.0629999488838494E-3</c:v>
                </c:pt>
                <c:pt idx="1">
                  <c:v>5.567259748887176E-2</c:v>
                </c:pt>
                <c:pt idx="2">
                  <c:v>9.93589326141536E-2</c:v>
                </c:pt>
                <c:pt idx="3">
                  <c:v>0.12529040030171132</c:v>
                </c:pt>
                <c:pt idx="4">
                  <c:v>0.1647796733609419</c:v>
                </c:pt>
                <c:pt idx="5">
                  <c:v>0.2110388742860147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61-40BC-B496-DF1132951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21465309698605339"/>
          <c:h val="0.339408499448238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BGfix_b2!$J$56:$Q$56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BGfix_b2!$J$78:$Q$78</c:f>
              <c:numCache>
                <c:formatCode>0</c:formatCode>
                <c:ptCount val="8"/>
                <c:pt idx="2">
                  <c:v>46.290484610366086</c:v>
                </c:pt>
                <c:pt idx="3">
                  <c:v>63.849852537351332</c:v>
                </c:pt>
                <c:pt idx="4">
                  <c:v>72.695657547651237</c:v>
                </c:pt>
                <c:pt idx="5">
                  <c:v>78.398063800538651</c:v>
                </c:pt>
                <c:pt idx="6">
                  <c:v>93.452025104600452</c:v>
                </c:pt>
                <c:pt idx="7">
                  <c:v>119.00107983900219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17-4BA8-AABE-6F434BBCBFC5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BGfix_b2!$J$97:$Q$97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BGfix_b2!$J$112:$Q$112</c:f>
              <c:numCache>
                <c:formatCode>0.00</c:formatCode>
                <c:ptCount val="8"/>
                <c:pt idx="0">
                  <c:v>22.050445529617065</c:v>
                </c:pt>
                <c:pt idx="1">
                  <c:v>22.050445529617065</c:v>
                </c:pt>
                <c:pt idx="2">
                  <c:v>22.050445529617065</c:v>
                </c:pt>
                <c:pt idx="3">
                  <c:v>22.050445529616752</c:v>
                </c:pt>
                <c:pt idx="4">
                  <c:v>22.050445529610347</c:v>
                </c:pt>
                <c:pt idx="5">
                  <c:v>22.050445529617384</c:v>
                </c:pt>
                <c:pt idx="6">
                  <c:v>22.050445529615263</c:v>
                </c:pt>
                <c:pt idx="7">
                  <c:v>22.050445529617406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17-4BA8-AABE-6F434BBCBFC5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BGfix_b2!$J$97:$Q$97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BGfix_b2!$J$113:$Q$113</c:f>
              <c:numCache>
                <c:formatCode>0.00</c:formatCode>
                <c:ptCount val="8"/>
                <c:pt idx="0">
                  <c:v>50.260608690449928</c:v>
                </c:pt>
                <c:pt idx="1">
                  <c:v>50.260608690449928</c:v>
                </c:pt>
                <c:pt idx="2">
                  <c:v>50.260608690449928</c:v>
                </c:pt>
                <c:pt idx="3">
                  <c:v>50.260608690449118</c:v>
                </c:pt>
                <c:pt idx="4">
                  <c:v>50.26060869043468</c:v>
                </c:pt>
                <c:pt idx="5">
                  <c:v>50.260608690450837</c:v>
                </c:pt>
                <c:pt idx="6">
                  <c:v>50.260608690445906</c:v>
                </c:pt>
                <c:pt idx="7">
                  <c:v>50.260608690450844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17-4BA8-AABE-6F434BBCB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5417-4BA8-AABE-6F434BBCBFC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417-4BA8-AABE-6F434BBCBFC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417-4BA8-AABE-6F434BBCBFC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417-4BA8-AABE-6F434BBCBFC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417-4BA8-AABE-6F434BBCBFC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BGfix_b2!$J$77:$Q$77</c:f>
              <c:numCache>
                <c:formatCode>0.0%</c:formatCode>
                <c:ptCount val="8"/>
                <c:pt idx="2">
                  <c:v>0.17125542273307501</c:v>
                </c:pt>
                <c:pt idx="3">
                  <c:v>0.16409867883087093</c:v>
                </c:pt>
                <c:pt idx="4">
                  <c:v>0.17200023882504348</c:v>
                </c:pt>
                <c:pt idx="5">
                  <c:v>0.20356945213211569</c:v>
                </c:pt>
                <c:pt idx="6">
                  <c:v>0.37595459732873077</c:v>
                </c:pt>
                <c:pt idx="7">
                  <c:v>0.5285484060468888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417-4BA8-AABE-6F434BBCB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BGfix_b2!$J$6:$Q$6</c:f>
              <c:numCache>
                <c:formatCode>0.00</c:formatCode>
                <c:ptCount val="8"/>
                <c:pt idx="2">
                  <c:v>1.9253019114504109</c:v>
                </c:pt>
                <c:pt idx="3">
                  <c:v>3.038405476665317</c:v>
                </c:pt>
                <c:pt idx="4">
                  <c:v>4.1955092537377539</c:v>
                </c:pt>
                <c:pt idx="5">
                  <c:v>4.9227823665438963</c:v>
                </c:pt>
                <c:pt idx="6">
                  <c:v>6.968464055124425</c:v>
                </c:pt>
                <c:pt idx="7">
                  <c:v>7.9656419217664745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4602-A17C-6D21AB1F65CC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BGfix_b2!$J$7:$Q$7</c:f>
              <c:numCache>
                <c:formatCode>0.00</c:formatCode>
                <c:ptCount val="8"/>
                <c:pt idx="2">
                  <c:v>1.5979338369559473</c:v>
                </c:pt>
                <c:pt idx="3">
                  <c:v>1.8151082667394378</c:v>
                </c:pt>
                <c:pt idx="4">
                  <c:v>1.5723793055942237</c:v>
                </c:pt>
                <c:pt idx="5">
                  <c:v>1.5153487648021442</c:v>
                </c:pt>
                <c:pt idx="6">
                  <c:v>1.7203972365151685</c:v>
                </c:pt>
                <c:pt idx="7">
                  <c:v>3.1855100934289116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4602-A17C-6D21AB1F6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BGfix_b2!$J$5:$Q$5</c:f>
              <c:numCache>
                <c:formatCode>0%</c:formatCode>
                <c:ptCount val="8"/>
                <c:pt idx="2">
                  <c:v>0.59986130887667632</c:v>
                </c:pt>
                <c:pt idx="3">
                  <c:v>0.8000000000000651</c:v>
                </c:pt>
                <c:pt idx="4">
                  <c:v>0.90000000000011726</c:v>
                </c:pt>
                <c:pt idx="5">
                  <c:v>0.94999999999991647</c:v>
                </c:pt>
                <c:pt idx="6">
                  <c:v>0.98999999999994415</c:v>
                </c:pt>
                <c:pt idx="7">
                  <c:v>1.0000000000003633</c:v>
                </c:pt>
              </c:numCache>
            </c:numRef>
          </c:xVal>
          <c:yVal>
            <c:numRef>
              <c:f>BGfix_b2!$J$8:$Q$8</c:f>
              <c:numCache>
                <c:formatCode>0.00</c:formatCode>
                <c:ptCount val="8"/>
                <c:pt idx="2">
                  <c:v>0.2514277015709504</c:v>
                </c:pt>
                <c:pt idx="3">
                  <c:v>6.78508656032042</c:v>
                </c:pt>
                <c:pt idx="4">
                  <c:v>12.109349819052014</c:v>
                </c:pt>
                <c:pt idx="5">
                  <c:v>15.269742199367764</c:v>
                </c:pt>
                <c:pt idx="6">
                  <c:v>20.082489367569231</c:v>
                </c:pt>
                <c:pt idx="7">
                  <c:v>25.720320125341807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C8-4602-A17C-6D21AB1F6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BGSY_b2!$J$50:$Q$50</c:f>
              <c:numCache>
                <c:formatCode>0.000</c:formatCode>
                <c:ptCount val="8"/>
                <c:pt idx="2">
                  <c:v>3.6590080390552489</c:v>
                </c:pt>
                <c:pt idx="3">
                  <c:v>3.6865003337889184</c:v>
                </c:pt>
                <c:pt idx="4">
                  <c:v>3.742467281061113</c:v>
                </c:pt>
                <c:pt idx="5">
                  <c:v>3.7978660664833002</c:v>
                </c:pt>
                <c:pt idx="6">
                  <c:v>3.9798276157286381</c:v>
                </c:pt>
                <c:pt idx="7">
                  <c:v>4.5626843863821884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5C-4366-87E5-72FF40C66EBB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BGSY_b2!$J$51:$Q$51</c:f>
              <c:numCache>
                <c:formatCode>0.000</c:formatCode>
                <c:ptCount val="8"/>
                <c:pt idx="2">
                  <c:v>3.5442585027497184</c:v>
                </c:pt>
                <c:pt idx="3">
                  <c:v>3.5681554889921085</c:v>
                </c:pt>
                <c:pt idx="4">
                  <c:v>3.6203446537327713</c:v>
                </c:pt>
                <c:pt idx="5">
                  <c:v>3.650730471201272</c:v>
                </c:pt>
                <c:pt idx="6">
                  <c:v>3.7036254662761992</c:v>
                </c:pt>
                <c:pt idx="7">
                  <c:v>3.7321613696380735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5C-4366-87E5-72FF40C66EBB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BGSY_b2!$J$52:$Q$52</c:f>
              <c:numCache>
                <c:formatCode>0.000</c:formatCode>
                <c:ptCount val="8"/>
                <c:pt idx="2">
                  <c:v>3.429508966444188</c:v>
                </c:pt>
                <c:pt idx="3">
                  <c:v>3.4498106441952983</c:v>
                </c:pt>
                <c:pt idx="4">
                  <c:v>3.4982220264044295</c:v>
                </c:pt>
                <c:pt idx="5">
                  <c:v>3.5035948759192443</c:v>
                </c:pt>
                <c:pt idx="6">
                  <c:v>3.4274233168237602</c:v>
                </c:pt>
                <c:pt idx="7">
                  <c:v>2.9016383528939587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5C-4366-87E5-72FF40C66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BGSY_b2!$J$63:$Q$63</c:f>
              <c:numCache>
                <c:formatCode>#,##0\ "€"</c:formatCode>
                <c:ptCount val="8"/>
                <c:pt idx="2">
                  <c:v>1630600.204896973</c:v>
                </c:pt>
                <c:pt idx="3">
                  <c:v>1659475.8288101037</c:v>
                </c:pt>
                <c:pt idx="4">
                  <c:v>1663468.2624192722</c:v>
                </c:pt>
                <c:pt idx="5">
                  <c:v>1668640.1639932657</c:v>
                </c:pt>
                <c:pt idx="6">
                  <c:v>1680421.0295174192</c:v>
                </c:pt>
                <c:pt idx="7">
                  <c:v>1395417.4643466524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5-46A4-ADD4-8D352200F361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BGSY_b2!$J$64:$Q$64</c:f>
              <c:numCache>
                <c:formatCode>#,##0\ "€"</c:formatCode>
                <c:ptCount val="8"/>
                <c:pt idx="2">
                  <c:v>2112971.2229602141</c:v>
                </c:pt>
                <c:pt idx="3">
                  <c:v>2118327.3377746772</c:v>
                </c:pt>
                <c:pt idx="4">
                  <c:v>2126937.098847304</c:v>
                </c:pt>
                <c:pt idx="5">
                  <c:v>2138090.4056276521</c:v>
                </c:pt>
                <c:pt idx="6">
                  <c:v>2163496.0722763804</c:v>
                </c:pt>
                <c:pt idx="7">
                  <c:v>2129377.1365383216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B5-46A4-ADD4-8D352200F361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BGSY_b2!$J$57:$Q$57</c:f>
              <c:numCache>
                <c:formatCode>#,##0\ "€"</c:formatCode>
                <c:ptCount val="8"/>
                <c:pt idx="2">
                  <c:v>899724.89895219123</c:v>
                </c:pt>
                <c:pt idx="3">
                  <c:v>982614.29820042395</c:v>
                </c:pt>
                <c:pt idx="4">
                  <c:v>1209890.3378831337</c:v>
                </c:pt>
                <c:pt idx="5">
                  <c:v>1440461.1412775747</c:v>
                </c:pt>
                <c:pt idx="6">
                  <c:v>1918839.6953239173</c:v>
                </c:pt>
                <c:pt idx="7">
                  <c:v>3118324.7167725707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B5-46A4-ADD4-8D352200F361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BGSY_b2!$J$58:$Q$58</c:f>
              <c:numCache>
                <c:formatCode>#,##0\ "€"</c:formatCode>
                <c:ptCount val="8"/>
                <c:pt idx="2">
                  <c:v>1588212.107563901</c:v>
                </c:pt>
                <c:pt idx="3">
                  <c:v>1922998.7765593559</c:v>
                </c:pt>
                <c:pt idx="4">
                  <c:v>1863389.6902515998</c:v>
                </c:pt>
                <c:pt idx="5">
                  <c:v>1744544.3901822795</c:v>
                </c:pt>
                <c:pt idx="6">
                  <c:v>1800952.4803740205</c:v>
                </c:pt>
                <c:pt idx="7">
                  <c:v>3312070.6864481349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B5-46A4-ADD4-8D352200F361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BGSY_b2!$J$59:$Q$59</c:f>
              <c:numCache>
                <c:formatCode>#,##0\ "€"</c:formatCode>
                <c:ptCount val="8"/>
                <c:pt idx="2">
                  <c:v>0</c:v>
                </c:pt>
                <c:pt idx="3">
                  <c:v>337607.42917639017</c:v>
                </c:pt>
                <c:pt idx="4">
                  <c:v>876827.0095842249</c:v>
                </c:pt>
                <c:pt idx="5">
                  <c:v>1214877.7243574513</c:v>
                </c:pt>
                <c:pt idx="6">
                  <c:v>1698234.8692776668</c:v>
                </c:pt>
                <c:pt idx="7">
                  <c:v>2410757.4952866854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B5-46A4-ADD4-8D352200F361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BGSY_b2!$J$60:$Q$60</c:f>
              <c:numCache>
                <c:formatCode>#,##0\ "€"</c:formatCode>
                <c:ptCount val="8"/>
                <c:pt idx="2">
                  <c:v>76729.93526066393</c:v>
                </c:pt>
                <c:pt idx="3">
                  <c:v>87395.235465044534</c:v>
                </c:pt>
                <c:pt idx="4">
                  <c:v>95430.766817487936</c:v>
                </c:pt>
                <c:pt idx="5">
                  <c:v>104036.9203393803</c:v>
                </c:pt>
                <c:pt idx="6">
                  <c:v>115252.10625524854</c:v>
                </c:pt>
                <c:pt idx="7">
                  <c:v>74161.858841588401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B5-46A4-ADD4-8D352200F361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BGSY_b2!$J$61:$Q$61</c:f>
              <c:numCache>
                <c:formatCode>#,##0\ "€"</c:formatCode>
                <c:ptCount val="8"/>
                <c:pt idx="2">
                  <c:v>105245.57590673387</c:v>
                </c:pt>
                <c:pt idx="3">
                  <c:v>143198.27821384851</c:v>
                </c:pt>
                <c:pt idx="4">
                  <c:v>157095.61029077542</c:v>
                </c:pt>
                <c:pt idx="5">
                  <c:v>153030.60147104744</c:v>
                </c:pt>
                <c:pt idx="6">
                  <c:v>159337.81431500032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B5-46A4-ADD4-8D352200F361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BGSY_b2!$J$62:$Q$62</c:f>
              <c:numCache>
                <c:formatCode>#,##0\ "€"</c:formatCode>
                <c:ptCount val="8"/>
                <c:pt idx="2">
                  <c:v>14.872883692138638</c:v>
                </c:pt>
                <c:pt idx="3">
                  <c:v>171.31336103348215</c:v>
                </c:pt>
                <c:pt idx="4">
                  <c:v>1565.9729947604856</c:v>
                </c:pt>
                <c:pt idx="5">
                  <c:v>3293.434093092264</c:v>
                </c:pt>
                <c:pt idx="6">
                  <c:v>5831.6777740417665</c:v>
                </c:pt>
                <c:pt idx="7">
                  <c:v>2023.7628006540399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0B5-46A4-ADD4-8D352200F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BGSY_b2!$J$31:$Q$31</c:f>
              <c:numCache>
                <c:formatCode>0.000</c:formatCode>
                <c:ptCount val="8"/>
                <c:pt idx="2">
                  <c:v>0.16589596393146194</c:v>
                </c:pt>
                <c:pt idx="3">
                  <c:v>0.18117954317218704</c:v>
                </c:pt>
                <c:pt idx="4">
                  <c:v>0.22308588334972512</c:v>
                </c:pt>
                <c:pt idx="5">
                  <c:v>0.26559972922430419</c:v>
                </c:pt>
                <c:pt idx="6">
                  <c:v>0.35380565910362888</c:v>
                </c:pt>
                <c:pt idx="7">
                  <c:v>0.57497295600329401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8-4E28-AD84-4135141EB078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BGSY_b2!$J$32:$Q$32</c:f>
              <c:numCache>
                <c:formatCode>0.000</c:formatCode>
                <c:ptCount val="8"/>
                <c:pt idx="2">
                  <c:v>0.29284282208792417</c:v>
                </c:pt>
                <c:pt idx="3">
                  <c:v>0.35457253216829726</c:v>
                </c:pt>
                <c:pt idx="4">
                  <c:v>0.34358149830493306</c:v>
                </c:pt>
                <c:pt idx="5">
                  <c:v>0.32166818276072151</c:v>
                </c:pt>
                <c:pt idx="6">
                  <c:v>0.33206900028482189</c:v>
                </c:pt>
                <c:pt idx="7">
                  <c:v>0.61069684720003248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8-4E28-AD84-4135141EB078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BGSY_b2!$J$33:$Q$33</c:f>
              <c:numCache>
                <c:formatCode>0.000</c:formatCode>
                <c:ptCount val="8"/>
                <c:pt idx="2">
                  <c:v>0</c:v>
                </c:pt>
                <c:pt idx="3">
                  <c:v>6.2249816537107337E-2</c:v>
                </c:pt>
                <c:pt idx="4">
                  <c:v>0.16167393180462686</c:v>
                </c:pt>
                <c:pt idx="5">
                  <c:v>0.22400548364935011</c:v>
                </c:pt>
                <c:pt idx="6">
                  <c:v>0.31312939204966878</c:v>
                </c:pt>
                <c:pt idx="7">
                  <c:v>0.44450802567690928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C8-4E28-AD84-4135141EB078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BGSY_b2!$J$34:$Q$34</c:f>
              <c:numCache>
                <c:formatCode>0.000</c:formatCode>
                <c:ptCount val="8"/>
                <c:pt idx="2">
                  <c:v>3.3556335079281616E-2</c:v>
                </c:pt>
                <c:pt idx="3">
                  <c:v>4.2549620965086625E-2</c:v>
                </c:pt>
                <c:pt idx="4">
                  <c:v>4.6850871190787194E-2</c:v>
                </c:pt>
                <c:pt idx="5">
                  <c:v>4.8006709384207182E-2</c:v>
                </c:pt>
                <c:pt idx="6">
                  <c:v>5.1705595142144734E-2</c:v>
                </c:pt>
                <c:pt idx="7">
                  <c:v>1.4047501802803265E-2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C8-4E28-AD84-4135141EB078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BGSY_b2!$J$36:$Q$36</c:f>
              <c:numCache>
                <c:formatCode>0.000</c:formatCode>
                <c:ptCount val="8"/>
                <c:pt idx="2">
                  <c:v>0.69025920177812905</c:v>
                </c:pt>
                <c:pt idx="3">
                  <c:v>0.69657102809292004</c:v>
                </c:pt>
                <c:pt idx="4">
                  <c:v>0.69889468639873165</c:v>
                </c:pt>
                <c:pt idx="5">
                  <c:v>0.70190481336029742</c:v>
                </c:pt>
                <c:pt idx="6">
                  <c:v>0.70876145988333117</c:v>
                </c:pt>
                <c:pt idx="7">
                  <c:v>0.6499199907163149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C8-4E28-AD84-4135141EB078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BGSY_b2!$J$37:$Q$37</c:f>
              <c:numCache>
                <c:formatCode>0.000</c:formatCode>
                <c:ptCount val="8"/>
                <c:pt idx="2">
                  <c:v>3.2528620378718023E-2</c:v>
                </c:pt>
                <c:pt idx="3">
                  <c:v>3.5525400621997466E-2</c:v>
                </c:pt>
                <c:pt idx="4">
                  <c:v>4.3742330068573552E-2</c:v>
                </c:pt>
                <c:pt idx="5">
                  <c:v>5.2078378279275327E-2</c:v>
                </c:pt>
                <c:pt idx="6">
                  <c:v>6.937365864777037E-2</c:v>
                </c:pt>
                <c:pt idx="7">
                  <c:v>0.11273979529476354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C8-4E28-AD84-4135141EB078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BGSY_b2!$J$38:$Q$38</c:f>
              <c:numCache>
                <c:formatCode>0.000</c:formatCode>
                <c:ptCount val="8"/>
                <c:pt idx="2">
                  <c:v>5.8568564417584824E-2</c:v>
                </c:pt>
                <c:pt idx="3">
                  <c:v>7.0914506433659472E-2</c:v>
                </c:pt>
                <c:pt idx="4">
                  <c:v>6.8716299660986607E-2</c:v>
                </c:pt>
                <c:pt idx="5">
                  <c:v>6.4333636552144288E-2</c:v>
                </c:pt>
                <c:pt idx="6">
                  <c:v>6.64138000569644E-2</c:v>
                </c:pt>
                <c:pt idx="7">
                  <c:v>0.1221393694400065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C8-4E28-AD84-4135141EB078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BGSY_b2!$J$39:$Q$39</c:f>
              <c:numCache>
                <c:formatCode>0.000</c:formatCode>
                <c:ptCount val="8"/>
                <c:pt idx="2">
                  <c:v>0</c:v>
                </c:pt>
                <c:pt idx="3">
                  <c:v>1.2550366237320025E-2</c:v>
                </c:pt>
                <c:pt idx="4">
                  <c:v>3.2595550767061866E-2</c:v>
                </c:pt>
                <c:pt idx="5">
                  <c:v>4.5162395897046397E-2</c:v>
                </c:pt>
                <c:pt idx="6">
                  <c:v>6.3130925816465483E-2</c:v>
                </c:pt>
                <c:pt idx="7">
                  <c:v>8.9618553563892991E-2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C8-4E28-AD84-4135141EB078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BGSY_b2!$J$40:$Q$40</c:f>
              <c:numCache>
                <c:formatCode>0.000</c:formatCode>
                <c:ptCount val="8"/>
                <c:pt idx="2">
                  <c:v>0.28952511780705442</c:v>
                </c:pt>
                <c:pt idx="3">
                  <c:v>0.29563562456322101</c:v>
                </c:pt>
                <c:pt idx="4">
                  <c:v>0.29818272613236113</c:v>
                </c:pt>
                <c:pt idx="5">
                  <c:v>0.29972170488378946</c:v>
                </c:pt>
                <c:pt idx="6">
                  <c:v>0.3037567119590896</c:v>
                </c:pt>
                <c:pt idx="7">
                  <c:v>0.26543773623650524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C8-4E28-AD84-4135141EB078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BGSY_b2!$J$42:$Q$42</c:f>
              <c:numCache>
                <c:formatCode>0.000</c:formatCode>
                <c:ptCount val="8"/>
                <c:pt idx="2">
                  <c:v>0</c:v>
                </c:pt>
                <c:pt idx="3">
                  <c:v>4.817681727671156E-2</c:v>
                </c:pt>
                <c:pt idx="4">
                  <c:v>0.11593515926548487</c:v>
                </c:pt>
                <c:pt idx="5">
                  <c:v>0.15436614321418296</c:v>
                </c:pt>
                <c:pt idx="6">
                  <c:v>0.16572363126125475</c:v>
                </c:pt>
                <c:pt idx="7">
                  <c:v>0.16119242608526879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C8-4E28-AD84-4135141EB078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BGSY_b2!$J$44:$Q$44</c:f>
              <c:numCache>
                <c:formatCode>0.000</c:formatCode>
                <c:ptCount val="8"/>
                <c:pt idx="2">
                  <c:v>9.9724512095551304E-2</c:v>
                </c:pt>
                <c:pt idx="3">
                  <c:v>0.10148231922335718</c:v>
                </c:pt>
                <c:pt idx="4">
                  <c:v>0.10172535910629685</c:v>
                </c:pt>
                <c:pt idx="5">
                  <c:v>0.10204019924545374</c:v>
                </c:pt>
                <c:pt idx="6">
                  <c:v>0.10275736087120096</c:v>
                </c:pt>
                <c:pt idx="7">
                  <c:v>8.5715108933925782E-2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8-4E28-AD84-4135141EB078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BGSY_b2!$J$45:$Q$45</c:f>
              <c:numCache>
                <c:formatCode>0.000</c:formatCode>
                <c:ptCount val="8"/>
                <c:pt idx="2">
                  <c:v>1.9027730795182927</c:v>
                </c:pt>
                <c:pt idx="3">
                  <c:v>1.9027730795183375</c:v>
                </c:pt>
                <c:pt idx="4">
                  <c:v>1.9027730795183599</c:v>
                </c:pt>
                <c:pt idx="5">
                  <c:v>1.9027730795183677</c:v>
                </c:pt>
                <c:pt idx="6">
                  <c:v>1.9027730795183637</c:v>
                </c:pt>
                <c:pt idx="7">
                  <c:v>1.9027730795183579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C8-4E28-AD84-4135141EB078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BGSY_b2!$J$46:$Q$46</c:f>
              <c:numCache>
                <c:formatCode>0.000</c:formatCode>
                <c:ptCount val="8"/>
                <c:pt idx="2">
                  <c:v>0.56455898988635744</c:v>
                </c:pt>
                <c:pt idx="3">
                  <c:v>0.35353330877966266</c:v>
                </c:pt>
                <c:pt idx="4">
                  <c:v>0.17582067345067703</c:v>
                </c:pt>
                <c:pt idx="5">
                  <c:v>8.7188971161105328E-2</c:v>
                </c:pt>
                <c:pt idx="6">
                  <c:v>1.7223495943842499E-2</c:v>
                </c:pt>
                <c:pt idx="7">
                  <c:v>-1.1548555455334174E-16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C8-4E28-AD84-4135141EB078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BGSY_b2!$J$48:$Q$48</c:f>
              <c:numCache>
                <c:formatCode>0.000</c:formatCode>
                <c:ptCount val="8"/>
                <c:pt idx="2">
                  <c:v>-0.11474953630553036</c:v>
                </c:pt>
                <c:pt idx="3">
                  <c:v>-0.11834484479681005</c:v>
                </c:pt>
                <c:pt idx="4">
                  <c:v>-0.12212262732834188</c:v>
                </c:pt>
                <c:pt idx="5">
                  <c:v>-0.14713559528202802</c:v>
                </c:pt>
                <c:pt idx="6">
                  <c:v>-0.27620214945243904</c:v>
                </c:pt>
                <c:pt idx="7">
                  <c:v>-0.83052301674411488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9CC8-4E28-AD84-4135141EB078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BGSY_b2!$J$47:$Q$47</c:f>
              <c:numCache>
                <c:formatCode>0.000</c:formatCode>
                <c:ptCount val="8"/>
                <c:pt idx="2">
                  <c:v>-0.47122626486101654</c:v>
                </c:pt>
                <c:pt idx="3">
                  <c:v>-0.47122626486092817</c:v>
                </c:pt>
                <c:pt idx="4">
                  <c:v>-0.47122626486093949</c:v>
                </c:pt>
                <c:pt idx="5">
                  <c:v>-0.47122626486095925</c:v>
                </c:pt>
                <c:pt idx="6">
                  <c:v>-0.47122626486101016</c:v>
                </c:pt>
                <c:pt idx="7">
                  <c:v>-0.47122626486102825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C8-4E28-AD84-4135141EB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BGSY_b2!$J$50:$Q$50</c:f>
              <c:numCache>
                <c:formatCode>0.000</c:formatCode>
                <c:ptCount val="8"/>
                <c:pt idx="2">
                  <c:v>3.6590080390552489</c:v>
                </c:pt>
                <c:pt idx="3">
                  <c:v>3.6865003337889184</c:v>
                </c:pt>
                <c:pt idx="4">
                  <c:v>3.742467281061113</c:v>
                </c:pt>
                <c:pt idx="5">
                  <c:v>3.7978660664833002</c:v>
                </c:pt>
                <c:pt idx="6">
                  <c:v>3.9798276157286381</c:v>
                </c:pt>
                <c:pt idx="7">
                  <c:v>4.5626843863821884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C8-4E28-AD84-4135141EB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6368635729613911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BGSY_b2!$J$63:$Q$63</c:f>
              <c:numCache>
                <c:formatCode>#,##0\ "€"</c:formatCode>
                <c:ptCount val="8"/>
                <c:pt idx="2">
                  <c:v>1630600.204896973</c:v>
                </c:pt>
                <c:pt idx="3">
                  <c:v>1659475.8288101037</c:v>
                </c:pt>
                <c:pt idx="4">
                  <c:v>1663468.2624192722</c:v>
                </c:pt>
                <c:pt idx="5">
                  <c:v>1668640.1639932657</c:v>
                </c:pt>
                <c:pt idx="6">
                  <c:v>1680421.0295174192</c:v>
                </c:pt>
                <c:pt idx="7">
                  <c:v>1395417.4643466524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1-44F1-BB5C-E69287D4879D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BGSY_b2!$J$64:$Q$64</c:f>
              <c:numCache>
                <c:formatCode>#,##0\ "€"</c:formatCode>
                <c:ptCount val="8"/>
                <c:pt idx="2">
                  <c:v>2112971.2229602141</c:v>
                </c:pt>
                <c:pt idx="3">
                  <c:v>2118327.3377746772</c:v>
                </c:pt>
                <c:pt idx="4">
                  <c:v>2126937.098847304</c:v>
                </c:pt>
                <c:pt idx="5">
                  <c:v>2138090.4056276521</c:v>
                </c:pt>
                <c:pt idx="6">
                  <c:v>2163496.0722763804</c:v>
                </c:pt>
                <c:pt idx="7">
                  <c:v>2129377.1365383216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91-44F1-BB5C-E69287D4879D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BGSY_b2!$J$57:$Q$57</c:f>
              <c:numCache>
                <c:formatCode>#,##0\ "€"</c:formatCode>
                <c:ptCount val="8"/>
                <c:pt idx="2">
                  <c:v>899724.89895219123</c:v>
                </c:pt>
                <c:pt idx="3">
                  <c:v>982614.29820042395</c:v>
                </c:pt>
                <c:pt idx="4">
                  <c:v>1209890.3378831337</c:v>
                </c:pt>
                <c:pt idx="5">
                  <c:v>1440461.1412775747</c:v>
                </c:pt>
                <c:pt idx="6">
                  <c:v>1918839.6953239173</c:v>
                </c:pt>
                <c:pt idx="7">
                  <c:v>3118324.7167725707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91-44F1-BB5C-E69287D4879D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BGSY_b2!$J$58:$Q$58</c:f>
              <c:numCache>
                <c:formatCode>#,##0\ "€"</c:formatCode>
                <c:ptCount val="8"/>
                <c:pt idx="2">
                  <c:v>1588212.107563901</c:v>
                </c:pt>
                <c:pt idx="3">
                  <c:v>1922998.7765593559</c:v>
                </c:pt>
                <c:pt idx="4">
                  <c:v>1863389.6902515998</c:v>
                </c:pt>
                <c:pt idx="5">
                  <c:v>1744544.3901822795</c:v>
                </c:pt>
                <c:pt idx="6">
                  <c:v>1800952.4803740205</c:v>
                </c:pt>
                <c:pt idx="7">
                  <c:v>3312070.6864481349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91-44F1-BB5C-E69287D4879D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BGSY_b2!$J$59:$Q$59</c:f>
              <c:numCache>
                <c:formatCode>#,##0\ "€"</c:formatCode>
                <c:ptCount val="8"/>
                <c:pt idx="2">
                  <c:v>0</c:v>
                </c:pt>
                <c:pt idx="3">
                  <c:v>337607.42917639017</c:v>
                </c:pt>
                <c:pt idx="4">
                  <c:v>876827.0095842249</c:v>
                </c:pt>
                <c:pt idx="5">
                  <c:v>1214877.7243574513</c:v>
                </c:pt>
                <c:pt idx="6">
                  <c:v>1698234.8692776668</c:v>
                </c:pt>
                <c:pt idx="7">
                  <c:v>2410757.4952866854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91-44F1-BB5C-E69287D4879D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BGSY_b2!$J$60:$Q$60</c:f>
              <c:numCache>
                <c:formatCode>#,##0\ "€"</c:formatCode>
                <c:ptCount val="8"/>
                <c:pt idx="2">
                  <c:v>76729.93526066393</c:v>
                </c:pt>
                <c:pt idx="3">
                  <c:v>87395.235465044534</c:v>
                </c:pt>
                <c:pt idx="4">
                  <c:v>95430.766817487936</c:v>
                </c:pt>
                <c:pt idx="5">
                  <c:v>104036.9203393803</c:v>
                </c:pt>
                <c:pt idx="6">
                  <c:v>115252.10625524854</c:v>
                </c:pt>
                <c:pt idx="7">
                  <c:v>74161.858841588401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91-44F1-BB5C-E69287D4879D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cat>
          <c:val>
            <c:numRef>
              <c:f>BGSY_b2!$J$61:$Q$61</c:f>
              <c:numCache>
                <c:formatCode>#,##0\ "€"</c:formatCode>
                <c:ptCount val="8"/>
                <c:pt idx="2">
                  <c:v>105245.57590673387</c:v>
                </c:pt>
                <c:pt idx="3">
                  <c:v>143198.27821384851</c:v>
                </c:pt>
                <c:pt idx="4">
                  <c:v>157095.61029077542</c:v>
                </c:pt>
                <c:pt idx="5">
                  <c:v>153030.60147104744</c:v>
                </c:pt>
                <c:pt idx="6">
                  <c:v>159337.81431500032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91-44F1-BB5C-E69287D4879D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BGSY_b2!$J$62:$Q$62</c:f>
              <c:numCache>
                <c:formatCode>#,##0\ "€"</c:formatCode>
                <c:ptCount val="8"/>
                <c:pt idx="2">
                  <c:v>14.872883692138638</c:v>
                </c:pt>
                <c:pt idx="3">
                  <c:v>171.31336103348215</c:v>
                </c:pt>
                <c:pt idx="4">
                  <c:v>1565.9729947604856</c:v>
                </c:pt>
                <c:pt idx="5">
                  <c:v>3293.434093092264</c:v>
                </c:pt>
                <c:pt idx="6">
                  <c:v>5831.6777740417665</c:v>
                </c:pt>
                <c:pt idx="7">
                  <c:v>2023.7628006540399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91-44F1-BB5C-E69287D48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64633738534974E-5"/>
              <c:y val="0.259947150595544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403123242416097"/>
          <c:y val="3.3471732614317316E-2"/>
          <c:w val="0.15998664411442953"/>
          <c:h val="0.3257706152392530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BGSY_b2!$J$97:$Q$97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BGSY_b2!$J$105:$Q$105</c:f>
              <c:numCache>
                <c:formatCode>0.00</c:formatCode>
                <c:ptCount val="8"/>
                <c:pt idx="2">
                  <c:v>2.2724620372426165</c:v>
                </c:pt>
                <c:pt idx="3">
                  <c:v>1.4277297134777123</c:v>
                </c:pt>
                <c:pt idx="4">
                  <c:v>0.71386485673903233</c:v>
                </c:pt>
                <c:pt idx="5">
                  <c:v>0.3569324283694742</c:v>
                </c:pt>
                <c:pt idx="6">
                  <c:v>7.1386485673774078E-2</c:v>
                </c:pt>
                <c:pt idx="7">
                  <c:v>-4.857354353064421E-16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C-4DDA-A58D-2268366FBEBC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BGSY_b2!$J$107:$Q$107</c:f>
              <c:numCache>
                <c:formatCode>0.00</c:formatCode>
                <c:ptCount val="8"/>
                <c:pt idx="2">
                  <c:v>4.4512108957368665E-2</c:v>
                </c:pt>
                <c:pt idx="3">
                  <c:v>5.389502488957798E-2</c:v>
                </c:pt>
                <c:pt idx="4">
                  <c:v>5.2224387742350047E-2</c:v>
                </c:pt>
                <c:pt idx="5">
                  <c:v>4.8893563779629765E-2</c:v>
                </c:pt>
                <c:pt idx="6">
                  <c:v>5.0474488043293145E-2</c:v>
                </c:pt>
                <c:pt idx="7">
                  <c:v>9.2825920774405324E-2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8C-4DDA-A58D-2268366FBEBC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BGSY_b2!$J$109:$Q$109</c:f>
              <c:numCache>
                <c:formatCode>0.00</c:formatCode>
                <c:ptCount val="8"/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8C-4DDA-A58D-2268366FBEBC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BGSY_b2!$J$97:$Q$97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BGSY_b2!$J$106:$Q$106</c:f>
              <c:numCache>
                <c:formatCode>0.00</c:formatCode>
                <c:ptCount val="8"/>
                <c:pt idx="2">
                  <c:v>0.1138501713255238</c:v>
                </c:pt>
                <c:pt idx="3">
                  <c:v>0.12433890217698364</c:v>
                </c:pt>
                <c:pt idx="4">
                  <c:v>0.15309815524000803</c:v>
                </c:pt>
                <c:pt idx="5">
                  <c:v>0.18227432397746404</c:v>
                </c:pt>
                <c:pt idx="6">
                  <c:v>0.24280780526719734</c:v>
                </c:pt>
                <c:pt idx="7">
                  <c:v>0.39458928353167411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8C-4DDA-A58D-2268366FBEBC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BGSY_b2!$J$72:$Q$72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BGSY_b2!$J$110:$Q$110</c:f>
              <c:numCache>
                <c:formatCode>0.00</c:formatCode>
                <c:ptCount val="8"/>
                <c:pt idx="2">
                  <c:v>-6.9937009796936973</c:v>
                </c:pt>
                <c:pt idx="3">
                  <c:v>-7.7962220047736945</c:v>
                </c:pt>
                <c:pt idx="4">
                  <c:v>-8.4473178171333103</c:v>
                </c:pt>
                <c:pt idx="5">
                  <c:v>-8.7560359163966872</c:v>
                </c:pt>
                <c:pt idx="6">
                  <c:v>-8.9474834702824229</c:v>
                </c:pt>
                <c:pt idx="7">
                  <c:v>-8.7775890675708013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8C-4DDA-A58D-2268366FBEBC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BGSY_b2!$L$97:$Q$97</c:f>
              <c:numCache>
                <c:formatCode>0%</c:formatCode>
                <c:ptCount val="6"/>
                <c:pt idx="0">
                  <c:v>0.68166775324629936</c:v>
                </c:pt>
                <c:pt idx="1">
                  <c:v>0.80000000000001348</c:v>
                </c:pt>
                <c:pt idx="2">
                  <c:v>0.9000000000000794</c:v>
                </c:pt>
                <c:pt idx="3">
                  <c:v>0.9499999999999964</c:v>
                </c:pt>
                <c:pt idx="4">
                  <c:v>0.98999999999996491</c:v>
                </c:pt>
                <c:pt idx="5">
                  <c:v>1.0000000000000109</c:v>
                </c:pt>
              </c:numCache>
            </c:numRef>
          </c:xVal>
          <c:yVal>
            <c:numRef>
              <c:f>BGSY_b2!$L$108:$Q$108</c:f>
              <c:numCache>
                <c:formatCode>0.00</c:formatCode>
                <c:ptCount val="6"/>
                <c:pt idx="0">
                  <c:v>0</c:v>
                </c:pt>
                <c:pt idx="1">
                  <c:v>2.2339651902428308E-2</c:v>
                </c:pt>
                <c:pt idx="2">
                  <c:v>5.8020080365370368E-2</c:v>
                </c:pt>
                <c:pt idx="3">
                  <c:v>8.0389064696742771E-2</c:v>
                </c:pt>
                <c:pt idx="4">
                  <c:v>0.112373047953309</c:v>
                </c:pt>
                <c:pt idx="5">
                  <c:v>0.15952102534373017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8C-4DDA-A58D-2268366FB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46202173486239589"/>
          <c:h val="0.149675077204896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BGSY_b2!$J$97:$Q$97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BGSY_b2!$J$105:$Q$105</c:f>
              <c:numCache>
                <c:formatCode>0.00</c:formatCode>
                <c:ptCount val="8"/>
                <c:pt idx="2">
                  <c:v>2.2724620372426165</c:v>
                </c:pt>
                <c:pt idx="3">
                  <c:v>1.4277297134777123</c:v>
                </c:pt>
                <c:pt idx="4">
                  <c:v>0.71386485673903233</c:v>
                </c:pt>
                <c:pt idx="5">
                  <c:v>0.3569324283694742</c:v>
                </c:pt>
                <c:pt idx="6">
                  <c:v>7.1386485673774078E-2</c:v>
                </c:pt>
                <c:pt idx="7">
                  <c:v>-4.857354353064421E-16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E-4EE5-B515-D05AD5177B77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BGSY_b2!$J$107:$Q$107</c:f>
              <c:numCache>
                <c:formatCode>0.00</c:formatCode>
                <c:ptCount val="8"/>
                <c:pt idx="2">
                  <c:v>4.4512108957368665E-2</c:v>
                </c:pt>
                <c:pt idx="3">
                  <c:v>5.389502488957798E-2</c:v>
                </c:pt>
                <c:pt idx="4">
                  <c:v>5.2224387742350047E-2</c:v>
                </c:pt>
                <c:pt idx="5">
                  <c:v>4.8893563779629765E-2</c:v>
                </c:pt>
                <c:pt idx="6">
                  <c:v>5.0474488043293145E-2</c:v>
                </c:pt>
                <c:pt idx="7">
                  <c:v>9.2825920774405324E-2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EE-4EE5-B515-D05AD5177B77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BGSY_b2!$J$109:$Q$109</c:f>
              <c:numCache>
                <c:formatCode>0.00</c:formatCode>
                <c:ptCount val="8"/>
                <c:pt idx="2">
                  <c:v>-9.4245252972192066</c:v>
                </c:pt>
                <c:pt idx="3">
                  <c:v>-9.4245252972203968</c:v>
                </c:pt>
                <c:pt idx="4">
                  <c:v>-9.4245252972200717</c:v>
                </c:pt>
                <c:pt idx="5">
                  <c:v>-9.4245252972199971</c:v>
                </c:pt>
                <c:pt idx="6">
                  <c:v>-9.4245252972199971</c:v>
                </c:pt>
                <c:pt idx="7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EE-4EE5-B515-D05AD5177B77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BGSY_b2!$J$97:$Q$97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BGSY_b2!$J$106:$Q$106</c:f>
              <c:numCache>
                <c:formatCode>0.00</c:formatCode>
                <c:ptCount val="8"/>
                <c:pt idx="2">
                  <c:v>0.1138501713255238</c:v>
                </c:pt>
                <c:pt idx="3">
                  <c:v>0.12433890217698364</c:v>
                </c:pt>
                <c:pt idx="4">
                  <c:v>0.15309815524000803</c:v>
                </c:pt>
                <c:pt idx="5">
                  <c:v>0.18227432397746404</c:v>
                </c:pt>
                <c:pt idx="6">
                  <c:v>0.24280780526719734</c:v>
                </c:pt>
                <c:pt idx="7">
                  <c:v>0.39458928353167411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EE-4EE5-B515-D05AD5177B77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BGSY_b2!$J$72:$Q$72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BGSY_b2!$J$110:$Q$110</c:f>
              <c:numCache>
                <c:formatCode>0.00</c:formatCode>
                <c:ptCount val="8"/>
                <c:pt idx="2">
                  <c:v>-6.9937009796936973</c:v>
                </c:pt>
                <c:pt idx="3">
                  <c:v>-7.7962220047736945</c:v>
                </c:pt>
                <c:pt idx="4">
                  <c:v>-8.4473178171333103</c:v>
                </c:pt>
                <c:pt idx="5">
                  <c:v>-8.7560359163966872</c:v>
                </c:pt>
                <c:pt idx="6">
                  <c:v>-8.9474834702824229</c:v>
                </c:pt>
                <c:pt idx="7">
                  <c:v>-8.7775890675708013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EE-4EE5-B515-D05AD5177B77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BGSY_b2!$L$97:$Q$97</c:f>
              <c:numCache>
                <c:formatCode>0%</c:formatCode>
                <c:ptCount val="6"/>
                <c:pt idx="0">
                  <c:v>0.68166775324629936</c:v>
                </c:pt>
                <c:pt idx="1">
                  <c:v>0.80000000000001348</c:v>
                </c:pt>
                <c:pt idx="2">
                  <c:v>0.9000000000000794</c:v>
                </c:pt>
                <c:pt idx="3">
                  <c:v>0.9499999999999964</c:v>
                </c:pt>
                <c:pt idx="4">
                  <c:v>0.98999999999996491</c:v>
                </c:pt>
                <c:pt idx="5">
                  <c:v>1.0000000000000109</c:v>
                </c:pt>
              </c:numCache>
            </c:numRef>
          </c:xVal>
          <c:yVal>
            <c:numRef>
              <c:f>BGSY_b2!$L$108:$Q$108</c:f>
              <c:numCache>
                <c:formatCode>0.00</c:formatCode>
                <c:ptCount val="6"/>
                <c:pt idx="0">
                  <c:v>0</c:v>
                </c:pt>
                <c:pt idx="1">
                  <c:v>2.2339651902428308E-2</c:v>
                </c:pt>
                <c:pt idx="2">
                  <c:v>5.8020080365370368E-2</c:v>
                </c:pt>
                <c:pt idx="3">
                  <c:v>8.0389064696742771E-2</c:v>
                </c:pt>
                <c:pt idx="4">
                  <c:v>0.112373047953309</c:v>
                </c:pt>
                <c:pt idx="5">
                  <c:v>0.15952102534373017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EE-4EE5-B515-D05AD5177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21465309698605339"/>
          <c:h val="0.339408499448238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BGSY_b2!$J$56:$Q$56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BGSY_b2!$J$78:$Q$78</c:f>
              <c:numCache>
                <c:formatCode>0</c:formatCode>
                <c:ptCount val="8"/>
                <c:pt idx="2">
                  <c:v>45.196456601846435</c:v>
                </c:pt>
                <c:pt idx="3">
                  <c:v>53.593406036451114</c:v>
                </c:pt>
                <c:pt idx="4">
                  <c:v>61.594643354688351</c:v>
                </c:pt>
                <c:pt idx="5">
                  <c:v>66.485469251142661</c:v>
                </c:pt>
                <c:pt idx="6">
                  <c:v>77.181010210366381</c:v>
                </c:pt>
                <c:pt idx="7">
                  <c:v>118.55846121518118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4-4B5E-9D48-DF2EEC328E21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BGSY_b2!$J$97:$Q$97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BGSY_b2!$J$112:$Q$112</c:f>
              <c:numCache>
                <c:formatCode>0.00</c:formatCode>
                <c:ptCount val="8"/>
                <c:pt idx="0">
                  <c:v>22.050445529611292</c:v>
                </c:pt>
                <c:pt idx="1">
                  <c:v>22.050445529611292</c:v>
                </c:pt>
                <c:pt idx="2">
                  <c:v>22.050445529611292</c:v>
                </c:pt>
                <c:pt idx="3">
                  <c:v>22.050445529614727</c:v>
                </c:pt>
                <c:pt idx="4">
                  <c:v>22.05044552961327</c:v>
                </c:pt>
                <c:pt idx="5">
                  <c:v>22.050445529613331</c:v>
                </c:pt>
                <c:pt idx="6">
                  <c:v>22.050445529613338</c:v>
                </c:pt>
                <c:pt idx="7">
                  <c:v>22.050445529613292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4-4B5E-9D48-DF2EEC328E21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BGSY_b2!$J$97:$Q$97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BGSY_b2!$J$113:$Q$113</c:f>
              <c:numCache>
                <c:formatCode>0.00</c:formatCode>
                <c:ptCount val="8"/>
                <c:pt idx="0">
                  <c:v>50.260608690444776</c:v>
                </c:pt>
                <c:pt idx="1">
                  <c:v>50.260608690444776</c:v>
                </c:pt>
                <c:pt idx="2">
                  <c:v>50.260608690436833</c:v>
                </c:pt>
                <c:pt idx="3">
                  <c:v>50.260608690444776</c:v>
                </c:pt>
                <c:pt idx="4">
                  <c:v>50.260608690441522</c:v>
                </c:pt>
                <c:pt idx="5">
                  <c:v>50.260608690441295</c:v>
                </c:pt>
                <c:pt idx="6">
                  <c:v>50.260608690441202</c:v>
                </c:pt>
                <c:pt idx="7">
                  <c:v>50.260608690441259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4-4B5E-9D48-DF2EEC328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844-4B5E-9D48-DF2EEC328E21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844-4B5E-9D48-DF2EEC328E21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844-4B5E-9D48-DF2EEC328E21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844-4B5E-9D48-DF2EEC328E21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844-4B5E-9D48-DF2EEC328E2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BGSY_b2!$J$77:$Q$77</c:f>
              <c:numCache>
                <c:formatCode>0.0%</c:formatCode>
                <c:ptCount val="8"/>
                <c:pt idx="2">
                  <c:v>0.23920429604399196</c:v>
                </c:pt>
                <c:pt idx="3">
                  <c:v>0.21564325458569769</c:v>
                </c:pt>
                <c:pt idx="4">
                  <c:v>0.20049018404011174</c:v>
                </c:pt>
                <c:pt idx="5">
                  <c:v>0.2220557395767217</c:v>
                </c:pt>
                <c:pt idx="6">
                  <c:v>0.33948462845071903</c:v>
                </c:pt>
                <c:pt idx="7">
                  <c:v>0.6048672868555578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44-4B5E-9D48-DF2EEC328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BGSY_b2!$J$6:$Q$6</c:f>
              <c:numCache>
                <c:formatCode>0.00</c:formatCode>
                <c:ptCount val="8"/>
                <c:pt idx="2">
                  <c:v>2.9402774475561806</c:v>
                </c:pt>
                <c:pt idx="3">
                  <c:v>3.2111578372562875</c:v>
                </c:pt>
                <c:pt idx="4">
                  <c:v>3.9538899930821363</c:v>
                </c:pt>
                <c:pt idx="5">
                  <c:v>4.7073893505803088</c:v>
                </c:pt>
                <c:pt idx="6">
                  <c:v>6.2707179585748936</c:v>
                </c:pt>
                <c:pt idx="7">
                  <c:v>10.190603649583565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46F-8441-001E72F36366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BGSY_b2!$J$7:$Q$7</c:f>
              <c:numCache>
                <c:formatCode>0.00</c:formatCode>
                <c:ptCount val="8"/>
                <c:pt idx="2">
                  <c:v>1.5882121075639011</c:v>
                </c:pt>
                <c:pt idx="3">
                  <c:v>1.9229987765593561</c:v>
                </c:pt>
                <c:pt idx="4">
                  <c:v>1.8633896902515996</c:v>
                </c:pt>
                <c:pt idx="5">
                  <c:v>1.7445443901822792</c:v>
                </c:pt>
                <c:pt idx="6">
                  <c:v>1.8009524803740207</c:v>
                </c:pt>
                <c:pt idx="7">
                  <c:v>3.3120706864481351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0-446F-8441-001E72F3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BGSY_b2!$J$5:$Q$5</c:f>
              <c:numCache>
                <c:formatCode>0%</c:formatCode>
                <c:ptCount val="8"/>
                <c:pt idx="2">
                  <c:v>0.68166775324629936</c:v>
                </c:pt>
                <c:pt idx="3">
                  <c:v>0.80000000000001348</c:v>
                </c:pt>
                <c:pt idx="4">
                  <c:v>0.9000000000000794</c:v>
                </c:pt>
                <c:pt idx="5">
                  <c:v>0.9499999999999964</c:v>
                </c:pt>
                <c:pt idx="6">
                  <c:v>0.98999999999996491</c:v>
                </c:pt>
                <c:pt idx="7">
                  <c:v>1.0000000000000109</c:v>
                </c:pt>
              </c:numCache>
            </c:numRef>
          </c:xVal>
          <c:yVal>
            <c:numRef>
              <c:f>BGSY_b2!$J$8:$Q$8</c:f>
              <c:numCache>
                <c:formatCode>0.00</c:formatCode>
                <c:ptCount val="8"/>
                <c:pt idx="2">
                  <c:v>0</c:v>
                </c:pt>
                <c:pt idx="3">
                  <c:v>2.7226405578741142</c:v>
                </c:pt>
                <c:pt idx="4">
                  <c:v>7.0711855611631043</c:v>
                </c:pt>
                <c:pt idx="5">
                  <c:v>9.7974010028826726</c:v>
                </c:pt>
                <c:pt idx="6">
                  <c:v>13.695442494174733</c:v>
                </c:pt>
                <c:pt idx="7">
                  <c:v>19.441592703924883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0-446F-8441-001E72F3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BGfix_d2!$J$19:$P$19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BGfix_d2!$J$26:$P$26</c:f>
              <c:numCache>
                <c:formatCode>0</c:formatCode>
                <c:ptCount val="7"/>
                <c:pt idx="1">
                  <c:v>0</c:v>
                </c:pt>
                <c:pt idx="2">
                  <c:v>-507.29692322115505</c:v>
                </c:pt>
                <c:pt idx="3">
                  <c:v>-1188.9002520968411</c:v>
                </c:pt>
                <c:pt idx="4">
                  <c:v>-1413.991644761536</c:v>
                </c:pt>
                <c:pt idx="5">
                  <c:v>-1204.9883399592507</c:v>
                </c:pt>
                <c:pt idx="6">
                  <c:v>-2099.5051122001746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9-4FCC-A5FB-059AF453CE3E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BGfix_d2!$J$19:$P$19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BGfix_d2!$J$25:$P$25</c:f>
              <c:numCache>
                <c:formatCode>0</c:formatCode>
                <c:ptCount val="7"/>
                <c:pt idx="1">
                  <c:v>-388.09165207849355</c:v>
                </c:pt>
                <c:pt idx="2">
                  <c:v>-1047.1754913720085</c:v>
                </c:pt>
                <c:pt idx="3">
                  <c:v>-1941.6364896322596</c:v>
                </c:pt>
                <c:pt idx="4">
                  <c:v>-3816.4648215331149</c:v>
                </c:pt>
                <c:pt idx="5">
                  <c:v>-8889.4764287931157</c:v>
                </c:pt>
                <c:pt idx="6">
                  <c:v>-7565.0356605345287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9-4FCC-A5FB-059AF453CE3E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BGfix_d2!$J$19:$P$19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BGfix_d2!$J$27:$P$27</c:f>
              <c:numCache>
                <c:formatCode>0</c:formatCode>
                <c:ptCount val="7"/>
                <c:pt idx="1">
                  <c:v>0</c:v>
                </c:pt>
                <c:pt idx="2">
                  <c:v>477.31567505878445</c:v>
                </c:pt>
                <c:pt idx="3">
                  <c:v>1118.6362471979178</c:v>
                </c:pt>
                <c:pt idx="4">
                  <c:v>1330.4247385561273</c:v>
                </c:pt>
                <c:pt idx="5">
                  <c:v>1133.7735290676605</c:v>
                </c:pt>
                <c:pt idx="6">
                  <c:v>1975.4243600691448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D9-4FCC-A5FB-059AF453CE3E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BGfix_d2!$J$19:$P$19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BGfix_d2!$J$22:$P$22</c:f>
              <c:numCache>
                <c:formatCode>0</c:formatCode>
                <c:ptCount val="7"/>
                <c:pt idx="1">
                  <c:v>1357.6027596033882</c:v>
                </c:pt>
                <c:pt idx="2">
                  <c:v>2367.1509829186102</c:v>
                </c:pt>
                <c:pt idx="3">
                  <c:v>3828.5635170654828</c:v>
                </c:pt>
                <c:pt idx="4">
                  <c:v>5634.3418476130901</c:v>
                </c:pt>
                <c:pt idx="5">
                  <c:v>8192.4741651508084</c:v>
                </c:pt>
                <c:pt idx="6">
                  <c:v>10948.690487596585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D9-4FCC-A5FB-059AF453CE3E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BGfix_d2!$J$19:$P$19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BGfix_d2!$J$23:$P$23</c:f>
              <c:numCache>
                <c:formatCode>0</c:formatCode>
                <c:ptCount val="7"/>
                <c:pt idx="1">
                  <c:v>5520.9213747353169</c:v>
                </c:pt>
                <c:pt idx="2">
                  <c:v>6453.1957761184103</c:v>
                </c:pt>
                <c:pt idx="3">
                  <c:v>6894.4257494098492</c:v>
                </c:pt>
                <c:pt idx="4">
                  <c:v>7460.7280282852234</c:v>
                </c:pt>
                <c:pt idx="5">
                  <c:v>10350.414723671754</c:v>
                </c:pt>
                <c:pt idx="6">
                  <c:v>6419.4134494474092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D9-4FCC-A5FB-059AF453CE3E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BGfix_d2!$J$19:$P$19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BGfix_d2!$J$24:$P$24</c:f>
              <c:numCache>
                <c:formatCode>0</c:formatCode>
                <c:ptCount val="7"/>
                <c:pt idx="1">
                  <c:v>3188.555042118423</c:v>
                </c:pt>
                <c:pt idx="2">
                  <c:v>1935.7975048743515</c:v>
                </c:pt>
                <c:pt idx="3">
                  <c:v>967.89875243620133</c:v>
                </c:pt>
                <c:pt idx="4">
                  <c:v>483.94937621779928</c:v>
                </c:pt>
                <c:pt idx="5">
                  <c:v>96.789875242667364</c:v>
                </c:pt>
                <c:pt idx="6">
                  <c:v>2.6135614916711347E-10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D9-4FCC-A5FB-059AF453C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BGfix_d2!$J$50:$P$50</c:f>
              <c:numCache>
                <c:formatCode>0.000</c:formatCode>
                <c:ptCount val="7"/>
                <c:pt idx="1">
                  <c:v>3.8390452504944399</c:v>
                </c:pt>
                <c:pt idx="2">
                  <c:v>3.9357014794385594</c:v>
                </c:pt>
                <c:pt idx="3">
                  <c:v>4.1673331935314648</c:v>
                </c:pt>
                <c:pt idx="4">
                  <c:v>4.4340671130293758</c:v>
                </c:pt>
                <c:pt idx="5">
                  <c:v>5.5505518674917864</c:v>
                </c:pt>
                <c:pt idx="6">
                  <c:v>7.6030802859694999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2-410E-AE9C-47F8CADDCD10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BGfix_d2!$J$51:$P$51</c:f>
              <c:numCache>
                <c:formatCode>0.000</c:formatCode>
                <c:ptCount val="7"/>
                <c:pt idx="1">
                  <c:v>3.8175777423293469</c:v>
                </c:pt>
                <c:pt idx="2">
                  <c:v>3.8777763777495213</c:v>
                </c:pt>
                <c:pt idx="3">
                  <c:v>4.0599304782924541</c:v>
                </c:pt>
                <c:pt idx="4">
                  <c:v>4.2229572133980078</c:v>
                </c:pt>
                <c:pt idx="5">
                  <c:v>5.0588254755519513</c:v>
                </c:pt>
                <c:pt idx="6">
                  <c:v>7.1846160805634405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2-410E-AE9C-47F8CADDCD10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BGfix_d2!$J$52:$P$52</c:f>
              <c:numCache>
                <c:formatCode>0.000</c:formatCode>
                <c:ptCount val="7"/>
                <c:pt idx="1">
                  <c:v>3.7961102341642543</c:v>
                </c:pt>
                <c:pt idx="2">
                  <c:v>3.8198512760604832</c:v>
                </c:pt>
                <c:pt idx="3">
                  <c:v>3.9525277630534439</c:v>
                </c:pt>
                <c:pt idx="4">
                  <c:v>4.0118473137666406</c:v>
                </c:pt>
                <c:pt idx="5">
                  <c:v>4.5670990836121161</c:v>
                </c:pt>
                <c:pt idx="6">
                  <c:v>6.766151875157381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B2-410E-AE9C-47F8CADDC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BGfix_d2!$J$63:$P$63</c:f>
              <c:numCache>
                <c:formatCode>#,##0\ "€"</c:formatCode>
                <c:ptCount val="7"/>
                <c:pt idx="1">
                  <c:v>1379675.7</c:v>
                </c:pt>
                <c:pt idx="2">
                  <c:v>1379675.8624709388</c:v>
                </c:pt>
                <c:pt idx="3">
                  <c:v>1379675.827915743</c:v>
                </c:pt>
                <c:pt idx="4">
                  <c:v>1379675.8163799089</c:v>
                </c:pt>
                <c:pt idx="5">
                  <c:v>1379675.7444019953</c:v>
                </c:pt>
                <c:pt idx="6">
                  <c:v>1379675.8251889343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8-4EF7-85FA-8D89671E62BD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BGfix_d2!$J$64:$P$64</c:f>
              <c:numCache>
                <c:formatCode>#,##0\ "€"</c:formatCode>
                <c:ptCount val="7"/>
                <c:pt idx="1">
                  <c:v>2105340.0956752803</c:v>
                </c:pt>
                <c:pt idx="2">
                  <c:v>2105340.1595912287</c:v>
                </c:pt>
                <c:pt idx="3">
                  <c:v>2105340.2499612924</c:v>
                </c:pt>
                <c:pt idx="4">
                  <c:v>2105340.2916619251</c:v>
                </c:pt>
                <c:pt idx="5">
                  <c:v>2105340.1704493524</c:v>
                </c:pt>
                <c:pt idx="6">
                  <c:v>2105340.1440566671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8-4EF7-85FA-8D89671E62BD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BGfix_d2!$J$57:$P$57</c:f>
              <c:numCache>
                <c:formatCode>#,##0\ "€"</c:formatCode>
                <c:ptCount val="7"/>
                <c:pt idx="1">
                  <c:v>479665.90013488091</c:v>
                </c:pt>
                <c:pt idx="2">
                  <c:v>836357.76293540373</c:v>
                </c:pt>
                <c:pt idx="3">
                  <c:v>1352701.5562146287</c:v>
                </c:pt>
                <c:pt idx="4">
                  <c:v>1990716.0875192129</c:v>
                </c:pt>
                <c:pt idx="5">
                  <c:v>2894551.0510798031</c:v>
                </c:pt>
                <c:pt idx="6">
                  <c:v>3868372.7186629032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08-4EF7-85FA-8D89671E62BD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BGfix_d2!$J$58:$P$58</c:f>
              <c:numCache>
                <c:formatCode>#,##0\ "€"</c:formatCode>
                <c:ptCount val="7"/>
                <c:pt idx="1">
                  <c:v>2801086.1621726844</c:v>
                </c:pt>
                <c:pt idx="2">
                  <c:v>3274083.4660306969</c:v>
                </c:pt>
                <c:pt idx="3">
                  <c:v>3497945.2254424975</c:v>
                </c:pt>
                <c:pt idx="4">
                  <c:v>3785263.477106737</c:v>
                </c:pt>
                <c:pt idx="5">
                  <c:v>5251370.4665129809</c:v>
                </c:pt>
                <c:pt idx="6">
                  <c:v>3256943.716821956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08-4EF7-85FA-8D89671E62BD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BGfix_d2!$J$59:$P$59</c:f>
              <c:numCache>
                <c:formatCode>#,##0\ "€"</c:formatCode>
                <c:ptCount val="7"/>
                <c:pt idx="1">
                  <c:v>0</c:v>
                </c:pt>
                <c:pt idx="2">
                  <c:v>398269.04744035268</c:v>
                </c:pt>
                <c:pt idx="3">
                  <c:v>1245013.3080111807</c:v>
                </c:pt>
                <c:pt idx="4">
                  <c:v>1804312.9121720905</c:v>
                </c:pt>
                <c:pt idx="5">
                  <c:v>4613923.3942370983</c:v>
                </c:pt>
                <c:pt idx="6">
                  <c:v>15034113.988670582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08-4EF7-85FA-8D89671E62BD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BGfix_d2!$J$60:$P$60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08-4EF7-85FA-8D89671E62BD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BGfix_d2!$J$61:$P$61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08-4EF7-85FA-8D89671E62BD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BGfix_d2!$J$62:$P$62</c:f>
              <c:numCache>
                <c:formatCode>#,##0\ "€"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08-4EF7-85FA-8D89671E6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BGfix_d2!$J$31:$P$31</c:f>
              <c:numCache>
                <c:formatCode>0.000</c:formatCode>
                <c:ptCount val="7"/>
                <c:pt idx="1">
                  <c:v>8.8443297457473827E-2</c:v>
                </c:pt>
                <c:pt idx="2">
                  <c:v>0.15421200128539955</c:v>
                </c:pt>
                <c:pt idx="3">
                  <c:v>0.2494181597521074</c:v>
                </c:pt>
                <c:pt idx="4">
                  <c:v>0.36705860273234681</c:v>
                </c:pt>
                <c:pt idx="5">
                  <c:v>0.53371240178741253</c:v>
                </c:pt>
                <c:pt idx="6">
                  <c:v>0.71327071392168928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8-4BDC-8BF9-8C855E51BDCC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BGfix_d2!$J$32:$P$32</c:f>
              <c:numCache>
                <c:formatCode>0.000</c:formatCode>
                <c:ptCount val="7"/>
                <c:pt idx="1">
                  <c:v>0.51647885867098187</c:v>
                </c:pt>
                <c:pt idx="2">
                  <c:v>0.60369256560727047</c:v>
                </c:pt>
                <c:pt idx="3">
                  <c:v>0.6449693630019816</c:v>
                </c:pt>
                <c:pt idx="4">
                  <c:v>0.69794659901103251</c:v>
                </c:pt>
                <c:pt idx="5">
                  <c:v>0.96827504331374004</c:v>
                </c:pt>
                <c:pt idx="6">
                  <c:v>0.60053224935970662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8-4BDC-8BF9-8C855E51BDCC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BGfix_d2!$J$33:$P$33</c:f>
              <c:numCache>
                <c:formatCode>0.000</c:formatCode>
                <c:ptCount val="7"/>
                <c:pt idx="1">
                  <c:v>0</c:v>
                </c:pt>
                <c:pt idx="2">
                  <c:v>7.343492172565648E-2</c:v>
                </c:pt>
                <c:pt idx="3">
                  <c:v>0.2295620395529151</c:v>
                </c:pt>
                <c:pt idx="4">
                  <c:v>0.33268861420572976</c:v>
                </c:pt>
                <c:pt idx="5">
                  <c:v>0.85073923138539276</c:v>
                </c:pt>
                <c:pt idx="6">
                  <c:v>2.7720682565421582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58-4BDC-8BF9-8C855E51BDCC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BGfix_d2!$J$34:$P$34</c:f>
              <c:numCache>
                <c:formatCode>0.000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58-4BDC-8BF9-8C855E51BDCC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BGfix_d2!$J$36:$P$36</c:f>
              <c:numCache>
                <c:formatCode>0.000</c:formatCode>
                <c:ptCount val="7"/>
                <c:pt idx="1">
                  <c:v>0.64258536738640615</c:v>
                </c:pt>
                <c:pt idx="2">
                  <c:v>0.64258540912879358</c:v>
                </c:pt>
                <c:pt idx="3">
                  <c:v>0.6425854194202465</c:v>
                </c:pt>
                <c:pt idx="4">
                  <c:v>0.64258542498226079</c:v>
                </c:pt>
                <c:pt idx="5">
                  <c:v>0.64258538936074527</c:v>
                </c:pt>
                <c:pt idx="6">
                  <c:v>0.64258539939023684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58-4BDC-8BF9-8C855E51BDCC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BGfix_d2!$J$37:$P$37</c:f>
              <c:numCache>
                <c:formatCode>0.000</c:formatCode>
                <c:ptCount val="7"/>
                <c:pt idx="1">
                  <c:v>1.734182303087722E-2</c:v>
                </c:pt>
                <c:pt idx="2">
                  <c:v>3.0237647310862655E-2</c:v>
                </c:pt>
                <c:pt idx="3">
                  <c:v>4.8905521520021054E-2</c:v>
                </c:pt>
                <c:pt idx="4">
                  <c:v>7.1972275045558198E-2</c:v>
                </c:pt>
                <c:pt idx="5">
                  <c:v>0.1046494905465515</c:v>
                </c:pt>
                <c:pt idx="6">
                  <c:v>0.139857002729743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58-4BDC-8BF9-8C855E51BDCC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BGfix_d2!$J$38:$P$38</c:f>
              <c:numCache>
                <c:formatCode>0.000</c:formatCode>
                <c:ptCount val="7"/>
                <c:pt idx="1">
                  <c:v>0.21300271427427178</c:v>
                </c:pt>
                <c:pt idx="2">
                  <c:v>0.24897080084252482</c:v>
                </c:pt>
                <c:pt idx="3">
                  <c:v>0.26599389817558244</c:v>
                </c:pt>
                <c:pt idx="4">
                  <c:v>0.28784241118870668</c:v>
                </c:pt>
                <c:pt idx="5">
                  <c:v>0.39932943803465792</c:v>
                </c:pt>
                <c:pt idx="6">
                  <c:v>0.24766744461139389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58-4BDC-8BF9-8C855E51BDCC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BGfix_d2!$J$39:$P$39</c:f>
              <c:numCache>
                <c:formatCode>0.000</c:formatCode>
                <c:ptCount val="7"/>
                <c:pt idx="1">
                  <c:v>0</c:v>
                </c:pt>
                <c:pt idx="2">
                  <c:v>1.4805427767269447E-2</c:v>
                </c:pt>
                <c:pt idx="3">
                  <c:v>4.6282669264700621E-2</c:v>
                </c:pt>
                <c:pt idx="4">
                  <c:v>6.7074317380187445E-2</c:v>
                </c:pt>
                <c:pt idx="5">
                  <c:v>0.17152000632770015</c:v>
                </c:pt>
                <c:pt idx="6">
                  <c:v>0.55888472914156395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58-4BDC-8BF9-8C855E51BDCC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BGfix_d2!$J$40:$P$40</c:f>
              <c:numCache>
                <c:formatCode>0.000</c:formatCode>
                <c:ptCount val="7"/>
                <c:pt idx="1">
                  <c:v>0.25703414695456239</c:v>
                </c:pt>
                <c:pt idx="2">
                  <c:v>0.25703416365151743</c:v>
                </c:pt>
                <c:pt idx="3">
                  <c:v>0.25703416776809856</c:v>
                </c:pt>
                <c:pt idx="4">
                  <c:v>0.25703416999290435</c:v>
                </c:pt>
                <c:pt idx="5">
                  <c:v>0.25703415574429811</c:v>
                </c:pt>
                <c:pt idx="6">
                  <c:v>0.25703415975609473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58-4BDC-8BF9-8C855E51BDCC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BGfix_d2!$J$42:$P$42</c:f>
              <c:numCache>
                <c:formatCode>0.000</c:formatCode>
                <c:ptCount val="7"/>
                <c:pt idx="1">
                  <c:v>0</c:v>
                </c:pt>
                <c:pt idx="2">
                  <c:v>3.7415219774508006E-2</c:v>
                </c:pt>
                <c:pt idx="3">
                  <c:v>8.7686248794338117E-2</c:v>
                </c:pt>
                <c:pt idx="4">
                  <c:v>0.10428765822617549</c:v>
                </c:pt>
                <c:pt idx="5">
                  <c:v>8.8872810974339675E-2</c:v>
                </c:pt>
                <c:pt idx="6">
                  <c:v>0.1548470759331452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58-4BDC-8BF9-8C855E51BDCC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BGfix_d2!$J$44:$P$44</c:f>
              <c:numCache>
                <c:formatCode>0.000</c:formatCode>
                <c:ptCount val="7"/>
                <c:pt idx="1">
                  <c:v>8.4786431781361277E-2</c:v>
                </c:pt>
                <c:pt idx="2">
                  <c:v>8.4786442352164954E-2</c:v>
                </c:pt>
                <c:pt idx="3">
                  <c:v>8.4786440103912064E-2</c:v>
                </c:pt>
                <c:pt idx="4">
                  <c:v>8.4786439353369603E-2</c:v>
                </c:pt>
                <c:pt idx="5">
                  <c:v>8.4786434670280492E-2</c:v>
                </c:pt>
                <c:pt idx="6">
                  <c:v>8.4786439926505683E-2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58-4BDC-8BF9-8C855E51BDCC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BGfix_d2!$J$45:$P$45</c:f>
              <c:numCache>
                <c:formatCode>0.000</c:formatCode>
                <c:ptCount val="7"/>
                <c:pt idx="1">
                  <c:v>1.9027730795181921</c:v>
                </c:pt>
                <c:pt idx="2">
                  <c:v>1.9027730795181741</c:v>
                </c:pt>
                <c:pt idx="3">
                  <c:v>1.9027730795182236</c:v>
                </c:pt>
                <c:pt idx="4">
                  <c:v>1.9027730795184359</c:v>
                </c:pt>
                <c:pt idx="5">
                  <c:v>1.9027730795182958</c:v>
                </c:pt>
                <c:pt idx="6">
                  <c:v>1.9027730795182831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58-4BDC-8BF9-8C855E51BDCC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BGfix_d2!$J$46:$P$46</c:f>
              <c:numCache>
                <c:formatCode>0.000</c:formatCode>
                <c:ptCount val="7"/>
                <c:pt idx="1">
                  <c:v>0.58782579628124998</c:v>
                </c:pt>
                <c:pt idx="2">
                  <c:v>0.35698006533525933</c:v>
                </c:pt>
                <c:pt idx="3">
                  <c:v>0.17856245152024991</c:v>
                </c:pt>
                <c:pt idx="4">
                  <c:v>8.924378625361569E-2</c:v>
                </c:pt>
                <c:pt idx="5">
                  <c:v>1.7500650689389323E-2</c:v>
                </c:pt>
                <c:pt idx="6">
                  <c:v>4.5781248066757465E-14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58-4BDC-8BF9-8C855E51BDCC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BGfix_d2!$J$48:$P$48</c:f>
              <c:numCache>
                <c:formatCode>0.000</c:formatCode>
                <c:ptCount val="7"/>
                <c:pt idx="1">
                  <c:v>-2.1467508165092901E-2</c:v>
                </c:pt>
                <c:pt idx="2">
                  <c:v>-5.7925101689038146E-2</c:v>
                </c:pt>
                <c:pt idx="3">
                  <c:v>-0.1074027152390104</c:v>
                </c:pt>
                <c:pt idx="4">
                  <c:v>-0.21110989963136775</c:v>
                </c:pt>
                <c:pt idx="5">
                  <c:v>-0.49172639193983531</c:v>
                </c:pt>
                <c:pt idx="6">
                  <c:v>-0.41846420540605961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0D58-4BDC-8BF9-8C855E51BDCC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cat>
          <c:val>
            <c:numRef>
              <c:f>BGfix_d2!$J$47:$P$47</c:f>
              <c:numCache>
                <c:formatCode>0.000</c:formatCode>
                <c:ptCount val="7"/>
                <c:pt idx="1">
                  <c:v>-0.47122626486093633</c:v>
                </c:pt>
                <c:pt idx="2">
                  <c:v>-0.47122626486084085</c:v>
                </c:pt>
                <c:pt idx="3">
                  <c:v>-0.47122626486091324</c:v>
                </c:pt>
                <c:pt idx="4">
                  <c:v>-0.47122626486094693</c:v>
                </c:pt>
                <c:pt idx="5">
                  <c:v>-0.47122626486101793</c:v>
                </c:pt>
                <c:pt idx="6">
                  <c:v>-0.471226264861067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58-4BDC-8BF9-8C855E51B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BGfix_d2!$J$50:$P$50</c:f>
              <c:numCache>
                <c:formatCode>0.000</c:formatCode>
                <c:ptCount val="7"/>
                <c:pt idx="1">
                  <c:v>3.8390452504944399</c:v>
                </c:pt>
                <c:pt idx="2">
                  <c:v>3.9357014794385594</c:v>
                </c:pt>
                <c:pt idx="3">
                  <c:v>4.1673331935314648</c:v>
                </c:pt>
                <c:pt idx="4">
                  <c:v>4.4340671130293758</c:v>
                </c:pt>
                <c:pt idx="5">
                  <c:v>5.5505518674917864</c:v>
                </c:pt>
                <c:pt idx="6">
                  <c:v>7.6030802859694999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D58-4BDC-8BF9-8C855E51B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BGfix_d2!$J$97:$P$97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BGfix_d2!$J$105:$P$105</c:f>
              <c:numCache>
                <c:formatCode>0.00</c:formatCode>
                <c:ptCount val="7"/>
                <c:pt idx="1">
                  <c:v>2.3516895570049869</c:v>
                </c:pt>
                <c:pt idx="2">
                  <c:v>1.4277297134767957</c:v>
                </c:pt>
                <c:pt idx="3">
                  <c:v>0.71386485673773337</c:v>
                </c:pt>
                <c:pt idx="4">
                  <c:v>0.35693242836864514</c:v>
                </c:pt>
                <c:pt idx="6">
                  <c:v>1.9276083321019137E-13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8-48A6-9C38-3E7246EAA027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BGfix_d2!$J$107:$P$107</c:f>
              <c:numCache>
                <c:formatCode>0.00</c:formatCode>
                <c:ptCount val="7"/>
                <c:pt idx="1">
                  <c:v>3.2055854029400081E-2</c:v>
                </c:pt>
                <c:pt idx="2">
                  <c:v>3.7468872998083921E-2</c:v>
                </c:pt>
                <c:pt idx="3">
                  <c:v>4.0030764873952081E-2</c:v>
                </c:pt>
                <c:pt idx="4">
                  <c:v>4.3318857921467273E-2</c:v>
                </c:pt>
                <c:pt idx="6">
                  <c:v>3.7272724337557919E-2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38-48A6-9C38-3E7246EAA027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BGfix_d2!$J$109:$P$109</c:f>
              <c:numCache>
                <c:formatCode>0.00</c:formatCode>
                <c:ptCount val="7"/>
                <c:pt idx="1">
                  <c:v>-9.4245252972192066</c:v>
                </c:pt>
                <c:pt idx="2">
                  <c:v>-9.4245252972203968</c:v>
                </c:pt>
                <c:pt idx="3">
                  <c:v>-9.4245252972200717</c:v>
                </c:pt>
                <c:pt idx="4">
                  <c:v>-9.4245252972199971</c:v>
                </c:pt>
                <c:pt idx="6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38-48A6-9C38-3E7246EAA027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BGfix_d2!$J$97:$P$97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BGfix_d2!$J$106:$P$106</c:f>
              <c:numCache>
                <c:formatCode>0.00</c:formatCode>
                <c:ptCount val="7"/>
                <c:pt idx="1">
                  <c:v>6.0696380608079199E-2</c:v>
                </c:pt>
                <c:pt idx="2">
                  <c:v>0.10583176558802206</c:v>
                </c:pt>
                <c:pt idx="3">
                  <c:v>0.17116932532008666</c:v>
                </c:pt>
                <c:pt idx="4">
                  <c:v>0.25190296265944523</c:v>
                </c:pt>
                <c:pt idx="6">
                  <c:v>0.48949950955412175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38-48A6-9C38-3E7246EAA027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BGfix_d2!$J$72:$P$72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BGfix_d2!$J$110:$P$110</c:f>
              <c:numCache>
                <c:formatCode>0.00</c:formatCode>
                <c:ptCount val="7"/>
                <c:pt idx="1">
                  <c:v>-6.9800835055767401</c:v>
                </c:pt>
                <c:pt idx="2">
                  <c:v>-7.8271412837317547</c:v>
                </c:pt>
                <c:pt idx="3">
                  <c:v>-8.4170771989971271</c:v>
                </c:pt>
                <c:pt idx="4">
                  <c:v>-8.6529787633337101</c:v>
                </c:pt>
                <c:pt idx="6">
                  <c:v>-7.9029382454567099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38-48A6-9C38-3E7246EAA027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BGfix_d2!$K$97:$P$97</c:f>
              <c:numCache>
                <c:formatCode>0%</c:formatCode>
                <c:ptCount val="6"/>
                <c:pt idx="0">
                  <c:v>0.6705693613007746</c:v>
                </c:pt>
                <c:pt idx="1">
                  <c:v>0.79999999999998594</c:v>
                </c:pt>
                <c:pt idx="2">
                  <c:v>0.90000000000033675</c:v>
                </c:pt>
                <c:pt idx="3">
                  <c:v>0.95000000000011542</c:v>
                </c:pt>
                <c:pt idx="4">
                  <c:v>0.99000000000038058</c:v>
                </c:pt>
                <c:pt idx="5">
                  <c:v>1.000000000000097</c:v>
                </c:pt>
              </c:numCache>
            </c:numRef>
          </c:xVal>
          <c:yVal>
            <c:numRef>
              <c:f>BGfix_d2!$K$108:$P$108</c:f>
              <c:numCache>
                <c:formatCode>0.00</c:formatCode>
                <c:ptCount val="6"/>
                <c:pt idx="0">
                  <c:v>0</c:v>
                </c:pt>
                <c:pt idx="1">
                  <c:v>2.6353661425740301E-2</c:v>
                </c:pt>
                <c:pt idx="2">
                  <c:v>8.2383151291173337E-2</c:v>
                </c:pt>
                <c:pt idx="3">
                  <c:v>0.11939228493672964</c:v>
                </c:pt>
                <c:pt idx="5">
                  <c:v>0.99481481787202708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38-48A6-9C38-3E7246EA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46202173486239589"/>
          <c:h val="0.149675077204896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BGfix_d2!$J$97:$P$97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BGfix_d2!$J$105:$P$105</c:f>
              <c:numCache>
                <c:formatCode>0.00</c:formatCode>
                <c:ptCount val="7"/>
                <c:pt idx="1">
                  <c:v>2.3516895570049869</c:v>
                </c:pt>
                <c:pt idx="2">
                  <c:v>1.4277297134767957</c:v>
                </c:pt>
                <c:pt idx="3">
                  <c:v>0.71386485673773337</c:v>
                </c:pt>
                <c:pt idx="4">
                  <c:v>0.35693242836864514</c:v>
                </c:pt>
                <c:pt idx="6">
                  <c:v>1.9276083321019137E-13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27-4AC5-BC89-8874D0AF8AE5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BGfix_d2!$J$107:$P$107</c:f>
              <c:numCache>
                <c:formatCode>0.00</c:formatCode>
                <c:ptCount val="7"/>
                <c:pt idx="1">
                  <c:v>3.2055854029400081E-2</c:v>
                </c:pt>
                <c:pt idx="2">
                  <c:v>3.7468872998083921E-2</c:v>
                </c:pt>
                <c:pt idx="3">
                  <c:v>4.0030764873952081E-2</c:v>
                </c:pt>
                <c:pt idx="4">
                  <c:v>4.3318857921467273E-2</c:v>
                </c:pt>
                <c:pt idx="6">
                  <c:v>3.7272724337557919E-2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27-4AC5-BC89-8874D0AF8AE5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BGfix_d2!$J$109:$P$109</c:f>
              <c:numCache>
                <c:formatCode>0.00</c:formatCode>
                <c:ptCount val="7"/>
                <c:pt idx="1">
                  <c:v>-9.4245252972192066</c:v>
                </c:pt>
                <c:pt idx="2">
                  <c:v>-9.4245252972203968</c:v>
                </c:pt>
                <c:pt idx="3">
                  <c:v>-9.4245252972200717</c:v>
                </c:pt>
                <c:pt idx="4">
                  <c:v>-9.4245252972199971</c:v>
                </c:pt>
                <c:pt idx="6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27-4AC5-BC89-8874D0AF8AE5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BGfix_d2!$J$97:$P$97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BGfix_d2!$J$106:$P$106</c:f>
              <c:numCache>
                <c:formatCode>0.00</c:formatCode>
                <c:ptCount val="7"/>
                <c:pt idx="1">
                  <c:v>6.0696380608079199E-2</c:v>
                </c:pt>
                <c:pt idx="2">
                  <c:v>0.10583176558802206</c:v>
                </c:pt>
                <c:pt idx="3">
                  <c:v>0.17116932532008666</c:v>
                </c:pt>
                <c:pt idx="4">
                  <c:v>0.25190296265944523</c:v>
                </c:pt>
                <c:pt idx="6">
                  <c:v>0.48949950955412175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27-4AC5-BC89-8874D0AF8AE5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BGfix_d2!$J$72:$P$72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BGfix_d2!$J$110:$P$110</c:f>
              <c:numCache>
                <c:formatCode>0.00</c:formatCode>
                <c:ptCount val="7"/>
                <c:pt idx="1">
                  <c:v>-6.9800835055767401</c:v>
                </c:pt>
                <c:pt idx="2">
                  <c:v>-7.8271412837317547</c:v>
                </c:pt>
                <c:pt idx="3">
                  <c:v>-8.4170771989971271</c:v>
                </c:pt>
                <c:pt idx="4">
                  <c:v>-8.6529787633337101</c:v>
                </c:pt>
                <c:pt idx="6">
                  <c:v>-7.9029382454567099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27-4AC5-BC89-8874D0AF8AE5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BGfix_d2!$K$97:$P$97</c:f>
              <c:numCache>
                <c:formatCode>0%</c:formatCode>
                <c:ptCount val="6"/>
                <c:pt idx="0">
                  <c:v>0.6705693613007746</c:v>
                </c:pt>
                <c:pt idx="1">
                  <c:v>0.79999999999998594</c:v>
                </c:pt>
                <c:pt idx="2">
                  <c:v>0.90000000000033675</c:v>
                </c:pt>
                <c:pt idx="3">
                  <c:v>0.95000000000011542</c:v>
                </c:pt>
                <c:pt idx="4">
                  <c:v>0.99000000000038058</c:v>
                </c:pt>
                <c:pt idx="5">
                  <c:v>1.000000000000097</c:v>
                </c:pt>
              </c:numCache>
            </c:numRef>
          </c:xVal>
          <c:yVal>
            <c:numRef>
              <c:f>BGfix_d2!$K$108:$P$108</c:f>
              <c:numCache>
                <c:formatCode>0.00</c:formatCode>
                <c:ptCount val="6"/>
                <c:pt idx="0">
                  <c:v>0</c:v>
                </c:pt>
                <c:pt idx="1">
                  <c:v>2.6353661425740301E-2</c:v>
                </c:pt>
                <c:pt idx="2">
                  <c:v>8.2383151291173337E-2</c:v>
                </c:pt>
                <c:pt idx="3">
                  <c:v>0.11939228493672964</c:v>
                </c:pt>
                <c:pt idx="5">
                  <c:v>0.99481481787202708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27-4AC5-BC89-8874D0AF8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21465309698605339"/>
          <c:h val="0.339408499448238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BGfix_d2!$J$56:$P$56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BGfix_d2!$J$78:$P$78</c:f>
              <c:numCache>
                <c:formatCode>0</c:formatCode>
                <c:ptCount val="7"/>
                <c:pt idx="1">
                  <c:v>69.795182421380318</c:v>
                </c:pt>
                <c:pt idx="2">
                  <c:v>81.441786448582832</c:v>
                </c:pt>
                <c:pt idx="3">
                  <c:v>97.92192054364908</c:v>
                </c:pt>
                <c:pt idx="4">
                  <c:v>113.76887137410334</c:v>
                </c:pt>
                <c:pt idx="5">
                  <c:v>176.4246683554266</c:v>
                </c:pt>
                <c:pt idx="6">
                  <c:v>290.6503898194573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7-4902-B894-6E031AB185E7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BGfix_d2!$J$97:$P$97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BGfix_d2!$J$112:$P$112</c:f>
              <c:numCache>
                <c:formatCode>0.00</c:formatCode>
                <c:ptCount val="7"/>
                <c:pt idx="1">
                  <c:v>42.259639895233605</c:v>
                </c:pt>
                <c:pt idx="2">
                  <c:v>42.259639895238614</c:v>
                </c:pt>
                <c:pt idx="3">
                  <c:v>42.259639895236546</c:v>
                </c:pt>
                <c:pt idx="4">
                  <c:v>42.259639895240966</c:v>
                </c:pt>
                <c:pt idx="5">
                  <c:v>42.259639895237946</c:v>
                </c:pt>
                <c:pt idx="6">
                  <c:v>42.259639895237946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F7-4902-B894-6E031AB185E7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BGfix_d2!$J$97:$P$97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BGfix_d2!$J$113:$P$113</c:f>
              <c:numCache>
                <c:formatCode>0.00</c:formatCode>
                <c:ptCount val="7"/>
                <c:pt idx="1">
                  <c:v>71.659980010182579</c:v>
                </c:pt>
                <c:pt idx="2">
                  <c:v>71.65998001019075</c:v>
                </c:pt>
                <c:pt idx="3">
                  <c:v>71.659980010187198</c:v>
                </c:pt>
                <c:pt idx="4">
                  <c:v>71.659980010195127</c:v>
                </c:pt>
                <c:pt idx="5">
                  <c:v>71.6599800101895</c:v>
                </c:pt>
                <c:pt idx="6">
                  <c:v>71.6599800101895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F7-4902-B894-6E031AB18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3F7-4902-B894-6E031AB185E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3F7-4902-B894-6E031AB185E7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3F7-4902-B894-6E031AB185E7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3F7-4902-B894-6E031AB185E7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3F7-4902-B894-6E031AB185E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BGfix_d2!$J$77:$P$77</c:f>
              <c:numCache>
                <c:formatCode>0.0%</c:formatCode>
                <c:ptCount val="7"/>
                <c:pt idx="1">
                  <c:v>5.6420773482654112E-2</c:v>
                </c:pt>
                <c:pt idx="2">
                  <c:v>0.11872271238079263</c:v>
                </c:pt>
                <c:pt idx="3">
                  <c:v>0.18107231494697554</c:v>
                </c:pt>
                <c:pt idx="4">
                  <c:v>0.29144287565485849</c:v>
                </c:pt>
                <c:pt idx="5">
                  <c:v>0.4794008356568209</c:v>
                </c:pt>
                <c:pt idx="6">
                  <c:v>0.43557061196526198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3F7-4902-B894-6E031AB18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BGfix_d2!$J$6:$P$6</c:f>
              <c:numCache>
                <c:formatCode>0.00</c:formatCode>
                <c:ptCount val="7"/>
                <c:pt idx="1">
                  <c:v>1.56753562135582</c:v>
                </c:pt>
                <c:pt idx="2">
                  <c:v>2.7331953037104695</c:v>
                </c:pt>
                <c:pt idx="3">
                  <c:v>4.4205933209628387</c:v>
                </c:pt>
                <c:pt idx="4">
                  <c:v>6.5056081291477543</c:v>
                </c:pt>
                <c:pt idx="5">
                  <c:v>9.4593171603915138</c:v>
                </c:pt>
                <c:pt idx="6">
                  <c:v>12.641740910663081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4-4C09-9151-585ACA13A471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BGfix_d2!$J$7:$P$7</c:f>
              <c:numCache>
                <c:formatCode>0.00</c:formatCode>
                <c:ptCount val="7"/>
                <c:pt idx="1">
                  <c:v>1.143767318159528</c:v>
                </c:pt>
                <c:pt idx="2">
                  <c:v>1.336906274410248</c:v>
                </c:pt>
                <c:pt idx="3">
                  <c:v>1.4283157310912609</c:v>
                </c:pt>
                <c:pt idx="4">
                  <c:v>1.5456363728488105</c:v>
                </c:pt>
                <c:pt idx="5">
                  <c:v>2.1442917380616495</c:v>
                </c:pt>
                <c:pt idx="6">
                  <c:v>1.3299076018056171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D4-4C09-9151-585ACA13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BGfix_d2!$J$5:$P$5</c:f>
              <c:numCache>
                <c:formatCode>0%</c:formatCode>
                <c:ptCount val="7"/>
                <c:pt idx="1">
                  <c:v>0.6705693613007746</c:v>
                </c:pt>
                <c:pt idx="2">
                  <c:v>0.79999999999998594</c:v>
                </c:pt>
                <c:pt idx="3">
                  <c:v>0.90000000000033675</c:v>
                </c:pt>
                <c:pt idx="4">
                  <c:v>0.95000000000011542</c:v>
                </c:pt>
                <c:pt idx="5">
                  <c:v>0.99000000000038058</c:v>
                </c:pt>
                <c:pt idx="6">
                  <c:v>1.000000000000097</c:v>
                </c:pt>
              </c:numCache>
            </c:numRef>
          </c:xVal>
          <c:yVal>
            <c:numRef>
              <c:f>BGfix_d2!$J$8:$P$8</c:f>
              <c:numCache>
                <c:formatCode>0.00</c:formatCode>
                <c:ptCount val="7"/>
                <c:pt idx="1">
                  <c:v>0</c:v>
                </c:pt>
                <c:pt idx="2">
                  <c:v>3.2118471567770377</c:v>
                </c:pt>
                <c:pt idx="3">
                  <c:v>10.040429903315973</c:v>
                </c:pt>
                <c:pt idx="4">
                  <c:v>14.550910582032987</c:v>
                </c:pt>
                <c:pt idx="5">
                  <c:v>37.209059630944346</c:v>
                </c:pt>
                <c:pt idx="6">
                  <c:v>121.2428547473434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4-4C09-9151-585ACA13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BGSY_d2!$J$19:$P$19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BGSY_d2!$J$26:$P$26</c:f>
              <c:numCache>
                <c:formatCode>0</c:formatCode>
                <c:ptCount val="7"/>
                <c:pt idx="1">
                  <c:v>0</c:v>
                </c:pt>
                <c:pt idx="2">
                  <c:v>-54.903959789917486</c:v>
                </c:pt>
                <c:pt idx="3">
                  <c:v>-376.75388907568959</c:v>
                </c:pt>
                <c:pt idx="4">
                  <c:v>-712.60378565509359</c:v>
                </c:pt>
                <c:pt idx="5">
                  <c:v>-633.00538845378878</c:v>
                </c:pt>
                <c:pt idx="6">
                  <c:v>-2113.5325315567375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A-4B7F-96D2-C15987402B85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BGSY_d2!$J$19:$P$19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BGSY_d2!$J$25:$P$25</c:f>
              <c:numCache>
                <c:formatCode>0</c:formatCode>
                <c:ptCount val="7"/>
                <c:pt idx="1">
                  <c:v>-394.80998906522575</c:v>
                </c:pt>
                <c:pt idx="2">
                  <c:v>-824.40442560192866</c:v>
                </c:pt>
                <c:pt idx="3">
                  <c:v>-1335.8042107342815</c:v>
                </c:pt>
                <c:pt idx="4">
                  <c:v>-2270.1024654132584</c:v>
                </c:pt>
                <c:pt idx="5">
                  <c:v>-7430.520842014761</c:v>
                </c:pt>
                <c:pt idx="6">
                  <c:v>-8242.5640940957364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A-4B7F-96D2-C15987402B85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BGSY_d2!$J$19:$P$19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BGSY_d2!$J$27:$P$27</c:f>
              <c:numCache>
                <c:formatCode>0</c:formatCode>
                <c:ptCount val="7"/>
                <c:pt idx="1">
                  <c:v>0</c:v>
                </c:pt>
                <c:pt idx="2">
                  <c:v>51.659135766333378</c:v>
                </c:pt>
                <c:pt idx="3">
                  <c:v>354.48773423131632</c:v>
                </c:pt>
                <c:pt idx="4">
                  <c:v>670.48890192287683</c:v>
                </c:pt>
                <c:pt idx="5">
                  <c:v>595.59476999616891</c:v>
                </c:pt>
                <c:pt idx="6">
                  <c:v>1988.6227589417367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0A-4B7F-96D2-C15987402B85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BGSY_d2!$J$19:$P$19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BGSY_d2!$J$22:$P$22</c:f>
              <c:numCache>
                <c:formatCode>0</c:formatCode>
                <c:ptCount val="7"/>
                <c:pt idx="1">
                  <c:v>1371.2370261578835</c:v>
                </c:pt>
                <c:pt idx="2">
                  <c:v>2053.8973674143044</c:v>
                </c:pt>
                <c:pt idx="3">
                  <c:v>3047.8232327804394</c:v>
                </c:pt>
                <c:pt idx="4">
                  <c:v>4152.5585509040484</c:v>
                </c:pt>
                <c:pt idx="5">
                  <c:v>6241.2106364999536</c:v>
                </c:pt>
                <c:pt idx="6">
                  <c:v>11769.041316868996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0A-4B7F-96D2-C15987402B85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BGSY_d2!$J$19:$P$19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BGSY_d2!$J$23:$P$23</c:f>
              <c:numCache>
                <c:formatCode>0</c:formatCode>
                <c:ptCount val="7"/>
                <c:pt idx="1">
                  <c:v>5516.8323976992815</c:v>
                </c:pt>
                <c:pt idx="2">
                  <c:v>6516.9419017139217</c:v>
                </c:pt>
                <c:pt idx="3">
                  <c:v>7021.3359047395079</c:v>
                </c:pt>
                <c:pt idx="4">
                  <c:v>7354.6969464013764</c:v>
                </c:pt>
                <c:pt idx="5">
                  <c:v>10808.918473107231</c:v>
                </c:pt>
                <c:pt idx="6">
                  <c:v>6277.4200742203557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0A-4B7F-96D2-C15987402B85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BGSY_d2!$J$19:$P$19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BGSY_d2!$J$24:$P$24</c:f>
              <c:numCache>
                <c:formatCode>0</c:formatCode>
                <c:ptCount val="7"/>
                <c:pt idx="1">
                  <c:v>3185.7280895866816</c:v>
                </c:pt>
                <c:pt idx="2">
                  <c:v>1935.7975048758105</c:v>
                </c:pt>
                <c:pt idx="3">
                  <c:v>967.89875243786867</c:v>
                </c:pt>
                <c:pt idx="4">
                  <c:v>483.9493762188302</c:v>
                </c:pt>
                <c:pt idx="5">
                  <c:v>96.789875243856827</c:v>
                </c:pt>
                <c:pt idx="6">
                  <c:v>1.2176997188362293E-12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0A-4B7F-96D2-C1598740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No revenues from grid</c:v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BGSY_d2!$J$50:$P$50</c:f>
              <c:numCache>
                <c:formatCode>0.000</c:formatCode>
                <c:ptCount val="7"/>
                <c:pt idx="1">
                  <c:v>3.8392372790832212</c:v>
                </c:pt>
                <c:pt idx="2">
                  <c:v>3.9365785540053722</c:v>
                </c:pt>
                <c:pt idx="3">
                  <c:v>4.073403985137289</c:v>
                </c:pt>
                <c:pt idx="4">
                  <c:v>4.2520882686950801</c:v>
                </c:pt>
                <c:pt idx="5">
                  <c:v>5.0685783051547855</c:v>
                </c:pt>
                <c:pt idx="6">
                  <c:v>7.3806873059536571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E-467C-9550-1B53596FDDA4}"/>
            </c:ext>
          </c:extLst>
        </c:ser>
        <c:ser>
          <c:idx val="1"/>
          <c:order val="1"/>
          <c:tx>
            <c:v>EE to grid = 30 €/MWh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BGSY_d2!$J$51:$P$51</c:f>
              <c:numCache>
                <c:formatCode>0.000</c:formatCode>
                <c:ptCount val="7"/>
                <c:pt idx="1">
                  <c:v>3.8173981423264127</c:v>
                </c:pt>
                <c:pt idx="2">
                  <c:v>3.8909761592020691</c:v>
                </c:pt>
                <c:pt idx="3">
                  <c:v>3.9995132233872623</c:v>
                </c:pt>
                <c:pt idx="4">
                  <c:v>4.1265162731345963</c:v>
                </c:pt>
                <c:pt idx="5">
                  <c:v>4.6575548626443615</c:v>
                </c:pt>
                <c:pt idx="6">
                  <c:v>6.9247452339105049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4E-467C-9550-1B53596FDDA4}"/>
            </c:ext>
          </c:extLst>
        </c:ser>
        <c:ser>
          <c:idx val="2"/>
          <c:order val="2"/>
          <c:tx>
            <c:v>EE to grid = 60 €/MWh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BGSY_d2!$J$52:$P$52</c:f>
              <c:numCache>
                <c:formatCode>0.000</c:formatCode>
                <c:ptCount val="7"/>
                <c:pt idx="1">
                  <c:v>3.7955590055696042</c:v>
                </c:pt>
                <c:pt idx="2">
                  <c:v>3.8453737643987655</c:v>
                </c:pt>
                <c:pt idx="3">
                  <c:v>3.9256224616372357</c:v>
                </c:pt>
                <c:pt idx="4">
                  <c:v>4.0009442775741126</c:v>
                </c:pt>
                <c:pt idx="5">
                  <c:v>4.2465314201339375</c:v>
                </c:pt>
                <c:pt idx="6">
                  <c:v>6.4688031618673536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4E-467C-9550-1B53596FD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Hydrogen production cost [€/kg]</a:t>
                </a:r>
              </a:p>
            </c:rich>
          </c:tx>
          <c:layout>
            <c:manualLayout>
              <c:xMode val="edge"/>
              <c:yMode val="edge"/>
              <c:x val="4.3012635626974317E-3"/>
              <c:y val="0.1221179800741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30383006065905688"/>
          <c:h val="0.21639857327110509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BGSY_d2!$J$63:$P$63</c:f>
              <c:numCache>
                <c:formatCode>#,##0\ "€"</c:formatCode>
                <c:ptCount val="7"/>
                <c:pt idx="1">
                  <c:v>1379675.7</c:v>
                </c:pt>
                <c:pt idx="2">
                  <c:v>1574985.3834354593</c:v>
                </c:pt>
                <c:pt idx="3">
                  <c:v>1673792.3410146008</c:v>
                </c:pt>
                <c:pt idx="4">
                  <c:v>1624755.5290459953</c:v>
                </c:pt>
                <c:pt idx="5">
                  <c:v>1490573.6310850508</c:v>
                </c:pt>
                <c:pt idx="6">
                  <c:v>1385068.7347774771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A-42A3-AE5B-392E9A0902AD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BGSY_d2!$J$64:$P$64</c:f>
              <c:numCache>
                <c:formatCode>#,##0\ "€"</c:formatCode>
                <c:ptCount val="7"/>
                <c:pt idx="1">
                  <c:v>2105340.0956752724</c:v>
                </c:pt>
                <c:pt idx="2">
                  <c:v>2124119.5490384549</c:v>
                </c:pt>
                <c:pt idx="3">
                  <c:v>2182142.7447082251</c:v>
                </c:pt>
                <c:pt idx="4">
                  <c:v>2152453.1000371682</c:v>
                </c:pt>
                <c:pt idx="5">
                  <c:v>2189843.9334720755</c:v>
                </c:pt>
                <c:pt idx="6">
                  <c:v>2113575.0428176271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A-42A3-AE5B-392E9A0902AD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BGSY_d2!$J$57:$P$57</c:f>
              <c:numCache>
                <c:formatCode>#,##0\ "€"</c:formatCode>
                <c:ptCount val="7"/>
                <c:pt idx="1">
                  <c:v>484483.13602607214</c:v>
                </c:pt>
                <c:pt idx="2">
                  <c:v>725679.52779740945</c:v>
                </c:pt>
                <c:pt idx="3">
                  <c:v>1076851.7256334412</c:v>
                </c:pt>
                <c:pt idx="4">
                  <c:v>1467174.9310262788</c:v>
                </c:pt>
                <c:pt idx="5">
                  <c:v>2205133.9367951308</c:v>
                </c:pt>
                <c:pt idx="6">
                  <c:v>4158217.6796913529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6A-42A3-AE5B-392E9A0902AD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BGSY_d2!$J$58:$P$58</c:f>
              <c:numCache>
                <c:formatCode>#,##0\ "€"</c:formatCode>
                <c:ptCount val="7"/>
                <c:pt idx="1">
                  <c:v>2799011.5850838847</c:v>
                </c:pt>
                <c:pt idx="2">
                  <c:v>3306425.6020942423</c:v>
                </c:pt>
                <c:pt idx="3">
                  <c:v>3562334.1663101921</c:v>
                </c:pt>
                <c:pt idx="4">
                  <c:v>3731467.7107724729</c:v>
                </c:pt>
                <c:pt idx="5">
                  <c:v>5483996.2223741813</c:v>
                </c:pt>
                <c:pt idx="6">
                  <c:v>3184902.1767470045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6A-42A3-AE5B-392E9A0902AD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BGSY_d2!$J$59:$P$59</c:f>
              <c:numCache>
                <c:formatCode>#,##0\ "€"</c:formatCode>
                <c:ptCount val="7"/>
                <c:pt idx="1">
                  <c:v>0</c:v>
                </c:pt>
                <c:pt idx="2">
                  <c:v>40193.324688509187</c:v>
                </c:pt>
                <c:pt idx="3">
                  <c:v>382049.5716575266</c:v>
                </c:pt>
                <c:pt idx="4">
                  <c:v>917291.84883708402</c:v>
                </c:pt>
                <c:pt idx="5">
                  <c:v>2372996.9858948914</c:v>
                </c:pt>
                <c:pt idx="6">
                  <c:v>13691698.848851493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6A-42A3-AE5B-392E9A0902AD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BGSY_d2!$J$60:$P$60</c:f>
              <c:numCache>
                <c:formatCode>#,##0\ "€"</c:formatCode>
                <c:ptCount val="7"/>
                <c:pt idx="1">
                  <c:v>0</c:v>
                </c:pt>
                <c:pt idx="2">
                  <c:v>91652.826423152481</c:v>
                </c:pt>
                <c:pt idx="3">
                  <c:v>136758.81464582527</c:v>
                </c:pt>
                <c:pt idx="4">
                  <c:v>160135.81526953215</c:v>
                </c:pt>
                <c:pt idx="5">
                  <c:v>145235.71940301568</c:v>
                </c:pt>
                <c:pt idx="6">
                  <c:v>90574.125929378089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6A-42A3-AE5B-392E9A0902AD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BGSY_d2!$J$61:$P$61</c:f>
              <c:numCache>
                <c:formatCode>#,##0\ "€"</c:formatCode>
                <c:ptCount val="7"/>
                <c:pt idx="1">
                  <c:v>0</c:v>
                </c:pt>
                <c:pt idx="2">
                  <c:v>151701.81902935606</c:v>
                </c:pt>
                <c:pt idx="3">
                  <c:v>196166.62021693549</c:v>
                </c:pt>
                <c:pt idx="4">
                  <c:v>236250.56783790936</c:v>
                </c:pt>
                <c:pt idx="5">
                  <c:v>191254.2448855642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6A-42A3-AE5B-392E9A0902AD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BGSY_d2!$J$62:$P$62</c:f>
              <c:numCache>
                <c:formatCode>#,##0\ "€"</c:formatCode>
                <c:ptCount val="7"/>
                <c:pt idx="1">
                  <c:v>0</c:v>
                </c:pt>
                <c:pt idx="2">
                  <c:v>461.29742641672811</c:v>
                </c:pt>
                <c:pt idx="3">
                  <c:v>8929.4757868798115</c:v>
                </c:pt>
                <c:pt idx="4">
                  <c:v>13345.85295391044</c:v>
                </c:pt>
                <c:pt idx="5">
                  <c:v>13545.689962968741</c:v>
                </c:pt>
                <c:pt idx="6">
                  <c:v>6276.3569180837094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6A-42A3-AE5B-392E9A09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BGSY_d2!$J$31:$P$31</c:f>
              <c:numCache>
                <c:formatCode>0.000</c:formatCode>
                <c:ptCount val="7"/>
                <c:pt idx="1">
                  <c:v>8.9331524506191404E-2</c:v>
                </c:pt>
                <c:pt idx="2">
                  <c:v>0.13380457171907234</c:v>
                </c:pt>
                <c:pt idx="3">
                  <c:v>0.19855553096649051</c:v>
                </c:pt>
                <c:pt idx="4">
                  <c:v>0.27052535694205032</c:v>
                </c:pt>
                <c:pt idx="5">
                  <c:v>0.40659408277869863</c:v>
                </c:pt>
                <c:pt idx="6">
                  <c:v>0.76671383776601232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9-4E31-B2A5-6934A0481837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BGSY_d2!$J$32:$P$32</c:f>
              <c:numCache>
                <c:formatCode>0.000</c:formatCode>
                <c:ptCount val="7"/>
                <c:pt idx="1">
                  <c:v>0.51609633733996263</c:v>
                </c:pt>
                <c:pt idx="2">
                  <c:v>0.60965597713913533</c:v>
                </c:pt>
                <c:pt idx="3">
                  <c:v>0.65684173134952251</c:v>
                </c:pt>
                <c:pt idx="4">
                  <c:v>0.68802745536849563</c:v>
                </c:pt>
                <c:pt idx="5">
                  <c:v>1.0111677920293309</c:v>
                </c:pt>
                <c:pt idx="6">
                  <c:v>0.58724885490465117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9-4E31-B2A5-6934A0481837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BGSY_d2!$J$33:$P$33</c:f>
              <c:numCache>
                <c:formatCode>0.000</c:formatCode>
                <c:ptCount val="7"/>
                <c:pt idx="1">
                  <c:v>0</c:v>
                </c:pt>
                <c:pt idx="2">
                  <c:v>7.4110545907710894E-3</c:v>
                </c:pt>
                <c:pt idx="3">
                  <c:v>7.0444290286444167E-2</c:v>
                </c:pt>
                <c:pt idx="4">
                  <c:v>0.1691350496652132</c:v>
                </c:pt>
                <c:pt idx="5">
                  <c:v>0.43754554624415509</c:v>
                </c:pt>
                <c:pt idx="6">
                  <c:v>2.524546759831634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F9-4E31-B2A5-6934A0481837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BGSY_d2!$J$34:$P$34</c:f>
              <c:numCache>
                <c:formatCode>0.000</c:formatCode>
                <c:ptCount val="7"/>
                <c:pt idx="1">
                  <c:v>0</c:v>
                </c:pt>
                <c:pt idx="2">
                  <c:v>4.4956053692483483E-2</c:v>
                </c:pt>
                <c:pt idx="3">
                  <c:v>6.3032989298144895E-2</c:v>
                </c:pt>
                <c:pt idx="4">
                  <c:v>7.5548564160394807E-2</c:v>
                </c:pt>
                <c:pt idx="5">
                  <c:v>6.4541397420556146E-2</c:v>
                </c:pt>
                <c:pt idx="6">
                  <c:v>1.7857796564171344E-2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F9-4E31-B2A5-6934A0481837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BGSY_d2!$J$36:$P$36</c:f>
              <c:numCache>
                <c:formatCode>0.000</c:formatCode>
                <c:ptCount val="7"/>
                <c:pt idx="1">
                  <c:v>0.64258536738640193</c:v>
                </c:pt>
                <c:pt idx="2">
                  <c:v>0.68206023771385627</c:v>
                </c:pt>
                <c:pt idx="3">
                  <c:v>0.71097739836712748</c:v>
                </c:pt>
                <c:pt idx="4">
                  <c:v>0.6964614041711793</c:v>
                </c:pt>
                <c:pt idx="5">
                  <c:v>0.67861456346664706</c:v>
                </c:pt>
                <c:pt idx="6">
                  <c:v>0.64509816568699418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F9-4E31-B2A5-6934A0481837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BGSY_d2!$J$37:$P$37</c:f>
              <c:numCache>
                <c:formatCode>0.000</c:formatCode>
                <c:ptCount val="7"/>
                <c:pt idx="1">
                  <c:v>1.751598519729243E-2</c:v>
                </c:pt>
                <c:pt idx="2">
                  <c:v>2.6236190533151439E-2</c:v>
                </c:pt>
                <c:pt idx="3">
                  <c:v>3.8932457052253046E-2</c:v>
                </c:pt>
                <c:pt idx="4">
                  <c:v>5.3044187635696134E-2</c:v>
                </c:pt>
                <c:pt idx="5">
                  <c:v>7.9724329956607581E-2</c:v>
                </c:pt>
                <c:pt idx="6">
                  <c:v>0.1503360466207867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F9-4E31-B2A5-6934A0481837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BGSY_d2!$J$38:$P$38</c:f>
              <c:numCache>
                <c:formatCode>0.000</c:formatCode>
                <c:ptCount val="7"/>
                <c:pt idx="1">
                  <c:v>0.21284495741664439</c:v>
                </c:pt>
                <c:pt idx="2">
                  <c:v>0.25143019065354294</c:v>
                </c:pt>
                <c:pt idx="3">
                  <c:v>0.27089021995223267</c:v>
                </c:pt>
                <c:pt idx="4">
                  <c:v>0.28375162512134772</c:v>
                </c:pt>
                <c:pt idx="5">
                  <c:v>0.4170189750713042</c:v>
                </c:pt>
                <c:pt idx="6">
                  <c:v>0.24218919700028488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F9-4E31-B2A5-6934A0481837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BGSY_d2!$J$39:$P$39</c:f>
              <c:numCache>
                <c:formatCode>0.000</c:formatCode>
                <c:ptCount val="7"/>
                <c:pt idx="1">
                  <c:v>0</c:v>
                </c:pt>
                <c:pt idx="2">
                  <c:v>1.4941642320103002E-3</c:v>
                </c:pt>
                <c:pt idx="3">
                  <c:v>1.4202477880331483E-2</c:v>
                </c:pt>
                <c:pt idx="4">
                  <c:v>3.409980840024459E-2</c:v>
                </c:pt>
                <c:pt idx="5">
                  <c:v>8.8214827871805457E-2</c:v>
                </c:pt>
                <c:pt idx="6">
                  <c:v>0.50898120157895843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F9-4E31-B2A5-6934A0481837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BGSY_d2!$J$40:$P$40</c:f>
              <c:numCache>
                <c:formatCode>0.000</c:formatCode>
                <c:ptCount val="7"/>
                <c:pt idx="1">
                  <c:v>0.25703414695456078</c:v>
                </c:pt>
                <c:pt idx="2">
                  <c:v>0.2907724939935023</c:v>
                </c:pt>
                <c:pt idx="3">
                  <c:v>0.30894556976084853</c:v>
                </c:pt>
                <c:pt idx="4">
                  <c:v>0.30781967617580602</c:v>
                </c:pt>
                <c:pt idx="5">
                  <c:v>0.29626333440255004</c:v>
                </c:pt>
                <c:pt idx="6">
                  <c:v>0.26471947794652234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F9-4E31-B2A5-6934A0481837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BGSY_d2!$J$42:$P$42</c:f>
              <c:numCache>
                <c:formatCode>0.000</c:formatCode>
                <c:ptCount val="7"/>
                <c:pt idx="1">
                  <c:v>0</c:v>
                </c:pt>
                <c:pt idx="2">
                  <c:v>4.0493912499744641E-3</c:v>
                </c:pt>
                <c:pt idx="3">
                  <c:v>2.7787137897786258E-2</c:v>
                </c:pt>
                <c:pt idx="4">
                  <c:v>5.2557439306232974E-2</c:v>
                </c:pt>
                <c:pt idx="5">
                  <c:v>4.6686732450620078E-2</c:v>
                </c:pt>
                <c:pt idx="6">
                  <c:v>0.155881655395536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F9-4E31-B2A5-6934A0481837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BGSY_d2!$J$44:$P$44</c:f>
              <c:numCache>
                <c:formatCode>0.000</c:formatCode>
                <c:ptCount val="7"/>
                <c:pt idx="1">
                  <c:v>8.4786431781360944E-2</c:v>
                </c:pt>
                <c:pt idx="2">
                  <c:v>9.6338953055498666E-2</c:v>
                </c:pt>
                <c:pt idx="3">
                  <c:v>0.10235383865005661</c:v>
                </c:pt>
                <c:pt idx="4">
                  <c:v>9.936871674023165E-2</c:v>
                </c:pt>
                <c:pt idx="5">
                  <c:v>9.1328797211107454E-2</c:v>
                </c:pt>
                <c:pt idx="6">
                  <c:v>8.5104591046784764E-2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F9-4E31-B2A5-6934A0481837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BGSY_d2!$J$45:$P$45</c:f>
              <c:numCache>
                <c:formatCode>0.000</c:formatCode>
                <c:ptCount val="7"/>
                <c:pt idx="1">
                  <c:v>1.9027730795181843</c:v>
                </c:pt>
                <c:pt idx="2">
                  <c:v>1.9027730795183591</c:v>
                </c:pt>
                <c:pt idx="3">
                  <c:v>1.9027730795183613</c:v>
                </c:pt>
                <c:pt idx="4">
                  <c:v>1.9027730795183784</c:v>
                </c:pt>
                <c:pt idx="5">
                  <c:v>1.9027730795183746</c:v>
                </c:pt>
                <c:pt idx="6">
                  <c:v>1.9027730795183702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F9-4E31-B2A5-6934A0481837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BGSY_d2!$J$46:$P$46</c:f>
              <c:numCache>
                <c:formatCode>0.000</c:formatCode>
                <c:ptCount val="7"/>
                <c:pt idx="1">
                  <c:v>0.58749571384355859</c:v>
                </c:pt>
                <c:pt idx="2">
                  <c:v>0.35678843820592909</c:v>
                </c:pt>
                <c:pt idx="3">
                  <c:v>0.17823494371340409</c:v>
                </c:pt>
                <c:pt idx="4">
                  <c:v>8.9217859193918239E-2</c:v>
                </c:pt>
                <c:pt idx="5">
                  <c:v>1.8332061641654376E-2</c:v>
                </c:pt>
                <c:pt idx="6">
                  <c:v>2.3574698183150944E-16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F9-4E31-B2A5-6934A0481837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BGSY_d2!$J$48:$P$48</c:f>
              <c:numCache>
                <c:formatCode>0.000</c:formatCode>
                <c:ptCount val="7"/>
                <c:pt idx="1">
                  <c:v>-2.1839136756808434E-2</c:v>
                </c:pt>
                <c:pt idx="2">
                  <c:v>-4.5602394803303289E-2</c:v>
                </c:pt>
                <c:pt idx="3">
                  <c:v>-7.3890761750026693E-2</c:v>
                </c:pt>
                <c:pt idx="4">
                  <c:v>-0.12557199556048382</c:v>
                </c:pt>
                <c:pt idx="5">
                  <c:v>-0.41102344251042405</c:v>
                </c:pt>
                <c:pt idx="6">
                  <c:v>-0.4559420720431519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23F9-4E31-B2A5-6934A0481837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cat>
          <c:val>
            <c:numRef>
              <c:f>BGSY_d2!$J$47:$P$47</c:f>
              <c:numCache>
                <c:formatCode>0.000</c:formatCode>
                <c:ptCount val="7"/>
                <c:pt idx="1">
                  <c:v>-0.47122626486093483</c:v>
                </c:pt>
                <c:pt idx="2">
                  <c:v>-0.47122626486094787</c:v>
                </c:pt>
                <c:pt idx="3">
                  <c:v>-0.47122626486097585</c:v>
                </c:pt>
                <c:pt idx="4">
                  <c:v>-0.47122626486093294</c:v>
                </c:pt>
                <c:pt idx="5">
                  <c:v>-0.47122626486095642</c:v>
                </c:pt>
                <c:pt idx="6">
                  <c:v>-0.47122626486099389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F9-4E31-B2A5-6934A0481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BGSY_d2!$J$50:$P$50</c:f>
              <c:numCache>
                <c:formatCode>0.000</c:formatCode>
                <c:ptCount val="7"/>
                <c:pt idx="1">
                  <c:v>3.8392372790832212</c:v>
                </c:pt>
                <c:pt idx="2">
                  <c:v>3.9365785540053722</c:v>
                </c:pt>
                <c:pt idx="3">
                  <c:v>4.073403985137289</c:v>
                </c:pt>
                <c:pt idx="4">
                  <c:v>4.2520882686950801</c:v>
                </c:pt>
                <c:pt idx="5">
                  <c:v>5.0685783051547855</c:v>
                </c:pt>
                <c:pt idx="6">
                  <c:v>7.3806873059536571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3F9-4E31-B2A5-6934A0481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69662179300871696"/>
          <c:h val="0.2147031980627509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BGSY_d2!$J$97:$P$97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BGSY_d2!$J$105:$P$105</c:f>
              <c:numCache>
                <c:formatCode>0.00</c:formatCode>
                <c:ptCount val="7"/>
                <c:pt idx="1">
                  <c:v>2.3496045640664214</c:v>
                </c:pt>
                <c:pt idx="2">
                  <c:v>1.4277297134778719</c:v>
                </c:pt>
                <c:pt idx="3">
                  <c:v>0.71386485673896305</c:v>
                </c:pt>
                <c:pt idx="4">
                  <c:v>0.35693242836940547</c:v>
                </c:pt>
                <c:pt idx="6">
                  <c:v>8.9810327076942884E-16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9-45EF-A788-B2CB21F9973A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BGSY_d2!$J$107:$P$107</c:f>
              <c:numCache>
                <c:formatCode>0.00</c:formatCode>
                <c:ptCount val="7"/>
                <c:pt idx="1">
                  <c:v>3.2032112403301817E-2</c:v>
                </c:pt>
                <c:pt idx="2">
                  <c:v>3.7838998989441389E-2</c:v>
                </c:pt>
                <c:pt idx="3">
                  <c:v>4.076763706211832E-2</c:v>
                </c:pt>
                <c:pt idx="4">
                  <c:v>4.2703214869747229E-2</c:v>
                </c:pt>
                <c:pt idx="6">
                  <c:v>3.6448275192121994E-2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E9-45EF-A788-B2CB21F9973A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BGSY_d2!$J$109:$P$109</c:f>
              <c:numCache>
                <c:formatCode>0.00</c:formatCode>
                <c:ptCount val="7"/>
                <c:pt idx="1">
                  <c:v>-9.4245252972192066</c:v>
                </c:pt>
                <c:pt idx="2">
                  <c:v>-9.4245252972203968</c:v>
                </c:pt>
                <c:pt idx="3">
                  <c:v>-9.4245252972200717</c:v>
                </c:pt>
                <c:pt idx="4">
                  <c:v>-9.4245252972199971</c:v>
                </c:pt>
                <c:pt idx="6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E9-45EF-A788-B2CB21F9973A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BGSY_d2!$J$97:$P$97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BGSY_d2!$J$106:$P$106</c:f>
              <c:numCache>
                <c:formatCode>0.00</c:formatCode>
                <c:ptCount val="7"/>
                <c:pt idx="1">
                  <c:v>6.130594819053279E-2</c:v>
                </c:pt>
                <c:pt idx="2">
                  <c:v>9.182666686602349E-2</c:v>
                </c:pt>
                <c:pt idx="3">
                  <c:v>0.13626359968288609</c:v>
                </c:pt>
                <c:pt idx="4">
                  <c:v>0.18565465672493581</c:v>
                </c:pt>
                <c:pt idx="6">
                  <c:v>0.52617616317275206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E9-45EF-A788-B2CB21F9973A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BGSY_d2!$J$72:$P$72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BGSY_d2!$J$110:$P$110</c:f>
              <c:numCache>
                <c:formatCode>0.00</c:formatCode>
                <c:ptCount val="7"/>
                <c:pt idx="1">
                  <c:v>-6.9815826725589503</c:v>
                </c:pt>
                <c:pt idx="2">
                  <c:v>-7.8644703055540823</c:v>
                </c:pt>
                <c:pt idx="3">
                  <c:v>-8.5083487931091142</c:v>
                </c:pt>
                <c:pt idx="4">
                  <c:v>-8.7785373383034742</c:v>
                </c:pt>
                <c:pt idx="6">
                  <c:v>-7.9559143200451912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E9-45EF-A788-B2CB21F9973A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BGSY_d2!$K$97:$P$97</c:f>
              <c:numCache>
                <c:formatCode>0%</c:formatCode>
                <c:ptCount val="6"/>
                <c:pt idx="0">
                  <c:v>0.67086143240062945</c:v>
                </c:pt>
                <c:pt idx="1">
                  <c:v>0.80000000000001226</c:v>
                </c:pt>
                <c:pt idx="2">
                  <c:v>0.90000000000004154</c:v>
                </c:pt>
                <c:pt idx="3">
                  <c:v>0.95000000000003271</c:v>
                </c:pt>
                <c:pt idx="4">
                  <c:v>0.98999999999995247</c:v>
                </c:pt>
                <c:pt idx="5">
                  <c:v>1.0000000000001097</c:v>
                </c:pt>
              </c:numCache>
            </c:numRef>
          </c:xVal>
          <c:yVal>
            <c:numRef>
              <c:f>BGSY_d2!$K$108:$P$108</c:f>
              <c:numCache>
                <c:formatCode>0.00</c:formatCode>
                <c:ptCount val="6"/>
                <c:pt idx="0">
                  <c:v>0</c:v>
                </c:pt>
                <c:pt idx="1">
                  <c:v>2.6596123329781455E-3</c:v>
                </c:pt>
                <c:pt idx="2">
                  <c:v>2.5280410626990123E-2</c:v>
                </c:pt>
                <c:pt idx="3">
                  <c:v>6.0697658952435167E-2</c:v>
                </c:pt>
                <c:pt idx="5">
                  <c:v>0.90598653881054392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0E9-45EF-A788-B2CB21F99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"/>
          <c:min val="-1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46202173486239589"/>
          <c:h val="0.149675077204896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98863988198069"/>
          <c:y val="3.8805408406176203E-2"/>
          <c:w val="0.84709622141146645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Grid</c:v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BGSY_d2!$J$97:$P$97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BGSY_d2!$J$105:$P$105</c:f>
              <c:numCache>
                <c:formatCode>0.00</c:formatCode>
                <c:ptCount val="7"/>
                <c:pt idx="1">
                  <c:v>2.3496045640664214</c:v>
                </c:pt>
                <c:pt idx="2">
                  <c:v>1.4277297134778719</c:v>
                </c:pt>
                <c:pt idx="3">
                  <c:v>0.71386485673896305</c:v>
                </c:pt>
                <c:pt idx="4">
                  <c:v>0.35693242836940547</c:v>
                </c:pt>
                <c:pt idx="6">
                  <c:v>8.9810327076942884E-16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3B-4682-B0B8-571211120B65}"/>
            </c:ext>
          </c:extLst>
        </c:ser>
        <c:ser>
          <c:idx val="1"/>
          <c:order val="1"/>
          <c:tx>
            <c:v>Wind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BGSY_d2!$J$107:$P$107</c:f>
              <c:numCache>
                <c:formatCode>0.00</c:formatCode>
                <c:ptCount val="7"/>
                <c:pt idx="1">
                  <c:v>3.2032112403301817E-2</c:v>
                </c:pt>
                <c:pt idx="2">
                  <c:v>3.7838998989441389E-2</c:v>
                </c:pt>
                <c:pt idx="3">
                  <c:v>4.076763706211832E-2</c:v>
                </c:pt>
                <c:pt idx="4">
                  <c:v>4.2703214869747229E-2</c:v>
                </c:pt>
                <c:pt idx="6">
                  <c:v>3.6448275192121994E-2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3B-4682-B0B8-571211120B65}"/>
            </c:ext>
          </c:extLst>
        </c:ser>
        <c:ser>
          <c:idx val="2"/>
          <c:order val="2"/>
          <c:tx>
            <c:v>CO2 captured</c:v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BGSY_d2!$J$109:$P$109</c:f>
              <c:numCache>
                <c:formatCode>0.00</c:formatCode>
                <c:ptCount val="7"/>
                <c:pt idx="1">
                  <c:v>-9.4245252972192066</c:v>
                </c:pt>
                <c:pt idx="2">
                  <c:v>-9.4245252972203968</c:v>
                </c:pt>
                <c:pt idx="3">
                  <c:v>-9.4245252972200717</c:v>
                </c:pt>
                <c:pt idx="4">
                  <c:v>-9.4245252972199971</c:v>
                </c:pt>
                <c:pt idx="6">
                  <c:v>-9.4245252972206099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3B-4682-B0B8-571211120B65}"/>
            </c:ext>
          </c:extLst>
        </c:ser>
        <c:ser>
          <c:idx val="3"/>
          <c:order val="3"/>
          <c:tx>
            <c:v>PV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BGSY_d2!$J$97:$P$97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BGSY_d2!$J$106:$P$106</c:f>
              <c:numCache>
                <c:formatCode>0.00</c:formatCode>
                <c:ptCount val="7"/>
                <c:pt idx="1">
                  <c:v>6.130594819053279E-2</c:v>
                </c:pt>
                <c:pt idx="2">
                  <c:v>9.182666686602349E-2</c:v>
                </c:pt>
                <c:pt idx="3">
                  <c:v>0.13626359968288609</c:v>
                </c:pt>
                <c:pt idx="4">
                  <c:v>0.18565465672493581</c:v>
                </c:pt>
                <c:pt idx="6">
                  <c:v>0.52617616317275206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3B-4682-B0B8-571211120B65}"/>
            </c:ext>
          </c:extLst>
        </c:ser>
        <c:ser>
          <c:idx val="4"/>
          <c:order val="4"/>
          <c:tx>
            <c:v>Net 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BGSY_d2!$J$72:$P$72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BGSY_d2!$J$110:$P$110</c:f>
              <c:numCache>
                <c:formatCode>0.00</c:formatCode>
                <c:ptCount val="7"/>
                <c:pt idx="1">
                  <c:v>-6.9815826725589503</c:v>
                </c:pt>
                <c:pt idx="2">
                  <c:v>-7.8644703055540823</c:v>
                </c:pt>
                <c:pt idx="3">
                  <c:v>-8.5083487931091142</c:v>
                </c:pt>
                <c:pt idx="4">
                  <c:v>-8.7785373383034742</c:v>
                </c:pt>
                <c:pt idx="6">
                  <c:v>-7.9559143200451912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3B-4682-B0B8-571211120B65}"/>
            </c:ext>
          </c:extLst>
        </c:ser>
        <c:ser>
          <c:idx val="5"/>
          <c:order val="5"/>
          <c:tx>
            <c:v>BESS (Li-ion)</c:v>
          </c:tx>
          <c:spPr>
            <a:ln w="12700" cap="rnd">
              <a:solidFill>
                <a:srgbClr val="B07BD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D6BCEA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BGSY_d2!$K$97:$P$97</c:f>
              <c:numCache>
                <c:formatCode>0%</c:formatCode>
                <c:ptCount val="6"/>
                <c:pt idx="0">
                  <c:v>0.67086143240062945</c:v>
                </c:pt>
                <c:pt idx="1">
                  <c:v>0.80000000000001226</c:v>
                </c:pt>
                <c:pt idx="2">
                  <c:v>0.90000000000004154</c:v>
                </c:pt>
                <c:pt idx="3">
                  <c:v>0.95000000000003271</c:v>
                </c:pt>
                <c:pt idx="4">
                  <c:v>0.98999999999995247</c:v>
                </c:pt>
                <c:pt idx="5">
                  <c:v>1.0000000000001097</c:v>
                </c:pt>
              </c:numCache>
            </c:numRef>
          </c:xVal>
          <c:yVal>
            <c:numRef>
              <c:f>BGSY_d2!$K$108:$P$108</c:f>
              <c:numCache>
                <c:formatCode>0.00</c:formatCode>
                <c:ptCount val="6"/>
                <c:pt idx="0">
                  <c:v>0</c:v>
                </c:pt>
                <c:pt idx="1">
                  <c:v>2.6596123329781455E-3</c:v>
                </c:pt>
                <c:pt idx="2">
                  <c:v>2.5280410626990123E-2</c:v>
                </c:pt>
                <c:pt idx="3">
                  <c:v>6.0697658952435167E-2</c:v>
                </c:pt>
                <c:pt idx="5">
                  <c:v>0.90598653881054392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3B-4682-B0B8-57121112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valAx>
        <c:axId val="666420911"/>
        <c:scaling>
          <c:orientation val="minMax"/>
          <c:max val="1"/>
          <c:min val="0.60000000000000009"/>
        </c:scaling>
        <c:delete val="0"/>
        <c:axPos val="b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5356399886371204"/>
              <c:y val="0.93444353116588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2"/>
          <c:min val="0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emissions [kg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CO2</a:t>
                </a:r>
                <a:r>
                  <a:rPr lang="it-IT" sz="1400">
                    <a:solidFill>
                      <a:schemeClr val="tx1"/>
                    </a:solidFill>
                  </a:rPr>
                  <a:t>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1164601872214867E-3"/>
              <c:y val="0.18885302047827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10503510352628866"/>
          <c:y val="4.0751137970313045E-2"/>
          <c:w val="0.21465309698605339"/>
          <c:h val="0.33940849944823887"/>
        </c:manualLayout>
      </c:layout>
      <c:overlay val="0"/>
      <c:spPr>
        <a:solidFill>
          <a:schemeClr val="lt1"/>
        </a:solidFill>
        <a:ln w="1270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6853183987591E-2"/>
          <c:y val="3.8805555555555558E-2"/>
          <c:w val="0.81223555002384984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LCOEu [€/MWh]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BGSY_d2!$J$56:$P$56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BGSY_d2!$J$78:$P$78</c:f>
              <c:numCache>
                <c:formatCode>0</c:formatCode>
                <c:ptCount val="7"/>
                <c:pt idx="1">
                  <c:v>69.808404673683313</c:v>
                </c:pt>
                <c:pt idx="2">
                  <c:v>72.428382652252054</c:v>
                </c:pt>
                <c:pt idx="3">
                  <c:v>79.545329643827102</c:v>
                </c:pt>
                <c:pt idx="4">
                  <c:v>91.489581140938398</c:v>
                </c:pt>
                <c:pt idx="5">
                  <c:v>140.75902422448584</c:v>
                </c:pt>
                <c:pt idx="6">
                  <c:v>276.5732200711368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39-4D76-AF61-FF9051C5E638}"/>
            </c:ext>
          </c:extLst>
        </c:ser>
        <c:ser>
          <c:idx val="2"/>
          <c:order val="7"/>
          <c:tx>
            <c:v>LCOE PV</c:v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BGSY_d2!$J$97:$P$97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BGSY_d2!$J$112:$P$112</c:f>
              <c:numCache>
                <c:formatCode>0.00</c:formatCode>
                <c:ptCount val="7"/>
                <c:pt idx="1">
                  <c:v>42.259639895233484</c:v>
                </c:pt>
                <c:pt idx="2">
                  <c:v>42.25963989524292</c:v>
                </c:pt>
                <c:pt idx="3">
                  <c:v>42.259639895239623</c:v>
                </c:pt>
                <c:pt idx="4">
                  <c:v>42.259639895239964</c:v>
                </c:pt>
                <c:pt idx="5">
                  <c:v>42.259639895240014</c:v>
                </c:pt>
                <c:pt idx="6">
                  <c:v>42.259639895239971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39-4D76-AF61-FF9051C5E638}"/>
            </c:ext>
          </c:extLst>
        </c:ser>
        <c:ser>
          <c:idx val="8"/>
          <c:order val="8"/>
          <c:tx>
            <c:v>LCOE Wind</c:v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BGSY_d2!$J$97:$P$97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BGSY_d2!$J$113:$P$113</c:f>
              <c:numCache>
                <c:formatCode>0.00</c:formatCode>
                <c:ptCount val="7"/>
                <c:pt idx="1">
                  <c:v>71.659980010182252</c:v>
                </c:pt>
                <c:pt idx="2">
                  <c:v>71.659980010198183</c:v>
                </c:pt>
                <c:pt idx="3">
                  <c:v>71.659980010192143</c:v>
                </c:pt>
                <c:pt idx="4">
                  <c:v>71.65998001019274</c:v>
                </c:pt>
                <c:pt idx="5">
                  <c:v>71.659980010193209</c:v>
                </c:pt>
                <c:pt idx="6">
                  <c:v>71.659980010192939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39-4D76-AF61-FF9051C5E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LCOE ren [€/MWh] (EE to grid at 30 €/MWh)</c:v>
                </c:tx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BGfix_1!$J$79:$Q$79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68.4908021582023</c:v>
                      </c:pt>
                      <c:pt idx="1">
                        <c:v>101.64761110183301</c:v>
                      </c:pt>
                      <c:pt idx="2">
                        <c:v>139.87118995108941</c:v>
                      </c:pt>
                      <c:pt idx="3">
                        <c:v>196.23557528463482</c:v>
                      </c:pt>
                      <c:pt idx="4">
                        <c:v>228.50016236636009</c:v>
                      </c:pt>
                      <c:pt idx="5">
                        <c:v>253.10148271577418</c:v>
                      </c:pt>
                      <c:pt idx="6">
                        <c:v>308.10854365399695</c:v>
                      </c:pt>
                      <c:pt idx="7">
                        <c:v>422.01283947951748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2F39-4D76-AF61-FF9051C5E638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LCOE ren [€/MWh] (EE to grid at 60 €/MWh)</c:v>
                </c:tx>
                <c:spPr>
                  <a:ln w="19050" cap="rnd">
                    <a:solidFill>
                      <a:srgbClr val="00B05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BGfix_1!$J$56:$Q$56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BGfix_1!$J$80:$Q$80</c15:sqref>
                        </c15:formulaRef>
                      </c:ext>
                    </c:extLst>
                    <c:numCache>
                      <c:formatCode>0</c:formatCode>
                      <c:ptCount val="8"/>
                      <c:pt idx="0">
                        <c:v>64.861993130476463</c:v>
                      </c:pt>
                      <c:pt idx="1">
                        <c:v>97.312338967584395</c:v>
                      </c:pt>
                      <c:pt idx="2">
                        <c:v>130.75703072060654</c:v>
                      </c:pt>
                      <c:pt idx="3">
                        <c:v>186.01927006214325</c:v>
                      </c:pt>
                      <c:pt idx="4">
                        <c:v>216.55297606238591</c:v>
                      </c:pt>
                      <c:pt idx="5">
                        <c:v>237.00504127816248</c:v>
                      </c:pt>
                      <c:pt idx="6">
                        <c:v>272.76552223220403</c:v>
                      </c:pt>
                      <c:pt idx="7">
                        <c:v>373.43060031313297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F39-4D76-AF61-FF9051C5E638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LCOE ren,tot [€/MWh]</c:v>
                </c:tx>
                <c:spPr>
                  <a:ln w="1905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BGfix_1!$J$81:$Q$81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64.337346404210663</c:v>
                      </c:pt>
                      <c:pt idx="1">
                        <c:v>92.601173645890157</c:v>
                      </c:pt>
                      <c:pt idx="2">
                        <c:v>114.269629294854</c:v>
                      </c:pt>
                      <c:pt idx="3">
                        <c:v>154.00610227490398</c:v>
                      </c:pt>
                      <c:pt idx="4">
                        <c:v>171.96434601923733</c:v>
                      </c:pt>
                      <c:pt idx="5">
                        <c:v>175.19655471739162</c:v>
                      </c:pt>
                      <c:pt idx="6">
                        <c:v>157.68396881686436</c:v>
                      </c:pt>
                      <c:pt idx="7">
                        <c:v>179.6570383987775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F39-4D76-AF61-FF9051C5E638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LCOE ren,tot [€/MWh] (EE to grid at 30 €/MWh)</c:v>
                </c:tx>
                <c:spPr>
                  <a:ln w="1905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BGfix_1!$J$82:$Q$82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61.10011398417403</c:v>
                      </c:pt>
                      <c:pt idx="1">
                        <c:v>88.813285682779224</c:v>
                      </c:pt>
                      <c:pt idx="2">
                        <c:v>107.27919968333376</c:v>
                      </c:pt>
                      <c:pt idx="3">
                        <c:v>146.38508500394548</c:v>
                      </c:pt>
                      <c:pt idx="4">
                        <c:v>163.41989713720903</c:v>
                      </c:pt>
                      <c:pt idx="5">
                        <c:v>164.72083841330524</c:v>
                      </c:pt>
                      <c:pt idx="6">
                        <c:v>141.45743659378962</c:v>
                      </c:pt>
                      <c:pt idx="7">
                        <c:v>161.11000804621148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F39-4D76-AF61-FF9051C5E638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v>LCOE ren,tot [€/MWh] (EE to grid at 60 €/MWh)</c:v>
                </c:tx>
                <c:spPr>
                  <a:ln w="19050" cap="rnd">
                    <a:solidFill>
                      <a:srgbClr val="00B0F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BGfix_1!$J$72:$Q$72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BGfix_1!$J$83:$Q$83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57.862881564137382</c:v>
                      </c:pt>
                      <c:pt idx="1">
                        <c:v>85.025397719668305</c:v>
                      </c:pt>
                      <c:pt idx="2">
                        <c:v>100.28877007181349</c:v>
                      </c:pt>
                      <c:pt idx="3">
                        <c:v>138.76406773298694</c:v>
                      </c:pt>
                      <c:pt idx="4">
                        <c:v>154.87544825518071</c:v>
                      </c:pt>
                      <c:pt idx="5">
                        <c:v>154.2451221092189</c:v>
                      </c:pt>
                      <c:pt idx="6">
                        <c:v>125.23090437071484</c:v>
                      </c:pt>
                      <c:pt idx="7">
                        <c:v>142.56297769364548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F39-4D76-AF61-FF9051C5E63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1"/>
          <c:tx>
            <c:v>Curtailed electricity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BGSY_d2!$J$77:$P$77</c:f>
              <c:numCache>
                <c:formatCode>0.0%</c:formatCode>
                <c:ptCount val="7"/>
                <c:pt idx="1">
                  <c:v>5.731794567833217E-2</c:v>
                </c:pt>
                <c:pt idx="2">
                  <c:v>9.6187129371495275E-2</c:v>
                </c:pt>
                <c:pt idx="3">
                  <c:v>0.13266293565236992</c:v>
                </c:pt>
                <c:pt idx="4">
                  <c:v>0.19727575058577893</c:v>
                </c:pt>
                <c:pt idx="5">
                  <c:v>0.43580437392863541</c:v>
                </c:pt>
                <c:pt idx="6">
                  <c:v>0.45674129212753017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F39-4D76-AF61-FF9051C5E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86639"/>
        <c:axId val="66800871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500"/>
          <c:min val="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LCOE renewable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 </a:t>
                </a:r>
                <a:r>
                  <a:rPr lang="it-IT" sz="1100">
                    <a:solidFill>
                      <a:schemeClr val="tx1"/>
                    </a:solidFill>
                  </a:rPr>
                  <a:t>[€/MWh]</a:t>
                </a:r>
              </a:p>
            </c:rich>
          </c:tx>
          <c:layout>
            <c:manualLayout>
              <c:xMode val="edge"/>
              <c:yMode val="edge"/>
              <c:x val="4.2680084943249709E-3"/>
              <c:y val="0.2404044478822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</c:valAx>
      <c:valAx>
        <c:axId val="668008719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Curtailed renewable energy [%]</a:t>
                </a:r>
              </a:p>
            </c:rich>
          </c:tx>
          <c:layout>
            <c:manualLayout>
              <c:xMode val="edge"/>
              <c:yMode val="edge"/>
              <c:x val="0.96387653819579877"/>
              <c:y val="0.19137093610579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7986639"/>
        <c:crosses val="max"/>
        <c:crossBetween val="midCat"/>
        <c:majorUnit val="0.2"/>
        <c:minorUnit val="0.1"/>
      </c:valAx>
      <c:valAx>
        <c:axId val="6679866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68008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9.4503792113602991E-2"/>
          <c:y val="4.0045937814989739E-2"/>
          <c:w val="0.30436181872604556"/>
          <c:h val="0.24609651173872282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70536230282145E-2"/>
          <c:y val="3.8805555555555558E-2"/>
          <c:w val="0.82707563261563466"/>
          <c:h val="0.8249225"/>
        </c:manualLayout>
      </c:layout>
      <c:scatterChart>
        <c:scatterStyle val="lineMarker"/>
        <c:varyColors val="0"/>
        <c:ser>
          <c:idx val="0"/>
          <c:order val="0"/>
          <c:tx>
            <c:v>PV capacity [MW]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BGSY_d2!$J$6:$P$6</c:f>
              <c:numCache>
                <c:formatCode>0.00</c:formatCode>
                <c:ptCount val="7"/>
                <c:pt idx="1">
                  <c:v>1.5832782223074253</c:v>
                </c:pt>
                <c:pt idx="2">
                  <c:v>2.3715017248281356</c:v>
                </c:pt>
                <c:pt idx="3">
                  <c:v>3.5191232863837949</c:v>
                </c:pt>
                <c:pt idx="4">
                  <c:v>4.7946893170793423</c:v>
                </c:pt>
                <c:pt idx="5">
                  <c:v>7.2063200548860493</c:v>
                </c:pt>
                <c:pt idx="6">
                  <c:v>13.588946665658014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07-46BF-A57C-F4672194D9DA}"/>
            </c:ext>
          </c:extLst>
        </c:ser>
        <c:ser>
          <c:idx val="2"/>
          <c:order val="2"/>
          <c:tx>
            <c:v>Wind capacity [MW]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BGSY_d2!$J$7:$P$7</c:f>
              <c:numCache>
                <c:formatCode>0.00</c:formatCode>
                <c:ptCount val="7"/>
                <c:pt idx="1">
                  <c:v>1.1429202062408674</c:v>
                </c:pt>
                <c:pt idx="2">
                  <c:v>1.3501125365840108</c:v>
                </c:pt>
                <c:pt idx="3">
                  <c:v>1.4546076628461382</c:v>
                </c:pt>
                <c:pt idx="4">
                  <c:v>1.5236699513158323</c:v>
                </c:pt>
                <c:pt idx="5">
                  <c:v>2.239279796804484</c:v>
                </c:pt>
                <c:pt idx="6">
                  <c:v>1.300490884747654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07-46BF-A57C-F4672194D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420911"/>
        <c:axId val="666441711"/>
      </c:scatterChart>
      <c:scatterChart>
        <c:scatterStyle val="lineMarker"/>
        <c:varyColors val="0"/>
        <c:ser>
          <c:idx val="1"/>
          <c:order val="1"/>
          <c:tx>
            <c:v>BESS capacity [MWh]</c:v>
          </c:tx>
          <c:spPr>
            <a:ln w="19050" cap="rnd">
              <a:solidFill>
                <a:srgbClr val="CDACE6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CDACE6"/>
              </a:solidFill>
              <a:ln w="9525">
                <a:solidFill>
                  <a:srgbClr val="B07BD7"/>
                </a:solidFill>
              </a:ln>
              <a:effectLst/>
            </c:spPr>
          </c:marker>
          <c:xVal>
            <c:numRef>
              <c:f>BGSY_d2!$J$5:$P$5</c:f>
              <c:numCache>
                <c:formatCode>0%</c:formatCode>
                <c:ptCount val="7"/>
                <c:pt idx="1">
                  <c:v>0.67086143240062945</c:v>
                </c:pt>
                <c:pt idx="2">
                  <c:v>0.80000000000001226</c:v>
                </c:pt>
                <c:pt idx="3">
                  <c:v>0.90000000000004154</c:v>
                </c:pt>
                <c:pt idx="4">
                  <c:v>0.95000000000003271</c:v>
                </c:pt>
                <c:pt idx="5">
                  <c:v>0.98999999999995247</c:v>
                </c:pt>
                <c:pt idx="6">
                  <c:v>1.0000000000001097</c:v>
                </c:pt>
              </c:numCache>
            </c:numRef>
          </c:xVal>
          <c:yVal>
            <c:numRef>
              <c:f>BGSY_d2!$J$8:$P$8</c:f>
              <c:numCache>
                <c:formatCode>0.00</c:formatCode>
                <c:ptCount val="7"/>
                <c:pt idx="1">
                  <c:v>0</c:v>
                </c:pt>
                <c:pt idx="2">
                  <c:v>0.32413971522991281</c:v>
                </c:pt>
                <c:pt idx="3">
                  <c:v>3.0810449327219884</c:v>
                </c:pt>
                <c:pt idx="4">
                  <c:v>7.3975149099764836</c:v>
                </c:pt>
                <c:pt idx="5">
                  <c:v>19.137072466894285</c:v>
                </c:pt>
                <c:pt idx="6">
                  <c:v>110.41692620041528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07-46BF-A57C-F4672194D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99695"/>
        <c:axId val="656197199"/>
      </c:scatterChart>
      <c:valAx>
        <c:axId val="666420911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0" i="0" u="none" strike="noStrike" kern="1200" baseline="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100" baseline="0">
                    <a:solidFill>
                      <a:schemeClr val="tx1"/>
                    </a:solidFill>
                  </a:rPr>
                  <a:t>[%]</a:t>
                </a:r>
                <a:endParaRPr lang="it-IT" sz="11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918040953755236"/>
              <c:y val="0.92792750000000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41711"/>
        <c:crosses val="autoZero"/>
        <c:crossBetween val="midCat"/>
      </c:valAx>
      <c:valAx>
        <c:axId val="66644171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capacity [MW]</a:t>
                </a:r>
              </a:p>
            </c:rich>
          </c:tx>
          <c:layout>
            <c:manualLayout>
              <c:xMode val="edge"/>
              <c:yMode val="edge"/>
              <c:x val="2.1312490302479608E-3"/>
              <c:y val="0.20208308156922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66420911"/>
        <c:crosses val="autoZero"/>
        <c:crossBetween val="midCat"/>
        <c:majorUnit val="2"/>
      </c:valAx>
      <c:valAx>
        <c:axId val="656197199"/>
        <c:scaling>
          <c:orientation val="minMax"/>
          <c:max val="3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BESS capacity [MWh]</a:t>
                </a:r>
              </a:p>
            </c:rich>
          </c:tx>
          <c:layout>
            <c:manualLayout>
              <c:xMode val="edge"/>
              <c:yMode val="edge"/>
              <c:x val="0.95324651476811895"/>
              <c:y val="0.24232318048097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99695"/>
        <c:crosses val="max"/>
        <c:crossBetween val="midCat"/>
        <c:majorUnit val="4"/>
      </c:valAx>
      <c:valAx>
        <c:axId val="656199695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65619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7.5575508362828794E-2"/>
          <c:y val="3.8689764041209704E-2"/>
          <c:w val="0.30942431813449928"/>
          <c:h val="0.18393041253334219"/>
        </c:manualLayout>
      </c:layout>
      <c:overlay val="0"/>
      <c:spPr>
        <a:solidFill>
          <a:schemeClr val="lt1"/>
        </a:soli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BGSY_big!$J$19:$P$19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BGSY_big!$J$26:$P$26</c:f>
              <c:numCache>
                <c:formatCode>0</c:formatCode>
                <c:ptCount val="7"/>
                <c:pt idx="0">
                  <c:v>-23094.451518129641</c:v>
                </c:pt>
                <c:pt idx="1">
                  <c:v>-10358.097562861039</c:v>
                </c:pt>
                <c:pt idx="2">
                  <c:v>-8789.8322763912802</c:v>
                </c:pt>
                <c:pt idx="3">
                  <c:v>-7991.3113129424009</c:v>
                </c:pt>
                <c:pt idx="4">
                  <c:v>-6000.0057918917519</c:v>
                </c:pt>
                <c:pt idx="5">
                  <c:v>-1009.8529862186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D-468E-82CB-680454A00344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BGSY_big!$J$19:$P$19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BGSY_big!$J$25:$P$25</c:f>
              <c:numCache>
                <c:formatCode>0</c:formatCode>
                <c:ptCount val="7"/>
                <c:pt idx="0">
                  <c:v>-49403.611373104264</c:v>
                </c:pt>
                <c:pt idx="1">
                  <c:v>-30816.473327447704</c:v>
                </c:pt>
                <c:pt idx="2">
                  <c:v>-122675.72774925134</c:v>
                </c:pt>
                <c:pt idx="3">
                  <c:v>-36358.116399760518</c:v>
                </c:pt>
                <c:pt idx="4">
                  <c:v>-76508.649839684615</c:v>
                </c:pt>
                <c:pt idx="5">
                  <c:v>-51265.72868458258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D-468E-82CB-680454A00344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BGSY_big!$J$19:$P$19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BGSY_big!$J$27:$P$27</c:f>
              <c:numCache>
                <c:formatCode>0</c:formatCode>
                <c:ptCount val="7"/>
                <c:pt idx="0">
                  <c:v>21729.569433408215</c:v>
                </c:pt>
                <c:pt idx="1">
                  <c:v>9745.9339968959175</c:v>
                </c:pt>
                <c:pt idx="2">
                  <c:v>8270.3531888565467</c:v>
                </c:pt>
                <c:pt idx="3">
                  <c:v>7519.0248143475137</c:v>
                </c:pt>
                <c:pt idx="4">
                  <c:v>5645.4054495909604</c:v>
                </c:pt>
                <c:pt idx="5">
                  <c:v>950.17067473308111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2D-468E-82CB-680454A00344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BGSY_big!$J$19:$P$19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BGSY_big!$J$22:$P$22</c:f>
              <c:numCache>
                <c:formatCode>0</c:formatCode>
                <c:ptCount val="7"/>
                <c:pt idx="0">
                  <c:v>77376.096806634116</c:v>
                </c:pt>
                <c:pt idx="1">
                  <c:v>63905.760852430773</c:v>
                </c:pt>
                <c:pt idx="2">
                  <c:v>49549.120294724475</c:v>
                </c:pt>
                <c:pt idx="3">
                  <c:v>58758.438928406431</c:v>
                </c:pt>
                <c:pt idx="4">
                  <c:v>24245.019740545158</c:v>
                </c:pt>
                <c:pt idx="5">
                  <c:v>13759.428687931357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2D-468E-82CB-680454A00344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BGSY_big!$J$19:$P$19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BGSY_big!$J$23:$P$23</c:f>
              <c:numCache>
                <c:formatCode>0</c:formatCode>
                <c:ptCount val="7"/>
                <c:pt idx="0">
                  <c:v>65342.778132775697</c:v>
                </c:pt>
                <c:pt idx="1">
                  <c:v>59473.257522580163</c:v>
                </c:pt>
                <c:pt idx="2">
                  <c:v>165596.46802364747</c:v>
                </c:pt>
                <c:pt idx="3">
                  <c:v>70022.345451545625</c:v>
                </c:pt>
                <c:pt idx="4">
                  <c:v>144568.61192300959</c:v>
                </c:pt>
                <c:pt idx="5">
                  <c:v>129516.36378973663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2D-468E-82CB-680454A00344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BGSY_big!$J$19:$P$19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BGSY_big!$J$24:$P$24</c:f>
              <c:numCache>
                <c:formatCode>0</c:formatCode>
                <c:ptCount val="7"/>
                <c:pt idx="0">
                  <c:v>4839.4937621886857</c:v>
                </c:pt>
                <c:pt idx="1">
                  <c:v>4839.4937621857543</c:v>
                </c:pt>
                <c:pt idx="2">
                  <c:v>4839.4937621730096</c:v>
                </c:pt>
                <c:pt idx="3">
                  <c:v>4839.4937621878998</c:v>
                </c:pt>
                <c:pt idx="4">
                  <c:v>4839.4937621969029</c:v>
                </c:pt>
                <c:pt idx="5">
                  <c:v>4839.4937621908412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2D-468E-82CB-680454A00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38798937090179425"/>
              <c:y val="0.96521216130793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BGSY_big!$J$63:$P$63</c:f>
              <c:numCache>
                <c:formatCode>#,##0\ "€"</c:formatCode>
                <c:ptCount val="7"/>
                <c:pt idx="0">
                  <c:v>8528253.4135006126</c:v>
                </c:pt>
                <c:pt idx="1">
                  <c:v>12608061.088615291</c:v>
                </c:pt>
                <c:pt idx="2">
                  <c:v>8528253.2460333258</c:v>
                </c:pt>
                <c:pt idx="3">
                  <c:v>12199840.745475035</c:v>
                </c:pt>
                <c:pt idx="4">
                  <c:v>8528252.8416997232</c:v>
                </c:pt>
                <c:pt idx="5">
                  <c:v>10591329.210329723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E-4513-9B7A-C42EAFC464A6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BGSY_big!$J$64:$P$64</c:f>
              <c:numCache>
                <c:formatCode>#,##0\ "€"</c:formatCode>
                <c:ptCount val="7"/>
                <c:pt idx="0">
                  <c:v>9623261.8218559101</c:v>
                </c:pt>
                <c:pt idx="1">
                  <c:v>12530270.708950527</c:v>
                </c:pt>
                <c:pt idx="2">
                  <c:v>9623261.9952607714</c:v>
                </c:pt>
                <c:pt idx="3">
                  <c:v>12002236.015150985</c:v>
                </c:pt>
                <c:pt idx="4">
                  <c:v>9623261.5331485905</c:v>
                </c:pt>
                <c:pt idx="5">
                  <c:v>9829063.9270031005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0E-4513-9B7A-C42EAFC464A6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BGSY_big!$J$57:$P$57</c:f>
              <c:numCache>
                <c:formatCode>#,##0\ "€"</c:formatCode>
                <c:ptCount val="7"/>
                <c:pt idx="0">
                  <c:v>41921454.683403477</c:v>
                </c:pt>
                <c:pt idx="1">
                  <c:v>34623385.879473515</c:v>
                </c:pt>
                <c:pt idx="2">
                  <c:v>23881533.947520949</c:v>
                </c:pt>
                <c:pt idx="3">
                  <c:v>28320213.267670929</c:v>
                </c:pt>
                <c:pt idx="4">
                  <c:v>32137281.486467339</c:v>
                </c:pt>
                <c:pt idx="5">
                  <c:v>18238410.921874575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0E-4513-9B7A-C42EAFC464A6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BGSY_big!$J$58:$P$58</c:f>
              <c:numCache>
                <c:formatCode>#,##0\ "€"</c:formatCode>
                <c:ptCount val="7"/>
                <c:pt idx="0">
                  <c:v>74967403.869003132</c:v>
                </c:pt>
                <c:pt idx="1">
                  <c:v>68233335.703002438</c:v>
                </c:pt>
                <c:pt idx="2">
                  <c:v>104037240.99819767</c:v>
                </c:pt>
                <c:pt idx="3">
                  <c:v>43992071.304088414</c:v>
                </c:pt>
                <c:pt idx="4">
                  <c:v>73348108.197151557</c:v>
                </c:pt>
                <c:pt idx="5">
                  <c:v>65711222.776423573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0E-4513-9B7A-C42EAFC464A6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BGSY_big!$J$59:$P$59</c:f>
              <c:numCache>
                <c:formatCode>#,##0\ "€"</c:formatCode>
                <c:ptCount val="7"/>
                <c:pt idx="0">
                  <c:v>56216584.224213429</c:v>
                </c:pt>
                <c:pt idx="1">
                  <c:v>25309734.314354654</c:v>
                </c:pt>
                <c:pt idx="2">
                  <c:v>25000000</c:v>
                </c:pt>
                <c:pt idx="3">
                  <c:v>20020614.87838088</c:v>
                </c:pt>
                <c:pt idx="4">
                  <c:v>33643254.481366195</c:v>
                </c:pt>
                <c:pt idx="5">
                  <c:v>5600842.9629240232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0E-4513-9B7A-C42EAFC464A6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BGSY_big!$J$60:$P$60</c:f>
              <c:numCache>
                <c:formatCode>#,##0\ "€"</c:formatCode>
                <c:ptCount val="7"/>
                <c:pt idx="0">
                  <c:v>66223.967281672012</c:v>
                </c:pt>
                <c:pt idx="1">
                  <c:v>946932.85110209615</c:v>
                </c:pt>
                <c:pt idx="2">
                  <c:v>0</c:v>
                </c:pt>
                <c:pt idx="3">
                  <c:v>882119.43217761675</c:v>
                </c:pt>
                <c:pt idx="4">
                  <c:v>0</c:v>
                </c:pt>
                <c:pt idx="5">
                  <c:v>1179455.3169896062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0E-4513-9B7A-C42EAFC464A6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BGSY_big!$J$61:$P$61</c:f>
              <c:numCache>
                <c:formatCode>#,##0\ "€"</c:formatCode>
                <c:ptCount val="7"/>
                <c:pt idx="0">
                  <c:v>0</c:v>
                </c:pt>
                <c:pt idx="1">
                  <c:v>1898517.3304440652</c:v>
                </c:pt>
                <c:pt idx="2">
                  <c:v>0</c:v>
                </c:pt>
                <c:pt idx="3">
                  <c:v>1917800.3306139752</c:v>
                </c:pt>
                <c:pt idx="4">
                  <c:v>0</c:v>
                </c:pt>
                <c:pt idx="5">
                  <c:v>3353507.8677247069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0E-4513-9B7A-C42EAFC464A6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BGSY_big!$J$62:$P$62</c:f>
              <c:numCache>
                <c:formatCode>#,##0\ "€"</c:formatCode>
                <c:ptCount val="7"/>
                <c:pt idx="0">
                  <c:v>0</c:v>
                </c:pt>
                <c:pt idx="1">
                  <c:v>1990793.6443466295</c:v>
                </c:pt>
                <c:pt idx="2">
                  <c:v>0</c:v>
                </c:pt>
                <c:pt idx="3">
                  <c:v>1313627.3893776946</c:v>
                </c:pt>
                <c:pt idx="4">
                  <c:v>0</c:v>
                </c:pt>
                <c:pt idx="5">
                  <c:v>570012.09255572804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30E-4513-9B7A-C42EAFC46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65171030663714158"/>
          <c:h val="0.25050011853628606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BGSY_big!$J$31:$P$31</c:f>
              <c:numCache>
                <c:formatCode>0.000</c:formatCode>
                <c:ptCount val="7"/>
                <c:pt idx="0">
                  <c:v>0.77296962018193793</c:v>
                </c:pt>
                <c:pt idx="1">
                  <c:v>0.63840402569003973</c:v>
                </c:pt>
                <c:pt idx="2">
                  <c:v>0.44034016386564484</c:v>
                </c:pt>
                <c:pt idx="3">
                  <c:v>0.52218284547382143</c:v>
                </c:pt>
                <c:pt idx="4">
                  <c:v>0.59256393777073413</c:v>
                </c:pt>
                <c:pt idx="5">
                  <c:v>0.33628932176782861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3-4017-8320-24D0C0A15CFE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BGSY_big!$J$32:$P$32</c:f>
              <c:numCache>
                <c:formatCode>0.000</c:formatCode>
                <c:ptCount val="7"/>
                <c:pt idx="0">
                  <c:v>1.3822880463542326</c:v>
                </c:pt>
                <c:pt idx="1">
                  <c:v>1.2581217894371644</c:v>
                </c:pt>
                <c:pt idx="2">
                  <c:v>1.9182928470987723</c:v>
                </c:pt>
                <c:pt idx="3">
                  <c:v>0.81114872810932592</c:v>
                </c:pt>
                <c:pt idx="4">
                  <c:v>1.3524306291943198</c:v>
                </c:pt>
                <c:pt idx="5">
                  <c:v>1.2116177574173719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3-4017-8320-24D0C0A15CFE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BGSY_big!$J$33:$P$33</c:f>
              <c:numCache>
                <c:formatCode>0.000</c:formatCode>
                <c:ptCount val="7"/>
                <c:pt idx="0">
                  <c:v>1.0365506656170334</c:v>
                </c:pt>
                <c:pt idx="1">
                  <c:v>0.4666740662416996</c:v>
                </c:pt>
                <c:pt idx="2">
                  <c:v>0.46096302359940622</c:v>
                </c:pt>
                <c:pt idx="3">
                  <c:v>0.36915052674630622</c:v>
                </c:pt>
                <c:pt idx="4">
                  <c:v>0.62033185237824151</c:v>
                </c:pt>
                <c:pt idx="5">
                  <c:v>0.10327126027579631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E3-4017-8320-24D0C0A15CFE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BGSY_big!$J$34:$P$34</c:f>
              <c:numCache>
                <c:formatCode>0.000</c:formatCode>
                <c:ptCount val="7"/>
                <c:pt idx="0">
                  <c:v>1.2210720077163889E-3</c:v>
                </c:pt>
                <c:pt idx="1">
                  <c:v>8.9173183073899459E-2</c:v>
                </c:pt>
                <c:pt idx="2">
                  <c:v>0</c:v>
                </c:pt>
                <c:pt idx="3">
                  <c:v>7.5847725319306808E-2</c:v>
                </c:pt>
                <c:pt idx="4">
                  <c:v>0</c:v>
                </c:pt>
                <c:pt idx="5">
                  <c:v>9.4091316526536406E-2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E3-4017-8320-24D0C0A15CFE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BGSY_big!$J$36:$P$36</c:f>
              <c:numCache>
                <c:formatCode>0.000</c:formatCode>
                <c:ptCount val="7"/>
                <c:pt idx="0">
                  <c:v>0.33468709383204764</c:v>
                </c:pt>
                <c:pt idx="1">
                  <c:v>0.46351365734603833</c:v>
                </c:pt>
                <c:pt idx="2">
                  <c:v>0.33468709394150531</c:v>
                </c:pt>
                <c:pt idx="3">
                  <c:v>0.44625049923852111</c:v>
                </c:pt>
                <c:pt idx="4">
                  <c:v>0.33468707796555253</c:v>
                </c:pt>
                <c:pt idx="5">
                  <c:v>0.3765218465469391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E3-4017-8320-24D0C0A15CFE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BGSY_big!$J$37:$P$37</c:f>
              <c:numCache>
                <c:formatCode>0.000</c:formatCode>
                <c:ptCount val="7"/>
                <c:pt idx="0">
                  <c:v>0.14493180378411336</c:v>
                </c:pt>
                <c:pt idx="1">
                  <c:v>0.11970075481688244</c:v>
                </c:pt>
                <c:pt idx="2">
                  <c:v>8.2563780724808397E-2</c:v>
                </c:pt>
                <c:pt idx="3">
                  <c:v>9.7909283526341526E-2</c:v>
                </c:pt>
                <c:pt idx="4">
                  <c:v>7.7425601625095916E-2</c:v>
                </c:pt>
                <c:pt idx="5">
                  <c:v>4.3940242391266808E-2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E3-4017-8320-24D0C0A15CFE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BGSY_big!$J$38:$P$38</c:f>
              <c:numCache>
                <c:formatCode>0.000</c:formatCode>
                <c:ptCount val="7"/>
                <c:pt idx="0">
                  <c:v>0.4146864139062697</c:v>
                </c:pt>
                <c:pt idx="1">
                  <c:v>0.37743653683114936</c:v>
                </c:pt>
                <c:pt idx="2">
                  <c:v>0.57548785412963177</c:v>
                </c:pt>
                <c:pt idx="3">
                  <c:v>0.24334461843279778</c:v>
                </c:pt>
                <c:pt idx="4">
                  <c:v>0.55776028398785749</c:v>
                </c:pt>
                <c:pt idx="5">
                  <c:v>0.49968719272827511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E3-4017-8320-24D0C0A15CFE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BGSY_big!$J$39:$P$39</c:f>
              <c:numCache>
                <c:formatCode>0.000</c:formatCode>
                <c:ptCount val="7"/>
                <c:pt idx="0">
                  <c:v>0.25913766640425834</c:v>
                </c:pt>
                <c:pt idx="1">
                  <c:v>0.11666851656042487</c:v>
                </c:pt>
                <c:pt idx="2">
                  <c:v>0.11524075589985155</c:v>
                </c:pt>
                <c:pt idx="3">
                  <c:v>9.2287631686576554E-2</c:v>
                </c:pt>
                <c:pt idx="4">
                  <c:v>0.15508296309456035</c:v>
                </c:pt>
                <c:pt idx="5">
                  <c:v>2.5817815068949077E-2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E3-4017-8320-24D0C0A15CFE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BGSY_big!$J$40:$P$40</c:f>
              <c:numCache>
                <c:formatCode>0.000</c:formatCode>
                <c:ptCount val="7"/>
                <c:pt idx="0">
                  <c:v>0.13436326633590559</c:v>
                </c:pt>
                <c:pt idx="1">
                  <c:v>0.20639182004540715</c:v>
                </c:pt>
                <c:pt idx="2">
                  <c:v>0.13387483757660212</c:v>
                </c:pt>
                <c:pt idx="3">
                  <c:v>0.19915075137048266</c:v>
                </c:pt>
                <c:pt idx="4">
                  <c:v>0.13387483118622098</c:v>
                </c:pt>
                <c:pt idx="5">
                  <c:v>0.1840411932666268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E3-4017-8320-24D0C0A15CFE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BGSY_big!$J$42:$P$42</c:f>
              <c:numCache>
                <c:formatCode>0.000</c:formatCode>
                <c:ptCount val="7"/>
                <c:pt idx="0">
                  <c:v>0.55357578640871763</c:v>
                </c:pt>
                <c:pt idx="1">
                  <c:v>0.24828439850832978</c:v>
                </c:pt>
                <c:pt idx="2">
                  <c:v>0.21069295847896277</c:v>
                </c:pt>
                <c:pt idx="3">
                  <c:v>0.19155234931757853</c:v>
                </c:pt>
                <c:pt idx="4">
                  <c:v>0.14382060219511847</c:v>
                </c:pt>
                <c:pt idx="5">
                  <c:v>2.4206254067747134E-2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E3-4017-8320-24D0C0A15CFE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BGSY_big!$J$44:$P$44</c:f>
              <c:numCache>
                <c:formatCode>0.000</c:formatCode>
                <c:ptCount val="7"/>
                <c:pt idx="0">
                  <c:v>8.4786442352185395E-2</c:v>
                </c:pt>
                <c:pt idx="1">
                  <c:v>0.12009330756911951</c:v>
                </c:pt>
                <c:pt idx="2">
                  <c:v>8.4786440797646634E-2</c:v>
                </c:pt>
                <c:pt idx="3">
                  <c:v>0.11645608953259379</c:v>
                </c:pt>
                <c:pt idx="4">
                  <c:v>8.4786436891660502E-2</c:v>
                </c:pt>
                <c:pt idx="5">
                  <c:v>0.10238668833144976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E3-4017-8320-24D0C0A15CFE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BGSY_big!$J$45:$P$45</c:f>
              <c:numCache>
                <c:formatCode>0.000</c:formatCode>
                <c:ptCount val="7"/>
                <c:pt idx="0">
                  <c:v>1.096689211286269</c:v>
                </c:pt>
                <c:pt idx="1">
                  <c:v>1.0966892112861883</c:v>
                </c:pt>
                <c:pt idx="2">
                  <c:v>1.0966892112861957</c:v>
                </c:pt>
                <c:pt idx="3">
                  <c:v>1.0966892112861895</c:v>
                </c:pt>
                <c:pt idx="4">
                  <c:v>1.0966892112862807</c:v>
                </c:pt>
                <c:pt idx="5">
                  <c:v>1.0966892112861928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E3-4017-8320-24D0C0A15CFE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BGSY_big!$J$46:$P$46</c:f>
              <c:numCache>
                <c:formatCode>0.000</c:formatCode>
                <c:ptCount val="7"/>
                <c:pt idx="0">
                  <c:v>0.13373703317199565</c:v>
                </c:pt>
                <c:pt idx="1">
                  <c:v>0.13406736901269642</c:v>
                </c:pt>
                <c:pt idx="2">
                  <c:v>0.13518504570475301</c:v>
                </c:pt>
                <c:pt idx="3">
                  <c:v>0.13573055698427858</c:v>
                </c:pt>
                <c:pt idx="4">
                  <c:v>0.13364563130759083</c:v>
                </c:pt>
                <c:pt idx="5">
                  <c:v>0.13362604724100605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E3-4017-8320-24D0C0A15CFE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BGSY_big!$J$48:$P$48</c:f>
              <c:numCache>
                <c:formatCode>0.000</c:formatCode>
                <c:ptCount val="7"/>
                <c:pt idx="0">
                  <c:v>-0.27327885690333209</c:v>
                </c:pt>
                <c:pt idx="1">
                  <c:v>-0.17046305666028783</c:v>
                </c:pt>
                <c:pt idx="2">
                  <c:v>-0.67858769262662977</c:v>
                </c:pt>
                <c:pt idx="3">
                  <c:v>-0.20111696721615202</c:v>
                </c:pt>
                <c:pt idx="4">
                  <c:v>-0.42321190273934373</c:v>
                </c:pt>
                <c:pt idx="5">
                  <c:v>-0.28357926361766317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45E3-4017-8320-24D0C0A15CFE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BGSY_big!$J$5:$P$5</c:f>
              <c:numCache>
                <c:formatCode>0%</c:formatCode>
                <c:ptCount val="7"/>
                <c:pt idx="0">
                  <c:v>0.94999999999983187</c:v>
                </c:pt>
                <c:pt idx="1">
                  <c:v>0.94999999999998841</c:v>
                </c:pt>
                <c:pt idx="2">
                  <c:v>0.94999999999988327</c:v>
                </c:pt>
                <c:pt idx="3">
                  <c:v>0.95000000000000362</c:v>
                </c:pt>
                <c:pt idx="4">
                  <c:v>0.94999999999964058</c:v>
                </c:pt>
                <c:pt idx="5">
                  <c:v>0.94999999999995777</c:v>
                </c:pt>
              </c:numCache>
            </c:numRef>
          </c:cat>
          <c:val>
            <c:numRef>
              <c:f>BGSY_big!$J$47:$P$47</c:f>
              <c:numCache>
                <c:formatCode>0.000</c:formatCode>
                <c:ptCount val="7"/>
                <c:pt idx="0">
                  <c:v>-0.47122626486097724</c:v>
                </c:pt>
                <c:pt idx="1">
                  <c:v>-0.47122626486103586</c:v>
                </c:pt>
                <c:pt idx="2">
                  <c:v>-0.47122626486105901</c:v>
                </c:pt>
                <c:pt idx="3">
                  <c:v>-0.47122626486100383</c:v>
                </c:pt>
                <c:pt idx="4">
                  <c:v>-0.47122626486098046</c:v>
                </c:pt>
                <c:pt idx="5">
                  <c:v>-0.47122626486104097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5E3-4017-8320-24D0C0A1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BGSY_big!$J$50:$P$50</c:f>
              <c:numCache>
                <c:formatCode>0.000</c:formatCode>
                <c:ptCount val="7"/>
                <c:pt idx="0">
                  <c:v>5.8783978567817039</c:v>
                </c:pt>
                <c:pt idx="1">
                  <c:v>4.8639923715580036</c:v>
                </c:pt>
                <c:pt idx="2">
                  <c:v>5.1175777482427209</c:v>
                </c:pt>
                <c:pt idx="3">
                  <c:v>3.9264745521631168</c:v>
                </c:pt>
                <c:pt idx="4">
                  <c:v>4.8118727940222517</c:v>
                </c:pt>
                <c:pt idx="5">
                  <c:v>3.7609598820549448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5E3-4017-8320-24D0C0A1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89329533442667119"/>
          <c:h val="8.1927762372849947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951510751018478"/>
          <c:y val="1.0287732883646303E-2"/>
          <c:w val="0.82023147428006737"/>
          <c:h val="0.71812033866341873"/>
        </c:manualLayout>
      </c:layout>
      <c:barChart>
        <c:barDir val="col"/>
        <c:grouping val="stacked"/>
        <c:varyColors val="0"/>
        <c:ser>
          <c:idx val="4"/>
          <c:order val="0"/>
          <c:tx>
            <c:v>EE to BESS</c:v>
          </c:tx>
          <c:spPr>
            <a:solidFill>
              <a:srgbClr val="44546A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BGSY_2big!$J$19:$P$19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BGSY_2big!$J$26:$P$26</c:f>
              <c:numCache>
                <c:formatCode>0</c:formatCode>
                <c:ptCount val="7"/>
                <c:pt idx="0">
                  <c:v>-34037.746059268713</c:v>
                </c:pt>
                <c:pt idx="1">
                  <c:v>-23445.429914874618</c:v>
                </c:pt>
                <c:pt idx="2">
                  <c:v>-9083.2262307778674</c:v>
                </c:pt>
                <c:pt idx="3">
                  <c:v>-12152.158852846062</c:v>
                </c:pt>
                <c:pt idx="4">
                  <c:v>-13718.13832244924</c:v>
                </c:pt>
                <c:pt idx="5">
                  <c:v>-5786.0548443670205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E-4EAF-BDFD-E4A4D9130271}"/>
            </c:ext>
          </c:extLst>
        </c:ser>
        <c:ser>
          <c:idx val="2"/>
          <c:order val="1"/>
          <c:tx>
            <c:v>EE to grid</c:v>
          </c:tx>
          <c:spPr>
            <a:solidFill>
              <a:srgbClr val="70AD47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BGSY_2big!$J$19:$P$19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BGSY_2big!$J$25:$P$25</c:f>
              <c:numCache>
                <c:formatCode>0</c:formatCode>
                <c:ptCount val="7"/>
                <c:pt idx="0">
                  <c:v>-50662.48654764003</c:v>
                </c:pt>
                <c:pt idx="1">
                  <c:v>-32674.962190315444</c:v>
                </c:pt>
                <c:pt idx="2">
                  <c:v>-131690.21383787302</c:v>
                </c:pt>
                <c:pt idx="3">
                  <c:v>-37388.948873252717</c:v>
                </c:pt>
                <c:pt idx="4">
                  <c:v>-37367.675136466918</c:v>
                </c:pt>
                <c:pt idx="5">
                  <c:v>-22235.371766389395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BE-4EAF-BDFD-E4A4D9130271}"/>
            </c:ext>
          </c:extLst>
        </c:ser>
        <c:ser>
          <c:idx val="3"/>
          <c:order val="2"/>
          <c:tx>
            <c:v>EE from BESS</c:v>
          </c:tx>
          <c:spPr>
            <a:solidFill>
              <a:srgbClr val="C0000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BGSY_2big!$J$19:$P$19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BGSY_2big!$J$27:$P$27</c:f>
              <c:numCache>
                <c:formatCode>0</c:formatCode>
                <c:ptCount val="7"/>
                <c:pt idx="0">
                  <c:v>32026.115267165918</c:v>
                </c:pt>
                <c:pt idx="1">
                  <c:v>22059.805006905524</c:v>
                </c:pt>
                <c:pt idx="2">
                  <c:v>8546.4075605388934</c:v>
                </c:pt>
                <c:pt idx="3">
                  <c:v>11433.966264642884</c:v>
                </c:pt>
                <c:pt idx="4">
                  <c:v>12907.396347592508</c:v>
                </c:pt>
                <c:pt idx="5">
                  <c:v>5444.0990030649155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BE-4EAF-BDFD-E4A4D9130271}"/>
            </c:ext>
          </c:extLst>
        </c:ser>
        <c:ser>
          <c:idx val="0"/>
          <c:order val="3"/>
          <c:tx>
            <c:v>EE from PV</c:v>
          </c:tx>
          <c:spPr>
            <a:solidFill>
              <a:srgbClr val="FFC000">
                <a:lumMod val="40000"/>
                <a:lumOff val="6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BGSY_2big!$J$19:$P$19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BGSY_2big!$J$22:$P$22</c:f>
              <c:numCache>
                <c:formatCode>0</c:formatCode>
                <c:ptCount val="7"/>
                <c:pt idx="0">
                  <c:v>109192.15973952159</c:v>
                </c:pt>
                <c:pt idx="1">
                  <c:v>90130.581547276102</c:v>
                </c:pt>
                <c:pt idx="2">
                  <c:v>67471.48819155505</c:v>
                </c:pt>
                <c:pt idx="3">
                  <c:v>73952.735782231073</c:v>
                </c:pt>
                <c:pt idx="4">
                  <c:v>53406.422480405919</c:v>
                </c:pt>
                <c:pt idx="5">
                  <c:v>39647.003305624596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BE-4EAF-BDFD-E4A4D9130271}"/>
            </c:ext>
          </c:extLst>
        </c:ser>
        <c:ser>
          <c:idx val="1"/>
          <c:order val="4"/>
          <c:tx>
            <c:v>EE from wind</c:v>
          </c:tx>
          <c:spPr>
            <a:solidFill>
              <a:srgbClr val="5B9BD5">
                <a:lumMod val="20000"/>
                <a:lumOff val="8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BGSY_2big!$J$19:$P$19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BGSY_2big!$J$23:$P$23</c:f>
              <c:numCache>
                <c:formatCode>0</c:formatCode>
                <c:ptCount val="7"/>
                <c:pt idx="0">
                  <c:v>35432.339081802675</c:v>
                </c:pt>
                <c:pt idx="1">
                  <c:v>35880.387032604842</c:v>
                </c:pt>
                <c:pt idx="2">
                  <c:v>156705.92579816509</c:v>
                </c:pt>
                <c:pt idx="3">
                  <c:v>56104.787160823056</c:v>
                </c:pt>
                <c:pt idx="4">
                  <c:v>76722.376112497062</c:v>
                </c:pt>
                <c:pt idx="5">
                  <c:v>74880.705783666446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BE-4EAF-BDFD-E4A4D9130271}"/>
            </c:ext>
          </c:extLst>
        </c:ser>
        <c:ser>
          <c:idx val="6"/>
          <c:order val="5"/>
          <c:tx>
            <c:v>EE from grid</c:v>
          </c:tx>
          <c:spPr>
            <a:pattFill prst="dkUpDiag">
              <a:fgClr>
                <a:srgbClr val="70AD47">
                  <a:lumMod val="40000"/>
                  <a:lumOff val="60000"/>
                </a:srgbClr>
              </a:fgClr>
              <a:bgClr>
                <a:sysClr val="window" lastClr="FFFFFF"/>
              </a:bgClr>
            </a:patt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BGSY_2big!$J$19:$P$19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BGSY_2big!$J$24:$P$24</c:f>
              <c:numCache>
                <c:formatCode>0</c:formatCode>
                <c:ptCount val="7"/>
                <c:pt idx="0">
                  <c:v>4839.4937621963663</c:v>
                </c:pt>
                <c:pt idx="1">
                  <c:v>4839.4937621891768</c:v>
                </c:pt>
                <c:pt idx="2">
                  <c:v>4839.4937621868012</c:v>
                </c:pt>
                <c:pt idx="3">
                  <c:v>4839.4937621912622</c:v>
                </c:pt>
                <c:pt idx="4">
                  <c:v>4839.4937621787476</c:v>
                </c:pt>
                <c:pt idx="5">
                  <c:v>4839.4937621869512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BE-4EAF-BDFD-E4A4D9130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360576"/>
        <c:axId val="1500359328"/>
        <c:extLst/>
      </c:barChart>
      <c:catAx>
        <c:axId val="150036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Share </a:t>
                </a:r>
                <a:r>
                  <a:rPr lang="it-IT" sz="1400">
                    <a:solidFill>
                      <a:schemeClr val="tx1"/>
                    </a:solidFill>
                  </a:rPr>
                  <a:t>[%]</a:t>
                </a:r>
              </a:p>
            </c:rich>
          </c:tx>
          <c:layout>
            <c:manualLayout>
              <c:xMode val="edge"/>
              <c:yMode val="edge"/>
              <c:x val="0.47962180226565559"/>
              <c:y val="0.956592834959941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59328"/>
        <c:crosses val="autoZero"/>
        <c:auto val="1"/>
        <c:lblAlgn val="ctr"/>
        <c:lblOffset val="400"/>
        <c:noMultiLvlLbl val="0"/>
      </c:catAx>
      <c:valAx>
        <c:axId val="1500359328"/>
        <c:scaling>
          <c:orientation val="minMax"/>
          <c:max val="250000"/>
          <c:min val="-20000"/>
        </c:scaling>
        <c:delete val="0"/>
        <c:axPos val="l"/>
        <c:majorGridlines>
          <c:spPr>
            <a:ln w="3175" cap="flat" cmpd="sng" algn="ctr">
              <a:solidFill>
                <a:srgbClr val="5B9BD5">
                  <a:lumMod val="40000"/>
                  <a:lumOff val="60000"/>
                </a:srgb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Energy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 [MWh/year]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8217808652139607E-2"/>
              <c:y val="0.197203439376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0360576"/>
        <c:crossesAt val="1"/>
        <c:crossBetween val="between"/>
        <c:majorUnit val="25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8062849857116"/>
          <c:y val="3.7036097520116079E-2"/>
          <c:w val="0.83132787383113105"/>
          <c:h val="0.87434474149755048"/>
        </c:manualLayout>
      </c:layout>
      <c:barChart>
        <c:barDir val="col"/>
        <c:grouping val="stacked"/>
        <c:varyColors val="0"/>
        <c:ser>
          <c:idx val="1"/>
          <c:order val="0"/>
          <c:tx>
            <c:v>Syngas generation</c:v>
          </c:tx>
          <c:spPr>
            <a:solidFill>
              <a:schemeClr val="accent6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BGSY_2big!$J$63:$P$63</c:f>
              <c:numCache>
                <c:formatCode>#,##0\ "€"</c:formatCode>
                <c:ptCount val="7"/>
                <c:pt idx="0">
                  <c:v>8528253.4135006126</c:v>
                </c:pt>
                <c:pt idx="1">
                  <c:v>11107397.96582105</c:v>
                </c:pt>
                <c:pt idx="2">
                  <c:v>8528252.2747229561</c:v>
                </c:pt>
                <c:pt idx="3">
                  <c:v>11420631.363008855</c:v>
                </c:pt>
                <c:pt idx="4">
                  <c:v>8528253.129798267</c:v>
                </c:pt>
                <c:pt idx="5">
                  <c:v>10669960.586321019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6-4A43-B2C4-2B15B1B17C42}"/>
            </c:ext>
          </c:extLst>
        </c:ser>
        <c:ser>
          <c:idx val="5"/>
          <c:order val="1"/>
          <c:tx>
            <c:v>Gas separation</c:v>
          </c:tx>
          <c:spPr>
            <a:solidFill>
              <a:schemeClr val="accent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BGSY_2big!$J$64:$P$64</c:f>
              <c:numCache>
                <c:formatCode>#,##0\ "€"</c:formatCode>
                <c:ptCount val="7"/>
                <c:pt idx="0">
                  <c:v>9623261.6107128076</c:v>
                </c:pt>
                <c:pt idx="1">
                  <c:v>10544035.630493267</c:v>
                </c:pt>
                <c:pt idx="2">
                  <c:v>9623260.9285581782</c:v>
                </c:pt>
                <c:pt idx="3">
                  <c:v>10972603.501972452</c:v>
                </c:pt>
                <c:pt idx="4">
                  <c:v>9623261.8403598033</c:v>
                </c:pt>
                <c:pt idx="5">
                  <c:v>10459458.312881593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6-4A43-B2C4-2B15B1B17C42}"/>
            </c:ext>
          </c:extLst>
        </c:ser>
        <c:ser>
          <c:idx val="0"/>
          <c:order val="2"/>
          <c:tx>
            <c:v>PV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BGSY_2big!$J$57:$P$57</c:f>
              <c:numCache>
                <c:formatCode>#,##0\ "€"</c:formatCode>
                <c:ptCount val="7"/>
                <c:pt idx="0">
                  <c:v>22628325.73231969</c:v>
                </c:pt>
                <c:pt idx="1">
                  <c:v>18678119.038586769</c:v>
                </c:pt>
                <c:pt idx="2">
                  <c:v>12438786.087485537</c:v>
                </c:pt>
                <c:pt idx="3">
                  <c:v>13633644.160447709</c:v>
                </c:pt>
                <c:pt idx="4">
                  <c:v>18869466.440633602</c:v>
                </c:pt>
                <c:pt idx="5">
                  <c:v>14008011.838307386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06-4A43-B2C4-2B15B1B17C42}"/>
            </c:ext>
          </c:extLst>
        </c:ser>
        <c:ser>
          <c:idx val="6"/>
          <c:order val="3"/>
          <c:tx>
            <c:v>Wind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BGSY_2big!$J$58:$P$58</c:f>
              <c:numCache>
                <c:formatCode>#,##0\ "€"</c:formatCode>
                <c:ptCount val="7"/>
                <c:pt idx="0">
                  <c:v>27100882.962882996</c:v>
                </c:pt>
                <c:pt idx="1">
                  <c:v>27443578.234804213</c:v>
                </c:pt>
                <c:pt idx="2">
                  <c:v>65634460.133458033</c:v>
                </c:pt>
                <c:pt idx="3">
                  <c:v>23498839.609588668</c:v>
                </c:pt>
                <c:pt idx="4">
                  <c:v>38925746.532303393</c:v>
                </c:pt>
                <c:pt idx="5">
                  <c:v>37991359.51187253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06-4A43-B2C4-2B15B1B17C42}"/>
            </c:ext>
          </c:extLst>
        </c:ser>
        <c:ser>
          <c:idx val="2"/>
          <c:order val="4"/>
          <c:tx>
            <c:v>BESS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BGSY_2big!$J$59:$P$59</c:f>
              <c:numCache>
                <c:formatCode>#,##0\ "€"</c:formatCode>
                <c:ptCount val="7"/>
                <c:pt idx="0">
                  <c:v>23485731.203218672</c:v>
                </c:pt>
                <c:pt idx="1">
                  <c:v>14790065.133040087</c:v>
                </c:pt>
                <c:pt idx="2">
                  <c:v>7750000</c:v>
                </c:pt>
                <c:pt idx="3">
                  <c:v>7750000</c:v>
                </c:pt>
                <c:pt idx="4">
                  <c:v>18012335.564563323</c:v>
                </c:pt>
                <c:pt idx="5">
                  <c:v>8409588.3015491385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06-4A43-B2C4-2B15B1B17C42}"/>
            </c:ext>
          </c:extLst>
        </c:ser>
        <c:ser>
          <c:idx val="3"/>
          <c:order val="5"/>
          <c:tx>
            <c:v>Biogas storage </c:v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BGSY_2big!$J$60:$P$60</c:f>
              <c:numCache>
                <c:formatCode>#,##0\ "€"</c:formatCode>
                <c:ptCount val="7"/>
                <c:pt idx="0">
                  <c:v>66224.03655627415</c:v>
                </c:pt>
                <c:pt idx="1">
                  <c:v>816557.94103333692</c:v>
                </c:pt>
                <c:pt idx="2">
                  <c:v>0</c:v>
                </c:pt>
                <c:pt idx="3">
                  <c:v>828141.98320265359</c:v>
                </c:pt>
                <c:pt idx="4">
                  <c:v>0</c:v>
                </c:pt>
                <c:pt idx="5">
                  <c:v>1005351.1526950059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06-4A43-B2C4-2B15B1B17C42}"/>
            </c:ext>
          </c:extLst>
        </c:ser>
        <c:ser>
          <c:idx val="4"/>
          <c:order val="6"/>
          <c:tx>
            <c:v>Syngas storage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BGSY_2big!$J$61:$P$61</c:f>
              <c:numCache>
                <c:formatCode>#,##0\ "€"</c:formatCode>
                <c:ptCount val="7"/>
                <c:pt idx="0">
                  <c:v>0</c:v>
                </c:pt>
                <c:pt idx="1">
                  <c:v>845417.59214001219</c:v>
                </c:pt>
                <c:pt idx="2">
                  <c:v>0</c:v>
                </c:pt>
                <c:pt idx="3">
                  <c:v>603736.65098290902</c:v>
                </c:pt>
                <c:pt idx="4">
                  <c:v>0</c:v>
                </c:pt>
                <c:pt idx="5">
                  <c:v>1106142.8257517524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06-4A43-B2C4-2B15B1B17C42}"/>
            </c:ext>
          </c:extLst>
        </c:ser>
        <c:ser>
          <c:idx val="7"/>
          <c:order val="7"/>
          <c:tx>
            <c:v>H2 storage</c:v>
          </c:tx>
          <c:spPr>
            <a:solidFill>
              <a:srgbClr val="00B050"/>
            </a:solidFill>
            <a:ln w="3175">
              <a:solidFill>
                <a:schemeClr val="tx1"/>
              </a:solidFill>
            </a:ln>
            <a:effectLst/>
          </c:spPr>
          <c:invertIfNegative val="0"/>
          <c:val>
            <c:numRef>
              <c:f>BGSY_2big!$J$62:$P$62</c:f>
              <c:numCache>
                <c:formatCode>#,##0\ "€"</c:formatCode>
                <c:ptCount val="7"/>
                <c:pt idx="0">
                  <c:v>0</c:v>
                </c:pt>
                <c:pt idx="1">
                  <c:v>153129.61182210257</c:v>
                </c:pt>
                <c:pt idx="2">
                  <c:v>0</c:v>
                </c:pt>
                <c:pt idx="3">
                  <c:v>160703.95312320601</c:v>
                </c:pt>
                <c:pt idx="4">
                  <c:v>0</c:v>
                </c:pt>
                <c:pt idx="5">
                  <c:v>186524.29273123061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06-4A43-B2C4-2B15B1B17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3475343"/>
        <c:axId val="743475759"/>
      </c:barChart>
      <c:catAx>
        <c:axId val="743475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 b="0" i="0" baseline="0">
                    <a:solidFill>
                      <a:schemeClr val="tx1"/>
                    </a:solidFill>
                    <a:effectLst/>
                  </a:rPr>
                  <a:t>Renewable Energy Share [%]</a:t>
                </a:r>
                <a:endParaRPr lang="it-IT" sz="140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4392959023910744"/>
              <c:y val="0.951120947766429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759"/>
        <c:crosses val="autoZero"/>
        <c:auto val="1"/>
        <c:lblAlgn val="ctr"/>
        <c:lblOffset val="100"/>
        <c:noMultiLvlLbl val="0"/>
      </c:catAx>
      <c:valAx>
        <c:axId val="743475759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CAPEX [€]</a:t>
                </a:r>
              </a:p>
            </c:rich>
          </c:tx>
          <c:layout>
            <c:manualLayout>
              <c:xMode val="edge"/>
              <c:yMode val="edge"/>
              <c:x val="8.3097299844445531E-5"/>
              <c:y val="0.33381069065484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47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082785495253778"/>
          <c:y val="3.3471683773079713E-2"/>
          <c:w val="0.82837567844516224"/>
          <c:h val="9.921664949582816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69499413505792E-2"/>
          <c:y val="8.763512430355485E-3"/>
          <c:w val="0.9000964638652702"/>
          <c:h val="0.91391585130260522"/>
        </c:manualLayout>
      </c:layout>
      <c:barChart>
        <c:barDir val="col"/>
        <c:grouping val="stacked"/>
        <c:varyColors val="0"/>
        <c:ser>
          <c:idx val="1"/>
          <c:order val="0"/>
          <c:tx>
            <c:v>PV CAPEX</c:v>
          </c:tx>
          <c:spPr>
            <a:solidFill>
              <a:schemeClr val="accent4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BGSY_2big!$J$31:$P$31</c:f>
              <c:numCache>
                <c:formatCode>0.000</c:formatCode>
                <c:ptCount val="7"/>
                <c:pt idx="0">
                  <c:v>0.41723285794243792</c:v>
                </c:pt>
                <c:pt idx="1">
                  <c:v>0.34439688908706206</c:v>
                </c:pt>
                <c:pt idx="2">
                  <c:v>0.22935281779174499</c:v>
                </c:pt>
                <c:pt idx="3">
                  <c:v>0.25138423339513299</c:v>
                </c:pt>
                <c:pt idx="4">
                  <c:v>0.3479250521672419</c:v>
                </c:pt>
                <c:pt idx="5">
                  <c:v>0.25828701966409662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5-4C2A-927B-FC13F2627509}"/>
            </c:ext>
          </c:extLst>
        </c:ser>
        <c:ser>
          <c:idx val="7"/>
          <c:order val="1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BGSY_2big!$J$32:$P$32</c:f>
              <c:numCache>
                <c:formatCode>0.000</c:formatCode>
                <c:ptCount val="7"/>
                <c:pt idx="0">
                  <c:v>0.49970019811130095</c:v>
                </c:pt>
                <c:pt idx="1">
                  <c:v>0.50601899206008594</c:v>
                </c:pt>
                <c:pt idx="2">
                  <c:v>1.2102023678173535</c:v>
                </c:pt>
                <c:pt idx="3">
                  <c:v>0.43328384630053657</c:v>
                </c:pt>
                <c:pt idx="4">
                  <c:v>0.71773319269570901</c:v>
                </c:pt>
                <c:pt idx="5">
                  <c:v>0.70050447804978921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65-4C2A-927B-FC13F2627509}"/>
            </c:ext>
          </c:extLst>
        </c:ser>
        <c:ser>
          <c:idx val="2"/>
          <c:order val="2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BGSY_2big!$J$33:$P$33</c:f>
              <c:numCache>
                <c:formatCode>0.000</c:formatCode>
                <c:ptCount val="7"/>
                <c:pt idx="0">
                  <c:v>0.43304214667508656</c:v>
                </c:pt>
                <c:pt idx="1">
                  <c:v>0.27270692571833127</c:v>
                </c:pt>
                <c:pt idx="2">
                  <c:v>0.1428985373158175</c:v>
                </c:pt>
                <c:pt idx="3">
                  <c:v>0.14289853731581503</c:v>
                </c:pt>
                <c:pt idx="4">
                  <c:v>0.33212082655709302</c:v>
                </c:pt>
                <c:pt idx="5">
                  <c:v>0.15506037002833062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65-4C2A-927B-FC13F2627509}"/>
            </c:ext>
          </c:extLst>
        </c:ser>
        <c:ser>
          <c:idx val="3"/>
          <c:order val="3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BGSY_2big!$J$34:$P$34</c:f>
              <c:numCache>
                <c:formatCode>0.000</c:formatCode>
                <c:ptCount val="7"/>
                <c:pt idx="0">
                  <c:v>1.2210732850373475E-3</c:v>
                </c:pt>
                <c:pt idx="1">
                  <c:v>3.3467854231517533E-2</c:v>
                </c:pt>
                <c:pt idx="2">
                  <c:v>0</c:v>
                </c:pt>
                <c:pt idx="3">
                  <c:v>2.9364867391104426E-2</c:v>
                </c:pt>
                <c:pt idx="4">
                  <c:v>0</c:v>
                </c:pt>
                <c:pt idx="5">
                  <c:v>4.2372058022755218E-2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65-4C2A-927B-FC13F2627509}"/>
            </c:ext>
          </c:extLst>
        </c:ser>
        <c:ser>
          <c:idx val="0"/>
          <c:order val="4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BGSY_2big!$J$36:$P$36</c:f>
              <c:numCache>
                <c:formatCode>0.000</c:formatCode>
                <c:ptCount val="7"/>
                <c:pt idx="0">
                  <c:v>0.33468708993881424</c:v>
                </c:pt>
                <c:pt idx="1">
                  <c:v>0.3992204118327507</c:v>
                </c:pt>
                <c:pt idx="2">
                  <c:v>0.33468705636356433</c:v>
                </c:pt>
                <c:pt idx="3">
                  <c:v>0.41289813006133441</c:v>
                </c:pt>
                <c:pt idx="4">
                  <c:v>0.33468708894212168</c:v>
                </c:pt>
                <c:pt idx="5">
                  <c:v>0.38959523290699294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65-4C2A-927B-FC13F2627509}"/>
            </c:ext>
          </c:extLst>
        </c:ser>
        <c:ser>
          <c:idx val="5"/>
          <c:order val="5"/>
          <c:tx>
            <c:v>PV fOPEX</c:v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BGSY_2big!$J$37:$P$37</c:f>
              <c:numCache>
                <c:formatCode>0.000</c:formatCode>
                <c:ptCount val="7"/>
                <c:pt idx="0">
                  <c:v>8.1810364302438807E-2</c:v>
                </c:pt>
                <c:pt idx="1">
                  <c:v>6.7528801781776879E-2</c:v>
                </c:pt>
                <c:pt idx="2">
                  <c:v>4.497114074347941E-2</c:v>
                </c:pt>
                <c:pt idx="3">
                  <c:v>4.9291026155908427E-2</c:v>
                </c:pt>
                <c:pt idx="4">
                  <c:v>6.8220598464165061E-2</c:v>
                </c:pt>
                <c:pt idx="5">
                  <c:v>5.0644513659626779E-2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165-4C2A-927B-FC13F2627509}"/>
            </c:ext>
          </c:extLst>
        </c:ser>
        <c:ser>
          <c:idx val="13"/>
          <c:order val="6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6350">
              <a:solidFill>
                <a:schemeClr val="tx1"/>
              </a:solidFill>
            </a:ln>
          </c:spPr>
          <c:invertIfNegative val="0"/>
          <c:val>
            <c:numRef>
              <c:f>BGSY_2big!$J$38:$P$38</c:f>
              <c:numCache>
                <c:formatCode>0.000</c:formatCode>
                <c:ptCount val="7"/>
                <c:pt idx="0">
                  <c:v>9.9940039622260182E-2</c:v>
                </c:pt>
                <c:pt idx="1">
                  <c:v>0.10120379841201717</c:v>
                </c:pt>
                <c:pt idx="2">
                  <c:v>0.24204047356347066</c:v>
                </c:pt>
                <c:pt idx="3">
                  <c:v>8.6656769260107319E-2</c:v>
                </c:pt>
                <c:pt idx="4">
                  <c:v>0.23445755580096664</c:v>
                </c:pt>
                <c:pt idx="5">
                  <c:v>0.22882955591663187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65-4C2A-927B-FC13F2627509}"/>
            </c:ext>
          </c:extLst>
        </c:ser>
        <c:ser>
          <c:idx val="14"/>
          <c:order val="7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BGSY_2big!$J$39:$P$39</c:f>
              <c:numCache>
                <c:formatCode>0.000</c:formatCode>
                <c:ptCount val="7"/>
                <c:pt idx="0">
                  <c:v>8.7306884410299712E-2</c:v>
                </c:pt>
                <c:pt idx="1">
                  <c:v>5.4981235023857114E-2</c:v>
                </c:pt>
                <c:pt idx="2">
                  <c:v>2.8810188974963204E-2</c:v>
                </c:pt>
                <c:pt idx="3">
                  <c:v>2.8810188974962705E-2</c:v>
                </c:pt>
                <c:pt idx="4">
                  <c:v>6.6959844063930046E-2</c:v>
                </c:pt>
                <c:pt idx="5">
                  <c:v>3.1262171376679561E-2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165-4C2A-927B-FC13F2627509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BGSY_2big!$J$40:$P$40</c:f>
              <c:numCache>
                <c:formatCode>0.000</c:formatCode>
                <c:ptCount val="7"/>
                <c:pt idx="0">
                  <c:v>0.13436326528954062</c:v>
                </c:pt>
                <c:pt idx="1">
                  <c:v>0.17194591300381737</c:v>
                </c:pt>
                <c:pt idx="2">
                  <c:v>0.13387482254542571</c:v>
                </c:pt>
                <c:pt idx="3">
                  <c:v>0.17571994169879873</c:v>
                </c:pt>
                <c:pt idx="4">
                  <c:v>0.13387483557684865</c:v>
                </c:pt>
                <c:pt idx="5">
                  <c:v>0.17141122354066521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65-4C2A-927B-FC13F2627509}"/>
            </c:ext>
          </c:extLst>
        </c:ser>
        <c:ser>
          <c:idx val="15"/>
          <c:order val="9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val>
            <c:numRef>
              <c:f>BGSY_2big!$J$42:$P$42</c:f>
              <c:numCache>
                <c:formatCode>0.000</c:formatCode>
                <c:ptCount val="7"/>
                <c:pt idx="0">
                  <c:v>0.25104227743979513</c:v>
                </c:pt>
                <c:pt idx="1">
                  <c:v>0.17291962021037638</c:v>
                </c:pt>
                <c:pt idx="2">
                  <c:v>6.6992502838029586E-2</c:v>
                </c:pt>
                <c:pt idx="3">
                  <c:v>8.9627134209090825E-2</c:v>
                </c:pt>
                <c:pt idx="4">
                  <c:v>0.10117687230832642</c:v>
                </c:pt>
                <c:pt idx="5">
                  <c:v>4.2674517372342395E-2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165-4C2A-927B-FC13F2627509}"/>
            </c:ext>
          </c:extLst>
        </c:ser>
        <c:ser>
          <c:idx val="11"/>
          <c:order val="10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BGSY_2big!$J$44:$P$44</c:f>
              <c:numCache>
                <c:formatCode>0.000</c:formatCode>
                <c:ptCount val="7"/>
                <c:pt idx="0">
                  <c:v>8.478644235216426E-2</c:v>
                </c:pt>
                <c:pt idx="1">
                  <c:v>0.10685960801436953</c:v>
                </c:pt>
                <c:pt idx="2">
                  <c:v>8.4786431781368576E-2</c:v>
                </c:pt>
                <c:pt idx="3">
                  <c:v>0.10961118325747009</c:v>
                </c:pt>
                <c:pt idx="4">
                  <c:v>8.4786439488343579E-2</c:v>
                </c:pt>
                <c:pt idx="5">
                  <c:v>0.10306582748229161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65-4C2A-927B-FC13F2627509}"/>
            </c:ext>
          </c:extLst>
        </c:ser>
        <c:ser>
          <c:idx val="6"/>
          <c:order val="11"/>
          <c:tx>
            <c:v>Biogas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BGSY_2big!$J$45:$P$45</c:f>
              <c:numCache>
                <c:formatCode>0.000</c:formatCode>
                <c:ptCount val="7"/>
                <c:pt idx="0">
                  <c:v>1.0966892112860502</c:v>
                </c:pt>
                <c:pt idx="1">
                  <c:v>1.0966892112861908</c:v>
                </c:pt>
                <c:pt idx="2">
                  <c:v>1.0966892112862079</c:v>
                </c:pt>
                <c:pt idx="3">
                  <c:v>1.0966892112861888</c:v>
                </c:pt>
                <c:pt idx="4">
                  <c:v>1.0966892112860767</c:v>
                </c:pt>
                <c:pt idx="5">
                  <c:v>1.0966892112861899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165-4C2A-927B-FC13F2627509}"/>
            </c:ext>
          </c:extLst>
        </c:ser>
        <c:ser>
          <c:idx val="8"/>
          <c:order val="12"/>
          <c:tx>
            <c:v>EE from grid</c:v>
          </c:tx>
          <c:spPr>
            <a:solidFill>
              <a:schemeClr val="bg2">
                <a:lumMod val="9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BGSY_2big!$J$46:$P$46</c:f>
              <c:numCache>
                <c:formatCode>0.000</c:formatCode>
                <c:ptCount val="7"/>
                <c:pt idx="0">
                  <c:v>8.8796589060791589E-2</c:v>
                </c:pt>
                <c:pt idx="1">
                  <c:v>8.9053348892003892E-2</c:v>
                </c:pt>
                <c:pt idx="2">
                  <c:v>9.0484551667607244E-2</c:v>
                </c:pt>
                <c:pt idx="3">
                  <c:v>9.1108253242521448E-2</c:v>
                </c:pt>
                <c:pt idx="4">
                  <c:v>8.9229825965176396E-2</c:v>
                </c:pt>
                <c:pt idx="5">
                  <c:v>8.9135698952132858E-2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165-4C2A-927B-FC13F2627509}"/>
            </c:ext>
          </c:extLst>
        </c:ser>
        <c:ser>
          <c:idx val="9"/>
          <c:order val="13"/>
          <c:tx>
            <c:v>EE to grid (30 €/MWh)</c:v>
          </c:tx>
          <c:spPr>
            <a:solidFill>
              <a:schemeClr val="accent6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BGSY_2big!$J$48:$P$48</c:f>
              <c:numCache>
                <c:formatCode>0.000</c:formatCode>
                <c:ptCount val="7"/>
                <c:pt idx="0">
                  <c:v>-0.28024239578473548</c:v>
                </c:pt>
                <c:pt idx="1">
                  <c:v>-0.18074339240692819</c:v>
                </c:pt>
                <c:pt idx="2">
                  <c:v>-0.72845182978990775</c:v>
                </c:pt>
                <c:pt idx="3">
                  <c:v>-0.2068190750618169</c:v>
                </c:pt>
                <c:pt idx="4">
                  <c:v>-0.20670139818941127</c:v>
                </c:pt>
                <c:pt idx="5">
                  <c:v>-0.12299621040350005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3165-4C2A-927B-FC13F2627509}"/>
            </c:ext>
          </c:extLst>
        </c:ser>
        <c:ser>
          <c:idx val="10"/>
          <c:order val="14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BGSY_2big!$J$5:$P$5</c:f>
              <c:numCache>
                <c:formatCode>0%</c:formatCode>
                <c:ptCount val="7"/>
                <c:pt idx="0">
                  <c:v>0.94999999999984763</c:v>
                </c:pt>
                <c:pt idx="1">
                  <c:v>0.95000000000002349</c:v>
                </c:pt>
                <c:pt idx="2">
                  <c:v>0.95000000000023443</c:v>
                </c:pt>
                <c:pt idx="3">
                  <c:v>0.94999999999994833</c:v>
                </c:pt>
                <c:pt idx="4">
                  <c:v>0.94999999999983054</c:v>
                </c:pt>
                <c:pt idx="5">
                  <c:v>0.9499999999999954</c:v>
                </c:pt>
              </c:numCache>
            </c:numRef>
          </c:cat>
          <c:val>
            <c:numRef>
              <c:f>BGSY_2big!$J$47:$P$47</c:f>
              <c:numCache>
                <c:formatCode>0.000</c:formatCode>
                <c:ptCount val="7"/>
                <c:pt idx="0">
                  <c:v>-0.47122626486089936</c:v>
                </c:pt>
                <c:pt idx="1">
                  <c:v>-0.47122626486095792</c:v>
                </c:pt>
                <c:pt idx="2">
                  <c:v>-0.47122626486103336</c:v>
                </c:pt>
                <c:pt idx="3">
                  <c:v>-0.47122626486098323</c:v>
                </c:pt>
                <c:pt idx="4">
                  <c:v>-0.47122626486088753</c:v>
                </c:pt>
                <c:pt idx="5">
                  <c:v>-0.47122626486099523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165-4C2A-927B-FC13F2627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</c:barChart>
      <c:lineChart>
        <c:grouping val="standard"/>
        <c:varyColors val="0"/>
        <c:ser>
          <c:idx val="12"/>
          <c:order val="15"/>
          <c:tx>
            <c:v>H2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bg1"/>
              </a:solidFill>
              <a:ln w="3175">
                <a:solidFill>
                  <a:srgbClr val="0070C0"/>
                </a:solidFill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BGSY_2big!$J$50:$P$50</c:f>
              <c:numCache>
                <c:formatCode>0.000</c:formatCode>
                <c:ptCount val="7"/>
                <c:pt idx="0">
                  <c:v>3.1393921748551188</c:v>
                </c:pt>
                <c:pt idx="1">
                  <c:v>2.9468957381150891</c:v>
                </c:pt>
                <c:pt idx="2">
                  <c:v>3.2345638378279982</c:v>
                </c:pt>
                <c:pt idx="3">
                  <c:v>2.5273023149701657</c:v>
                </c:pt>
                <c:pt idx="4">
                  <c:v>3.1366350784551114</c:v>
                </c:pt>
                <c:pt idx="5">
                  <c:v>2.8896813062287627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65-4C2A-927B-FC13F2627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Renewable Energy Share </a:t>
                </a:r>
                <a:r>
                  <a:rPr lang="it-IT" sz="1400" baseline="0">
                    <a:solidFill>
                      <a:schemeClr val="tx1"/>
                    </a:solidFill>
                  </a:rPr>
                  <a:t>[%]</a:t>
                </a:r>
                <a:endParaRPr lang="it-IT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626465049761919"/>
              <c:y val="0.967664301171511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ax val="5"/>
          <c:min val="-1.5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1.1196949622273411E-2"/>
              <c:y val="0.1781434564944612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051108565246721E-2"/>
          <c:y val="1.1421952852231368E-2"/>
          <c:w val="0.89661726440946099"/>
          <c:h val="0.15095834131537803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 sz="14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34680265152154E-2"/>
          <c:y val="1.5652142558377685E-2"/>
          <c:w val="0.84790311469106761"/>
          <c:h val="0.84621543706318414"/>
        </c:manualLayout>
      </c:layout>
      <c:barChart>
        <c:barDir val="col"/>
        <c:grouping val="stacked"/>
        <c:varyColors val="0"/>
        <c:ser>
          <c:idx val="6"/>
          <c:order val="1"/>
          <c:tx>
            <c:v>Biogas</c:v>
          </c:tx>
          <c:spPr>
            <a:solidFill>
              <a:schemeClr val="accent2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(comparison_all_small!$J$46:$K$46,comparison_all_small!$L$46:$M$46,comparison_all_small!$N$46:$O$46,comparison_all_small!$P$46:$Q$46,comparison_all_small!$R$46:$S$46,comparison_all_small!$T$46:$U$46)</c:f>
              <c:numCache>
                <c:formatCode>0.00</c:formatCode>
                <c:ptCount val="12"/>
                <c:pt idx="0">
                  <c:v>1.9027730795183002</c:v>
                </c:pt>
                <c:pt idx="1">
                  <c:v>1.9027730795183668</c:v>
                </c:pt>
                <c:pt idx="2">
                  <c:v>1.9027730795184319</c:v>
                </c:pt>
                <c:pt idx="3">
                  <c:v>1.9027730795183657</c:v>
                </c:pt>
                <c:pt idx="4">
                  <c:v>1.9027730795181921</c:v>
                </c:pt>
                <c:pt idx="5">
                  <c:v>1.9027730795183599</c:v>
                </c:pt>
                <c:pt idx="6">
                  <c:v>1.9027730795181843</c:v>
                </c:pt>
                <c:pt idx="7">
                  <c:v>1.9027730795183755</c:v>
                </c:pt>
                <c:pt idx="8">
                  <c:v>1.9027730795187165</c:v>
                </c:pt>
                <c:pt idx="9">
                  <c:v>1.9027730795183677</c:v>
                </c:pt>
                <c:pt idx="10">
                  <c:v>1.9027730795184359</c:v>
                </c:pt>
                <c:pt idx="11">
                  <c:v>1.9027730795183784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0EE3-4DD4-8ED0-D2E673A605E7}"/>
            </c:ext>
          </c:extLst>
        </c:ser>
        <c:ser>
          <c:idx val="10"/>
          <c:order val="2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(comparison_all_small!$J$48:$K$48,comparison_all_small!$L$48:$M$48,comparison_all_small!$N$48:$O$48,comparison_all_small!$P$48:$Q$48,comparison_all_small!$R$48:$S$48,comparison_all_small!$T$48:$U$48)</c:f>
              <c:numCache>
                <c:formatCode>0.00</c:formatCode>
                <c:ptCount val="12"/>
                <c:pt idx="0">
                  <c:v>-0.47122626486099783</c:v>
                </c:pt>
                <c:pt idx="1">
                  <c:v>-0.47122626486095842</c:v>
                </c:pt>
                <c:pt idx="2">
                  <c:v>-0.47122626486107472</c:v>
                </c:pt>
                <c:pt idx="3">
                  <c:v>-0.47122626486097496</c:v>
                </c:pt>
                <c:pt idx="4">
                  <c:v>-0.47122626486100555</c:v>
                </c:pt>
                <c:pt idx="5">
                  <c:v>-0.47122626486104713</c:v>
                </c:pt>
                <c:pt idx="6">
                  <c:v>-0.47122626486093483</c:v>
                </c:pt>
                <c:pt idx="7">
                  <c:v>-0.47122626486095531</c:v>
                </c:pt>
                <c:pt idx="8">
                  <c:v>-0.47122626486105129</c:v>
                </c:pt>
                <c:pt idx="9">
                  <c:v>-0.47122626486095925</c:v>
                </c:pt>
                <c:pt idx="10">
                  <c:v>-0.47122626486094693</c:v>
                </c:pt>
                <c:pt idx="11">
                  <c:v>-0.47122626486093294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1-0EE3-4DD4-8ED0-D2E673A605E7}"/>
            </c:ext>
          </c:extLst>
        </c:ser>
        <c:ser>
          <c:idx val="0"/>
          <c:order val="3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(comparison_all_small!$J$37:$K$37,comparison_all_small!$L$37:$M$37,comparison_all_small!$N$37:$O$37,comparison_all_small!$P$37:$Q$37,comparison_all_small!$R$37:$S$37,comparison_all_small!$T$37:$U$37)</c:f>
              <c:numCache>
                <c:formatCode>0.00</c:formatCode>
                <c:ptCount val="12"/>
                <c:pt idx="0">
                  <c:v>0.64259042395864097</c:v>
                </c:pt>
                <c:pt idx="1">
                  <c:v>0.82861261530632024</c:v>
                </c:pt>
                <c:pt idx="2">
                  <c:v>0.64258601204418686</c:v>
                </c:pt>
                <c:pt idx="3">
                  <c:v>0.75606363247904607</c:v>
                </c:pt>
                <c:pt idx="4">
                  <c:v>0.64258540339218639</c:v>
                </c:pt>
                <c:pt idx="5">
                  <c:v>0.70170611423063034</c:v>
                </c:pt>
                <c:pt idx="6">
                  <c:v>0.64258536738640193</c:v>
                </c:pt>
                <c:pt idx="7">
                  <c:v>0.71052229543683221</c:v>
                </c:pt>
                <c:pt idx="8">
                  <c:v>0.64258579014436612</c:v>
                </c:pt>
                <c:pt idx="9">
                  <c:v>0.70190481336029742</c:v>
                </c:pt>
                <c:pt idx="10">
                  <c:v>0.64258542498226079</c:v>
                </c:pt>
                <c:pt idx="11">
                  <c:v>0.6964614041711793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2-0EE3-4DD4-8ED0-D2E673A605E7}"/>
            </c:ext>
          </c:extLst>
        </c:ser>
        <c:ser>
          <c:idx val="3"/>
          <c:order val="4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(comparison_all_small!$J$35:$K$35,comparison_all_small!$L$35:$M$35,comparison_all_small!$N$35:$O$35,comparison_all_small!$P$35:$Q$35,comparison_all_small!$R$35:$S$35,comparison_all_small!$T$35:$U$35)</c:f>
              <c:numCache>
                <c:formatCode>0.00</c:formatCode>
                <c:ptCount val="12"/>
                <c:pt idx="0">
                  <c:v>0</c:v>
                </c:pt>
                <c:pt idx="1">
                  <c:v>0.10391346787661164</c:v>
                </c:pt>
                <c:pt idx="2">
                  <c:v>0</c:v>
                </c:pt>
                <c:pt idx="3">
                  <c:v>0.11224816141579569</c:v>
                </c:pt>
                <c:pt idx="4">
                  <c:v>0</c:v>
                </c:pt>
                <c:pt idx="5">
                  <c:v>0.11385053019929012</c:v>
                </c:pt>
                <c:pt idx="6">
                  <c:v>0</c:v>
                </c:pt>
                <c:pt idx="7">
                  <c:v>6.273051398852568E-2</c:v>
                </c:pt>
                <c:pt idx="8">
                  <c:v>0</c:v>
                </c:pt>
                <c:pt idx="9">
                  <c:v>4.8006709384207182E-2</c:v>
                </c:pt>
                <c:pt idx="10">
                  <c:v>0</c:v>
                </c:pt>
                <c:pt idx="11">
                  <c:v>7.5548564160394807E-2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3-0EE3-4DD4-8ED0-D2E673A605E7}"/>
            </c:ext>
          </c:extLst>
        </c:ser>
        <c:ser>
          <c:idx val="1"/>
          <c:order val="5"/>
          <c:tx>
            <c:v>PV CAPEX</c:v>
          </c:tx>
          <c:spPr>
            <a:solidFill>
              <a:schemeClr val="accent4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(comparison_all_small!$J$32:$K$32,comparison_all_small!$L$32:$M$32,comparison_all_small!$N$32:$O$32,comparison_all_small!$P$32:$Q$32,comparison_all_small!$R$32:$S$32,comparison_all_small!$T$32:$U$32)</c:f>
              <c:numCache>
                <c:formatCode>0.00</c:formatCode>
                <c:ptCount val="12"/>
                <c:pt idx="0">
                  <c:v>0.7713203423243955</c:v>
                </c:pt>
                <c:pt idx="1">
                  <c:v>0.63468610370065326</c:v>
                </c:pt>
                <c:pt idx="2">
                  <c:v>0.57024501820299933</c:v>
                </c:pt>
                <c:pt idx="3">
                  <c:v>0.49298551033914501</c:v>
                </c:pt>
                <c:pt idx="4">
                  <c:v>0.59263595970055882</c:v>
                </c:pt>
                <c:pt idx="5">
                  <c:v>0.33081834831612422</c:v>
                </c:pt>
                <c:pt idx="6">
                  <c:v>0.41723291742169816</c:v>
                </c:pt>
                <c:pt idx="7">
                  <c:v>0.34415246982085862</c:v>
                </c:pt>
                <c:pt idx="8">
                  <c:v>0.27775260685060937</c:v>
                </c:pt>
                <c:pt idx="9">
                  <c:v>0.26559972922430419</c:v>
                </c:pt>
                <c:pt idx="10">
                  <c:v>0.36705860273234681</c:v>
                </c:pt>
                <c:pt idx="11">
                  <c:v>0.27052535694205032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4-0EE3-4DD4-8ED0-D2E673A605E7}"/>
            </c:ext>
          </c:extLst>
        </c:ser>
        <c:ser>
          <c:idx val="7"/>
          <c:order val="6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(comparison_all_small!$J$33:$K$33,comparison_all_small!$L$33:$M$33,comparison_all_small!$N$33:$O$33,comparison_all_small!$P$33:$Q$33,comparison_all_small!$R$33:$S$33,comparison_all_small!$T$33:$U$33)</c:f>
              <c:numCache>
                <c:formatCode>0.00</c:formatCode>
                <c:ptCount val="12"/>
                <c:pt idx="0">
                  <c:v>1.3843157017385634</c:v>
                </c:pt>
                <c:pt idx="1">
                  <c:v>1.2991638182110599</c:v>
                </c:pt>
                <c:pt idx="2">
                  <c:v>0.89413643489439443</c:v>
                </c:pt>
                <c:pt idx="3">
                  <c:v>0.8739864187941625</c:v>
                </c:pt>
                <c:pt idx="4">
                  <c:v>1.3521884030646683</c:v>
                </c:pt>
                <c:pt idx="5">
                  <c:v>1.2231344491234106</c:v>
                </c:pt>
                <c:pt idx="6">
                  <c:v>0.49970034645976025</c:v>
                </c:pt>
                <c:pt idx="7">
                  <c:v>0.48577958859900927</c:v>
                </c:pt>
                <c:pt idx="8">
                  <c:v>0.2794078993723792</c:v>
                </c:pt>
                <c:pt idx="9">
                  <c:v>0.32166818276072151</c:v>
                </c:pt>
                <c:pt idx="10">
                  <c:v>0.69794659901103251</c:v>
                </c:pt>
                <c:pt idx="11">
                  <c:v>0.68802745536849563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5-0EE3-4DD4-8ED0-D2E673A605E7}"/>
            </c:ext>
          </c:extLst>
        </c:ser>
        <c:ser>
          <c:idx val="2"/>
          <c:order val="7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(comparison_all_small!$J$34:$K$34,comparison_all_small!$L$34:$M$34,comparison_all_small!$N$34:$O$34,comparison_all_small!$P$34:$Q$34,comparison_all_small!$R$34:$S$34,comparison_all_small!$T$34:$U$34)</c:f>
              <c:numCache>
                <c:formatCode>0.00</c:formatCode>
                <c:ptCount val="12"/>
                <c:pt idx="0">
                  <c:v>1.0364093997164174</c:v>
                </c:pt>
                <c:pt idx="1">
                  <c:v>0.46808516139184447</c:v>
                </c:pt>
                <c:pt idx="2">
                  <c:v>0.86605702502827919</c:v>
                </c:pt>
                <c:pt idx="3">
                  <c:v>0.38137965339931834</c:v>
                </c:pt>
                <c:pt idx="4">
                  <c:v>0.62050545536488777</c:v>
                </c:pt>
                <c:pt idx="5">
                  <c:v>9.9417559437260591E-2</c:v>
                </c:pt>
                <c:pt idx="6">
                  <c:v>0.43304220833032248</c:v>
                </c:pt>
                <c:pt idx="7">
                  <c:v>0.30517645971371982</c:v>
                </c:pt>
                <c:pt idx="8">
                  <c:v>0.34912381207674203</c:v>
                </c:pt>
                <c:pt idx="9">
                  <c:v>0.22400548364935011</c:v>
                </c:pt>
                <c:pt idx="10">
                  <c:v>0.33268861420572976</c:v>
                </c:pt>
                <c:pt idx="11">
                  <c:v>0.1691350496652132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6-0EE3-4DD4-8ED0-D2E673A605E7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(comparison_all_small!$J$41:$K$41,comparison_all_small!$L$41:$M$41,comparison_all_small!$N$41:$O$41,comparison_all_small!$P$41:$Q$41,comparison_all_small!$R$41:$S$41,comparison_all_small!$T$41:$U$41)</c:f>
              <c:numCache>
                <c:formatCode>0.00</c:formatCode>
                <c:ptCount val="12"/>
                <c:pt idx="0">
                  <c:v>0.25703616958345638</c:v>
                </c:pt>
                <c:pt idx="1">
                  <c:v>0.36297963216242451</c:v>
                </c:pt>
                <c:pt idx="2">
                  <c:v>0.25703440481767476</c:v>
                </c:pt>
                <c:pt idx="3">
                  <c:v>0.33458733596727797</c:v>
                </c:pt>
                <c:pt idx="4">
                  <c:v>0.25703416135687451</c:v>
                </c:pt>
                <c:pt idx="5">
                  <c:v>0.32415913924413242</c:v>
                </c:pt>
                <c:pt idx="6">
                  <c:v>0.25703414695456078</c:v>
                </c:pt>
                <c:pt idx="7">
                  <c:v>0.30863802874668111</c:v>
                </c:pt>
                <c:pt idx="8">
                  <c:v>0.25703431605774646</c:v>
                </c:pt>
                <c:pt idx="9">
                  <c:v>0.29972170488378946</c:v>
                </c:pt>
                <c:pt idx="10">
                  <c:v>0.25703416999290435</c:v>
                </c:pt>
                <c:pt idx="11">
                  <c:v>0.30781967617580602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7-0EE3-4DD4-8ED0-D2E673A605E7}"/>
            </c:ext>
          </c:extLst>
        </c:ser>
        <c:ser>
          <c:idx val="5"/>
          <c:order val="9"/>
          <c:tx>
            <c:v>PV fOPEX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(comparison_all_small!$J$38:$K$38,comparison_all_small!$L$38:$M$38,comparison_all_small!$N$38:$O$38,comparison_all_small!$P$38:$Q$38,comparison_all_small!$R$38:$S$38,comparison_all_small!$T$38:$U$38)</c:f>
              <c:numCache>
                <c:formatCode>0.00</c:formatCode>
                <c:ptCount val="12"/>
                <c:pt idx="0">
                  <c:v>0.14462256418582414</c:v>
                </c:pt>
                <c:pt idx="1">
                  <c:v>0.11900364444387247</c:v>
                </c:pt>
                <c:pt idx="2">
                  <c:v>0.10692094091306235</c:v>
                </c:pt>
                <c:pt idx="3">
                  <c:v>9.2434783188589678E-2</c:v>
                </c:pt>
                <c:pt idx="4">
                  <c:v>7.7435012155996366E-2</c:v>
                </c:pt>
                <c:pt idx="5">
                  <c:v>4.3225393943744451E-2</c:v>
                </c:pt>
                <c:pt idx="6">
                  <c:v>8.1810375965038859E-2</c:v>
                </c:pt>
                <c:pt idx="7">
                  <c:v>6.7480876435462453E-2</c:v>
                </c:pt>
                <c:pt idx="8">
                  <c:v>5.4461295460903801E-2</c:v>
                </c:pt>
                <c:pt idx="9">
                  <c:v>5.2078378279275327E-2</c:v>
                </c:pt>
                <c:pt idx="10">
                  <c:v>7.1972275045558198E-2</c:v>
                </c:pt>
                <c:pt idx="11">
                  <c:v>5.3044187635696134E-2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8-0EE3-4DD4-8ED0-D2E673A605E7}"/>
            </c:ext>
          </c:extLst>
        </c:ser>
        <c:ser>
          <c:idx val="13"/>
          <c:order val="10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(comparison_all_small!$J$39:$K$39,comparison_all_small!$L$39:$M$39,comparison_all_small!$N$39:$O$39,comparison_all_small!$P$39:$Q$39,comparison_all_small!$R$39:$S$39,comparison_all_small!$T$39:$U$39)</c:f>
              <c:numCache>
                <c:formatCode>0.00</c:formatCode>
                <c:ptCount val="12"/>
                <c:pt idx="0">
                  <c:v>0.41529471052156913</c:v>
                </c:pt>
                <c:pt idx="1">
                  <c:v>0.38974914546331785</c:v>
                </c:pt>
                <c:pt idx="2">
                  <c:v>0.26824093046831837</c:v>
                </c:pt>
                <c:pt idx="3">
                  <c:v>0.26219592563824873</c:v>
                </c:pt>
                <c:pt idx="4">
                  <c:v>0.55766038672736418</c:v>
                </c:pt>
                <c:pt idx="5">
                  <c:v>0.50443682875240703</c:v>
                </c:pt>
                <c:pt idx="6">
                  <c:v>9.9940069291952038E-2</c:v>
                </c:pt>
                <c:pt idx="7">
                  <c:v>9.7155917719801824E-2</c:v>
                </c:pt>
                <c:pt idx="8">
                  <c:v>5.588157987447584E-2</c:v>
                </c:pt>
                <c:pt idx="9">
                  <c:v>6.4333636552144288E-2</c:v>
                </c:pt>
                <c:pt idx="10">
                  <c:v>0.28784241118870668</c:v>
                </c:pt>
                <c:pt idx="11">
                  <c:v>0.28375162512134772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9-0EE3-4DD4-8ED0-D2E673A605E7}"/>
            </c:ext>
          </c:extLst>
        </c:ser>
        <c:ser>
          <c:idx val="14"/>
          <c:order val="11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(comparison_all_small!$J$40:$K$40,comparison_all_small!$L$40:$M$40,comparison_all_small!$N$40:$O$40,comparison_all_small!$P$40:$Q$40,comparison_all_small!$R$40:$S$40,comparison_all_small!$T$40:$U$40)</c:f>
              <c:numCache>
                <c:formatCode>0.00</c:formatCode>
                <c:ptCount val="12"/>
                <c:pt idx="0">
                  <c:v>0.25910234992910436</c:v>
                </c:pt>
                <c:pt idx="1">
                  <c:v>0.1170212903479611</c:v>
                </c:pt>
                <c:pt idx="2">
                  <c:v>0.2165142562570698</c:v>
                </c:pt>
                <c:pt idx="3">
                  <c:v>9.5344913349829585E-2</c:v>
                </c:pt>
                <c:pt idx="4">
                  <c:v>0.15512636384122194</c:v>
                </c:pt>
                <c:pt idx="5">
                  <c:v>2.4854389859315148E-2</c:v>
                </c:pt>
                <c:pt idx="6">
                  <c:v>8.7306896840790821E-2</c:v>
                </c:pt>
                <c:pt idx="7">
                  <c:v>6.1527512039056403E-2</c:v>
                </c:pt>
                <c:pt idx="8">
                  <c:v>7.038786533805283E-2</c:v>
                </c:pt>
                <c:pt idx="9">
                  <c:v>4.5162395897046397E-2</c:v>
                </c:pt>
                <c:pt idx="10">
                  <c:v>6.7074317380187445E-2</c:v>
                </c:pt>
                <c:pt idx="11">
                  <c:v>3.409980840024459E-2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A-0EE3-4DD4-8ED0-D2E673A605E7}"/>
            </c:ext>
          </c:extLst>
        </c:ser>
        <c:ser>
          <c:idx val="11"/>
          <c:order val="12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(comparison_all_small!$J$45:$K$45,comparison_all_small!$L$45:$M$45,comparison_all_small!$N$45:$O$45,comparison_all_small!$P$45:$Q$45,comparison_all_small!$R$45:$S$45,comparison_all_small!$T$45:$U$45)</c:f>
              <c:numCache>
                <c:formatCode>0.00</c:formatCode>
                <c:ptCount val="12"/>
                <c:pt idx="0">
                  <c:v>8.4787488861776547E-2</c:v>
                </c:pt>
                <c:pt idx="1">
                  <c:v>0.11577891757226888</c:v>
                </c:pt>
                <c:pt idx="2">
                  <c:v>8.4786537489415545E-2</c:v>
                </c:pt>
                <c:pt idx="3">
                  <c:v>0.10777846421497228</c:v>
                </c:pt>
                <c:pt idx="4">
                  <c:v>8.4786436868742543E-2</c:v>
                </c:pt>
                <c:pt idx="5">
                  <c:v>0.10201941657998792</c:v>
                </c:pt>
                <c:pt idx="6">
                  <c:v>8.4786431781360944E-2</c:v>
                </c:pt>
                <c:pt idx="7">
                  <c:v>0.10294153307316345</c:v>
                </c:pt>
                <c:pt idx="8">
                  <c:v>8.4786537489430033E-2</c:v>
                </c:pt>
                <c:pt idx="9">
                  <c:v>0.10204019924545374</c:v>
                </c:pt>
                <c:pt idx="10">
                  <c:v>8.4786439353369603E-2</c:v>
                </c:pt>
                <c:pt idx="11">
                  <c:v>9.936871674023165E-2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B-0EE3-4DD4-8ED0-D2E673A605E7}"/>
            </c:ext>
          </c:extLst>
        </c:ser>
        <c:ser>
          <c:idx val="15"/>
          <c:order val="13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(comparison_all_small!$J$43:$K$43,comparison_all_small!$L$43:$M$43,comparison_all_small!$N$43:$O$43,comparison_all_small!$P$43:$Q$43,comparison_all_small!$R$43:$S$43,comparison_all_small!$T$43:$U$43)</c:f>
              <c:numCache>
                <c:formatCode>0.00</c:formatCode>
                <c:ptCount val="12"/>
                <c:pt idx="0">
                  <c:v>0.55299469863732897</c:v>
                </c:pt>
                <c:pt idx="1">
                  <c:v>0.24899307901812998</c:v>
                </c:pt>
                <c:pt idx="2">
                  <c:v>0.47321727795589641</c:v>
                </c:pt>
                <c:pt idx="3">
                  <c:v>0.20776668391368189</c:v>
                </c:pt>
                <c:pt idx="4">
                  <c:v>0.14386428380548008</c:v>
                </c:pt>
                <c:pt idx="5">
                  <c:v>2.335147084675215E-2</c:v>
                </c:pt>
                <c:pt idx="6">
                  <c:v>0.25104227346936042</c:v>
                </c:pt>
                <c:pt idx="7">
                  <c:v>0.19221940429865905</c:v>
                </c:pt>
                <c:pt idx="8">
                  <c:v>0.2421684773869702</c:v>
                </c:pt>
                <c:pt idx="9">
                  <c:v>0.15436614321418296</c:v>
                </c:pt>
                <c:pt idx="10">
                  <c:v>0.10428765822617549</c:v>
                </c:pt>
                <c:pt idx="11">
                  <c:v>5.2557439306232974E-2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C-0EE3-4DD4-8ED0-D2E673A605E7}"/>
            </c:ext>
          </c:extLst>
        </c:ser>
        <c:ser>
          <c:idx val="8"/>
          <c:order val="14"/>
          <c:tx>
            <c:v>EE from grid</c:v>
          </c:tx>
          <c:spPr>
            <a:solidFill>
              <a:schemeClr val="bg2">
                <a:lumMod val="5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comparison_all_small!$J$16:$X$18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(comparison_all_small!$J$47:$K$47,comparison_all_small!$L$47:$M$47,comparison_all_small!$N$47:$O$47,comparison_all_small!$P$47:$Q$47,comparison_all_small!$R$47:$S$47,comparison_all_small!$T$47:$U$47)</c:f>
              <c:numCache>
                <c:formatCode>0.00</c:formatCode>
                <c:ptCount val="12"/>
                <c:pt idx="0">
                  <c:v>0.13394187865639123</c:v>
                </c:pt>
                <c:pt idx="1">
                  <c:v>0.13354372819939991</c:v>
                </c:pt>
                <c:pt idx="2">
                  <c:v>0.13560225450753188</c:v>
                </c:pt>
                <c:pt idx="3">
                  <c:v>0.13580437301926185</c:v>
                </c:pt>
                <c:pt idx="4">
                  <c:v>0.13404327338182828</c:v>
                </c:pt>
                <c:pt idx="5">
                  <c:v>0.13405464600707942</c:v>
                </c:pt>
                <c:pt idx="6">
                  <c:v>8.9644644414255903E-2</c:v>
                </c:pt>
                <c:pt idx="7">
                  <c:v>8.9364981593908821E-2</c:v>
                </c:pt>
                <c:pt idx="8">
                  <c:v>9.0837516204317167E-2</c:v>
                </c:pt>
                <c:pt idx="9">
                  <c:v>8.7188971161105328E-2</c:v>
                </c:pt>
                <c:pt idx="10">
                  <c:v>8.924378625361569E-2</c:v>
                </c:pt>
                <c:pt idx="11">
                  <c:v>8.9217859193918239E-2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D-0EE3-4DD4-8ED0-D2E673A6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  <c:extLst>
          <c:ext xmlns:c15="http://schemas.microsoft.com/office/drawing/2012/chart" uri="{02D57815-91ED-43cb-92C2-25804820EDAC}">
            <c15:filteredBarSeries>
              <c15:ser>
                <c:idx val="9"/>
                <c:order val="0"/>
                <c:tx>
                  <c:v>EE to grid (30 €/MWh)</c:v>
                </c:tx>
                <c:spPr>
                  <a:solidFill>
                    <a:schemeClr val="accent6">
                      <a:lumMod val="20000"/>
                      <a:lumOff val="80000"/>
                    </a:schemeClr>
                  </a:solidFill>
                  <a:ln w="3175">
                    <a:solidFill>
                      <a:schemeClr val="tx1"/>
                    </a:solidFill>
                  </a:ln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comparison_all_small!$J$16:$X$18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Inflexible</c:v>
                        </c:pt>
                        <c:pt idx="1">
                          <c:v>Flexible</c:v>
                        </c:pt>
                        <c:pt idx="2">
                          <c:v>Inflexible</c:v>
                        </c:pt>
                        <c:pt idx="3">
                          <c:v>Flexible</c:v>
                        </c:pt>
                        <c:pt idx="4">
                          <c:v>Inflexible</c:v>
                        </c:pt>
                        <c:pt idx="5">
                          <c:v>Flexible</c:v>
                        </c:pt>
                        <c:pt idx="6">
                          <c:v>Inflexible</c:v>
                        </c:pt>
                        <c:pt idx="7">
                          <c:v>Flexible</c:v>
                        </c:pt>
                        <c:pt idx="8">
                          <c:v>Inflexible</c:v>
                        </c:pt>
                        <c:pt idx="9">
                          <c:v>Flexible</c:v>
                        </c:pt>
                        <c:pt idx="10">
                          <c:v>Inflexible</c:v>
                        </c:pt>
                        <c:pt idx="11">
                          <c:v>Flexible</c:v>
                        </c:pt>
                      </c:lvl>
                      <c:lvl>
                        <c:pt idx="0">
                          <c:v>North Ita</c:v>
                        </c:pt>
                        <c:pt idx="2">
                          <c:v>South Ita</c:v>
                        </c:pt>
                        <c:pt idx="4">
                          <c:v>Denmark</c:v>
                        </c:pt>
                        <c:pt idx="6">
                          <c:v>North Ita</c:v>
                        </c:pt>
                        <c:pt idx="8">
                          <c:v>South Ita</c:v>
                        </c:pt>
                        <c:pt idx="10">
                          <c:v>Denmark</c:v>
                        </c:pt>
                      </c:lvl>
                      <c:lvl>
                        <c:pt idx="0">
                          <c:v>Short-term</c:v>
                        </c:pt>
                        <c:pt idx="6">
                          <c:v>Long-term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(comparison_all_small!$J$49:$K$49,comparison_all_small!$L$49:$M$49,comparison_all_small!$N$49:$O$49,comparison_all_small!$P$49:$Q$49,comparison_all_small!$R$49:$S$49,comparison_all_small!$T$49:$U$49)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-0.27290374169554149</c:v>
                      </c:pt>
                      <c:pt idx="1">
                        <c:v>-0.17912656133853702</c:v>
                      </c:pt>
                      <c:pt idx="2">
                        <c:v>-0.26681869039422745</c:v>
                      </c:pt>
                      <c:pt idx="3">
                        <c:v>-0.21272804100162634</c:v>
                      </c:pt>
                      <c:pt idx="4">
                        <c:v>-0.42308437962668599</c:v>
                      </c:pt>
                      <c:pt idx="5">
                        <c:v>-0.28916249321758519</c:v>
                      </c:pt>
                      <c:pt idx="6">
                        <c:v>-0.28024254025116635</c:v>
                      </c:pt>
                      <c:pt idx="7">
                        <c:v>-0.17159565533681573</c:v>
                      </c:pt>
                      <c:pt idx="8">
                        <c:v>-0.13275031535994067</c:v>
                      </c:pt>
                      <c:pt idx="9">
                        <c:v>-0.14713559528202802</c:v>
                      </c:pt>
                      <c:pt idx="10">
                        <c:v>-0.21110989963136775</c:v>
                      </c:pt>
                      <c:pt idx="11">
                        <c:v>-0.12557199556048382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EE3-4DD4-8ED0-D2E673A605E7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2"/>
          <c:order val="15"/>
          <c:tx>
            <c:v>H2 production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00206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2"/>
              <c:pt idx="0">
                <c:v>Short-term North Ita Inflexible</c:v>
              </c:pt>
              <c:pt idx="1">
                <c:v>Short-term North Ita Flexible</c:v>
              </c:pt>
              <c:pt idx="2">
                <c:v>Short-term South Ita Inflexible</c:v>
              </c:pt>
              <c:pt idx="3">
                <c:v>Short-term South Ita Flexible</c:v>
              </c:pt>
              <c:pt idx="4">
                <c:v>Short-term Denmark Inflexible</c:v>
              </c:pt>
              <c:pt idx="5">
                <c:v>Short-term Denmark Flexible</c:v>
              </c:pt>
              <c:pt idx="6">
                <c:v>Long-term North Ita Inflexible</c:v>
              </c:pt>
              <c:pt idx="7">
                <c:v>Long-term North Ita Flexible</c:v>
              </c:pt>
              <c:pt idx="8">
                <c:v>Long-term South Ita Inflexible</c:v>
              </c:pt>
              <c:pt idx="9">
                <c:v>Long-term South Ita Flexible</c:v>
              </c:pt>
              <c:pt idx="10">
                <c:v>Long-term Denmark Inflexible</c:v>
              </c:pt>
              <c:pt idx="11">
                <c:v>Long-term Denmark Flexible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f>(comparison_all_small!$J$54:$K$54,comparison_all_small!$L$54:$M$54,comparison_all_small!$N$54:$O$54,comparison_all_small!$P$54:$Q$54,comparison_all_small!$R$54:$S$54,comparison_all_small!$T$54:$U$54)</c:f>
              <c:numCache>
                <c:formatCode>0.000</c:formatCode>
                <c:ptCount val="12"/>
                <c:pt idx="0">
                  <c:v>7.1139625427707704</c:v>
                </c:pt>
                <c:pt idx="1">
                  <c:v>6.253077418351273</c:v>
                </c:pt>
                <c:pt idx="2">
                  <c:v>5.946887907236186</c:v>
                </c:pt>
                <c:pt idx="3">
                  <c:v>5.2841226703767212</c:v>
                </c:pt>
                <c:pt idx="4">
                  <c:v>6.0494119543169962</c:v>
                </c:pt>
                <c:pt idx="5">
                  <c:v>5.0565751011974474</c:v>
                </c:pt>
                <c:pt idx="6">
                  <c:v>4.3756724929727531</c:v>
                </c:pt>
                <c:pt idx="7">
                  <c:v>4.2598994911465615</c:v>
                </c:pt>
                <c:pt idx="8">
                  <c:v>3.8359745109136578</c:v>
                </c:pt>
                <c:pt idx="9">
                  <c:v>3.7978660664832993</c:v>
                </c:pt>
                <c:pt idx="10">
                  <c:v>4.4340671130293758</c:v>
                </c:pt>
                <c:pt idx="11">
                  <c:v>4.2520882686950801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E-0EE3-4DD4-8ED0-D2E673A6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ax val="8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550784207287073E-4"/>
              <c:y val="0.3009178037825018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244894641788409"/>
          <c:y val="1.2627386663146179E-2"/>
          <c:w val="9.4929808691344389E-2"/>
          <c:h val="0.98486625100520375"/>
        </c:manualLayout>
      </c:layout>
      <c:overlay val="0"/>
      <c:spPr>
        <a:solidFill>
          <a:schemeClr val="lt1"/>
        </a:solidFill>
        <a:ln w="3175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/>
        <a:lstStyle/>
        <a:p>
          <a:pPr>
            <a:defRPr sz="12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88150151013561E-2"/>
          <c:y val="5.0925925925925923E-2"/>
          <c:w val="0.88135296407974806"/>
          <c:h val="0.83627108304467246"/>
        </c:manualLayout>
      </c:layout>
      <c:scatterChart>
        <c:scatterStyle val="lineMarker"/>
        <c:varyColors val="0"/>
        <c:ser>
          <c:idx val="3"/>
          <c:order val="1"/>
          <c:tx>
            <c:v>North Italy - Flexible</c:v>
          </c:tx>
          <c:spPr>
            <a:ln w="1270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BGSY_1!$J$5:$Q$5</c:f>
              <c:numCache>
                <c:formatCode>0%</c:formatCode>
                <c:ptCount val="8"/>
                <c:pt idx="0">
                  <c:v>0.27381631271203366</c:v>
                </c:pt>
                <c:pt idx="1">
                  <c:v>0.40000000000002983</c:v>
                </c:pt>
                <c:pt idx="2">
                  <c:v>0.6000000000000506</c:v>
                </c:pt>
                <c:pt idx="3">
                  <c:v>0.80000000000004257</c:v>
                </c:pt>
                <c:pt idx="4">
                  <c:v>0.89999999999992752</c:v>
                </c:pt>
                <c:pt idx="5">
                  <c:v>0.94999999999996454</c:v>
                </c:pt>
                <c:pt idx="6">
                  <c:v>0.99000000000010169</c:v>
                </c:pt>
                <c:pt idx="7">
                  <c:v>1.0000000000000315</c:v>
                </c:pt>
              </c:numCache>
            </c:numRef>
          </c:xVal>
          <c:yVal>
            <c:numRef>
              <c:f>BGSY_1!$J$53:$Q$53</c:f>
              <c:numCache>
                <c:formatCode>0.000</c:formatCode>
                <c:ptCount val="8"/>
                <c:pt idx="0">
                  <c:v>4.7123387260492331</c:v>
                </c:pt>
                <c:pt idx="1">
                  <c:v>4.7808336670069282</c:v>
                </c:pt>
                <c:pt idx="2">
                  <c:v>4.9526105962720077</c:v>
                </c:pt>
                <c:pt idx="3">
                  <c:v>5.4097030744305821</c:v>
                </c:pt>
                <c:pt idx="4">
                  <c:v>5.8608400270282273</c:v>
                </c:pt>
                <c:pt idx="5">
                  <c:v>6.253077418351273</c:v>
                </c:pt>
                <c:pt idx="6">
                  <c:v>7.1420695451086642</c:v>
                </c:pt>
                <c:pt idx="7">
                  <c:v>9.5237196830884159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1-4DFC-907A-C33444985F24}"/>
            </c:ext>
          </c:extLst>
        </c:ser>
        <c:ser>
          <c:idx val="4"/>
          <c:order val="3"/>
          <c:tx>
            <c:v>South Italy - Flexible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BGSY_b!$L$5:$Q$5</c:f>
              <c:numCache>
                <c:formatCode>0%</c:formatCode>
                <c:ptCount val="6"/>
                <c:pt idx="0">
                  <c:v>0.65797610496169012</c:v>
                </c:pt>
                <c:pt idx="1">
                  <c:v>0.80000000000006277</c:v>
                </c:pt>
                <c:pt idx="2">
                  <c:v>0.89999999999991331</c:v>
                </c:pt>
                <c:pt idx="3">
                  <c:v>0.95000000000007079</c:v>
                </c:pt>
                <c:pt idx="4">
                  <c:v>0.99000000000005506</c:v>
                </c:pt>
                <c:pt idx="5">
                  <c:v>1.0000000000000129</c:v>
                </c:pt>
              </c:numCache>
            </c:numRef>
          </c:xVal>
          <c:yVal>
            <c:numRef>
              <c:f>BGSY_b!$L$53:$Q$53</c:f>
              <c:numCache>
                <c:formatCode>0.000</c:formatCode>
                <c:ptCount val="6"/>
                <c:pt idx="0">
                  <c:v>4.4088408444107134</c:v>
                </c:pt>
                <c:pt idx="1">
                  <c:v>4.5474336668605266</c:v>
                </c:pt>
                <c:pt idx="2">
                  <c:v>4.9507184854342716</c:v>
                </c:pt>
                <c:pt idx="3">
                  <c:v>5.2841226703767212</c:v>
                </c:pt>
                <c:pt idx="4">
                  <c:v>5.9082435569353589</c:v>
                </c:pt>
                <c:pt idx="5">
                  <c:v>7.4649937486666254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1-4DFC-907A-C33444985F24}"/>
            </c:ext>
          </c:extLst>
        </c:ser>
        <c:ser>
          <c:idx val="7"/>
          <c:order val="7"/>
          <c:tx>
            <c:v>Denmark - Flexible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x"/>
            <c:size val="4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BGSY_d!$K$5:$P$5</c:f>
              <c:numCache>
                <c:formatCode>0%</c:formatCode>
                <c:ptCount val="6"/>
                <c:pt idx="0">
                  <c:v>0.68929433608924784</c:v>
                </c:pt>
                <c:pt idx="1">
                  <c:v>0.80000000000006166</c:v>
                </c:pt>
                <c:pt idx="2">
                  <c:v>0.90000000000004898</c:v>
                </c:pt>
                <c:pt idx="3">
                  <c:v>0.95000000000000062</c:v>
                </c:pt>
                <c:pt idx="4">
                  <c:v>0.99000000000013721</c:v>
                </c:pt>
                <c:pt idx="5">
                  <c:v>0.99999999999999623</c:v>
                </c:pt>
              </c:numCache>
            </c:numRef>
          </c:xVal>
          <c:yVal>
            <c:numRef>
              <c:f>BGSY_d!$K$53:$P$53</c:f>
              <c:numCache>
                <c:formatCode>0.000</c:formatCode>
                <c:ptCount val="6"/>
                <c:pt idx="0">
                  <c:v>4.2575363167475402</c:v>
                </c:pt>
                <c:pt idx="1">
                  <c:v>4.3191996156580235</c:v>
                </c:pt>
                <c:pt idx="2">
                  <c:v>4.5899664300859877</c:v>
                </c:pt>
                <c:pt idx="3">
                  <c:v>5.0565751011974474</c:v>
                </c:pt>
                <c:pt idx="4">
                  <c:v>6.9733825588638148</c:v>
                </c:pt>
                <c:pt idx="5">
                  <c:v>15.349438253926303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1-4DFC-907A-C33444985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150943"/>
        <c:axId val="6791465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North Italy - Inflexible</c:v>
                </c:tx>
                <c:spPr>
                  <a:ln w="1270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BGfix_1!$J$5:$Q$5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0.27381631271203372</c:v>
                      </c:pt>
                      <c:pt idx="1">
                        <c:v>0.39999999999998403</c:v>
                      </c:pt>
                      <c:pt idx="2">
                        <c:v>0.59999999999990683</c:v>
                      </c:pt>
                      <c:pt idx="3">
                        <c:v>0.79999999999989868</c:v>
                      </c:pt>
                      <c:pt idx="4">
                        <c:v>0.89999999999994407</c:v>
                      </c:pt>
                      <c:pt idx="5">
                        <c:v>0.94999999999980522</c:v>
                      </c:pt>
                      <c:pt idx="6">
                        <c:v>0.99000000000013433</c:v>
                      </c:pt>
                      <c:pt idx="7">
                        <c:v>0.99999999999997091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BGfix_1!$J$53:$Q$53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0">
                        <c:v>4.7123387260492482</c:v>
                      </c:pt>
                      <c:pt idx="1">
                        <c:v>4.7780446922347863</c:v>
                      </c:pt>
                      <c:pt idx="2">
                        <c:v>5.0807291392752338</c:v>
                      </c:pt>
                      <c:pt idx="3">
                        <c:v>5.8979216836148671</c:v>
                      </c:pt>
                      <c:pt idx="4">
                        <c:v>6.5452589247369408</c:v>
                      </c:pt>
                      <c:pt idx="5">
                        <c:v>7.1139625427707704</c:v>
                      </c:pt>
                      <c:pt idx="6">
                        <c:v>8.5109816770470061</c:v>
                      </c:pt>
                      <c:pt idx="7">
                        <c:v>10.814488221994376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5011-4DFC-907A-C33444985F2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South Italy - Inflexible</c:v>
                </c:tx>
                <c:spPr>
                  <a:ln w="1270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triangle"/>
                  <c:size val="4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BGfix_b!$L$5:$Q$5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0.56743698922489505</c:v>
                      </c:pt>
                      <c:pt idx="1">
                        <c:v>0.80000000000001781</c:v>
                      </c:pt>
                      <c:pt idx="2">
                        <c:v>0.90000000000004754</c:v>
                      </c:pt>
                      <c:pt idx="3">
                        <c:v>0.94999999999985107</c:v>
                      </c:pt>
                      <c:pt idx="4">
                        <c:v>0.99000000000024946</c:v>
                      </c:pt>
                      <c:pt idx="5">
                        <c:v>1.0000000000000029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BGfix_b!$L$53:$Q$53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4.4039086124379621</c:v>
                      </c:pt>
                      <c:pt idx="1">
                        <c:v>4.9042149472651841</c:v>
                      </c:pt>
                      <c:pt idx="2">
                        <c:v>5.5180803811213677</c:v>
                      </c:pt>
                      <c:pt idx="3">
                        <c:v>5.946887907236186</c:v>
                      </c:pt>
                      <c:pt idx="4">
                        <c:v>6.6773362385139592</c:v>
                      </c:pt>
                      <c:pt idx="5">
                        <c:v>7.7805660328519766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011-4DFC-907A-C33444985F2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Sardegna (Cagliari)</c:v>
                </c:tx>
                <c:spPr>
                  <a:ln w="1270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square"/>
                  <c:size val="3"/>
                  <c:spPr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BGfix_2!$L$19:$Q$19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0.59999999999983189</c:v>
                      </c:pt>
                      <c:pt idx="1">
                        <c:v>0.80000000000017357</c:v>
                      </c:pt>
                      <c:pt idx="2">
                        <c:v>0.89999999999980262</c:v>
                      </c:pt>
                      <c:pt idx="3">
                        <c:v>0.95000000000054419</c:v>
                      </c:pt>
                      <c:pt idx="4">
                        <c:v>0.98999999999959887</c:v>
                      </c:pt>
                      <c:pt idx="5">
                        <c:v>1.0000000000001812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BGfix_2!$L$53:$Q$53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3.9204803102926213</c:v>
                      </c:pt>
                      <c:pt idx="1">
                        <c:v>4.0264535050690684</c:v>
                      </c:pt>
                      <c:pt idx="2">
                        <c:v>4.1773457230206548</c:v>
                      </c:pt>
                      <c:pt idx="3">
                        <c:v>4.3756724929727531</c:v>
                      </c:pt>
                      <c:pt idx="4">
                        <c:v>5.0962420388076834</c:v>
                      </c:pt>
                      <c:pt idx="5">
                        <c:v>6.4673448919778123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011-4DFC-907A-C33444985F2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Sardegna with EE to grid at 30 €/MWh</c:v>
                </c:tx>
                <c:spPr>
                  <a:ln w="1270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BGfix_2!$L$5:$Q$5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0.59999999999983189</c:v>
                      </c:pt>
                      <c:pt idx="1">
                        <c:v>0.80000000000017357</c:v>
                      </c:pt>
                      <c:pt idx="2">
                        <c:v>0.89999999999980262</c:v>
                      </c:pt>
                      <c:pt idx="3">
                        <c:v>0.95000000000054419</c:v>
                      </c:pt>
                      <c:pt idx="4">
                        <c:v>0.98999999999959887</c:v>
                      </c:pt>
                      <c:pt idx="5">
                        <c:v>1.0000000000001812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BGfix_2!$L$51:$Q$51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3.8698620018288317</c:v>
                      </c:pt>
                      <c:pt idx="1">
                        <c:v>3.948463371400853</c:v>
                      </c:pt>
                      <c:pt idx="2">
                        <c:v>4.0089924370782901</c:v>
                      </c:pt>
                      <c:pt idx="3">
                        <c:v>4.0954299527215845</c:v>
                      </c:pt>
                      <c:pt idx="4">
                        <c:v>4.5628613324512903</c:v>
                      </c:pt>
                      <c:pt idx="5">
                        <c:v>5.618776264757873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011-4DFC-907A-C33444985F24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Denmark - Inflexible</c:v>
                </c:tx>
                <c:spPr>
                  <a:ln w="1270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x"/>
                  <c:size val="4"/>
                  <c:spPr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BGfix_d!$K$5:$P$5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0.66802830611946218</c:v>
                      </c:pt>
                      <c:pt idx="1">
                        <c:v>0.8000000000000429</c:v>
                      </c:pt>
                      <c:pt idx="2">
                        <c:v>0.90000000000008307</c:v>
                      </c:pt>
                      <c:pt idx="3">
                        <c:v>0.95000000000001505</c:v>
                      </c:pt>
                      <c:pt idx="4">
                        <c:v>0.99000000000015587</c:v>
                      </c:pt>
                      <c:pt idx="5">
                        <c:v>1.0000000000000226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BGfix_d!$K$53:$P$53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4.2257694835053723</c:v>
                      </c:pt>
                      <c:pt idx="1">
                        <c:v>4.442115692087353</c:v>
                      </c:pt>
                      <c:pt idx="2">
                        <c:v>5.1991523455523181</c:v>
                      </c:pt>
                      <c:pt idx="3">
                        <c:v>6.0494119543169962</c:v>
                      </c:pt>
                      <c:pt idx="4">
                        <c:v>8.5751124801231935</c:v>
                      </c:pt>
                      <c:pt idx="5">
                        <c:v>16.129182145976657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011-4DFC-907A-C33444985F24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Piemonte 2030</c:v>
                </c:tx>
                <c:spPr>
                  <a:ln w="1270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BGfix_b2!$J$5:$Q$5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2">
                        <c:v>0.59986130887667632</c:v>
                      </c:pt>
                      <c:pt idx="3">
                        <c:v>0.8000000000000651</c:v>
                      </c:pt>
                      <c:pt idx="4">
                        <c:v>0.90000000000011726</c:v>
                      </c:pt>
                      <c:pt idx="5">
                        <c:v>0.94999999999991647</c:v>
                      </c:pt>
                      <c:pt idx="6">
                        <c:v>0.98999999999994415</c:v>
                      </c:pt>
                      <c:pt idx="7">
                        <c:v>1.0000000000003633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BGfix_b2!$J$53:$Q$53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2">
                        <c:v>3.6463504625425411</c:v>
                      </c:pt>
                      <c:pt idx="3">
                        <c:v>3.687566544924588</c:v>
                      </c:pt>
                      <c:pt idx="4">
                        <c:v>3.764241273675236</c:v>
                      </c:pt>
                      <c:pt idx="5">
                        <c:v>3.8359745109136578</c:v>
                      </c:pt>
                      <c:pt idx="6">
                        <c:v>4.0854102883749857</c:v>
                      </c:pt>
                      <c:pt idx="7">
                        <c:v>4.5397207345316168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011-4DFC-907A-C33444985F2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Sicilia 2030</c:v>
                </c:tx>
                <c:spPr>
                  <a:ln w="1270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BGSY_b2!$L$5:$Q$5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0.68166775324629936</c:v>
                      </c:pt>
                      <c:pt idx="1">
                        <c:v>0.80000000000001348</c:v>
                      </c:pt>
                      <c:pt idx="2">
                        <c:v>0.9000000000000794</c:v>
                      </c:pt>
                      <c:pt idx="3">
                        <c:v>0.9499999999999964</c:v>
                      </c:pt>
                      <c:pt idx="4">
                        <c:v>0.98999999999996491</c:v>
                      </c:pt>
                      <c:pt idx="5">
                        <c:v>1.0000000000000109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BGSY_b2!$L$53:$Q$53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3.6590080390552489</c:v>
                      </c:pt>
                      <c:pt idx="1">
                        <c:v>3.6865003337889193</c:v>
                      </c:pt>
                      <c:pt idx="2">
                        <c:v>3.742467281061113</c:v>
                      </c:pt>
                      <c:pt idx="3">
                        <c:v>3.7978660664832993</c:v>
                      </c:pt>
                      <c:pt idx="4">
                        <c:v>3.9798276157286381</c:v>
                      </c:pt>
                      <c:pt idx="5">
                        <c:v>4.5626843863821884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011-4DFC-907A-C33444985F2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Denmark 2030</c:v>
                </c:tx>
                <c:spPr>
                  <a:ln w="12700" cap="rnd">
                    <a:solidFill>
                      <a:schemeClr val="tx1"/>
                    </a:solidFill>
                    <a:prstDash val="sysDash"/>
                    <a:round/>
                  </a:ln>
                  <a:effectLst/>
                </c:spPr>
                <c:marker>
                  <c:symbol val="diamond"/>
                  <c:size val="3"/>
                  <c:spPr>
                    <a:solidFill>
                      <a:schemeClr val="tx1">
                        <a:lumMod val="50000"/>
                        <a:lumOff val="50000"/>
                      </a:schemeClr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BGSY_2big!$L$5:$P$5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0.95000000000023443</c:v>
                      </c:pt>
                      <c:pt idx="1">
                        <c:v>0.94999999999994833</c:v>
                      </c:pt>
                      <c:pt idx="2">
                        <c:v>0.94999999999983054</c:v>
                      </c:pt>
                      <c:pt idx="3">
                        <c:v>0.9499999999999954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BGSY_2big!$L$53:$P$53</c15:sqref>
                        </c15:formulaRef>
                      </c:ext>
                    </c:extLst>
                    <c:numCache>
                      <c:formatCode>0.000</c:formatCode>
                      <c:ptCount val="5"/>
                      <c:pt idx="0">
                        <c:v>3.2345638378279991</c:v>
                      </c:pt>
                      <c:pt idx="1">
                        <c:v>2.5273023149701657</c:v>
                      </c:pt>
                      <c:pt idx="2">
                        <c:v>3.1366350784551114</c:v>
                      </c:pt>
                      <c:pt idx="3">
                        <c:v>2.8896813062287632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011-4DFC-907A-C33444985F24}"/>
                  </c:ext>
                </c:extLst>
              </c15:ser>
            </c15:filteredScatterSeries>
          </c:ext>
        </c:extLst>
      </c:scatterChart>
      <c:valAx>
        <c:axId val="610150943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[%]</a:t>
                </a:r>
              </a:p>
            </c:rich>
          </c:tx>
          <c:layout>
            <c:manualLayout>
              <c:xMode val="edge"/>
              <c:yMode val="edge"/>
              <c:x val="0.39322699306306425"/>
              <c:y val="0.93956457408139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9146527"/>
        <c:crosses val="autoZero"/>
        <c:crossBetween val="midCat"/>
        <c:majorUnit val="5.000000000000001E-2"/>
      </c:valAx>
      <c:valAx>
        <c:axId val="679146527"/>
        <c:scaling>
          <c:orientation val="minMax"/>
          <c:max val="1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H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100">
                    <a:solidFill>
                      <a:schemeClr val="tx1"/>
                    </a:solidFill>
                  </a:rPr>
                  <a:t> production cost [€/kg]</a:t>
                </a:r>
              </a:p>
            </c:rich>
          </c:tx>
          <c:layout>
            <c:manualLayout>
              <c:xMode val="edge"/>
              <c:yMode val="edge"/>
              <c:x val="2.7777777777777779E-3"/>
              <c:y val="0.218487532808398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15094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3541641668291047E-2"/>
          <c:y val="4.8530828925554381E-2"/>
          <c:w val="0.21902653808299993"/>
          <c:h val="0.17170722119518525"/>
        </c:manualLayout>
      </c:layout>
      <c:overlay val="0"/>
      <c:spPr>
        <a:solidFill>
          <a:schemeClr val="lt1"/>
        </a:solidFill>
        <a:ln w="635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181497879935151E-2"/>
          <c:y val="5.0925925925925923E-2"/>
          <c:w val="0.8771677531008919"/>
          <c:h val="0.82963229753468437"/>
        </c:manualLayout>
      </c:layout>
      <c:scatterChart>
        <c:scatterStyle val="lineMarker"/>
        <c:varyColors val="0"/>
        <c:ser>
          <c:idx val="3"/>
          <c:order val="1"/>
          <c:tx>
            <c:v>North Italy - Flexible</c:v>
          </c:tx>
          <c:spPr>
            <a:ln w="1270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BGSY_2!$J$5:$Q$5</c:f>
              <c:numCache>
                <c:formatCode>0%</c:formatCode>
                <c:ptCount val="8"/>
                <c:pt idx="0">
                  <c:v>0.31091455915221666</c:v>
                </c:pt>
                <c:pt idx="1">
                  <c:v>0.40000000000001379</c:v>
                </c:pt>
                <c:pt idx="2">
                  <c:v>0.60000000000001419</c:v>
                </c:pt>
                <c:pt idx="3">
                  <c:v>0.80000000000006211</c:v>
                </c:pt>
                <c:pt idx="4">
                  <c:v>0.90000000000004798</c:v>
                </c:pt>
                <c:pt idx="5">
                  <c:v>0.95000000000000251</c:v>
                </c:pt>
                <c:pt idx="6">
                  <c:v>0.99000000000014476</c:v>
                </c:pt>
                <c:pt idx="7">
                  <c:v>0.99999999999998379</c:v>
                </c:pt>
              </c:numCache>
            </c:numRef>
          </c:xVal>
          <c:yVal>
            <c:numRef>
              <c:f>BGSY_2!$J$53:$Q$53</c:f>
              <c:numCache>
                <c:formatCode>0.000</c:formatCode>
                <c:ptCount val="8"/>
                <c:pt idx="0">
                  <c:v>3.832107414224672</c:v>
                </c:pt>
                <c:pt idx="1">
                  <c:v>3.8812166139838578</c:v>
                </c:pt>
                <c:pt idx="2">
                  <c:v>3.9364817937534289</c:v>
                </c:pt>
                <c:pt idx="3">
                  <c:v>4.0267177788367485</c:v>
                </c:pt>
                <c:pt idx="4">
                  <c:v>4.137439623607321</c:v>
                </c:pt>
                <c:pt idx="5">
                  <c:v>4.2598994911465615</c:v>
                </c:pt>
                <c:pt idx="6">
                  <c:v>4.6834273299437079</c:v>
                </c:pt>
                <c:pt idx="7">
                  <c:v>6.0015776315185914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49A-4A3F-A6B5-359191ED00E9}"/>
            </c:ext>
          </c:extLst>
        </c:ser>
        <c:ser>
          <c:idx val="4"/>
          <c:order val="3"/>
          <c:tx>
            <c:v>South Italy - Flexible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BGSY_b2!$L$5:$Q$5</c:f>
              <c:numCache>
                <c:formatCode>0%</c:formatCode>
                <c:ptCount val="6"/>
                <c:pt idx="0">
                  <c:v>0.68166775324629936</c:v>
                </c:pt>
                <c:pt idx="1">
                  <c:v>0.80000000000001348</c:v>
                </c:pt>
                <c:pt idx="2">
                  <c:v>0.9000000000000794</c:v>
                </c:pt>
                <c:pt idx="3">
                  <c:v>0.9499999999999964</c:v>
                </c:pt>
                <c:pt idx="4">
                  <c:v>0.98999999999996491</c:v>
                </c:pt>
                <c:pt idx="5">
                  <c:v>1.0000000000000109</c:v>
                </c:pt>
              </c:numCache>
            </c:numRef>
          </c:xVal>
          <c:yVal>
            <c:numRef>
              <c:f>BGSY_b2!$L$53:$Q$53</c:f>
              <c:numCache>
                <c:formatCode>0.000</c:formatCode>
                <c:ptCount val="6"/>
                <c:pt idx="0">
                  <c:v>3.6590080390552489</c:v>
                </c:pt>
                <c:pt idx="1">
                  <c:v>3.6865003337889193</c:v>
                </c:pt>
                <c:pt idx="2">
                  <c:v>3.742467281061113</c:v>
                </c:pt>
                <c:pt idx="3">
                  <c:v>3.7978660664832993</c:v>
                </c:pt>
                <c:pt idx="4">
                  <c:v>3.9798276157286381</c:v>
                </c:pt>
                <c:pt idx="5">
                  <c:v>4.5626843863821884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49A-4A3F-A6B5-359191ED00E9}"/>
            </c:ext>
          </c:extLst>
        </c:ser>
        <c:ser>
          <c:idx val="7"/>
          <c:order val="7"/>
          <c:tx>
            <c:v>Denmark - Flexible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x"/>
            <c:size val="4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BGSY_d2!$K$5:$P$5</c:f>
              <c:numCache>
                <c:formatCode>0%</c:formatCode>
                <c:ptCount val="6"/>
                <c:pt idx="0">
                  <c:v>0.67086143240062945</c:v>
                </c:pt>
                <c:pt idx="1">
                  <c:v>0.80000000000001226</c:v>
                </c:pt>
                <c:pt idx="2">
                  <c:v>0.90000000000004154</c:v>
                </c:pt>
                <c:pt idx="3">
                  <c:v>0.95000000000003271</c:v>
                </c:pt>
                <c:pt idx="4">
                  <c:v>0.98999999999995247</c:v>
                </c:pt>
                <c:pt idx="5">
                  <c:v>1.0000000000001097</c:v>
                </c:pt>
              </c:numCache>
            </c:numRef>
          </c:xVal>
          <c:yVal>
            <c:numRef>
              <c:f>BGSY_d2!$K$53:$P$53</c:f>
              <c:numCache>
                <c:formatCode>0.000</c:formatCode>
                <c:ptCount val="6"/>
                <c:pt idx="0">
                  <c:v>3.839237279083223</c:v>
                </c:pt>
                <c:pt idx="1">
                  <c:v>3.9365785540053722</c:v>
                </c:pt>
                <c:pt idx="2">
                  <c:v>4.0734039851372881</c:v>
                </c:pt>
                <c:pt idx="3">
                  <c:v>4.2520882686950801</c:v>
                </c:pt>
                <c:pt idx="4">
                  <c:v>5.0685783051547872</c:v>
                </c:pt>
                <c:pt idx="5">
                  <c:v>7.3806873059536571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49A-4A3F-A6B5-359191ED0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150943"/>
        <c:axId val="6791465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North Italy - Inflexible</c:v>
                </c:tx>
                <c:spPr>
                  <a:ln w="1270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BGfix_2!$J$5:$Q$5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0">
                        <c:v>0.31091455915221666</c:v>
                      </c:pt>
                      <c:pt idx="1">
                        <c:v>0.40000000000003094</c:v>
                      </c:pt>
                      <c:pt idx="2">
                        <c:v>0.59999999999983189</c:v>
                      </c:pt>
                      <c:pt idx="3">
                        <c:v>0.80000000000017357</c:v>
                      </c:pt>
                      <c:pt idx="4">
                        <c:v>0.89999999999980262</c:v>
                      </c:pt>
                      <c:pt idx="5">
                        <c:v>0.95000000000054419</c:v>
                      </c:pt>
                      <c:pt idx="6">
                        <c:v>0.98999999999959887</c:v>
                      </c:pt>
                      <c:pt idx="7">
                        <c:v>1.0000000000001812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BGfix_2!$J$53:$Q$53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0">
                        <c:v>3.8321074142246472</c:v>
                      </c:pt>
                      <c:pt idx="1">
                        <c:v>3.8510543893577012</c:v>
                      </c:pt>
                      <c:pt idx="2">
                        <c:v>3.9204803102926213</c:v>
                      </c:pt>
                      <c:pt idx="3">
                        <c:v>4.0264535050690684</c:v>
                      </c:pt>
                      <c:pt idx="4">
                        <c:v>4.1773457230206548</c:v>
                      </c:pt>
                      <c:pt idx="5">
                        <c:v>4.3756724929727531</c:v>
                      </c:pt>
                      <c:pt idx="6">
                        <c:v>5.0962420388076834</c:v>
                      </c:pt>
                      <c:pt idx="7">
                        <c:v>6.4673448919778123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949A-4A3F-A6B5-359191ED00E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South Italy - Inflexible</c:v>
                </c:tx>
                <c:spPr>
                  <a:ln w="1270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triangle"/>
                  <c:size val="4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BGfix_b2!$L$5:$Q$5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0.59986130887667632</c:v>
                      </c:pt>
                      <c:pt idx="1">
                        <c:v>0.8000000000000651</c:v>
                      </c:pt>
                      <c:pt idx="2">
                        <c:v>0.90000000000011726</c:v>
                      </c:pt>
                      <c:pt idx="3">
                        <c:v>0.94999999999991647</c:v>
                      </c:pt>
                      <c:pt idx="4">
                        <c:v>0.98999999999994415</c:v>
                      </c:pt>
                      <c:pt idx="5">
                        <c:v>1.0000000000003633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BGfix_b2!$L$53:$Q$53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3.6463504625425411</c:v>
                      </c:pt>
                      <c:pt idx="1">
                        <c:v>3.687566544924588</c:v>
                      </c:pt>
                      <c:pt idx="2">
                        <c:v>3.764241273675236</c:v>
                      </c:pt>
                      <c:pt idx="3">
                        <c:v>3.8359745109136578</c:v>
                      </c:pt>
                      <c:pt idx="4">
                        <c:v>4.0854102883749857</c:v>
                      </c:pt>
                      <c:pt idx="5">
                        <c:v>4.5397207345316168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49A-4A3F-A6B5-359191ED00E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Sardegna (Cagliari)</c:v>
                </c:tx>
                <c:spPr>
                  <a:ln w="1270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square"/>
                  <c:size val="3"/>
                  <c:spPr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BGfix_2!$L$19:$Q$19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0.59999999999983189</c:v>
                      </c:pt>
                      <c:pt idx="1">
                        <c:v>0.80000000000017357</c:v>
                      </c:pt>
                      <c:pt idx="2">
                        <c:v>0.89999999999980262</c:v>
                      </c:pt>
                      <c:pt idx="3">
                        <c:v>0.95000000000054419</c:v>
                      </c:pt>
                      <c:pt idx="4">
                        <c:v>0.98999999999959887</c:v>
                      </c:pt>
                      <c:pt idx="5">
                        <c:v>1.0000000000001812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BGfix_2!$L$53:$Q$53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3.9204803102926213</c:v>
                      </c:pt>
                      <c:pt idx="1">
                        <c:v>4.0264535050690684</c:v>
                      </c:pt>
                      <c:pt idx="2">
                        <c:v>4.1773457230206548</c:v>
                      </c:pt>
                      <c:pt idx="3">
                        <c:v>4.3756724929727531</c:v>
                      </c:pt>
                      <c:pt idx="4">
                        <c:v>5.0962420388076834</c:v>
                      </c:pt>
                      <c:pt idx="5">
                        <c:v>6.4673448919778123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49A-4A3F-A6B5-359191ED00E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Sardegna with EE to grid at 30 €/MWh</c:v>
                </c:tx>
                <c:spPr>
                  <a:ln w="1270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BGfix_2!$L$5:$Q$5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0.59999999999983189</c:v>
                      </c:pt>
                      <c:pt idx="1">
                        <c:v>0.80000000000017357</c:v>
                      </c:pt>
                      <c:pt idx="2">
                        <c:v>0.89999999999980262</c:v>
                      </c:pt>
                      <c:pt idx="3">
                        <c:v>0.95000000000054419</c:v>
                      </c:pt>
                      <c:pt idx="4">
                        <c:v>0.98999999999959887</c:v>
                      </c:pt>
                      <c:pt idx="5">
                        <c:v>1.0000000000001812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BGfix_2!$L$51:$Q$51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3.8698620018288317</c:v>
                      </c:pt>
                      <c:pt idx="1">
                        <c:v>3.948463371400853</c:v>
                      </c:pt>
                      <c:pt idx="2">
                        <c:v>4.0089924370782901</c:v>
                      </c:pt>
                      <c:pt idx="3">
                        <c:v>4.0954299527215845</c:v>
                      </c:pt>
                      <c:pt idx="4">
                        <c:v>4.5628613324512903</c:v>
                      </c:pt>
                      <c:pt idx="5">
                        <c:v>5.618776264757873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49A-4A3F-A6B5-359191ED00E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Denmark - Inflexible</c:v>
                </c:tx>
                <c:spPr>
                  <a:ln w="12700" cap="rnd">
                    <a:solidFill>
                      <a:srgbClr val="00B0F0"/>
                    </a:solidFill>
                    <a:prstDash val="sysDash"/>
                    <a:round/>
                  </a:ln>
                  <a:effectLst/>
                </c:spPr>
                <c:marker>
                  <c:symbol val="x"/>
                  <c:size val="4"/>
                  <c:spPr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F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BGfix_d2!$K$5:$P$5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0.6705693613007746</c:v>
                      </c:pt>
                      <c:pt idx="1">
                        <c:v>0.79999999999998594</c:v>
                      </c:pt>
                      <c:pt idx="2">
                        <c:v>0.90000000000033675</c:v>
                      </c:pt>
                      <c:pt idx="3">
                        <c:v>0.95000000000011542</c:v>
                      </c:pt>
                      <c:pt idx="4">
                        <c:v>0.99000000000038058</c:v>
                      </c:pt>
                      <c:pt idx="5">
                        <c:v>1.000000000000097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BGfix_d2!$K$53:$P$53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3.8390452504944408</c:v>
                      </c:pt>
                      <c:pt idx="1">
                        <c:v>3.9357014794385594</c:v>
                      </c:pt>
                      <c:pt idx="2">
                        <c:v>4.1673331935314639</c:v>
                      </c:pt>
                      <c:pt idx="3">
                        <c:v>4.4340671130293758</c:v>
                      </c:pt>
                      <c:pt idx="4">
                        <c:v>5.5505518674917864</c:v>
                      </c:pt>
                      <c:pt idx="5">
                        <c:v>7.6030802859694981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49A-4A3F-A6B5-359191ED00E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Piemonte 2030</c:v>
                </c:tx>
                <c:spPr>
                  <a:ln w="1270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00B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BGfix_b2!$J$5:$Q$5</c15:sqref>
                        </c15:formulaRef>
                      </c:ext>
                    </c:extLst>
                    <c:numCache>
                      <c:formatCode>0%</c:formatCode>
                      <c:ptCount val="8"/>
                      <c:pt idx="2">
                        <c:v>0.59986130887667632</c:v>
                      </c:pt>
                      <c:pt idx="3">
                        <c:v>0.8000000000000651</c:v>
                      </c:pt>
                      <c:pt idx="4">
                        <c:v>0.90000000000011726</c:v>
                      </c:pt>
                      <c:pt idx="5">
                        <c:v>0.94999999999991647</c:v>
                      </c:pt>
                      <c:pt idx="6">
                        <c:v>0.98999999999994415</c:v>
                      </c:pt>
                      <c:pt idx="7">
                        <c:v>1.0000000000003633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BGfix_b2!$J$53:$Q$53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2">
                        <c:v>3.6463504625425411</c:v>
                      </c:pt>
                      <c:pt idx="3">
                        <c:v>3.687566544924588</c:v>
                      </c:pt>
                      <c:pt idx="4">
                        <c:v>3.764241273675236</c:v>
                      </c:pt>
                      <c:pt idx="5">
                        <c:v>3.8359745109136578</c:v>
                      </c:pt>
                      <c:pt idx="6">
                        <c:v>4.0854102883749857</c:v>
                      </c:pt>
                      <c:pt idx="7">
                        <c:v>4.5397207345316168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49A-4A3F-A6B5-359191ED00E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Sicilia 2030</c:v>
                </c:tx>
                <c:spPr>
                  <a:ln w="1270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chemeClr val="accent2">
                        <a:lumMod val="40000"/>
                        <a:lumOff val="60000"/>
                      </a:schemeClr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BGSY_b2!$L$5:$Q$5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>
                        <c:v>0.68166775324629936</c:v>
                      </c:pt>
                      <c:pt idx="1">
                        <c:v>0.80000000000001348</c:v>
                      </c:pt>
                      <c:pt idx="2">
                        <c:v>0.9000000000000794</c:v>
                      </c:pt>
                      <c:pt idx="3">
                        <c:v>0.9499999999999964</c:v>
                      </c:pt>
                      <c:pt idx="4">
                        <c:v>0.98999999999996491</c:v>
                      </c:pt>
                      <c:pt idx="5">
                        <c:v>1.0000000000000109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BGSY_b2!$L$53:$Q$53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3.6590080390552489</c:v>
                      </c:pt>
                      <c:pt idx="1">
                        <c:v>3.6865003337889193</c:v>
                      </c:pt>
                      <c:pt idx="2">
                        <c:v>3.742467281061113</c:v>
                      </c:pt>
                      <c:pt idx="3">
                        <c:v>3.7978660664832993</c:v>
                      </c:pt>
                      <c:pt idx="4">
                        <c:v>3.9798276157286381</c:v>
                      </c:pt>
                      <c:pt idx="5">
                        <c:v>4.5626843863821884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49A-4A3F-A6B5-359191ED00E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Denmark 2030</c:v>
                </c:tx>
                <c:spPr>
                  <a:ln w="12700" cap="rnd">
                    <a:solidFill>
                      <a:schemeClr val="tx1"/>
                    </a:solidFill>
                    <a:prstDash val="sysDash"/>
                    <a:round/>
                  </a:ln>
                  <a:effectLst/>
                </c:spPr>
                <c:marker>
                  <c:symbol val="diamond"/>
                  <c:size val="3"/>
                  <c:spPr>
                    <a:solidFill>
                      <a:schemeClr val="tx1">
                        <a:lumMod val="50000"/>
                        <a:lumOff val="50000"/>
                      </a:schemeClr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BGSY_2big!$L$5:$P$5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0.95000000000023443</c:v>
                      </c:pt>
                      <c:pt idx="1">
                        <c:v>0.94999999999994833</c:v>
                      </c:pt>
                      <c:pt idx="2">
                        <c:v>0.94999999999983054</c:v>
                      </c:pt>
                      <c:pt idx="3">
                        <c:v>0.9499999999999954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BGSY_2big!$L$53:$P$53</c15:sqref>
                        </c15:formulaRef>
                      </c:ext>
                    </c:extLst>
                    <c:numCache>
                      <c:formatCode>0.000</c:formatCode>
                      <c:ptCount val="5"/>
                      <c:pt idx="0">
                        <c:v>3.2345638378279991</c:v>
                      </c:pt>
                      <c:pt idx="1">
                        <c:v>2.5273023149701657</c:v>
                      </c:pt>
                      <c:pt idx="2">
                        <c:v>3.1366350784551114</c:v>
                      </c:pt>
                      <c:pt idx="3">
                        <c:v>2.8896813062287632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49A-4A3F-A6B5-359191ED00E9}"/>
                  </c:ext>
                </c:extLst>
              </c15:ser>
            </c15:filteredScatterSeries>
          </c:ext>
        </c:extLst>
      </c:scatterChart>
      <c:valAx>
        <c:axId val="610150943"/>
        <c:scaling>
          <c:orientation val="minMax"/>
          <c:max val="1"/>
          <c:min val="0.8"/>
        </c:scaling>
        <c:delete val="0"/>
        <c:axPos val="b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Renewable Energy Share [%]</a:t>
                </a:r>
              </a:p>
            </c:rich>
          </c:tx>
          <c:layout>
            <c:manualLayout>
              <c:xMode val="edge"/>
              <c:yMode val="edge"/>
              <c:x val="0.38902711333238288"/>
              <c:y val="0.936245181326403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9146527"/>
        <c:crosses val="autoZero"/>
        <c:crossBetween val="midCat"/>
        <c:majorUnit val="5.000000000000001E-2"/>
      </c:valAx>
      <c:valAx>
        <c:axId val="679146527"/>
        <c:scaling>
          <c:orientation val="minMax"/>
          <c:max val="1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>
                    <a:solidFill>
                      <a:schemeClr val="tx1"/>
                    </a:solidFill>
                  </a:rPr>
                  <a:t>H</a:t>
                </a:r>
                <a:r>
                  <a:rPr lang="it-IT" sz="11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100">
                    <a:solidFill>
                      <a:schemeClr val="tx1"/>
                    </a:solidFill>
                  </a:rPr>
                  <a:t> production cost [€/kg]</a:t>
                </a:r>
              </a:p>
            </c:rich>
          </c:tx>
          <c:layout>
            <c:manualLayout>
              <c:xMode val="edge"/>
              <c:yMode val="edge"/>
              <c:x val="2.7777777777777779E-3"/>
              <c:y val="0.218487532808398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015094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77350090558187E-2"/>
          <c:y val="4.8530828925554381E-2"/>
          <c:w val="0.21904173993167217"/>
          <c:h val="0.16838782844019121"/>
        </c:manualLayout>
      </c:layout>
      <c:overlay val="0"/>
      <c:spPr>
        <a:solidFill>
          <a:schemeClr val="lt1"/>
        </a:solidFill>
        <a:ln w="6350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34680265152154E-2"/>
          <c:y val="1.5652142558377685E-2"/>
          <c:w val="0.84790311469106761"/>
          <c:h val="0.84621543706318414"/>
        </c:manualLayout>
      </c:layout>
      <c:barChart>
        <c:barDir val="col"/>
        <c:grouping val="stacked"/>
        <c:varyColors val="0"/>
        <c:ser>
          <c:idx val="6"/>
          <c:order val="1"/>
          <c:tx>
            <c:v>Biogas</c:v>
          </c:tx>
          <c:spPr>
            <a:solidFill>
              <a:schemeClr val="accent2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(comparison_all_big!$J$46:$K$46,comparison_all_big!$L$46:$M$46,comparison_all_big!$N$46:$O$46,comparison_all_big!$P$46:$Q$46,comparison_all_big!$R$46:$S$46,comparison_all_big!$T$46:$U$46)</c:f>
              <c:numCache>
                <c:formatCode>0.00</c:formatCode>
                <c:ptCount val="12"/>
                <c:pt idx="0">
                  <c:v>1.096689211286269</c:v>
                </c:pt>
                <c:pt idx="1">
                  <c:v>1.0966892112861883</c:v>
                </c:pt>
                <c:pt idx="2">
                  <c:v>1.0966892112861957</c:v>
                </c:pt>
                <c:pt idx="3">
                  <c:v>1.0966892112861895</c:v>
                </c:pt>
                <c:pt idx="4">
                  <c:v>1.0966892112862807</c:v>
                </c:pt>
                <c:pt idx="5">
                  <c:v>1.0966892112861928</c:v>
                </c:pt>
                <c:pt idx="6">
                  <c:v>1.0966892112860502</c:v>
                </c:pt>
                <c:pt idx="7">
                  <c:v>1.0966892112861908</c:v>
                </c:pt>
                <c:pt idx="8">
                  <c:v>1.0966892112862079</c:v>
                </c:pt>
                <c:pt idx="9">
                  <c:v>1.0966892112861888</c:v>
                </c:pt>
                <c:pt idx="10">
                  <c:v>1.0966892112860767</c:v>
                </c:pt>
                <c:pt idx="11">
                  <c:v>1.0966892112861899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4D-4178-B24E-8DAA440EB0BD}"/>
            </c:ext>
          </c:extLst>
        </c:ser>
        <c:ser>
          <c:idx val="10"/>
          <c:order val="2"/>
          <c:tx>
            <c:v>CO2 revenue</c:v>
          </c:tx>
          <c:spPr>
            <a:solidFill>
              <a:schemeClr val="accent2">
                <a:lumMod val="75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(comparison_all_big!$J$48:$K$48,comparison_all_big!$L$48:$M$48,comparison_all_big!$N$48:$O$48,comparison_all_big!$P$48:$Q$48,comparison_all_big!$R$48:$S$48,comparison_all_big!$T$48:$U$48)</c:f>
              <c:numCache>
                <c:formatCode>0.00</c:formatCode>
                <c:ptCount val="12"/>
                <c:pt idx="0">
                  <c:v>-0.47122626486097724</c:v>
                </c:pt>
                <c:pt idx="1">
                  <c:v>-0.47122626486103586</c:v>
                </c:pt>
                <c:pt idx="2">
                  <c:v>-0.47122626486105901</c:v>
                </c:pt>
                <c:pt idx="3">
                  <c:v>-0.47122626486100383</c:v>
                </c:pt>
                <c:pt idx="4">
                  <c:v>-0.47122626486098046</c:v>
                </c:pt>
                <c:pt idx="5">
                  <c:v>-0.47122626486104097</c:v>
                </c:pt>
                <c:pt idx="6">
                  <c:v>-0.47122626486089936</c:v>
                </c:pt>
                <c:pt idx="7">
                  <c:v>-0.47122626486095792</c:v>
                </c:pt>
                <c:pt idx="8">
                  <c:v>-0.47122626486103336</c:v>
                </c:pt>
                <c:pt idx="9">
                  <c:v>-0.47122626486098323</c:v>
                </c:pt>
                <c:pt idx="10">
                  <c:v>-0.47122626486088753</c:v>
                </c:pt>
                <c:pt idx="11">
                  <c:v>-0.47122626486099523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4D-4178-B24E-8DAA440EB0BD}"/>
            </c:ext>
          </c:extLst>
        </c:ser>
        <c:ser>
          <c:idx val="0"/>
          <c:order val="3"/>
          <c:tx>
            <c:v>eBGRw CAPEX</c:v>
          </c:tx>
          <c:spPr>
            <a:solidFill>
              <a:schemeClr val="accent6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(comparison_all_big!$J$37:$K$37,comparison_all_big!$L$37:$M$37,comparison_all_big!$N$37:$O$37,comparison_all_big!$P$37:$Q$37,comparison_all_big!$R$37:$S$37,comparison_all_big!$T$37:$U$37)</c:f>
              <c:numCache>
                <c:formatCode>0.00</c:formatCode>
                <c:ptCount val="12"/>
                <c:pt idx="0">
                  <c:v>0.33468709383204764</c:v>
                </c:pt>
                <c:pt idx="1">
                  <c:v>0.46351365734603833</c:v>
                </c:pt>
                <c:pt idx="2">
                  <c:v>0.33468709394150531</c:v>
                </c:pt>
                <c:pt idx="3">
                  <c:v>0.44625049923852111</c:v>
                </c:pt>
                <c:pt idx="4">
                  <c:v>0.33468707796555253</c:v>
                </c:pt>
                <c:pt idx="5">
                  <c:v>0.3765218465469391</c:v>
                </c:pt>
                <c:pt idx="6">
                  <c:v>0.33468708993881424</c:v>
                </c:pt>
                <c:pt idx="7">
                  <c:v>0.3992204118327507</c:v>
                </c:pt>
                <c:pt idx="8">
                  <c:v>0.33468705636356433</c:v>
                </c:pt>
                <c:pt idx="9">
                  <c:v>0.41289813006133441</c:v>
                </c:pt>
                <c:pt idx="10">
                  <c:v>0.33468708894212168</c:v>
                </c:pt>
                <c:pt idx="11">
                  <c:v>0.38959523290699294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D-4178-B24E-8DAA440EB0BD}"/>
            </c:ext>
          </c:extLst>
        </c:ser>
        <c:ser>
          <c:idx val="3"/>
          <c:order val="4"/>
          <c:tx>
            <c:v>Gas storage CAPEX</c:v>
          </c:tx>
          <c:spPr>
            <a:solidFill>
              <a:srgbClr val="00B0F0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(comparison_all_big!$J$35:$K$35,comparison_all_big!$L$35:$M$35,comparison_all_big!$N$35:$O$35,comparison_all_big!$P$35:$Q$35,comparison_all_big!$R$35:$S$35,comparison_all_big!$T$35:$U$35)</c:f>
              <c:numCache>
                <c:formatCode>0.00</c:formatCode>
                <c:ptCount val="12"/>
                <c:pt idx="0">
                  <c:v>1.2210720077163889E-3</c:v>
                </c:pt>
                <c:pt idx="1">
                  <c:v>8.9173183073899459E-2</c:v>
                </c:pt>
                <c:pt idx="2">
                  <c:v>0</c:v>
                </c:pt>
                <c:pt idx="3">
                  <c:v>7.5847725319306808E-2</c:v>
                </c:pt>
                <c:pt idx="4">
                  <c:v>0</c:v>
                </c:pt>
                <c:pt idx="5">
                  <c:v>9.4091316526536406E-2</c:v>
                </c:pt>
                <c:pt idx="6">
                  <c:v>1.2210732850373475E-3</c:v>
                </c:pt>
                <c:pt idx="7">
                  <c:v>3.3467854231517533E-2</c:v>
                </c:pt>
                <c:pt idx="8">
                  <c:v>0</c:v>
                </c:pt>
                <c:pt idx="9">
                  <c:v>2.9364867391104426E-2</c:v>
                </c:pt>
                <c:pt idx="10">
                  <c:v>0</c:v>
                </c:pt>
                <c:pt idx="11">
                  <c:v>4.2372058022755218E-2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4D-4178-B24E-8DAA440EB0BD}"/>
            </c:ext>
          </c:extLst>
        </c:ser>
        <c:ser>
          <c:idx val="1"/>
          <c:order val="5"/>
          <c:tx>
            <c:v>PV CAPEX</c:v>
          </c:tx>
          <c:spPr>
            <a:solidFill>
              <a:schemeClr val="accent4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(comparison_all_big!$J$32:$K$32,comparison_all_big!$L$32:$M$32,comparison_all_big!$N$32:$O$32,comparison_all_big!$P$32:$Q$32,comparison_all_big!$R$32:$S$32,comparison_all_big!$T$32:$U$32)</c:f>
              <c:numCache>
                <c:formatCode>0.00</c:formatCode>
                <c:ptCount val="12"/>
                <c:pt idx="0">
                  <c:v>0.77296962018193793</c:v>
                </c:pt>
                <c:pt idx="1">
                  <c:v>0.63840402569003973</c:v>
                </c:pt>
                <c:pt idx="2">
                  <c:v>0.44034016386564484</c:v>
                </c:pt>
                <c:pt idx="3">
                  <c:v>0.52218284547382143</c:v>
                </c:pt>
                <c:pt idx="4">
                  <c:v>0.59256393777073413</c:v>
                </c:pt>
                <c:pt idx="5">
                  <c:v>0.33628932176782861</c:v>
                </c:pt>
                <c:pt idx="6">
                  <c:v>0.41723285794243792</c:v>
                </c:pt>
                <c:pt idx="7">
                  <c:v>0.34439688908706206</c:v>
                </c:pt>
                <c:pt idx="8">
                  <c:v>0.22935281779174499</c:v>
                </c:pt>
                <c:pt idx="9">
                  <c:v>0.25138423339513299</c:v>
                </c:pt>
                <c:pt idx="10">
                  <c:v>0.3479250521672419</c:v>
                </c:pt>
                <c:pt idx="11">
                  <c:v>0.25828701966409662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4D-4178-B24E-8DAA440EB0BD}"/>
            </c:ext>
          </c:extLst>
        </c:ser>
        <c:ser>
          <c:idx val="7"/>
          <c:order val="6"/>
          <c:tx>
            <c:v>Wind Capex</c:v>
          </c:tx>
          <c:spPr>
            <a:solidFill>
              <a:schemeClr val="accent1">
                <a:lumMod val="20000"/>
                <a:lumOff val="80000"/>
              </a:schemeClr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(comparison_all_big!$J$33:$K$33,comparison_all_big!$L$33:$M$33,comparison_all_big!$N$33:$O$33,comparison_all_big!$P$33:$Q$33,comparison_all_big!$R$33:$S$33,comparison_all_big!$T$33:$U$33)</c:f>
              <c:numCache>
                <c:formatCode>0.00</c:formatCode>
                <c:ptCount val="12"/>
                <c:pt idx="0">
                  <c:v>1.3822880463542326</c:v>
                </c:pt>
                <c:pt idx="1">
                  <c:v>1.2581217894371644</c:v>
                </c:pt>
                <c:pt idx="2">
                  <c:v>1.9182928470987723</c:v>
                </c:pt>
                <c:pt idx="3">
                  <c:v>0.81114872810932592</c:v>
                </c:pt>
                <c:pt idx="4">
                  <c:v>1.3524306291943198</c:v>
                </c:pt>
                <c:pt idx="5">
                  <c:v>1.2116177574173719</c:v>
                </c:pt>
                <c:pt idx="6">
                  <c:v>0.49970019811130095</c:v>
                </c:pt>
                <c:pt idx="7">
                  <c:v>0.50601899206008594</c:v>
                </c:pt>
                <c:pt idx="8">
                  <c:v>1.2102023678173535</c:v>
                </c:pt>
                <c:pt idx="9">
                  <c:v>0.43328384630053657</c:v>
                </c:pt>
                <c:pt idx="10">
                  <c:v>0.71773319269570901</c:v>
                </c:pt>
                <c:pt idx="11">
                  <c:v>0.70050447804978921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4D-4178-B24E-8DAA440EB0BD}"/>
            </c:ext>
          </c:extLst>
        </c:ser>
        <c:ser>
          <c:idx val="2"/>
          <c:order val="7"/>
          <c:tx>
            <c:v>BESS Capex</c:v>
          </c:tx>
          <c:spPr>
            <a:solidFill>
              <a:srgbClr val="CDACE6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(comparison_all_big!$J$34:$K$34,comparison_all_big!$L$34:$M$34,comparison_all_big!$N$34:$O$34,comparison_all_big!$P$34:$Q$34,comparison_all_big!$R$34:$S$34,comparison_all_big!$T$34:$U$34)</c:f>
              <c:numCache>
                <c:formatCode>0.00</c:formatCode>
                <c:ptCount val="12"/>
                <c:pt idx="0">
                  <c:v>1.0365506656170334</c:v>
                </c:pt>
                <c:pt idx="1">
                  <c:v>0.4666740662416996</c:v>
                </c:pt>
                <c:pt idx="2">
                  <c:v>0.46096302359940622</c:v>
                </c:pt>
                <c:pt idx="3">
                  <c:v>0.36915052674630622</c:v>
                </c:pt>
                <c:pt idx="4">
                  <c:v>0.62033185237824151</c:v>
                </c:pt>
                <c:pt idx="5">
                  <c:v>0.10327126027579631</c:v>
                </c:pt>
                <c:pt idx="6">
                  <c:v>0.43304214667508656</c:v>
                </c:pt>
                <c:pt idx="7">
                  <c:v>0.27270692571833127</c:v>
                </c:pt>
                <c:pt idx="8">
                  <c:v>0.1428985373158175</c:v>
                </c:pt>
                <c:pt idx="9">
                  <c:v>0.14289853731581503</c:v>
                </c:pt>
                <c:pt idx="10">
                  <c:v>0.33212082655709302</c:v>
                </c:pt>
                <c:pt idx="11">
                  <c:v>0.15506037002833062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4D-4178-B24E-8DAA440EB0BD}"/>
            </c:ext>
          </c:extLst>
        </c:ser>
        <c:ser>
          <c:idx val="4"/>
          <c:order val="8"/>
          <c:tx>
            <c:v>eBGR &amp; storage fOPEX</c:v>
          </c:tx>
          <c:spPr>
            <a:pattFill prst="dkDn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(comparison_all_big!$J$41:$K$41,comparison_all_big!$L$41:$M$41,comparison_all_big!$N$41:$O$41,comparison_all_big!$P$41:$Q$41,comparison_all_big!$R$41:$S$41,comparison_all_big!$T$41:$U$41)</c:f>
              <c:numCache>
                <c:formatCode>0.00</c:formatCode>
                <c:ptCount val="12"/>
                <c:pt idx="0">
                  <c:v>0.13436326633590559</c:v>
                </c:pt>
                <c:pt idx="1">
                  <c:v>0.20639182004540715</c:v>
                </c:pt>
                <c:pt idx="2">
                  <c:v>0.13387483757660212</c:v>
                </c:pt>
                <c:pt idx="3">
                  <c:v>0.19915075137048266</c:v>
                </c:pt>
                <c:pt idx="4">
                  <c:v>0.13387483118622098</c:v>
                </c:pt>
                <c:pt idx="5">
                  <c:v>0.1840411932666268</c:v>
                </c:pt>
                <c:pt idx="6">
                  <c:v>0.13436326528954062</c:v>
                </c:pt>
                <c:pt idx="7">
                  <c:v>0.17194591300381737</c:v>
                </c:pt>
                <c:pt idx="8">
                  <c:v>0.13387482254542571</c:v>
                </c:pt>
                <c:pt idx="9">
                  <c:v>0.17571994169879873</c:v>
                </c:pt>
                <c:pt idx="10">
                  <c:v>0.13387483557684865</c:v>
                </c:pt>
                <c:pt idx="11">
                  <c:v>0.17141122354066521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4D-4178-B24E-8DAA440EB0BD}"/>
            </c:ext>
          </c:extLst>
        </c:ser>
        <c:ser>
          <c:idx val="5"/>
          <c:order val="9"/>
          <c:tx>
            <c:v>PV fOPEX</c:v>
          </c:tx>
          <c:spPr>
            <a:pattFill prst="dkDn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  <a:effectLst/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(comparison_all_big!$J$38:$K$38,comparison_all_big!$L$38:$M$38,comparison_all_big!$N$38:$O$38,comparison_all_big!$P$38:$Q$38,comparison_all_big!$R$38:$S$38,comparison_all_big!$T$38:$U$38)</c:f>
              <c:numCache>
                <c:formatCode>0.00</c:formatCode>
                <c:ptCount val="12"/>
                <c:pt idx="0">
                  <c:v>0.14493180378411336</c:v>
                </c:pt>
                <c:pt idx="1">
                  <c:v>0.11970075481688244</c:v>
                </c:pt>
                <c:pt idx="2">
                  <c:v>8.2563780724808397E-2</c:v>
                </c:pt>
                <c:pt idx="3">
                  <c:v>9.7909283526341526E-2</c:v>
                </c:pt>
                <c:pt idx="4">
                  <c:v>7.7425601625095916E-2</c:v>
                </c:pt>
                <c:pt idx="5">
                  <c:v>4.3940242391266808E-2</c:v>
                </c:pt>
                <c:pt idx="6">
                  <c:v>8.1810364302438807E-2</c:v>
                </c:pt>
                <c:pt idx="7">
                  <c:v>6.7528801781776879E-2</c:v>
                </c:pt>
                <c:pt idx="8">
                  <c:v>4.497114074347941E-2</c:v>
                </c:pt>
                <c:pt idx="9">
                  <c:v>4.9291026155908427E-2</c:v>
                </c:pt>
                <c:pt idx="10">
                  <c:v>6.8220598464165061E-2</c:v>
                </c:pt>
                <c:pt idx="11">
                  <c:v>5.0644513659626779E-2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4D-4178-B24E-8DAA440EB0BD}"/>
            </c:ext>
          </c:extLst>
        </c:ser>
        <c:ser>
          <c:idx val="13"/>
          <c:order val="10"/>
          <c:tx>
            <c:v>Wind fOpex</c:v>
          </c:tx>
          <c:spPr>
            <a:pattFill prst="dkUpDiag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(comparison_all_big!$J$39:$K$39,comparison_all_big!$L$39:$M$39,comparison_all_big!$N$39:$O$39,comparison_all_big!$P$39:$Q$39,comparison_all_big!$R$39:$S$39,comparison_all_big!$T$39:$U$39)</c:f>
              <c:numCache>
                <c:formatCode>0.00</c:formatCode>
                <c:ptCount val="12"/>
                <c:pt idx="0">
                  <c:v>0.4146864139062697</c:v>
                </c:pt>
                <c:pt idx="1">
                  <c:v>0.37743653683114936</c:v>
                </c:pt>
                <c:pt idx="2">
                  <c:v>0.57548785412963177</c:v>
                </c:pt>
                <c:pt idx="3">
                  <c:v>0.24334461843279778</c:v>
                </c:pt>
                <c:pt idx="4">
                  <c:v>0.55776028398785749</c:v>
                </c:pt>
                <c:pt idx="5">
                  <c:v>0.49968719272827511</c:v>
                </c:pt>
                <c:pt idx="6">
                  <c:v>9.9940039622260182E-2</c:v>
                </c:pt>
                <c:pt idx="7">
                  <c:v>0.10120379841201717</c:v>
                </c:pt>
                <c:pt idx="8">
                  <c:v>0.24204047356347066</c:v>
                </c:pt>
                <c:pt idx="9">
                  <c:v>8.6656769260107319E-2</c:v>
                </c:pt>
                <c:pt idx="10">
                  <c:v>0.23445755580096664</c:v>
                </c:pt>
                <c:pt idx="11">
                  <c:v>0.22882955591663187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4D-4178-B24E-8DAA440EB0BD}"/>
            </c:ext>
          </c:extLst>
        </c:ser>
        <c:ser>
          <c:idx val="14"/>
          <c:order val="11"/>
          <c:tx>
            <c:v>BESS fOpex</c:v>
          </c:tx>
          <c:spPr>
            <a:pattFill prst="narVert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(comparison_all_big!$J$40:$K$40,comparison_all_big!$L$40:$M$40,comparison_all_big!$N$40:$O$40,comparison_all_big!$P$40:$Q$40,comparison_all_big!$R$40:$S$40,comparison_all_big!$T$40:$U$40)</c:f>
              <c:numCache>
                <c:formatCode>0.00</c:formatCode>
                <c:ptCount val="12"/>
                <c:pt idx="0">
                  <c:v>0.25913766640425834</c:v>
                </c:pt>
                <c:pt idx="1">
                  <c:v>0.11666851656042487</c:v>
                </c:pt>
                <c:pt idx="2">
                  <c:v>0.11524075589985155</c:v>
                </c:pt>
                <c:pt idx="3">
                  <c:v>9.2287631686576554E-2</c:v>
                </c:pt>
                <c:pt idx="4">
                  <c:v>0.15508296309456035</c:v>
                </c:pt>
                <c:pt idx="5">
                  <c:v>2.5817815068949077E-2</c:v>
                </c:pt>
                <c:pt idx="6">
                  <c:v>8.7306884410299712E-2</c:v>
                </c:pt>
                <c:pt idx="7">
                  <c:v>5.4981235023857114E-2</c:v>
                </c:pt>
                <c:pt idx="8">
                  <c:v>2.8810188974963204E-2</c:v>
                </c:pt>
                <c:pt idx="9">
                  <c:v>2.8810188974962705E-2</c:v>
                </c:pt>
                <c:pt idx="10">
                  <c:v>6.6959844063930046E-2</c:v>
                </c:pt>
                <c:pt idx="11">
                  <c:v>3.1262171376679561E-2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4D-4178-B24E-8DAA440EB0BD}"/>
            </c:ext>
          </c:extLst>
        </c:ser>
        <c:ser>
          <c:idx val="11"/>
          <c:order val="12"/>
          <c:tx>
            <c:v>eBGRw vOpex</c:v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(comparison_all_big!$J$45:$K$45,comparison_all_big!$L$45:$M$45,comparison_all_big!$N$45:$O$45,comparison_all_big!$P$45:$Q$45,comparison_all_big!$R$45:$S$45,comparison_all_big!$T$45:$U$45)</c:f>
              <c:numCache>
                <c:formatCode>0.00</c:formatCode>
                <c:ptCount val="12"/>
                <c:pt idx="0">
                  <c:v>8.4786442352185395E-2</c:v>
                </c:pt>
                <c:pt idx="1">
                  <c:v>0.12009330756911951</c:v>
                </c:pt>
                <c:pt idx="2">
                  <c:v>8.4786440797646634E-2</c:v>
                </c:pt>
                <c:pt idx="3">
                  <c:v>0.11645608953259379</c:v>
                </c:pt>
                <c:pt idx="4">
                  <c:v>8.4786436891660502E-2</c:v>
                </c:pt>
                <c:pt idx="5">
                  <c:v>0.10238668833144976</c:v>
                </c:pt>
                <c:pt idx="6">
                  <c:v>8.478644235216426E-2</c:v>
                </c:pt>
                <c:pt idx="7">
                  <c:v>0.10685960801436953</c:v>
                </c:pt>
                <c:pt idx="8">
                  <c:v>8.4786431781368576E-2</c:v>
                </c:pt>
                <c:pt idx="9">
                  <c:v>0.10961118325747009</c:v>
                </c:pt>
                <c:pt idx="10">
                  <c:v>8.4786439488343579E-2</c:v>
                </c:pt>
                <c:pt idx="11">
                  <c:v>0.10306582748229161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4D-4178-B24E-8DAA440EB0BD}"/>
            </c:ext>
          </c:extLst>
        </c:ser>
        <c:ser>
          <c:idx val="15"/>
          <c:order val="13"/>
          <c:tx>
            <c:v>BESS vOpex</c:v>
          </c:tx>
          <c:spPr>
            <a:pattFill prst="dkUpDiag">
              <a:fgClr>
                <a:srgbClr val="CDACE6"/>
              </a:fgClr>
              <a:bgClr>
                <a:schemeClr val="bg1"/>
              </a:bgClr>
            </a:patt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(comparison_all_big!$J$43:$K$43,comparison_all_big!$L$43:$M$43,comparison_all_big!$N$43:$O$43,comparison_all_big!$P$43:$Q$43,comparison_all_big!$R$43:$S$43,comparison_all_big!$T$43:$U$43)</c:f>
              <c:numCache>
                <c:formatCode>0.00</c:formatCode>
                <c:ptCount val="12"/>
                <c:pt idx="0">
                  <c:v>0.55357578640871763</c:v>
                </c:pt>
                <c:pt idx="1">
                  <c:v>0.24828439850832978</c:v>
                </c:pt>
                <c:pt idx="2">
                  <c:v>0.21069295847896277</c:v>
                </c:pt>
                <c:pt idx="3">
                  <c:v>0.19155234931757853</c:v>
                </c:pt>
                <c:pt idx="4">
                  <c:v>0.14382060219511847</c:v>
                </c:pt>
                <c:pt idx="5">
                  <c:v>2.4206254067747134E-2</c:v>
                </c:pt>
                <c:pt idx="6">
                  <c:v>0.25104227743979513</c:v>
                </c:pt>
                <c:pt idx="7">
                  <c:v>0.17291962021037638</c:v>
                </c:pt>
                <c:pt idx="8">
                  <c:v>6.6992502838029586E-2</c:v>
                </c:pt>
                <c:pt idx="9">
                  <c:v>8.9627134209090825E-2</c:v>
                </c:pt>
                <c:pt idx="10">
                  <c:v>0.10117687230832642</c:v>
                </c:pt>
                <c:pt idx="11">
                  <c:v>4.2674517372342395E-2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4D-4178-B24E-8DAA440EB0BD}"/>
            </c:ext>
          </c:extLst>
        </c:ser>
        <c:ser>
          <c:idx val="8"/>
          <c:order val="14"/>
          <c:tx>
            <c:v>EE from grid</c:v>
          </c:tx>
          <c:spPr>
            <a:solidFill>
              <a:schemeClr val="bg2">
                <a:lumMod val="50000"/>
              </a:schemeClr>
            </a:solidFill>
            <a:ln w="3175">
              <a:solidFill>
                <a:schemeClr val="tx1"/>
              </a:solidFill>
            </a:ln>
          </c:spPr>
          <c:invertIfNegative val="0"/>
          <c:cat>
            <c:multiLvlStrRef>
              <c:f>comparison_all_big!$J$16:$X$18</c:f>
              <c:multiLvlStrCache>
                <c:ptCount val="12"/>
                <c:lvl>
                  <c:pt idx="0">
                    <c:v>Inflexible</c:v>
                  </c:pt>
                  <c:pt idx="1">
                    <c:v>Flexible</c:v>
                  </c:pt>
                  <c:pt idx="2">
                    <c:v>Inflexible</c:v>
                  </c:pt>
                  <c:pt idx="3">
                    <c:v>Flexible</c:v>
                  </c:pt>
                  <c:pt idx="4">
                    <c:v>Inflexible</c:v>
                  </c:pt>
                  <c:pt idx="5">
                    <c:v>Flexible</c:v>
                  </c:pt>
                  <c:pt idx="6">
                    <c:v>Inflexible</c:v>
                  </c:pt>
                  <c:pt idx="7">
                    <c:v>Flexible</c:v>
                  </c:pt>
                  <c:pt idx="8">
                    <c:v>Inflexible</c:v>
                  </c:pt>
                  <c:pt idx="9">
                    <c:v>Flexible</c:v>
                  </c:pt>
                  <c:pt idx="10">
                    <c:v>Inflexible</c:v>
                  </c:pt>
                  <c:pt idx="11">
                    <c:v>Flexible</c:v>
                  </c:pt>
                </c:lvl>
                <c:lvl>
                  <c:pt idx="0">
                    <c:v>North Ita</c:v>
                  </c:pt>
                  <c:pt idx="2">
                    <c:v>South Ita</c:v>
                  </c:pt>
                  <c:pt idx="4">
                    <c:v>Denmark</c:v>
                  </c:pt>
                  <c:pt idx="6">
                    <c:v>North Ita</c:v>
                  </c:pt>
                  <c:pt idx="8">
                    <c:v>South Ita</c:v>
                  </c:pt>
                  <c:pt idx="10">
                    <c:v>Denmark</c:v>
                  </c:pt>
                </c:lvl>
                <c:lvl>
                  <c:pt idx="0">
                    <c:v>Short-term</c:v>
                  </c:pt>
                  <c:pt idx="6">
                    <c:v>Long-term</c:v>
                  </c:pt>
                </c:lvl>
              </c:multiLvlStrCache>
            </c:multiLvlStrRef>
          </c:cat>
          <c:val>
            <c:numRef>
              <c:f>(comparison_all_big!$J$47:$K$47,comparison_all_big!$L$47:$M$47,comparison_all_big!$N$47:$O$47,comparison_all_big!$P$47:$Q$47,comparison_all_big!$R$47:$S$47,comparison_all_big!$T$47:$U$47)</c:f>
              <c:numCache>
                <c:formatCode>0.00</c:formatCode>
                <c:ptCount val="12"/>
                <c:pt idx="0">
                  <c:v>0.13373703317199565</c:v>
                </c:pt>
                <c:pt idx="1">
                  <c:v>0.13406736901269642</c:v>
                </c:pt>
                <c:pt idx="2">
                  <c:v>0.13518504570475301</c:v>
                </c:pt>
                <c:pt idx="3">
                  <c:v>0.13573055698427858</c:v>
                </c:pt>
                <c:pt idx="4">
                  <c:v>0.13364563130759083</c:v>
                </c:pt>
                <c:pt idx="5">
                  <c:v>0.13362604724100605</c:v>
                </c:pt>
                <c:pt idx="6">
                  <c:v>8.8796589060791589E-2</c:v>
                </c:pt>
                <c:pt idx="7">
                  <c:v>8.9053348892003892E-2</c:v>
                </c:pt>
                <c:pt idx="8">
                  <c:v>9.0484551667607244E-2</c:v>
                </c:pt>
                <c:pt idx="9">
                  <c:v>9.1108253242521448E-2</c:v>
                </c:pt>
                <c:pt idx="10">
                  <c:v>8.9229825965176396E-2</c:v>
                </c:pt>
                <c:pt idx="11">
                  <c:v>8.9135698952132858E-2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4D-4178-B24E-8DAA440EB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0255536"/>
        <c:axId val="740251696"/>
        <c:extLst>
          <c:ext xmlns:c15="http://schemas.microsoft.com/office/drawing/2012/chart" uri="{02D57815-91ED-43cb-92C2-25804820EDAC}">
            <c15:filteredBarSeries>
              <c15:ser>
                <c:idx val="9"/>
                <c:order val="0"/>
                <c:tx>
                  <c:v>EE to grid (30 €/MWh)</c:v>
                </c:tx>
                <c:spPr>
                  <a:solidFill>
                    <a:schemeClr val="accent6">
                      <a:lumMod val="20000"/>
                      <a:lumOff val="80000"/>
                    </a:schemeClr>
                  </a:solidFill>
                  <a:ln w="3175">
                    <a:solidFill>
                      <a:schemeClr val="tx1"/>
                    </a:solidFill>
                  </a:ln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comparison_all_big!$J$16:$X$18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Inflexible</c:v>
                        </c:pt>
                        <c:pt idx="1">
                          <c:v>Flexible</c:v>
                        </c:pt>
                        <c:pt idx="2">
                          <c:v>Inflexible</c:v>
                        </c:pt>
                        <c:pt idx="3">
                          <c:v>Flexible</c:v>
                        </c:pt>
                        <c:pt idx="4">
                          <c:v>Inflexible</c:v>
                        </c:pt>
                        <c:pt idx="5">
                          <c:v>Flexible</c:v>
                        </c:pt>
                        <c:pt idx="6">
                          <c:v>Inflexible</c:v>
                        </c:pt>
                        <c:pt idx="7">
                          <c:v>Flexible</c:v>
                        </c:pt>
                        <c:pt idx="8">
                          <c:v>Inflexible</c:v>
                        </c:pt>
                        <c:pt idx="9">
                          <c:v>Flexible</c:v>
                        </c:pt>
                        <c:pt idx="10">
                          <c:v>Inflexible</c:v>
                        </c:pt>
                        <c:pt idx="11">
                          <c:v>Flexible</c:v>
                        </c:pt>
                      </c:lvl>
                      <c:lvl>
                        <c:pt idx="0">
                          <c:v>North Ita</c:v>
                        </c:pt>
                        <c:pt idx="2">
                          <c:v>South Ita</c:v>
                        </c:pt>
                        <c:pt idx="4">
                          <c:v>Denmark</c:v>
                        </c:pt>
                        <c:pt idx="6">
                          <c:v>North Ita</c:v>
                        </c:pt>
                        <c:pt idx="8">
                          <c:v>South Ita</c:v>
                        </c:pt>
                        <c:pt idx="10">
                          <c:v>Denmark</c:v>
                        </c:pt>
                      </c:lvl>
                      <c:lvl>
                        <c:pt idx="0">
                          <c:v>Short-term</c:v>
                        </c:pt>
                        <c:pt idx="6">
                          <c:v>Long-term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(comparison_all_big!$J$49:$K$49,comparison_all_big!$L$49:$M$49,comparison_all_big!$N$49:$O$49,comparison_all_big!$P$49:$Q$49,comparison_all_big!$R$49:$S$49,comparison_all_big!$T$49:$U$49)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-0.27327885690333209</c:v>
                      </c:pt>
                      <c:pt idx="1">
                        <c:v>-0.17046305666028783</c:v>
                      </c:pt>
                      <c:pt idx="2">
                        <c:v>-0.67858769262662977</c:v>
                      </c:pt>
                      <c:pt idx="3">
                        <c:v>-0.20111696721615202</c:v>
                      </c:pt>
                      <c:pt idx="4">
                        <c:v>-0.42321190273934373</c:v>
                      </c:pt>
                      <c:pt idx="5">
                        <c:v>-0.28357926361766317</c:v>
                      </c:pt>
                      <c:pt idx="6">
                        <c:v>-0.28024239578473548</c:v>
                      </c:pt>
                      <c:pt idx="7">
                        <c:v>-0.18074339240692819</c:v>
                      </c:pt>
                      <c:pt idx="8">
                        <c:v>-0.72845182978990775</c:v>
                      </c:pt>
                      <c:pt idx="9">
                        <c:v>-0.2068190750618169</c:v>
                      </c:pt>
                      <c:pt idx="10">
                        <c:v>-0.20670139818941127</c:v>
                      </c:pt>
                      <c:pt idx="11">
                        <c:v>-0.12299621040350005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44D-4178-B24E-8DAA440EB0BD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2"/>
          <c:order val="15"/>
          <c:tx>
            <c:v>H2 production cost</c:v>
          </c:tx>
          <c:spPr>
            <a:ln w="19050">
              <a:noFill/>
            </a:ln>
          </c:spPr>
          <c:marker>
            <c:symbol val="x"/>
            <c:size val="10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dLbls>
            <c:numFmt formatCode="#,##0.00" sourceLinked="0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00206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2"/>
              <c:pt idx="0">
                <c:v>Short-term North Ita Inflexible</c:v>
              </c:pt>
              <c:pt idx="1">
                <c:v>Short-term North Ita Flexible</c:v>
              </c:pt>
              <c:pt idx="2">
                <c:v>Short-term South Ita Inflexible</c:v>
              </c:pt>
              <c:pt idx="3">
                <c:v>Short-term South Ita Flexible</c:v>
              </c:pt>
              <c:pt idx="4">
                <c:v>Short-term Denmark Inflexible</c:v>
              </c:pt>
              <c:pt idx="5">
                <c:v>Short-term Denmark Flexible</c:v>
              </c:pt>
              <c:pt idx="6">
                <c:v>Long-term North Ita Inflexible</c:v>
              </c:pt>
              <c:pt idx="7">
                <c:v>Long-term North Ita Flexible</c:v>
              </c:pt>
              <c:pt idx="8">
                <c:v>Long-term South Ita Inflexible</c:v>
              </c:pt>
              <c:pt idx="9">
                <c:v>Long-term South Ita Flexible</c:v>
              </c:pt>
              <c:pt idx="10">
                <c:v>Long-term Denmark Inflexible</c:v>
              </c:pt>
              <c:pt idx="11">
                <c:v>Long-term Denmark Flexible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f>(comparison_all_big!$J$54:$K$54,comparison_all_big!$L$54:$M$54,comparison_all_big!$N$54:$O$54,comparison_all_big!$P$54:$Q$54,comparison_all_big!$R$54:$S$54,comparison_all_big!$T$54:$U$54)</c:f>
              <c:numCache>
                <c:formatCode>0.000</c:formatCode>
                <c:ptCount val="12"/>
                <c:pt idx="0">
                  <c:v>5.8783978567817039</c:v>
                </c:pt>
                <c:pt idx="1">
                  <c:v>4.8639923715580027</c:v>
                </c:pt>
                <c:pt idx="2">
                  <c:v>5.1175777482427209</c:v>
                </c:pt>
                <c:pt idx="3">
                  <c:v>3.9264745521631168</c:v>
                </c:pt>
                <c:pt idx="4">
                  <c:v>4.8118727940222517</c:v>
                </c:pt>
                <c:pt idx="5">
                  <c:v>3.7609598820549457</c:v>
                </c:pt>
                <c:pt idx="6">
                  <c:v>3.1393921748551188</c:v>
                </c:pt>
                <c:pt idx="7">
                  <c:v>2.9468957381150886</c:v>
                </c:pt>
                <c:pt idx="8">
                  <c:v>3.2345638378279991</c:v>
                </c:pt>
                <c:pt idx="9">
                  <c:v>2.5273023149701657</c:v>
                </c:pt>
                <c:pt idx="10">
                  <c:v>3.1366350784551114</c:v>
                </c:pt>
                <c:pt idx="11">
                  <c:v>2.8896813062287632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4D-4178-B24E-8DAA440EB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255536"/>
        <c:axId val="740251696"/>
      </c:lineChart>
      <c:catAx>
        <c:axId val="74025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1696"/>
        <c:crosses val="autoZero"/>
        <c:auto val="1"/>
        <c:lblAlgn val="ctr"/>
        <c:lblOffset val="100"/>
        <c:noMultiLvlLbl val="0"/>
      </c:catAx>
      <c:valAx>
        <c:axId val="740251696"/>
        <c:scaling>
          <c:orientation val="minMax"/>
          <c:max val="8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400">
                    <a:solidFill>
                      <a:schemeClr val="tx1"/>
                    </a:solidFill>
                  </a:rPr>
                  <a:t>H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2</a:t>
                </a:r>
                <a:r>
                  <a:rPr lang="it-IT" sz="1400">
                    <a:solidFill>
                      <a:schemeClr val="tx1"/>
                    </a:solidFill>
                  </a:rPr>
                  <a:t> production cost [€/kg</a:t>
                </a:r>
                <a:r>
                  <a:rPr lang="it-IT" sz="1400" baseline="-25000">
                    <a:solidFill>
                      <a:schemeClr val="tx1"/>
                    </a:solidFill>
                  </a:rPr>
                  <a:t>H2</a:t>
                </a:r>
                <a:r>
                  <a:rPr lang="it-IT" sz="1400">
                    <a:solidFill>
                      <a:schemeClr val="tx1"/>
                    </a:solidFill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2.550784207287073E-4"/>
              <c:y val="0.3009178037825018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025553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244894641788409"/>
          <c:y val="1.2627386663146179E-2"/>
          <c:w val="9.4929808691344389E-2"/>
          <c:h val="0.98486625100520375"/>
        </c:manualLayout>
      </c:layout>
      <c:overlay val="0"/>
      <c:spPr>
        <a:solidFill>
          <a:schemeClr val="lt1"/>
        </a:solidFill>
        <a:ln w="3175" cap="flat" cmpd="sng" algn="ctr">
          <a:solidFill>
            <a:srgbClr val="002060"/>
          </a:solidFill>
          <a:prstDash val="solid"/>
          <a:miter lim="800000"/>
        </a:ln>
        <a:effectLst/>
      </c:spPr>
      <c:txPr>
        <a:bodyPr/>
        <a:lstStyle/>
        <a:p>
          <a:pPr>
            <a:defRPr sz="12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5.xml"/><Relationship Id="rId3" Type="http://schemas.openxmlformats.org/officeDocument/2006/relationships/chart" Target="../charts/chart60.xml"/><Relationship Id="rId7" Type="http://schemas.openxmlformats.org/officeDocument/2006/relationships/chart" Target="../charts/chart64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6" Type="http://schemas.openxmlformats.org/officeDocument/2006/relationships/chart" Target="../charts/chart63.xml"/><Relationship Id="rId5" Type="http://schemas.openxmlformats.org/officeDocument/2006/relationships/chart" Target="../charts/chart62.xml"/><Relationship Id="rId4" Type="http://schemas.openxmlformats.org/officeDocument/2006/relationships/chart" Target="../charts/chart61.xml"/><Relationship Id="rId9" Type="http://schemas.openxmlformats.org/officeDocument/2006/relationships/chart" Target="../charts/chart6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5" Type="http://schemas.openxmlformats.org/officeDocument/2006/relationships/chart" Target="../charts/chart71.xml"/><Relationship Id="rId4" Type="http://schemas.openxmlformats.org/officeDocument/2006/relationships/chart" Target="../charts/chart7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5" Type="http://schemas.openxmlformats.org/officeDocument/2006/relationships/chart" Target="../charts/chart79.xml"/><Relationship Id="rId4" Type="http://schemas.openxmlformats.org/officeDocument/2006/relationships/chart" Target="../charts/chart78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0.xml"/><Relationship Id="rId3" Type="http://schemas.openxmlformats.org/officeDocument/2006/relationships/chart" Target="../charts/chart85.xml"/><Relationship Id="rId7" Type="http://schemas.openxmlformats.org/officeDocument/2006/relationships/chart" Target="../charts/chart89.xml"/><Relationship Id="rId2" Type="http://schemas.openxmlformats.org/officeDocument/2006/relationships/chart" Target="../charts/chart84.xml"/><Relationship Id="rId1" Type="http://schemas.openxmlformats.org/officeDocument/2006/relationships/chart" Target="../charts/chart83.xml"/><Relationship Id="rId6" Type="http://schemas.openxmlformats.org/officeDocument/2006/relationships/chart" Target="../charts/chart88.xml"/><Relationship Id="rId5" Type="http://schemas.openxmlformats.org/officeDocument/2006/relationships/chart" Target="../charts/chart87.xml"/><Relationship Id="rId4" Type="http://schemas.openxmlformats.org/officeDocument/2006/relationships/chart" Target="../charts/chart86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8.xml"/><Relationship Id="rId3" Type="http://schemas.openxmlformats.org/officeDocument/2006/relationships/chart" Target="../charts/chart93.xml"/><Relationship Id="rId7" Type="http://schemas.openxmlformats.org/officeDocument/2006/relationships/chart" Target="../charts/chart97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Relationship Id="rId6" Type="http://schemas.openxmlformats.org/officeDocument/2006/relationships/chart" Target="../charts/chart96.xml"/><Relationship Id="rId5" Type="http://schemas.openxmlformats.org/officeDocument/2006/relationships/chart" Target="../charts/chart95.xml"/><Relationship Id="rId4" Type="http://schemas.openxmlformats.org/officeDocument/2006/relationships/chart" Target="../charts/chart9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1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4.xml"/><Relationship Id="rId2" Type="http://schemas.openxmlformats.org/officeDocument/2006/relationships/chart" Target="../charts/chart103.xml"/><Relationship Id="rId1" Type="http://schemas.openxmlformats.org/officeDocument/2006/relationships/chart" Target="../charts/chart10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10</xdr:row>
      <xdr:rowOff>0</xdr:rowOff>
    </xdr:from>
    <xdr:to>
      <xdr:col>14</xdr:col>
      <xdr:colOff>302400</xdr:colOff>
      <xdr:row>25</xdr:row>
      <xdr:rowOff>126050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10</xdr:row>
      <xdr:rowOff>0</xdr:rowOff>
    </xdr:from>
    <xdr:to>
      <xdr:col>21</xdr:col>
      <xdr:colOff>302400</xdr:colOff>
      <xdr:row>25</xdr:row>
      <xdr:rowOff>126050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10</xdr:row>
      <xdr:rowOff>0</xdr:rowOff>
    </xdr:from>
    <xdr:to>
      <xdr:col>28</xdr:col>
      <xdr:colOff>302400</xdr:colOff>
      <xdr:row>25</xdr:row>
      <xdr:rowOff>126050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27</xdr:row>
      <xdr:rowOff>0</xdr:rowOff>
    </xdr:from>
    <xdr:to>
      <xdr:col>21</xdr:col>
      <xdr:colOff>302400</xdr:colOff>
      <xdr:row>42</xdr:row>
      <xdr:rowOff>126051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1382880</xdr:colOff>
      <xdr:row>17</xdr:row>
      <xdr:rowOff>185577</xdr:rowOff>
    </xdr:from>
    <xdr:to>
      <xdr:col>28</xdr:col>
      <xdr:colOff>79936</xdr:colOff>
      <xdr:row>56</xdr:row>
      <xdr:rowOff>109671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256718</xdr:colOff>
      <xdr:row>5</xdr:row>
      <xdr:rowOff>58138</xdr:rowOff>
    </xdr:from>
    <xdr:to>
      <xdr:col>39</xdr:col>
      <xdr:colOff>610994</xdr:colOff>
      <xdr:row>24</xdr:row>
      <xdr:rowOff>90907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324139</xdr:colOff>
      <xdr:row>5</xdr:row>
      <xdr:rowOff>175656</xdr:rowOff>
    </xdr:from>
    <xdr:to>
      <xdr:col>49</xdr:col>
      <xdr:colOff>614528</xdr:colOff>
      <xdr:row>24</xdr:row>
      <xdr:rowOff>115668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438171</xdr:colOff>
      <xdr:row>26</xdr:row>
      <xdr:rowOff>174343</xdr:rowOff>
    </xdr:from>
    <xdr:to>
      <xdr:col>50</xdr:col>
      <xdr:colOff>122982</xdr:colOff>
      <xdr:row>45</xdr:row>
      <xdr:rowOff>164435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266700</xdr:colOff>
      <xdr:row>102</xdr:row>
      <xdr:rowOff>190500</xdr:rowOff>
    </xdr:from>
    <xdr:to>
      <xdr:col>42</xdr:col>
      <xdr:colOff>294531</xdr:colOff>
      <xdr:row>134</xdr:row>
      <xdr:rowOff>74254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68580</xdr:colOff>
      <xdr:row>154</xdr:row>
      <xdr:rowOff>15240</xdr:rowOff>
    </xdr:from>
    <xdr:to>
      <xdr:col>10</xdr:col>
      <xdr:colOff>487679</xdr:colOff>
      <xdr:row>173</xdr:row>
      <xdr:rowOff>48770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773280</xdr:colOff>
      <xdr:row>17</xdr:row>
      <xdr:rowOff>109377</xdr:rowOff>
    </xdr:from>
    <xdr:to>
      <xdr:col>27</xdr:col>
      <xdr:colOff>79936</xdr:colOff>
      <xdr:row>56</xdr:row>
      <xdr:rowOff>33471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212820</xdr:colOff>
      <xdr:row>21</xdr:row>
      <xdr:rowOff>64144</xdr:rowOff>
    </xdr:from>
    <xdr:to>
      <xdr:col>52</xdr:col>
      <xdr:colOff>557571</xdr:colOff>
      <xdr:row>39</xdr:row>
      <xdr:rowOff>154891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209011</xdr:colOff>
      <xdr:row>11</xdr:row>
      <xdr:rowOff>12902</xdr:rowOff>
    </xdr:from>
    <xdr:to>
      <xdr:col>40</xdr:col>
      <xdr:colOff>456394</xdr:colOff>
      <xdr:row>29</xdr:row>
      <xdr:rowOff>130099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571500</xdr:colOff>
      <xdr:row>104</xdr:row>
      <xdr:rowOff>76200</xdr:rowOff>
    </xdr:from>
    <xdr:to>
      <xdr:col>43</xdr:col>
      <xdr:colOff>599331</xdr:colOff>
      <xdr:row>135</xdr:row>
      <xdr:rowOff>226654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38843</xdr:colOff>
      <xdr:row>146</xdr:row>
      <xdr:rowOff>41583</xdr:rowOff>
    </xdr:from>
    <xdr:to>
      <xdr:col>11</xdr:col>
      <xdr:colOff>485898</xdr:colOff>
      <xdr:row>166</xdr:row>
      <xdr:rowOff>123941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53997</xdr:colOff>
      <xdr:row>31</xdr:row>
      <xdr:rowOff>134890</xdr:rowOff>
    </xdr:from>
    <xdr:to>
      <xdr:col>40</xdr:col>
      <xdr:colOff>312466</xdr:colOff>
      <xdr:row>50</xdr:row>
      <xdr:rowOff>126190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146</xdr:row>
      <xdr:rowOff>0</xdr:rowOff>
    </xdr:from>
    <xdr:to>
      <xdr:col>18</xdr:col>
      <xdr:colOff>285862</xdr:colOff>
      <xdr:row>166</xdr:row>
      <xdr:rowOff>82358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380999</xdr:colOff>
      <xdr:row>168</xdr:row>
      <xdr:rowOff>0</xdr:rowOff>
    </xdr:from>
    <xdr:to>
      <xdr:col>13</xdr:col>
      <xdr:colOff>163285</xdr:colOff>
      <xdr:row>188</xdr:row>
      <xdr:rowOff>82358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994260</xdr:colOff>
      <xdr:row>18</xdr:row>
      <xdr:rowOff>40797</xdr:rowOff>
    </xdr:from>
    <xdr:to>
      <xdr:col>27</xdr:col>
      <xdr:colOff>300916</xdr:colOff>
      <xdr:row>56</xdr:row>
      <xdr:rowOff>157296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56693</xdr:colOff>
      <xdr:row>7</xdr:row>
      <xdr:rowOff>24801</xdr:rowOff>
    </xdr:from>
    <xdr:to>
      <xdr:col>48</xdr:col>
      <xdr:colOff>401444</xdr:colOff>
      <xdr:row>25</xdr:row>
      <xdr:rowOff>133770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381000</xdr:colOff>
      <xdr:row>105</xdr:row>
      <xdr:rowOff>0</xdr:rowOff>
    </xdr:from>
    <xdr:to>
      <xdr:col>46</xdr:col>
      <xdr:colOff>408831</xdr:colOff>
      <xdr:row>136</xdr:row>
      <xdr:rowOff>150454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181709</xdr:colOff>
      <xdr:row>59</xdr:row>
      <xdr:rowOff>47625</xdr:rowOff>
    </xdr:from>
    <xdr:to>
      <xdr:col>53</xdr:col>
      <xdr:colOff>295089</xdr:colOff>
      <xdr:row>101</xdr:row>
      <xdr:rowOff>99173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</xdr:colOff>
      <xdr:row>148</xdr:row>
      <xdr:rowOff>30480</xdr:rowOff>
    </xdr:from>
    <xdr:to>
      <xdr:col>10</xdr:col>
      <xdr:colOff>426719</xdr:colOff>
      <xdr:row>167</xdr:row>
      <xdr:rowOff>140210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358055</xdr:colOff>
      <xdr:row>148</xdr:row>
      <xdr:rowOff>83658</xdr:rowOff>
    </xdr:from>
    <xdr:to>
      <xdr:col>21</xdr:col>
      <xdr:colOff>245625</xdr:colOff>
      <xdr:row>169</xdr:row>
      <xdr:rowOff>19580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495300</xdr:colOff>
      <xdr:row>34</xdr:row>
      <xdr:rowOff>38100</xdr:rowOff>
    </xdr:from>
    <xdr:to>
      <xdr:col>39</xdr:col>
      <xdr:colOff>166460</xdr:colOff>
      <xdr:row>53</xdr:row>
      <xdr:rowOff>28192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514350</xdr:colOff>
      <xdr:row>10</xdr:row>
      <xdr:rowOff>161925</xdr:rowOff>
    </xdr:from>
    <xdr:to>
      <xdr:col>38</xdr:col>
      <xdr:colOff>185970</xdr:colOff>
      <xdr:row>29</xdr:row>
      <xdr:rowOff>41833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544680</xdr:colOff>
      <xdr:row>18</xdr:row>
      <xdr:rowOff>147477</xdr:rowOff>
    </xdr:from>
    <xdr:to>
      <xdr:col>29</xdr:col>
      <xdr:colOff>232336</xdr:colOff>
      <xdr:row>57</xdr:row>
      <xdr:rowOff>71571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131835</xdr:colOff>
      <xdr:row>5</xdr:row>
      <xdr:rowOff>34327</xdr:rowOff>
    </xdr:from>
    <xdr:to>
      <xdr:col>57</xdr:col>
      <xdr:colOff>476586</xdr:colOff>
      <xdr:row>23</xdr:row>
      <xdr:rowOff>75562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228600</xdr:colOff>
      <xdr:row>103</xdr:row>
      <xdr:rowOff>152400</xdr:rowOff>
    </xdr:from>
    <xdr:to>
      <xdr:col>44</xdr:col>
      <xdr:colOff>256431</xdr:colOff>
      <xdr:row>135</xdr:row>
      <xdr:rowOff>74254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67409</xdr:colOff>
      <xdr:row>58</xdr:row>
      <xdr:rowOff>47625</xdr:rowOff>
    </xdr:from>
    <xdr:to>
      <xdr:col>53</xdr:col>
      <xdr:colOff>180789</xdr:colOff>
      <xdr:row>100</xdr:row>
      <xdr:rowOff>137273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579120</xdr:colOff>
      <xdr:row>148</xdr:row>
      <xdr:rowOff>38100</xdr:rowOff>
    </xdr:from>
    <xdr:to>
      <xdr:col>10</xdr:col>
      <xdr:colOff>388619</xdr:colOff>
      <xdr:row>167</xdr:row>
      <xdr:rowOff>147830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457200</xdr:colOff>
      <xdr:row>25</xdr:row>
      <xdr:rowOff>103082</xdr:rowOff>
    </xdr:from>
    <xdr:to>
      <xdr:col>40</xdr:col>
      <xdr:colOff>128360</xdr:colOff>
      <xdr:row>44</xdr:row>
      <xdr:rowOff>36447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476250</xdr:colOff>
      <xdr:row>4</xdr:row>
      <xdr:rowOff>114300</xdr:rowOff>
    </xdr:from>
    <xdr:to>
      <xdr:col>40</xdr:col>
      <xdr:colOff>147870</xdr:colOff>
      <xdr:row>22</xdr:row>
      <xdr:rowOff>117821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49380</xdr:colOff>
      <xdr:row>25</xdr:row>
      <xdr:rowOff>147477</xdr:rowOff>
    </xdr:from>
    <xdr:to>
      <xdr:col>25</xdr:col>
      <xdr:colOff>575236</xdr:colOff>
      <xdr:row>64</xdr:row>
      <xdr:rowOff>71571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504368</xdr:colOff>
      <xdr:row>4</xdr:row>
      <xdr:rowOff>34326</xdr:rowOff>
    </xdr:from>
    <xdr:to>
      <xdr:col>51</xdr:col>
      <xdr:colOff>239519</xdr:colOff>
      <xdr:row>22</xdr:row>
      <xdr:rowOff>67095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103</xdr:row>
      <xdr:rowOff>0</xdr:rowOff>
    </xdr:from>
    <xdr:to>
      <xdr:col>40</xdr:col>
      <xdr:colOff>27831</xdr:colOff>
      <xdr:row>134</xdr:row>
      <xdr:rowOff>112354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524609</xdr:colOff>
      <xdr:row>54</xdr:row>
      <xdr:rowOff>123825</xdr:rowOff>
    </xdr:from>
    <xdr:to>
      <xdr:col>46</xdr:col>
      <xdr:colOff>28389</xdr:colOff>
      <xdr:row>97</xdr:row>
      <xdr:rowOff>137273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566057</xdr:colOff>
      <xdr:row>147</xdr:row>
      <xdr:rowOff>54429</xdr:rowOff>
    </xdr:from>
    <xdr:to>
      <xdr:col>10</xdr:col>
      <xdr:colOff>375556</xdr:colOff>
      <xdr:row>166</xdr:row>
      <xdr:rowOff>142387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23</xdr:row>
      <xdr:rowOff>174444</xdr:rowOff>
    </xdr:from>
    <xdr:to>
      <xdr:col>36</xdr:col>
      <xdr:colOff>280760</xdr:colOff>
      <xdr:row>42</xdr:row>
      <xdr:rowOff>130790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19050</xdr:colOff>
      <xdr:row>4</xdr:row>
      <xdr:rowOff>0</xdr:rowOff>
    </xdr:from>
    <xdr:to>
      <xdr:col>36</xdr:col>
      <xdr:colOff>300270</xdr:colOff>
      <xdr:row>21</xdr:row>
      <xdr:rowOff>182531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277980</xdr:colOff>
      <xdr:row>17</xdr:row>
      <xdr:rowOff>71277</xdr:rowOff>
    </xdr:from>
    <xdr:to>
      <xdr:col>25</xdr:col>
      <xdr:colOff>194236</xdr:colOff>
      <xdr:row>55</xdr:row>
      <xdr:rowOff>195396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161468</xdr:colOff>
      <xdr:row>5</xdr:row>
      <xdr:rowOff>19086</xdr:rowOff>
    </xdr:from>
    <xdr:to>
      <xdr:col>52</xdr:col>
      <xdr:colOff>506219</xdr:colOff>
      <xdr:row>23</xdr:row>
      <xdr:rowOff>59475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103</xdr:row>
      <xdr:rowOff>0</xdr:rowOff>
    </xdr:from>
    <xdr:to>
      <xdr:col>40</xdr:col>
      <xdr:colOff>27831</xdr:colOff>
      <xdr:row>134</xdr:row>
      <xdr:rowOff>112354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369277</xdr:colOff>
      <xdr:row>149</xdr:row>
      <xdr:rowOff>117231</xdr:rowOff>
    </xdr:from>
    <xdr:to>
      <xdr:col>10</xdr:col>
      <xdr:colOff>178776</xdr:colOff>
      <xdr:row>169</xdr:row>
      <xdr:rowOff>56976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23</xdr:row>
      <xdr:rowOff>174444</xdr:rowOff>
    </xdr:from>
    <xdr:to>
      <xdr:col>36</xdr:col>
      <xdr:colOff>280760</xdr:colOff>
      <xdr:row>42</xdr:row>
      <xdr:rowOff>130790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19050</xdr:colOff>
      <xdr:row>4</xdr:row>
      <xdr:rowOff>0</xdr:rowOff>
    </xdr:from>
    <xdr:to>
      <xdr:col>36</xdr:col>
      <xdr:colOff>300270</xdr:colOff>
      <xdr:row>21</xdr:row>
      <xdr:rowOff>182531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316080</xdr:colOff>
      <xdr:row>53</xdr:row>
      <xdr:rowOff>142714</xdr:rowOff>
    </xdr:from>
    <xdr:to>
      <xdr:col>29</xdr:col>
      <xdr:colOff>3736</xdr:colOff>
      <xdr:row>92</xdr:row>
      <xdr:rowOff>28708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602340</xdr:colOff>
      <xdr:row>3</xdr:row>
      <xdr:rowOff>99641</xdr:rowOff>
    </xdr:from>
    <xdr:to>
      <xdr:col>49</xdr:col>
      <xdr:colOff>337491</xdr:colOff>
      <xdr:row>21</xdr:row>
      <xdr:rowOff>132409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476250</xdr:colOff>
      <xdr:row>102</xdr:row>
      <xdr:rowOff>190500</xdr:rowOff>
    </xdr:from>
    <xdr:to>
      <xdr:col>44</xdr:col>
      <xdr:colOff>504081</xdr:colOff>
      <xdr:row>134</xdr:row>
      <xdr:rowOff>64729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714362</xdr:colOff>
      <xdr:row>160</xdr:row>
      <xdr:rowOff>69968</xdr:rowOff>
    </xdr:from>
    <xdr:to>
      <xdr:col>18</xdr:col>
      <xdr:colOff>304527</xdr:colOff>
      <xdr:row>179</xdr:row>
      <xdr:rowOff>98962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95250</xdr:colOff>
      <xdr:row>160</xdr:row>
      <xdr:rowOff>122465</xdr:rowOff>
    </xdr:from>
    <xdr:to>
      <xdr:col>11</xdr:col>
      <xdr:colOff>558178</xdr:colOff>
      <xdr:row>179</xdr:row>
      <xdr:rowOff>154089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43130</xdr:colOff>
      <xdr:row>4</xdr:row>
      <xdr:rowOff>0</xdr:rowOff>
    </xdr:from>
    <xdr:to>
      <xdr:col>36</xdr:col>
      <xdr:colOff>333519</xdr:colOff>
      <xdr:row>22</xdr:row>
      <xdr:rowOff>2445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23</xdr:row>
      <xdr:rowOff>139402</xdr:rowOff>
    </xdr:from>
    <xdr:to>
      <xdr:col>36</xdr:col>
      <xdr:colOff>294411</xdr:colOff>
      <xdr:row>42</xdr:row>
      <xdr:rowOff>19996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620880</xdr:colOff>
      <xdr:row>18</xdr:row>
      <xdr:rowOff>185577</xdr:rowOff>
    </xdr:from>
    <xdr:to>
      <xdr:col>26</xdr:col>
      <xdr:colOff>537136</xdr:colOff>
      <xdr:row>57</xdr:row>
      <xdr:rowOff>109671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145779</xdr:colOff>
      <xdr:row>6</xdr:row>
      <xdr:rowOff>159832</xdr:rowOff>
    </xdr:from>
    <xdr:to>
      <xdr:col>49</xdr:col>
      <xdr:colOff>490530</xdr:colOff>
      <xdr:row>25</xdr:row>
      <xdr:rowOff>31236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5443</xdr:colOff>
      <xdr:row>103</xdr:row>
      <xdr:rowOff>48986</xdr:rowOff>
    </xdr:from>
    <xdr:to>
      <xdr:col>47</xdr:col>
      <xdr:colOff>33274</xdr:colOff>
      <xdr:row>134</xdr:row>
      <xdr:rowOff>161340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617477</xdr:colOff>
      <xdr:row>145</xdr:row>
      <xdr:rowOff>27106</xdr:rowOff>
    </xdr:from>
    <xdr:to>
      <xdr:col>38</xdr:col>
      <xdr:colOff>173217</xdr:colOff>
      <xdr:row>164</xdr:row>
      <xdr:rowOff>71612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254997</xdr:colOff>
      <xdr:row>159</xdr:row>
      <xdr:rowOff>152400</xdr:rowOff>
    </xdr:from>
    <xdr:to>
      <xdr:col>23</xdr:col>
      <xdr:colOff>293518</xdr:colOff>
      <xdr:row>179</xdr:row>
      <xdr:rowOff>873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357187</xdr:colOff>
      <xdr:row>137</xdr:row>
      <xdr:rowOff>142875</xdr:rowOff>
    </xdr:from>
    <xdr:to>
      <xdr:col>23</xdr:col>
      <xdr:colOff>435712</xdr:colOff>
      <xdr:row>156</xdr:row>
      <xdr:rowOff>174500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2614</xdr:colOff>
      <xdr:row>4</xdr:row>
      <xdr:rowOff>0</xdr:rowOff>
    </xdr:from>
    <xdr:to>
      <xdr:col>36</xdr:col>
      <xdr:colOff>249997</xdr:colOff>
      <xdr:row>23</xdr:row>
      <xdr:rowOff>31447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24</xdr:row>
      <xdr:rowOff>113705</xdr:rowOff>
    </xdr:from>
    <xdr:to>
      <xdr:col>36</xdr:col>
      <xdr:colOff>258469</xdr:colOff>
      <xdr:row>44</xdr:row>
      <xdr:rowOff>44200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722480</xdr:colOff>
      <xdr:row>18</xdr:row>
      <xdr:rowOff>103027</xdr:rowOff>
    </xdr:from>
    <xdr:to>
      <xdr:col>27</xdr:col>
      <xdr:colOff>35486</xdr:colOff>
      <xdr:row>57</xdr:row>
      <xdr:rowOff>27121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31928</xdr:colOff>
      <xdr:row>7</xdr:row>
      <xdr:rowOff>118146</xdr:rowOff>
    </xdr:from>
    <xdr:to>
      <xdr:col>50</xdr:col>
      <xdr:colOff>376679</xdr:colOff>
      <xdr:row>25</xdr:row>
      <xdr:rowOff>166155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95250</xdr:colOff>
      <xdr:row>103</xdr:row>
      <xdr:rowOff>31750</xdr:rowOff>
    </xdr:from>
    <xdr:to>
      <xdr:col>42</xdr:col>
      <xdr:colOff>123081</xdr:colOff>
      <xdr:row>134</xdr:row>
      <xdr:rowOff>144104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510254</xdr:colOff>
      <xdr:row>138</xdr:row>
      <xdr:rowOff>178825</xdr:rowOff>
    </xdr:from>
    <xdr:to>
      <xdr:col>37</xdr:col>
      <xdr:colOff>73205</xdr:colOff>
      <xdr:row>160</xdr:row>
      <xdr:rowOff>58141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585108</xdr:colOff>
      <xdr:row>139</xdr:row>
      <xdr:rowOff>108857</xdr:rowOff>
    </xdr:from>
    <xdr:to>
      <xdr:col>26</xdr:col>
      <xdr:colOff>449320</xdr:colOff>
      <xdr:row>159</xdr:row>
      <xdr:rowOff>45232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586740</xdr:colOff>
      <xdr:row>24</xdr:row>
      <xdr:rowOff>59055</xdr:rowOff>
    </xdr:from>
    <xdr:to>
      <xdr:col>36</xdr:col>
      <xdr:colOff>257900</xdr:colOff>
      <xdr:row>43</xdr:row>
      <xdr:rowOff>56767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19050</xdr:colOff>
      <xdr:row>4</xdr:row>
      <xdr:rowOff>0</xdr:rowOff>
    </xdr:from>
    <xdr:to>
      <xdr:col>36</xdr:col>
      <xdr:colOff>300270</xdr:colOff>
      <xdr:row>22</xdr:row>
      <xdr:rowOff>62788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459545</xdr:colOff>
      <xdr:row>3</xdr:row>
      <xdr:rowOff>168796</xdr:rowOff>
    </xdr:from>
    <xdr:to>
      <xdr:col>56</xdr:col>
      <xdr:colOff>194696</xdr:colOff>
      <xdr:row>22</xdr:row>
      <xdr:rowOff>22271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571500</xdr:colOff>
      <xdr:row>103</xdr:row>
      <xdr:rowOff>63500</xdr:rowOff>
    </xdr:from>
    <xdr:to>
      <xdr:col>41</xdr:col>
      <xdr:colOff>599331</xdr:colOff>
      <xdr:row>134</xdr:row>
      <xdr:rowOff>175854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483577</xdr:colOff>
      <xdr:row>103</xdr:row>
      <xdr:rowOff>29308</xdr:rowOff>
    </xdr:from>
    <xdr:to>
      <xdr:col>27</xdr:col>
      <xdr:colOff>474773</xdr:colOff>
      <xdr:row>134</xdr:row>
      <xdr:rowOff>141662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178240</xdr:colOff>
      <xdr:row>136</xdr:row>
      <xdr:rowOff>105800</xdr:rowOff>
    </xdr:from>
    <xdr:to>
      <xdr:col>34</xdr:col>
      <xdr:colOff>373923</xdr:colOff>
      <xdr:row>155</xdr:row>
      <xdr:rowOff>107127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914400</xdr:colOff>
      <xdr:row>136</xdr:row>
      <xdr:rowOff>66675</xdr:rowOff>
    </xdr:from>
    <xdr:to>
      <xdr:col>24</xdr:col>
      <xdr:colOff>394438</xdr:colOff>
      <xdr:row>155</xdr:row>
      <xdr:rowOff>107825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24</xdr:row>
      <xdr:rowOff>120015</xdr:rowOff>
    </xdr:from>
    <xdr:to>
      <xdr:col>36</xdr:col>
      <xdr:colOff>280760</xdr:colOff>
      <xdr:row>44</xdr:row>
      <xdr:rowOff>6564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19050</xdr:colOff>
      <xdr:row>4</xdr:row>
      <xdr:rowOff>0</xdr:rowOff>
    </xdr:from>
    <xdr:to>
      <xdr:col>36</xdr:col>
      <xdr:colOff>300270</xdr:colOff>
      <xdr:row>22</xdr:row>
      <xdr:rowOff>116576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586409</xdr:colOff>
      <xdr:row>19</xdr:row>
      <xdr:rowOff>107564</xdr:rowOff>
    </xdr:from>
    <xdr:to>
      <xdr:col>25</xdr:col>
      <xdr:colOff>502665</xdr:colOff>
      <xdr:row>58</xdr:row>
      <xdr:rowOff>46625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367208</xdr:colOff>
      <xdr:row>4</xdr:row>
      <xdr:rowOff>57186</xdr:rowOff>
    </xdr:from>
    <xdr:to>
      <xdr:col>50</xdr:col>
      <xdr:colOff>102359</xdr:colOff>
      <xdr:row>22</xdr:row>
      <xdr:rowOff>89955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103</xdr:row>
      <xdr:rowOff>0</xdr:rowOff>
    </xdr:from>
    <xdr:to>
      <xdr:col>40</xdr:col>
      <xdr:colOff>27831</xdr:colOff>
      <xdr:row>134</xdr:row>
      <xdr:rowOff>112354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483040</xdr:colOff>
      <xdr:row>137</xdr:row>
      <xdr:rowOff>26425</xdr:rowOff>
    </xdr:from>
    <xdr:to>
      <xdr:col>33</xdr:col>
      <xdr:colOff>97698</xdr:colOff>
      <xdr:row>157</xdr:row>
      <xdr:rowOff>126177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457200</xdr:colOff>
      <xdr:row>136</xdr:row>
      <xdr:rowOff>152400</xdr:rowOff>
    </xdr:from>
    <xdr:to>
      <xdr:col>22</xdr:col>
      <xdr:colOff>569063</xdr:colOff>
      <xdr:row>155</xdr:row>
      <xdr:rowOff>184025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601980</xdr:colOff>
      <xdr:row>23</xdr:row>
      <xdr:rowOff>174444</xdr:rowOff>
    </xdr:from>
    <xdr:to>
      <xdr:col>36</xdr:col>
      <xdr:colOff>273140</xdr:colOff>
      <xdr:row>42</xdr:row>
      <xdr:rowOff>130790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19050</xdr:colOff>
      <xdr:row>4</xdr:row>
      <xdr:rowOff>0</xdr:rowOff>
    </xdr:from>
    <xdr:to>
      <xdr:col>36</xdr:col>
      <xdr:colOff>300270</xdr:colOff>
      <xdr:row>21</xdr:row>
      <xdr:rowOff>182531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586409</xdr:colOff>
      <xdr:row>19</xdr:row>
      <xdr:rowOff>107564</xdr:rowOff>
    </xdr:from>
    <xdr:to>
      <xdr:col>25</xdr:col>
      <xdr:colOff>502665</xdr:colOff>
      <xdr:row>58</xdr:row>
      <xdr:rowOff>46625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359588</xdr:colOff>
      <xdr:row>4</xdr:row>
      <xdr:rowOff>57186</xdr:rowOff>
    </xdr:from>
    <xdr:to>
      <xdr:col>50</xdr:col>
      <xdr:colOff>94739</xdr:colOff>
      <xdr:row>22</xdr:row>
      <xdr:rowOff>89955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103</xdr:row>
      <xdr:rowOff>0</xdr:rowOff>
    </xdr:from>
    <xdr:to>
      <xdr:col>40</xdr:col>
      <xdr:colOff>27831</xdr:colOff>
      <xdr:row>134</xdr:row>
      <xdr:rowOff>112354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148372</xdr:colOff>
      <xdr:row>57</xdr:row>
      <xdr:rowOff>176213</xdr:rowOff>
    </xdr:from>
    <xdr:to>
      <xdr:col>43</xdr:col>
      <xdr:colOff>271277</xdr:colOff>
      <xdr:row>100</xdr:row>
      <xdr:rowOff>75361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597340</xdr:colOff>
      <xdr:row>140</xdr:row>
      <xdr:rowOff>7375</xdr:rowOff>
    </xdr:from>
    <xdr:to>
      <xdr:col>39</xdr:col>
      <xdr:colOff>211998</xdr:colOff>
      <xdr:row>160</xdr:row>
      <xdr:rowOff>164277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381000</xdr:colOff>
      <xdr:row>141</xdr:row>
      <xdr:rowOff>133350</xdr:rowOff>
    </xdr:from>
    <xdr:to>
      <xdr:col>27</xdr:col>
      <xdr:colOff>283313</xdr:colOff>
      <xdr:row>161</xdr:row>
      <xdr:rowOff>69725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23</xdr:row>
      <xdr:rowOff>174444</xdr:rowOff>
    </xdr:from>
    <xdr:to>
      <xdr:col>36</xdr:col>
      <xdr:colOff>280760</xdr:colOff>
      <xdr:row>42</xdr:row>
      <xdr:rowOff>130790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19050</xdr:colOff>
      <xdr:row>4</xdr:row>
      <xdr:rowOff>0</xdr:rowOff>
    </xdr:from>
    <xdr:to>
      <xdr:col>36</xdr:col>
      <xdr:colOff>300270</xdr:colOff>
      <xdr:row>21</xdr:row>
      <xdr:rowOff>182531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1122860</xdr:colOff>
      <xdr:row>19</xdr:row>
      <xdr:rowOff>91070</xdr:rowOff>
    </xdr:from>
    <xdr:to>
      <xdr:col>27</xdr:col>
      <xdr:colOff>432980</xdr:colOff>
      <xdr:row>58</xdr:row>
      <xdr:rowOff>28771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103</xdr:row>
      <xdr:rowOff>0</xdr:rowOff>
    </xdr:from>
    <xdr:to>
      <xdr:col>40</xdr:col>
      <xdr:colOff>27831</xdr:colOff>
      <xdr:row>134</xdr:row>
      <xdr:rowOff>112354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600809</xdr:colOff>
      <xdr:row>58</xdr:row>
      <xdr:rowOff>9525</xdr:rowOff>
    </xdr:from>
    <xdr:to>
      <xdr:col>51</xdr:col>
      <xdr:colOff>104589</xdr:colOff>
      <xdr:row>100</xdr:row>
      <xdr:rowOff>99173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482087</xdr:colOff>
      <xdr:row>19</xdr:row>
      <xdr:rowOff>125706</xdr:rowOff>
    </xdr:from>
    <xdr:to>
      <xdr:col>26</xdr:col>
      <xdr:colOff>398344</xdr:colOff>
      <xdr:row>58</xdr:row>
      <xdr:rowOff>63407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51955</xdr:colOff>
      <xdr:row>109</xdr:row>
      <xdr:rowOff>17318</xdr:rowOff>
    </xdr:from>
    <xdr:to>
      <xdr:col>29</xdr:col>
      <xdr:colOff>408831</xdr:colOff>
      <xdr:row>140</xdr:row>
      <xdr:rowOff>164310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375672</xdr:colOff>
      <xdr:row>62</xdr:row>
      <xdr:rowOff>96116</xdr:rowOff>
    </xdr:from>
    <xdr:to>
      <xdr:col>34</xdr:col>
      <xdr:colOff>208497</xdr:colOff>
      <xdr:row>104</xdr:row>
      <xdr:rowOff>47218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5</xdr:row>
          <xdr:rowOff>66675</xdr:rowOff>
        </xdr:from>
        <xdr:to>
          <xdr:col>4</xdr:col>
          <xdr:colOff>95250</xdr:colOff>
          <xdr:row>8</xdr:row>
          <xdr:rowOff>95250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E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dati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2862447</xdr:colOff>
      <xdr:row>56</xdr:row>
      <xdr:rowOff>172810</xdr:rowOff>
    </xdr:from>
    <xdr:to>
      <xdr:col>20</xdr:col>
      <xdr:colOff>967590</xdr:colOff>
      <xdr:row>95</xdr:row>
      <xdr:rowOff>1202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308302</xdr:colOff>
      <xdr:row>15</xdr:row>
      <xdr:rowOff>38100</xdr:rowOff>
    </xdr:from>
    <xdr:to>
      <xdr:col>28</xdr:col>
      <xdr:colOff>424162</xdr:colOff>
      <xdr:row>35</xdr:row>
      <xdr:rowOff>54101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1994F054-C827-49CD-B374-4D6048F919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304800</xdr:colOff>
      <xdr:row>35</xdr:row>
      <xdr:rowOff>58548</xdr:rowOff>
    </xdr:from>
    <xdr:to>
      <xdr:col>28</xdr:col>
      <xdr:colOff>422125</xdr:colOff>
      <xdr:row>55</xdr:row>
      <xdr:rowOff>74549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29EA93C1-2F29-4689-BAFA-3759B5623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1317665</xdr:colOff>
      <xdr:row>58</xdr:row>
      <xdr:rowOff>10020</xdr:rowOff>
    </xdr:from>
    <xdr:to>
      <xdr:col>19</xdr:col>
      <xdr:colOff>835972</xdr:colOff>
      <xdr:row>96</xdr:row>
      <xdr:rowOff>46230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data\PVelectricity\CM_SAF_SARAH_2019Piemonte.xlsx" TargetMode="External"/><Relationship Id="rId1" Type="http://schemas.openxmlformats.org/officeDocument/2006/relationships/externalLinkPath" Target="/Users/andna/Documents/Ph.D/e-reforming/Aspen/Optimization/data/PVelectricity/CM_SAF_SARAH_2019Piemont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fix_1\Output_BGfix_1.xlsm" TargetMode="External"/><Relationship Id="rId1" Type="http://schemas.openxmlformats.org/officeDocument/2006/relationships/externalLinkPath" Target="/Users/andna/Documents/Ph.D/e-reforming/Aspen/Optimization/GAMS_papermodels/BGfix_1/Output_BGfix_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b\Output_BGSY_b.xlsm" TargetMode="External"/><Relationship Id="rId1" Type="http://schemas.openxmlformats.org/officeDocument/2006/relationships/externalLinkPath" Target="/Users/andna/Documents/Ph.D/e-reforming/Aspen/Optimization/GAMS_papermodels/BGSY_b/Output_BGSY_b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1\Output_BGSY_1.xlsm" TargetMode="External"/><Relationship Id="rId1" Type="http://schemas.openxmlformats.org/officeDocument/2006/relationships/externalLinkPath" Target="/Users/andna/Documents/Ph.D/e-reforming/Aspen/Optimization/GAMS_papermodels/BGSY_1/Output_BGSY_1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fix_b\Output_BGfix_b_paper.xlsm" TargetMode="External"/><Relationship Id="rId1" Type="http://schemas.openxmlformats.org/officeDocument/2006/relationships/externalLinkPath" Target="/Users/andna/Documents/Ph.D/e-reforming/Aspen/Optimization/GAMS_papermodels/BGfix_b/Output_BGfix_b_paper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b\Output_BGSY_b_paper.xlsm" TargetMode="External"/><Relationship Id="rId1" Type="http://schemas.openxmlformats.org/officeDocument/2006/relationships/externalLinkPath" Target="/Users/andna/Documents/Ph.D/e-reforming/Aspen/Optimization/GAMS_papermodels/BGSY_b/Output_BGSY_b_paper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fix_d\Output_BGfix_d.xlsm" TargetMode="External"/><Relationship Id="rId1" Type="http://schemas.openxmlformats.org/officeDocument/2006/relationships/externalLinkPath" Target="/Users/andna/Documents/Ph.D/e-reforming/Aspen/Optimization/GAMS_papermodels/BGfix_d/Output_BGfix_d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d\Output_BGSY_d.xlsm" TargetMode="External"/><Relationship Id="rId1" Type="http://schemas.openxmlformats.org/officeDocument/2006/relationships/externalLinkPath" Target="/Users/andna/Documents/Ph.D/e-reforming/Aspen/Optimization/GAMS_papermodels/BGSY_d/Output_BGSY_d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fix_2\Output_BGfix_2.xlsm" TargetMode="External"/><Relationship Id="rId1" Type="http://schemas.openxmlformats.org/officeDocument/2006/relationships/externalLinkPath" Target="/Users/andna/Documents/Ph.D/e-reforming/Aspen/Optimization/GAMS_papermodels/BGfix_2/Output_BGfix_2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2\Output_BGSY_2030.xlsm" TargetMode="External"/><Relationship Id="rId1" Type="http://schemas.openxmlformats.org/officeDocument/2006/relationships/externalLinkPath" Target="/Users/andna/Documents/Ph.D/e-reforming/Aspen/Optimization/GAMS_papermodels/BGSY_2/Output_BGSY_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fix_b2\Output_BGfix_b2_paper.xlsm" TargetMode="External"/><Relationship Id="rId1" Type="http://schemas.openxmlformats.org/officeDocument/2006/relationships/externalLinkPath" Target="/Users/andna/Documents/Ph.D/e-reforming/Aspen/Optimization/GAMS_papermodels/BGfix_b2/Output_BGfix_b2_paper.xlsm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b2\Output_BGSY_b2.xlsm" TargetMode="External"/><Relationship Id="rId1" Type="http://schemas.openxmlformats.org/officeDocument/2006/relationships/externalLinkPath" Target="/Users/andna/Documents/Ph.D/e-reforming/Aspen/Optimization/GAMS_papermodels/BGSY_b2/Output_BGSY_b2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fix_d2\Output_BGfix_d2.xlsm" TargetMode="External"/><Relationship Id="rId1" Type="http://schemas.openxmlformats.org/officeDocument/2006/relationships/externalLinkPath" Target="/Users/andna/Documents/Ph.D/e-reforming/Aspen/Optimization/GAMS_papermodels/BGfix_d2/Output_BGfix_d2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na\Documents\Ph.D\e-reforming\Aspen\Optimization\GAMS_papermodels\BGSY_d2\Output_BGSY_d2.xlsm" TargetMode="External"/><Relationship Id="rId1" Type="http://schemas.openxmlformats.org/officeDocument/2006/relationships/externalLinkPath" Target="/Users/andna/Documents/Ph.D/e-reforming/Aspen/Optimization/GAMS_papermodels/BGSY_d2/Output_BGSY_d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M_SAF_SARAH_2019Piemonte"/>
    </sheetNames>
    <sheetDataSet>
      <sheetData sheetId="0">
        <row r="15">
          <cell r="I15" t="str">
            <v>Jan</v>
          </cell>
        </row>
        <row r="16">
          <cell r="I16" t="str">
            <v>Feb</v>
          </cell>
        </row>
        <row r="17">
          <cell r="I17" t="str">
            <v>Mar</v>
          </cell>
        </row>
        <row r="18">
          <cell r="I18" t="str">
            <v>Apr</v>
          </cell>
        </row>
        <row r="19">
          <cell r="I19" t="str">
            <v>May</v>
          </cell>
        </row>
        <row r="20">
          <cell r="I20" t="str">
            <v>Jun</v>
          </cell>
        </row>
        <row r="21">
          <cell r="I21" t="str">
            <v>Jul</v>
          </cell>
        </row>
        <row r="22">
          <cell r="I22" t="str">
            <v>Aug</v>
          </cell>
        </row>
        <row r="23">
          <cell r="I23" t="str">
            <v>Sep</v>
          </cell>
        </row>
        <row r="24">
          <cell r="I24" t="str">
            <v>Oct</v>
          </cell>
        </row>
        <row r="25">
          <cell r="I25" t="str">
            <v>Nov</v>
          </cell>
        </row>
        <row r="26">
          <cell r="I26" t="str">
            <v>Dec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40SP"/>
      <sheetName val="60SP"/>
      <sheetName val="80SP"/>
      <sheetName val="90SP"/>
      <sheetName val="95SP"/>
      <sheetName val="99SP"/>
      <sheetName val="100SP"/>
      <sheetName val="Results_SP"/>
      <sheetName val="hourly_plots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</v>
          </cell>
        </row>
        <row r="169">
          <cell r="B169">
            <v>0</v>
          </cell>
        </row>
      </sheetData>
      <sheetData sheetId="4">
        <row r="112">
          <cell r="F112">
            <v>0</v>
          </cell>
        </row>
        <row r="169">
          <cell r="B169">
            <v>0</v>
          </cell>
        </row>
      </sheetData>
      <sheetData sheetId="5">
        <row r="112">
          <cell r="F112">
            <v>0</v>
          </cell>
        </row>
        <row r="169">
          <cell r="B169">
            <v>0</v>
          </cell>
        </row>
      </sheetData>
      <sheetData sheetId="6">
        <row r="112">
          <cell r="F112">
            <v>0</v>
          </cell>
        </row>
        <row r="169">
          <cell r="B169">
            <v>0</v>
          </cell>
        </row>
      </sheetData>
      <sheetData sheetId="7"/>
      <sheetData sheetId="8">
        <row r="112">
          <cell r="F112">
            <v>0</v>
          </cell>
        </row>
        <row r="169">
          <cell r="B169">
            <v>0</v>
          </cell>
        </row>
      </sheetData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100SP"/>
      <sheetName val="Results_SP"/>
    </sheetNames>
    <sheetDataSet>
      <sheetData sheetId="0"/>
      <sheetData sheetId="1">
        <row r="174">
          <cell r="C174">
            <v>1630310.3764790881</v>
          </cell>
        </row>
        <row r="175">
          <cell r="C175">
            <v>5111323.9103365559</v>
          </cell>
        </row>
        <row r="176">
          <cell r="C176">
            <v>542342.8500791121</v>
          </cell>
        </row>
      </sheetData>
      <sheetData sheetId="2">
        <row r="174">
          <cell r="C174">
            <v>1630310.3764795179</v>
          </cell>
        </row>
        <row r="175">
          <cell r="C175">
            <v>5111323.9103378681</v>
          </cell>
        </row>
        <row r="176">
          <cell r="C176">
            <v>542342.85007918288</v>
          </cell>
        </row>
      </sheetData>
      <sheetData sheetId="3">
        <row r="174">
          <cell r="C174">
            <v>1630310.3764792352</v>
          </cell>
        </row>
        <row r="175">
          <cell r="C175">
            <v>5111323.9103373047</v>
          </cell>
        </row>
        <row r="176">
          <cell r="C176">
            <v>542342.85007914179</v>
          </cell>
        </row>
      </sheetData>
      <sheetData sheetId="4">
        <row r="174">
          <cell r="C174">
            <v>1630310.3764794411</v>
          </cell>
        </row>
        <row r="175">
          <cell r="C175">
            <v>5111323.9103372535</v>
          </cell>
        </row>
        <row r="176">
          <cell r="C176">
            <v>542342.85007914063</v>
          </cell>
        </row>
      </sheetData>
      <sheetData sheetId="5">
        <row r="174">
          <cell r="C174">
            <v>1630310.3764794073</v>
          </cell>
        </row>
        <row r="175">
          <cell r="C175">
            <v>5111323.9103376018</v>
          </cell>
        </row>
        <row r="176">
          <cell r="C176">
            <v>542342.85007914237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40SP"/>
      <sheetName val="60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3.7932116470074104E-13</v>
          </cell>
        </row>
        <row r="169">
          <cell r="B169">
            <v>1.3304428794062156E-14</v>
          </cell>
        </row>
      </sheetData>
      <sheetData sheetId="4">
        <row r="112">
          <cell r="F112">
            <v>270.65887799928362</v>
          </cell>
        </row>
        <row r="169">
          <cell r="B169">
            <v>9.4931738719697929</v>
          </cell>
        </row>
      </sheetData>
      <sheetData sheetId="5">
        <row r="112">
          <cell r="F112">
            <v>276.52870360573075</v>
          </cell>
        </row>
        <row r="169">
          <cell r="B169">
            <v>9.6990539653628147</v>
          </cell>
        </row>
      </sheetData>
      <sheetData sheetId="6">
        <row r="112">
          <cell r="F112">
            <v>187.91575566556571</v>
          </cell>
        </row>
        <row r="169">
          <cell r="B169">
            <v>6.5910158018926301</v>
          </cell>
        </row>
      </sheetData>
      <sheetData sheetId="7">
        <row r="112">
          <cell r="F112">
            <v>52.9056709485385</v>
          </cell>
        </row>
        <row r="169">
          <cell r="B169">
            <v>1.8556299975832542</v>
          </cell>
        </row>
      </sheetData>
      <sheetData sheetId="8">
        <row r="112">
          <cell r="F112">
            <v>102.18164082454938</v>
          </cell>
        </row>
        <row r="169">
          <cell r="B169">
            <v>3.5839507280939125</v>
          </cell>
        </row>
      </sheetData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</v>
          </cell>
        </row>
        <row r="169">
          <cell r="B169">
            <v>0</v>
          </cell>
        </row>
      </sheetData>
      <sheetData sheetId="4">
        <row r="112">
          <cell r="F112">
            <v>0</v>
          </cell>
        </row>
        <row r="169">
          <cell r="B169">
            <v>0</v>
          </cell>
        </row>
      </sheetData>
      <sheetData sheetId="5"/>
      <sheetData sheetId="6">
        <row r="112">
          <cell r="F112">
            <v>0</v>
          </cell>
        </row>
        <row r="169">
          <cell r="B169">
            <v>0</v>
          </cell>
        </row>
      </sheetData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7.0138791392398279</v>
          </cell>
        </row>
        <row r="169">
          <cell r="B169">
            <v>0.24600698369096818</v>
          </cell>
        </row>
      </sheetData>
      <sheetData sheetId="3">
        <row r="112">
          <cell r="F112">
            <v>205.48760900372807</v>
          </cell>
        </row>
        <row r="169">
          <cell r="B169">
            <v>7.2073364643627142</v>
          </cell>
        </row>
      </sheetData>
      <sheetData sheetId="4">
        <row r="112">
          <cell r="F112">
            <v>238.62049106372552</v>
          </cell>
        </row>
        <row r="169">
          <cell r="B169">
            <v>8.3694494997823643</v>
          </cell>
        </row>
      </sheetData>
      <sheetData sheetId="5">
        <row r="112">
          <cell r="F112">
            <v>98.483982579207506</v>
          </cell>
        </row>
        <row r="169">
          <cell r="B169">
            <v>3.454257909954594</v>
          </cell>
        </row>
      </sheetData>
      <sheetData sheetId="6">
        <row r="112">
          <cell r="F112">
            <v>9.3956201300330662</v>
          </cell>
        </row>
        <row r="169">
          <cell r="B169">
            <v>0.32954490977243839</v>
          </cell>
        </row>
      </sheetData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</v>
          </cell>
        </row>
        <row r="169">
          <cell r="B169">
            <v>0</v>
          </cell>
        </row>
      </sheetData>
      <sheetData sheetId="4">
        <row r="112">
          <cell r="F112">
            <v>0</v>
          </cell>
        </row>
        <row r="169">
          <cell r="B169">
            <v>0</v>
          </cell>
        </row>
      </sheetData>
      <sheetData sheetId="5"/>
      <sheetData sheetId="6">
        <row r="112">
          <cell r="F112">
            <v>0</v>
          </cell>
        </row>
        <row r="169">
          <cell r="B169">
            <v>0</v>
          </cell>
        </row>
      </sheetData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/>
      <sheetData sheetId="2"/>
      <sheetData sheetId="3"/>
      <sheetData sheetId="4"/>
      <sheetData sheetId="5">
        <row r="112">
          <cell r="F112">
            <v>177.39979625677231</v>
          </cell>
        </row>
        <row r="169">
          <cell r="B169">
            <v>6.2221757629617187</v>
          </cell>
        </row>
      </sheetData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40SP"/>
      <sheetName val="60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</v>
          </cell>
        </row>
        <row r="169">
          <cell r="B169">
            <v>0</v>
          </cell>
        </row>
      </sheetData>
      <sheetData sheetId="4">
        <row r="112">
          <cell r="F112">
            <v>0</v>
          </cell>
        </row>
        <row r="169">
          <cell r="B169">
            <v>0</v>
          </cell>
        </row>
      </sheetData>
      <sheetData sheetId="5">
        <row r="112">
          <cell r="F112">
            <v>0</v>
          </cell>
        </row>
        <row r="169">
          <cell r="B169">
            <v>0</v>
          </cell>
        </row>
      </sheetData>
      <sheetData sheetId="6">
        <row r="112">
          <cell r="F112">
            <v>0</v>
          </cell>
        </row>
        <row r="169">
          <cell r="B169">
            <v>0</v>
          </cell>
        </row>
      </sheetData>
      <sheetData sheetId="7"/>
      <sheetData sheetId="8">
        <row r="112">
          <cell r="F112">
            <v>0</v>
          </cell>
        </row>
        <row r="169">
          <cell r="B169">
            <v>0</v>
          </cell>
        </row>
      </sheetData>
      <sheetData sheetId="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95SP BGfix"/>
      <sheetName val="NoSP"/>
      <sheetName val="40SP"/>
      <sheetName val="60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/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0.41938486112705109</v>
          </cell>
        </row>
        <row r="169">
          <cell r="B169">
            <v>1.4709635373429498E-2</v>
          </cell>
        </row>
      </sheetData>
      <sheetData sheetId="4">
        <row r="112">
          <cell r="F112">
            <v>0.41938486112704781</v>
          </cell>
        </row>
        <row r="169">
          <cell r="B169">
            <v>1.4709635373429383E-2</v>
          </cell>
        </row>
      </sheetData>
      <sheetData sheetId="5">
        <row r="112">
          <cell r="F112">
            <v>0.41938486112704781</v>
          </cell>
        </row>
        <row r="169">
          <cell r="B169">
            <v>1.4709635373429383E-2</v>
          </cell>
        </row>
      </sheetData>
      <sheetData sheetId="6">
        <row r="112">
          <cell r="F112">
            <v>118.68734332108838</v>
          </cell>
        </row>
        <row r="169">
          <cell r="B169">
            <v>4.162876883544337</v>
          </cell>
        </row>
      </sheetData>
      <sheetData sheetId="7">
        <row r="112">
          <cell r="F112">
            <v>253.51710326855462</v>
          </cell>
        </row>
        <row r="169">
          <cell r="B169">
            <v>8.8919379206651428</v>
          </cell>
        </row>
      </sheetData>
      <sheetData sheetId="8">
        <row r="112">
          <cell r="F112">
            <v>403.62481373681959</v>
          </cell>
        </row>
        <row r="169">
          <cell r="B169">
            <v>14.156862557655291</v>
          </cell>
        </row>
      </sheetData>
      <sheetData sheetId="9">
        <row r="112">
          <cell r="F112">
            <v>437.83779501660575</v>
          </cell>
        </row>
        <row r="169">
          <cell r="B169">
            <v>15.356859329859148</v>
          </cell>
        </row>
      </sheetData>
      <sheetData sheetId="1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</v>
          </cell>
        </row>
        <row r="169">
          <cell r="B169">
            <v>0</v>
          </cell>
        </row>
      </sheetData>
      <sheetData sheetId="4">
        <row r="112">
          <cell r="F112">
            <v>0</v>
          </cell>
        </row>
        <row r="169">
          <cell r="B169">
            <v>0</v>
          </cell>
        </row>
      </sheetData>
      <sheetData sheetId="5"/>
      <sheetData sheetId="6">
        <row r="112">
          <cell r="F112">
            <v>0</v>
          </cell>
        </row>
        <row r="169">
          <cell r="B169">
            <v>0</v>
          </cell>
        </row>
      </sheetData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95SP BGfix"/>
      <sheetName val="95SP BGvar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/>
      <sheetData sheetId="2"/>
      <sheetData sheetId="3">
        <row r="112">
          <cell r="F112">
            <v>0.41938486112704781</v>
          </cell>
        </row>
        <row r="169">
          <cell r="B169">
            <v>1.4709635373429383E-2</v>
          </cell>
        </row>
      </sheetData>
      <sheetData sheetId="4">
        <row r="112">
          <cell r="F112">
            <v>4.8306859391505146</v>
          </cell>
        </row>
        <row r="169">
          <cell r="B169">
            <v>0.16943298472314255</v>
          </cell>
        </row>
      </sheetData>
      <sheetData sheetId="5">
        <row r="112">
          <cell r="F112">
            <v>44.157231410575029</v>
          </cell>
        </row>
        <row r="169">
          <cell r="B169">
            <v>1.5487845016726338</v>
          </cell>
        </row>
      </sheetData>
      <sheetData sheetId="6">
        <row r="112">
          <cell r="F112">
            <v>92.868096621548489</v>
          </cell>
        </row>
        <row r="169">
          <cell r="B169">
            <v>3.2572845749755297</v>
          </cell>
        </row>
      </sheetData>
      <sheetData sheetId="7">
        <row r="112">
          <cell r="F112">
            <v>164.44137021638451</v>
          </cell>
        </row>
        <row r="169">
          <cell r="B169">
            <v>5.7676678878910632</v>
          </cell>
        </row>
      </sheetData>
      <sheetData sheetId="8">
        <row r="112">
          <cell r="F112">
            <v>57.065966404013238</v>
          </cell>
        </row>
        <row r="169">
          <cell r="B169">
            <v>2.0015494974700898</v>
          </cell>
        </row>
      </sheetData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>
        <row r="112">
          <cell r="F112">
            <v>0</v>
          </cell>
        </row>
        <row r="169">
          <cell r="B169">
            <v>0</v>
          </cell>
        </row>
      </sheetData>
      <sheetData sheetId="2">
        <row r="112">
          <cell r="F112">
            <v>0</v>
          </cell>
        </row>
        <row r="169">
          <cell r="B169">
            <v>0</v>
          </cell>
        </row>
      </sheetData>
      <sheetData sheetId="3">
        <row r="112">
          <cell r="F112">
            <v>0</v>
          </cell>
        </row>
        <row r="169">
          <cell r="B169">
            <v>0</v>
          </cell>
        </row>
      </sheetData>
      <sheetData sheetId="4">
        <row r="112">
          <cell r="F112">
            <v>0</v>
          </cell>
        </row>
        <row r="169">
          <cell r="B169">
            <v>0</v>
          </cell>
        </row>
      </sheetData>
      <sheetData sheetId="5"/>
      <sheetData sheetId="6">
        <row r="112">
          <cell r="F112">
            <v>0</v>
          </cell>
        </row>
        <row r="169">
          <cell r="B169">
            <v>0</v>
          </cell>
        </row>
      </sheetData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glio1"/>
      <sheetName val="NoSP"/>
      <sheetName val="80SP"/>
      <sheetName val="90SP"/>
      <sheetName val="95SP"/>
      <sheetName val="99SP"/>
      <sheetName val="100SP"/>
      <sheetName val="Results_SP"/>
    </sheetNames>
    <sheetDataSet>
      <sheetData sheetId="0"/>
      <sheetData sheetId="1"/>
      <sheetData sheetId="2"/>
      <sheetData sheetId="3"/>
      <sheetData sheetId="4"/>
      <sheetData sheetId="5">
        <row r="112">
          <cell r="F112">
            <v>381.96071599702094</v>
          </cell>
        </row>
        <row r="169">
          <cell r="B169">
            <v>13.397009239177407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CDA4B-63C3-4B7A-9B3D-418ED59B0712}">
  <sheetPr codeName="Foglio2"/>
  <dimension ref="B5:N74"/>
  <sheetViews>
    <sheetView zoomScale="80" zoomScaleNormal="80" workbookViewId="0">
      <selection activeCell="G57" sqref="G57"/>
    </sheetView>
  </sheetViews>
  <sheetFormatPr defaultRowHeight="15" x14ac:dyDescent="0.25"/>
  <cols>
    <col min="2" max="2" width="13.5703125" bestFit="1" customWidth="1"/>
    <col min="3" max="3" width="17.5703125" bestFit="1" customWidth="1"/>
    <col min="14" max="14" width="14" customWidth="1"/>
  </cols>
  <sheetData>
    <row r="5" spans="2:9" x14ac:dyDescent="0.25">
      <c r="B5" s="248" t="s">
        <v>132</v>
      </c>
      <c r="C5" s="247"/>
      <c r="D5" s="247" t="s">
        <v>129</v>
      </c>
      <c r="E5" s="247" t="s">
        <v>130</v>
      </c>
      <c r="F5" s="247" t="s">
        <v>131</v>
      </c>
      <c r="G5" s="247" t="s">
        <v>135</v>
      </c>
    </row>
    <row r="6" spans="2:9" x14ac:dyDescent="0.25">
      <c r="B6" s="292" t="s">
        <v>136</v>
      </c>
      <c r="C6" s="98" t="s">
        <v>137</v>
      </c>
      <c r="D6" s="293">
        <v>800</v>
      </c>
      <c r="E6" s="293">
        <v>800</v>
      </c>
      <c r="F6" s="293">
        <v>800</v>
      </c>
      <c r="G6" s="293">
        <v>2000</v>
      </c>
    </row>
    <row r="7" spans="2:9" x14ac:dyDescent="0.25">
      <c r="B7" s="249" t="s">
        <v>113</v>
      </c>
      <c r="C7" s="251" t="s">
        <v>137</v>
      </c>
      <c r="D7" s="294">
        <v>768.63900000000001</v>
      </c>
      <c r="E7" s="294">
        <v>791.99599999999998</v>
      </c>
      <c r="F7" s="294">
        <v>792.02499999999998</v>
      </c>
      <c r="G7" s="294">
        <v>1973.934</v>
      </c>
    </row>
    <row r="8" spans="2:9" x14ac:dyDescent="0.25">
      <c r="B8" s="249" t="s">
        <v>112</v>
      </c>
      <c r="C8" s="251" t="s">
        <v>137</v>
      </c>
      <c r="D8" s="294">
        <v>119.39943276255703</v>
      </c>
      <c r="E8" s="294">
        <v>218.04161141552555</v>
      </c>
      <c r="F8" s="294">
        <v>244.73727557077669</v>
      </c>
      <c r="G8" s="294">
        <v>1102.0461173515978</v>
      </c>
    </row>
    <row r="9" spans="2:9" x14ac:dyDescent="0.25">
      <c r="B9" s="250" t="s">
        <v>114</v>
      </c>
      <c r="C9" s="102" t="s">
        <v>2</v>
      </c>
      <c r="D9" s="255">
        <v>0.14924929095319628</v>
      </c>
      <c r="E9" s="255">
        <v>0.27255201426940695</v>
      </c>
      <c r="F9" s="255">
        <v>0.30592159446347084</v>
      </c>
      <c r="G9" s="255">
        <v>0.55102305867579893</v>
      </c>
    </row>
    <row r="10" spans="2:9" x14ac:dyDescent="0.25">
      <c r="C10" s="6"/>
      <c r="D10" s="6"/>
      <c r="E10" s="6"/>
      <c r="F10" s="6"/>
      <c r="G10" s="6"/>
    </row>
    <row r="11" spans="2:9" x14ac:dyDescent="0.25">
      <c r="C11" s="252" t="s">
        <v>115</v>
      </c>
      <c r="D11" s="6"/>
      <c r="E11" s="6"/>
      <c r="F11" s="6"/>
      <c r="G11" s="6"/>
    </row>
    <row r="12" spans="2:9" x14ac:dyDescent="0.25">
      <c r="B12">
        <v>1</v>
      </c>
      <c r="C12" s="15" t="s">
        <v>116</v>
      </c>
      <c r="D12" s="246">
        <v>0.2208</v>
      </c>
      <c r="E12" s="246">
        <v>0.40169692708333349</v>
      </c>
      <c r="F12" s="246">
        <v>0.40907765961021519</v>
      </c>
      <c r="G12" s="246">
        <v>0.63313161559139797</v>
      </c>
    </row>
    <row r="13" spans="2:9" x14ac:dyDescent="0.25">
      <c r="B13">
        <v>2</v>
      </c>
      <c r="C13" s="6" t="s">
        <v>117</v>
      </c>
      <c r="D13" s="244">
        <v>0.14699999999999999</v>
      </c>
      <c r="E13" s="244">
        <v>0.50056698474702399</v>
      </c>
      <c r="F13" s="244">
        <v>0.48434378720238108</v>
      </c>
      <c r="G13" s="244">
        <v>0.59977513095238111</v>
      </c>
    </row>
    <row r="14" spans="2:9" x14ac:dyDescent="0.25">
      <c r="B14">
        <v>3</v>
      </c>
      <c r="C14" s="6" t="s">
        <v>118</v>
      </c>
      <c r="D14" s="244">
        <v>0.21510000000000001</v>
      </c>
      <c r="E14" s="244">
        <v>0.42380486391129041</v>
      </c>
      <c r="F14" s="244">
        <v>0.48679735551075309</v>
      </c>
      <c r="G14" s="244">
        <v>0.56232497916666691</v>
      </c>
    </row>
    <row r="15" spans="2:9" x14ac:dyDescent="0.25">
      <c r="B15">
        <v>4</v>
      </c>
      <c r="C15" s="6" t="s">
        <v>119</v>
      </c>
      <c r="D15" s="244">
        <v>0.15920000000000001</v>
      </c>
      <c r="E15" s="244">
        <v>0.28740069270833341</v>
      </c>
      <c r="F15" s="244">
        <v>0.30518295138888885</v>
      </c>
      <c r="G15" s="244">
        <v>0.49401061666666624</v>
      </c>
      <c r="I15" s="244"/>
    </row>
    <row r="16" spans="2:9" x14ac:dyDescent="0.25">
      <c r="B16">
        <v>5</v>
      </c>
      <c r="C16" s="6" t="s">
        <v>120</v>
      </c>
      <c r="D16" s="244">
        <v>0.161</v>
      </c>
      <c r="E16" s="244">
        <v>0.24407549059139783</v>
      </c>
      <c r="F16" s="244">
        <v>0.28847149361559166</v>
      </c>
      <c r="G16" s="244">
        <v>0.57362546169354911</v>
      </c>
      <c r="I16" s="244"/>
    </row>
    <row r="17" spans="2:9" x14ac:dyDescent="0.25">
      <c r="B17">
        <v>6</v>
      </c>
      <c r="C17" s="6" t="s">
        <v>121</v>
      </c>
      <c r="D17" s="244">
        <v>0.10539999999999999</v>
      </c>
      <c r="E17" s="244">
        <v>0.19859085937500001</v>
      </c>
      <c r="F17" s="244">
        <v>0.22861787152777779</v>
      </c>
      <c r="G17" s="244">
        <v>0.46221042152777764</v>
      </c>
      <c r="I17" s="244"/>
    </row>
    <row r="18" spans="2:9" x14ac:dyDescent="0.25">
      <c r="B18">
        <v>7</v>
      </c>
      <c r="C18" s="6" t="s">
        <v>122</v>
      </c>
      <c r="D18" s="244">
        <v>0.1</v>
      </c>
      <c r="E18" s="244">
        <v>0.15707896841397834</v>
      </c>
      <c r="F18" s="244">
        <v>0.22285908602150539</v>
      </c>
      <c r="G18" s="244">
        <v>0.49601310416666661</v>
      </c>
      <c r="I18" s="244"/>
    </row>
    <row r="19" spans="2:9" x14ac:dyDescent="0.25">
      <c r="B19">
        <v>8</v>
      </c>
      <c r="C19" s="6" t="s">
        <v>123</v>
      </c>
      <c r="D19" s="244">
        <v>9.35E-2</v>
      </c>
      <c r="E19" s="244">
        <v>0.16524316364247316</v>
      </c>
      <c r="F19" s="244">
        <v>0.22203718245967752</v>
      </c>
      <c r="G19" s="244">
        <v>0.39811985416666673</v>
      </c>
      <c r="I19" s="244"/>
    </row>
    <row r="20" spans="2:9" x14ac:dyDescent="0.25">
      <c r="B20">
        <v>9</v>
      </c>
      <c r="C20" s="6" t="s">
        <v>124</v>
      </c>
      <c r="D20" s="244">
        <v>0.1017</v>
      </c>
      <c r="E20" s="244">
        <v>0.20496195659722197</v>
      </c>
      <c r="F20" s="244">
        <v>0.25312956770833339</v>
      </c>
      <c r="G20" s="244">
        <v>0.49293945555555507</v>
      </c>
      <c r="I20" s="244"/>
    </row>
    <row r="21" spans="2:9" x14ac:dyDescent="0.25">
      <c r="B21">
        <v>10</v>
      </c>
      <c r="C21" s="6" t="s">
        <v>125</v>
      </c>
      <c r="D21" s="244">
        <v>0.14799999999999999</v>
      </c>
      <c r="E21" s="244">
        <v>0.26182805443548413</v>
      </c>
      <c r="F21" s="244">
        <v>0.28714945228494626</v>
      </c>
      <c r="G21" s="244">
        <v>0.47943877889784919</v>
      </c>
      <c r="I21" s="244"/>
    </row>
    <row r="22" spans="2:9" x14ac:dyDescent="0.25">
      <c r="B22">
        <v>11</v>
      </c>
      <c r="C22" s="6" t="s">
        <v>126</v>
      </c>
      <c r="D22" s="244">
        <v>0.16769999999999999</v>
      </c>
      <c r="E22" s="244">
        <v>0.28674733333333335</v>
      </c>
      <c r="F22" s="244">
        <v>0.37934349305555526</v>
      </c>
      <c r="G22" s="244">
        <v>0.66600797708333348</v>
      </c>
      <c r="I22" s="244"/>
    </row>
    <row r="23" spans="2:9" x14ac:dyDescent="0.25">
      <c r="B23" s="243">
        <v>12</v>
      </c>
      <c r="C23" s="26" t="s">
        <v>127</v>
      </c>
      <c r="D23" s="245">
        <v>0.1714</v>
      </c>
      <c r="E23" s="245">
        <v>0.15706557627688167</v>
      </c>
      <c r="F23" s="245">
        <v>0.11946388104838711</v>
      </c>
      <c r="G23" s="245">
        <v>0.75652874260752745</v>
      </c>
      <c r="I23" s="244"/>
    </row>
    <row r="24" spans="2:9" x14ac:dyDescent="0.25">
      <c r="B24" s="243"/>
      <c r="C24" s="253" t="s">
        <v>128</v>
      </c>
      <c r="D24" s="254">
        <f>AVERAGE(D12:D23)</f>
        <v>0.1492333333333333</v>
      </c>
      <c r="E24" s="254">
        <f>AVERAGE(E12:E23)</f>
        <v>0.27408840592631262</v>
      </c>
      <c r="F24" s="254">
        <f>AVERAGE(F12:F23)</f>
        <v>0.30720614845283439</v>
      </c>
      <c r="G24" s="254">
        <f>AVERAGE(G12:G23)</f>
        <v>0.55117717817300316</v>
      </c>
      <c r="I24" s="244"/>
    </row>
    <row r="25" spans="2:9" x14ac:dyDescent="0.25">
      <c r="I25" s="244"/>
    </row>
    <row r="26" spans="2:9" x14ac:dyDescent="0.25">
      <c r="B26" s="256" t="s">
        <v>86</v>
      </c>
      <c r="C26" s="257"/>
      <c r="D26" s="257" t="s">
        <v>129</v>
      </c>
      <c r="E26" s="257" t="s">
        <v>130</v>
      </c>
      <c r="F26" s="257" t="s">
        <v>131</v>
      </c>
      <c r="G26" s="257" t="s">
        <v>135</v>
      </c>
      <c r="I26" s="244"/>
    </row>
    <row r="27" spans="2:9" x14ac:dyDescent="0.25">
      <c r="B27" s="258" t="s">
        <v>138</v>
      </c>
      <c r="C27" s="259" t="s">
        <v>137</v>
      </c>
      <c r="D27" s="295">
        <v>1000</v>
      </c>
      <c r="E27" s="295">
        <v>1000</v>
      </c>
      <c r="F27" s="295">
        <v>1000</v>
      </c>
      <c r="G27" s="295">
        <v>1000</v>
      </c>
      <c r="I27" s="263"/>
    </row>
    <row r="28" spans="2:9" x14ac:dyDescent="0.25">
      <c r="B28" s="258" t="s">
        <v>113</v>
      </c>
      <c r="C28" s="259" t="s">
        <v>137</v>
      </c>
      <c r="D28" s="295">
        <v>863.02300000000002</v>
      </c>
      <c r="E28" s="295">
        <v>846.048</v>
      </c>
      <c r="F28" s="295">
        <v>817.298</v>
      </c>
      <c r="G28" s="295">
        <v>813.58900000000006</v>
      </c>
    </row>
    <row r="29" spans="2:9" x14ac:dyDescent="0.25">
      <c r="B29" s="258" t="s">
        <v>112</v>
      </c>
      <c r="C29" s="259" t="s">
        <v>137</v>
      </c>
      <c r="D29" s="295">
        <v>168.56071107305911</v>
      </c>
      <c r="E29" s="295">
        <v>189.47835707762516</v>
      </c>
      <c r="F29" s="295">
        <v>178.87721689497809</v>
      </c>
      <c r="G29" s="295">
        <v>98.866961529680339</v>
      </c>
    </row>
    <row r="30" spans="2:9" x14ac:dyDescent="0.25">
      <c r="B30" s="260" t="s">
        <v>114</v>
      </c>
      <c r="C30" s="261" t="s">
        <v>2</v>
      </c>
      <c r="D30" s="262">
        <v>0.16856071107305912</v>
      </c>
      <c r="E30" s="262">
        <v>0.18947835707762517</v>
      </c>
      <c r="F30" s="262">
        <v>0.1788772168949781</v>
      </c>
      <c r="G30" s="262">
        <v>9.8866961529680344E-2</v>
      </c>
    </row>
    <row r="31" spans="2:9" x14ac:dyDescent="0.25">
      <c r="C31" s="6"/>
      <c r="D31" s="6"/>
      <c r="E31" s="6"/>
      <c r="F31" s="6"/>
    </row>
    <row r="32" spans="2:9" x14ac:dyDescent="0.25">
      <c r="C32" s="252" t="s">
        <v>115</v>
      </c>
      <c r="D32" s="6"/>
      <c r="E32" s="6"/>
      <c r="F32" s="6"/>
    </row>
    <row r="33" spans="2:7" x14ac:dyDescent="0.25">
      <c r="B33">
        <v>1</v>
      </c>
      <c r="C33" s="15" t="s">
        <v>116</v>
      </c>
      <c r="D33" s="246">
        <v>0.12771270430107531</v>
      </c>
      <c r="E33" s="246">
        <v>0.14570540591397857</v>
      </c>
      <c r="F33" s="246">
        <v>0.13316111290322577</v>
      </c>
      <c r="G33" s="246">
        <v>2.6216231182795695E-2</v>
      </c>
    </row>
    <row r="34" spans="2:7" x14ac:dyDescent="0.25">
      <c r="B34">
        <v>2</v>
      </c>
      <c r="C34" s="6" t="s">
        <v>117</v>
      </c>
      <c r="D34" s="244">
        <v>0.12252398958333342</v>
      </c>
      <c r="E34" s="244">
        <v>0.1226900059523809</v>
      </c>
      <c r="F34" s="244">
        <v>0.1161522366071428</v>
      </c>
      <c r="G34" s="244">
        <v>4.7019925595238113E-2</v>
      </c>
    </row>
    <row r="35" spans="2:7" x14ac:dyDescent="0.25">
      <c r="B35">
        <v>3</v>
      </c>
      <c r="C35" s="6" t="s">
        <v>118</v>
      </c>
      <c r="D35" s="244">
        <v>0.16514747177419359</v>
      </c>
      <c r="E35" s="244">
        <v>0.17133168548387093</v>
      </c>
      <c r="F35" s="244">
        <v>0.16780443682795707</v>
      </c>
      <c r="G35" s="244">
        <v>9.702389919354841E-2</v>
      </c>
    </row>
    <row r="36" spans="2:7" x14ac:dyDescent="0.25">
      <c r="B36">
        <v>4</v>
      </c>
      <c r="C36" s="6" t="s">
        <v>119</v>
      </c>
      <c r="D36" s="244">
        <v>0.2072187597222222</v>
      </c>
      <c r="E36" s="244">
        <v>0.23666309166666666</v>
      </c>
      <c r="F36" s="244">
        <v>0.22617980833333345</v>
      </c>
      <c r="G36" s="244">
        <v>0.17512738472222222</v>
      </c>
    </row>
    <row r="37" spans="2:7" x14ac:dyDescent="0.25">
      <c r="B37">
        <v>5</v>
      </c>
      <c r="C37" s="6" t="s">
        <v>120</v>
      </c>
      <c r="D37" s="244">
        <v>0.19017213844086017</v>
      </c>
      <c r="E37" s="244">
        <v>0.2372299166666664</v>
      </c>
      <c r="F37" s="244">
        <v>0.22046874596774163</v>
      </c>
      <c r="G37" s="244">
        <v>0.14337161021505382</v>
      </c>
    </row>
    <row r="38" spans="2:7" x14ac:dyDescent="0.25">
      <c r="B38">
        <v>6</v>
      </c>
      <c r="C38" s="6" t="s">
        <v>121</v>
      </c>
      <c r="D38" s="244">
        <v>0.22151487916666693</v>
      </c>
      <c r="E38" s="244">
        <v>0.23416944583333324</v>
      </c>
      <c r="F38" s="244">
        <v>0.22678865833333339</v>
      </c>
      <c r="G38" s="244">
        <v>0.16571789583333324</v>
      </c>
    </row>
    <row r="39" spans="2:7" x14ac:dyDescent="0.25">
      <c r="B39">
        <v>7</v>
      </c>
      <c r="C39" s="6" t="s">
        <v>122</v>
      </c>
      <c r="D39" s="244">
        <v>0.22458450134408592</v>
      </c>
      <c r="E39" s="244">
        <v>0.23520980241935491</v>
      </c>
      <c r="F39" s="244">
        <v>0.23084237903225802</v>
      </c>
      <c r="G39" s="244">
        <v>0.15495072580645156</v>
      </c>
    </row>
    <row r="40" spans="2:7" x14ac:dyDescent="0.25">
      <c r="B40">
        <v>8</v>
      </c>
      <c r="C40" s="6" t="s">
        <v>123</v>
      </c>
      <c r="D40" s="244">
        <v>0.1934704596774193</v>
      </c>
      <c r="E40" s="244">
        <v>0.2073744690860215</v>
      </c>
      <c r="F40" s="244">
        <v>0.21708150940860227</v>
      </c>
      <c r="G40" s="244">
        <v>0.15585943951612902</v>
      </c>
    </row>
    <row r="41" spans="2:7" x14ac:dyDescent="0.25">
      <c r="B41">
        <v>9</v>
      </c>
      <c r="C41" s="6" t="s">
        <v>124</v>
      </c>
      <c r="D41" s="244">
        <v>0.16696096527777776</v>
      </c>
      <c r="E41" s="244">
        <v>0.20769334305555545</v>
      </c>
      <c r="F41" s="244">
        <v>0.18008998472222223</v>
      </c>
      <c r="G41" s="244">
        <v>0.11204646388888896</v>
      </c>
    </row>
    <row r="42" spans="2:7" x14ac:dyDescent="0.25">
      <c r="B42">
        <v>10</v>
      </c>
      <c r="C42" s="6" t="s">
        <v>125</v>
      </c>
      <c r="D42" s="244">
        <v>0.1253249489247312</v>
      </c>
      <c r="E42" s="244">
        <v>0.16404831182795709</v>
      </c>
      <c r="F42" s="244">
        <v>0.15315771102150533</v>
      </c>
      <c r="G42" s="244">
        <v>5.8767697580645144E-2</v>
      </c>
    </row>
    <row r="43" spans="2:7" x14ac:dyDescent="0.25">
      <c r="B43">
        <v>11</v>
      </c>
      <c r="C43" s="6" t="s">
        <v>126</v>
      </c>
      <c r="D43" s="244">
        <v>0.14599623750000007</v>
      </c>
      <c r="E43" s="244">
        <v>0.15238660833333337</v>
      </c>
      <c r="F43" s="244">
        <v>0.13394783194444443</v>
      </c>
      <c r="G43" s="244">
        <v>3.1375897222222213E-2</v>
      </c>
    </row>
    <row r="44" spans="2:7" x14ac:dyDescent="0.25">
      <c r="B44" s="243">
        <v>12</v>
      </c>
      <c r="C44" s="26" t="s">
        <v>127</v>
      </c>
      <c r="D44" s="245">
        <v>0.12999677927321671</v>
      </c>
      <c r="E44" s="245">
        <v>0.15512961827956989</v>
      </c>
      <c r="F44" s="245">
        <v>0.13644323521505369</v>
      </c>
      <c r="G44" s="245">
        <v>1.6773422043010765E-2</v>
      </c>
    </row>
    <row r="45" spans="2:7" x14ac:dyDescent="0.25">
      <c r="B45" s="243"/>
      <c r="C45" s="253" t="s">
        <v>128</v>
      </c>
      <c r="D45" s="254">
        <f>AVERAGE(D33:D44)</f>
        <v>0.16838531958213188</v>
      </c>
      <c r="E45" s="254">
        <f>AVERAGE(E33:E44)</f>
        <v>0.18913597537655744</v>
      </c>
      <c r="F45" s="254">
        <f>AVERAGE(F33:F44)</f>
        <v>0.17850980419306831</v>
      </c>
      <c r="G45" s="254">
        <f>AVERAGE(G33:G44)</f>
        <v>9.8687549399961591E-2</v>
      </c>
    </row>
    <row r="49" spans="2:14" x14ac:dyDescent="0.25">
      <c r="C49" s="305" t="s">
        <v>153</v>
      </c>
    </row>
    <row r="50" spans="2:14" x14ac:dyDescent="0.25">
      <c r="C50" s="176" t="s">
        <v>154</v>
      </c>
      <c r="D50" s="74">
        <v>55</v>
      </c>
      <c r="E50" s="74" t="s">
        <v>143</v>
      </c>
    </row>
    <row r="51" spans="2:14" x14ac:dyDescent="0.25">
      <c r="C51" s="176" t="s">
        <v>155</v>
      </c>
      <c r="D51" s="74">
        <v>43.7</v>
      </c>
      <c r="E51" s="74" t="s">
        <v>143</v>
      </c>
    </row>
    <row r="52" spans="2:14" x14ac:dyDescent="0.25">
      <c r="C52" s="176" t="s">
        <v>156</v>
      </c>
      <c r="D52" s="74">
        <v>31.7</v>
      </c>
      <c r="E52" s="74" t="s">
        <v>143</v>
      </c>
    </row>
    <row r="53" spans="2:14" x14ac:dyDescent="0.25">
      <c r="C53" s="306" t="s">
        <v>157</v>
      </c>
      <c r="D53" s="306">
        <f>D52/D50</f>
        <v>0.5763636363636363</v>
      </c>
    </row>
    <row r="57" spans="2:14" x14ac:dyDescent="0.25">
      <c r="D57">
        <v>25</v>
      </c>
    </row>
    <row r="60" spans="2:14" x14ac:dyDescent="0.25">
      <c r="B60" s="442"/>
      <c r="C60" s="442"/>
      <c r="D60" s="442"/>
      <c r="E60" s="442"/>
      <c r="F60" s="442"/>
      <c r="G60" s="442"/>
      <c r="H60" s="442"/>
      <c r="I60" s="442"/>
      <c r="J60" s="442"/>
      <c r="K60" s="442"/>
      <c r="L60" s="442"/>
      <c r="M60" s="442"/>
    </row>
    <row r="61" spans="2:14" ht="51" x14ac:dyDescent="0.25">
      <c r="B61" s="353"/>
      <c r="C61" s="353"/>
      <c r="D61" s="353"/>
      <c r="E61" s="353"/>
      <c r="F61" s="340" t="s">
        <v>172</v>
      </c>
      <c r="G61" s="341" t="s">
        <v>168</v>
      </c>
      <c r="H61" s="342" t="s">
        <v>173</v>
      </c>
      <c r="I61" s="343" t="s">
        <v>174</v>
      </c>
      <c r="J61" s="340" t="s">
        <v>175</v>
      </c>
      <c r="K61" s="343" t="s">
        <v>176</v>
      </c>
      <c r="L61" s="340" t="s">
        <v>177</v>
      </c>
      <c r="M61" s="353"/>
      <c r="N61" s="355" t="s">
        <v>186</v>
      </c>
    </row>
    <row r="62" spans="2:14" ht="25.5" x14ac:dyDescent="0.25">
      <c r="B62" s="312"/>
      <c r="C62" s="334" t="s">
        <v>178</v>
      </c>
      <c r="D62" s="312"/>
      <c r="E62" s="312"/>
      <c r="F62" s="335">
        <v>2</v>
      </c>
      <c r="G62" s="336">
        <v>1538</v>
      </c>
      <c r="H62" s="335">
        <v>90</v>
      </c>
      <c r="I62" s="335">
        <v>105</v>
      </c>
      <c r="J62" s="335">
        <v>2990</v>
      </c>
      <c r="K62" s="337">
        <v>7.59</v>
      </c>
      <c r="L62" s="337">
        <v>0.65</v>
      </c>
      <c r="M62" s="354"/>
      <c r="N62" s="356">
        <f>K62*1000*(F62/1000*J62)*$D$57/(F62*1000)</f>
        <v>567.35249999999996</v>
      </c>
    </row>
    <row r="63" spans="2:14" x14ac:dyDescent="0.25">
      <c r="B63" s="312"/>
      <c r="C63" s="312"/>
      <c r="D63" s="312"/>
      <c r="E63" s="312"/>
      <c r="F63" s="344">
        <v>1.8</v>
      </c>
      <c r="G63" s="345">
        <v>609.20000000000005</v>
      </c>
      <c r="H63" s="335">
        <v>70</v>
      </c>
      <c r="I63" s="335">
        <v>65</v>
      </c>
      <c r="J63" s="335">
        <v>1816</v>
      </c>
      <c r="K63" s="337">
        <v>8.82</v>
      </c>
      <c r="L63" s="337">
        <v>0.64</v>
      </c>
      <c r="M63" s="354"/>
      <c r="N63" s="356">
        <f>K63*1000*(F63/1000*J63)*$D$57/(F63*1000)</f>
        <v>400.428</v>
      </c>
    </row>
    <row r="64" spans="2:14" ht="25.5" x14ac:dyDescent="0.25">
      <c r="B64" s="347"/>
      <c r="C64" s="348" t="s">
        <v>179</v>
      </c>
      <c r="D64" s="347"/>
      <c r="E64" s="347"/>
      <c r="F64" s="349">
        <v>2</v>
      </c>
      <c r="G64" s="350">
        <v>962.9</v>
      </c>
      <c r="H64" s="349">
        <v>80</v>
      </c>
      <c r="I64" s="349">
        <v>70</v>
      </c>
      <c r="J64" s="349">
        <v>2000</v>
      </c>
      <c r="K64" s="346">
        <v>6.58</v>
      </c>
      <c r="L64" s="351">
        <v>0.4</v>
      </c>
      <c r="M64" s="347"/>
      <c r="N64" s="357">
        <f t="shared" ref="N64:N74" si="0">K64*1000*(F64/1000*J64)*$D$57/(F64*1000)</f>
        <v>329</v>
      </c>
    </row>
    <row r="65" spans="2:14" x14ac:dyDescent="0.25">
      <c r="B65" s="347"/>
      <c r="C65" s="348" t="s">
        <v>169</v>
      </c>
      <c r="D65" s="347"/>
      <c r="E65" s="347"/>
      <c r="F65" s="347">
        <v>2</v>
      </c>
      <c r="G65" s="347">
        <v>1438</v>
      </c>
      <c r="H65" s="347">
        <v>80</v>
      </c>
      <c r="I65" s="347">
        <v>80</v>
      </c>
      <c r="J65" s="347">
        <v>4134</v>
      </c>
      <c r="K65" s="351">
        <v>8</v>
      </c>
      <c r="L65" s="346">
        <v>0.75</v>
      </c>
      <c r="M65" s="347"/>
      <c r="N65" s="357">
        <f t="shared" si="0"/>
        <v>826.8</v>
      </c>
    </row>
    <row r="66" spans="2:14" x14ac:dyDescent="0.25">
      <c r="B66" s="312"/>
      <c r="C66" s="338">
        <v>-2013</v>
      </c>
      <c r="D66" s="312"/>
      <c r="E66" s="312"/>
      <c r="F66" s="312"/>
      <c r="G66" s="312"/>
      <c r="H66" s="312"/>
      <c r="I66" s="312"/>
      <c r="J66" s="312"/>
      <c r="K66" s="312"/>
      <c r="L66" s="312"/>
      <c r="M66" s="312"/>
      <c r="N66" s="356"/>
    </row>
    <row r="67" spans="2:14" ht="25.5" x14ac:dyDescent="0.25">
      <c r="B67" s="347"/>
      <c r="C67" s="348" t="s">
        <v>170</v>
      </c>
      <c r="D67" s="347"/>
      <c r="E67" s="347"/>
      <c r="F67" s="351">
        <v>4.5</v>
      </c>
      <c r="G67" s="352" t="s">
        <v>180</v>
      </c>
      <c r="H67" s="349">
        <v>113</v>
      </c>
      <c r="I67" s="349">
        <v>124</v>
      </c>
      <c r="J67" s="349">
        <v>2628</v>
      </c>
      <c r="K67" s="351">
        <v>15.8</v>
      </c>
      <c r="L67" s="346">
        <v>0.57999999999999996</v>
      </c>
      <c r="M67" s="347"/>
      <c r="N67" s="357">
        <f t="shared" si="0"/>
        <v>1038.06</v>
      </c>
    </row>
    <row r="68" spans="2:14" x14ac:dyDescent="0.25">
      <c r="B68" s="312"/>
      <c r="C68" s="338">
        <v>-2009</v>
      </c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356"/>
    </row>
    <row r="69" spans="2:14" x14ac:dyDescent="0.25">
      <c r="B69" s="347"/>
      <c r="C69" s="348" t="s">
        <v>171</v>
      </c>
      <c r="D69" s="347"/>
      <c r="E69" s="347"/>
      <c r="F69" s="346">
        <v>2.0499999999999998</v>
      </c>
      <c r="G69" s="352" t="s">
        <v>180</v>
      </c>
      <c r="H69" s="349">
        <v>82</v>
      </c>
      <c r="I69" s="349">
        <v>80</v>
      </c>
      <c r="J69" s="349">
        <v>1736</v>
      </c>
      <c r="K69" s="346">
        <v>16.63</v>
      </c>
      <c r="L69" s="346">
        <v>1.25</v>
      </c>
      <c r="M69" s="347"/>
      <c r="N69" s="357">
        <f t="shared" si="0"/>
        <v>721.74199999999996</v>
      </c>
    </row>
    <row r="70" spans="2:14" x14ac:dyDescent="0.25">
      <c r="B70" s="313"/>
      <c r="C70" s="325">
        <v>-2013</v>
      </c>
      <c r="D70" s="313"/>
      <c r="E70" s="313"/>
      <c r="F70" s="316">
        <v>3.02</v>
      </c>
      <c r="G70" s="313"/>
      <c r="H70" s="315">
        <v>82</v>
      </c>
      <c r="I70" s="315">
        <v>80</v>
      </c>
      <c r="J70" s="315">
        <v>1179</v>
      </c>
      <c r="K70" s="316">
        <v>23.77</v>
      </c>
      <c r="L70" s="326">
        <v>1.875</v>
      </c>
      <c r="M70" s="313"/>
      <c r="N70" s="358">
        <f t="shared" si="0"/>
        <v>700.62075000000004</v>
      </c>
    </row>
    <row r="71" spans="2:14" x14ac:dyDescent="0.25">
      <c r="B71" s="322"/>
      <c r="C71" s="323" t="s">
        <v>181</v>
      </c>
      <c r="D71" s="322"/>
      <c r="E71" s="322"/>
      <c r="F71" s="324">
        <v>2</v>
      </c>
      <c r="G71" s="327">
        <v>1089</v>
      </c>
      <c r="H71" s="324">
        <v>78</v>
      </c>
      <c r="I71" s="324">
        <v>78</v>
      </c>
      <c r="J71" s="324">
        <v>3060</v>
      </c>
      <c r="K71" s="328" t="s">
        <v>180</v>
      </c>
      <c r="L71" s="320">
        <v>0.43</v>
      </c>
      <c r="M71" s="322"/>
      <c r="N71" s="359"/>
    </row>
    <row r="72" spans="2:14" x14ac:dyDescent="0.25">
      <c r="B72" s="313"/>
      <c r="C72" s="329" t="s">
        <v>182</v>
      </c>
      <c r="D72" s="313"/>
      <c r="E72" s="313"/>
      <c r="F72" s="315">
        <v>2</v>
      </c>
      <c r="G72" s="330">
        <v>1031</v>
      </c>
      <c r="H72" s="315">
        <v>80</v>
      </c>
      <c r="I72" s="315">
        <v>78</v>
      </c>
      <c r="J72" s="315">
        <v>3060</v>
      </c>
      <c r="K72" s="314" t="s">
        <v>180</v>
      </c>
      <c r="L72" s="316">
        <v>0.53</v>
      </c>
      <c r="M72" s="313"/>
      <c r="N72" s="358"/>
    </row>
    <row r="73" spans="2:14" x14ac:dyDescent="0.25">
      <c r="B73" s="317"/>
      <c r="C73" s="318" t="s">
        <v>183</v>
      </c>
      <c r="D73" s="317"/>
      <c r="E73" s="317"/>
      <c r="F73" s="321">
        <v>2.2999999999999998</v>
      </c>
      <c r="G73" s="331">
        <v>2243</v>
      </c>
      <c r="H73" s="319">
        <v>82</v>
      </c>
      <c r="I73" s="332" t="s">
        <v>184</v>
      </c>
      <c r="J73" s="319">
        <v>2425</v>
      </c>
      <c r="K73" s="321">
        <v>8.6999999999999993</v>
      </c>
      <c r="L73" s="333">
        <v>0.55000000000000004</v>
      </c>
      <c r="M73" s="317"/>
      <c r="N73" s="360">
        <f t="shared" si="0"/>
        <v>527.4375</v>
      </c>
    </row>
    <row r="74" spans="2:14" ht="14.45" customHeight="1" x14ac:dyDescent="0.25">
      <c r="B74" s="339"/>
      <c r="C74" s="318" t="s">
        <v>185</v>
      </c>
      <c r="D74" s="317"/>
      <c r="E74" s="317"/>
      <c r="F74" s="321">
        <v>3.2</v>
      </c>
      <c r="G74" s="331"/>
      <c r="H74" s="319"/>
      <c r="I74" s="332"/>
      <c r="J74" s="319">
        <v>4300</v>
      </c>
      <c r="K74" s="321">
        <v>4</v>
      </c>
      <c r="L74" s="333"/>
      <c r="M74" s="339"/>
      <c r="N74" s="361">
        <f t="shared" si="0"/>
        <v>430</v>
      </c>
    </row>
  </sheetData>
  <mergeCells count="1">
    <mergeCell ref="B60:M6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3463-74BC-429C-AA57-E31D372F8EDD}">
  <sheetPr codeName="Foglio12"/>
  <dimension ref="A3:AA151"/>
  <sheetViews>
    <sheetView zoomScale="25" zoomScaleNormal="25" workbookViewId="0">
      <selection activeCell="D45" sqref="D45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7" x14ac:dyDescent="0.25">
      <c r="U3" s="1"/>
      <c r="V3" s="1"/>
      <c r="W3" s="2"/>
    </row>
    <row r="4" spans="1:27" x14ac:dyDescent="0.25">
      <c r="A4" s="225" t="s">
        <v>102</v>
      </c>
      <c r="B4" s="225" t="s">
        <v>144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7" ht="15.75" thickBot="1" x14ac:dyDescent="0.3">
      <c r="H5" s="7" t="s">
        <v>1</v>
      </c>
      <c r="I5" s="8" t="s">
        <v>2</v>
      </c>
      <c r="J5" s="9">
        <v>0.27381631271203372</v>
      </c>
      <c r="K5" s="9">
        <v>0.39999999999998403</v>
      </c>
      <c r="L5" s="9">
        <v>0.59999999999990683</v>
      </c>
      <c r="M5" s="9">
        <v>0.79999999999989868</v>
      </c>
      <c r="N5" s="9">
        <v>0.89999999999994407</v>
      </c>
      <c r="O5" s="9">
        <v>0.94999999999980522</v>
      </c>
      <c r="P5" s="9">
        <v>0.99000000000013433</v>
      </c>
      <c r="Q5" s="10">
        <v>0.99999999999997091</v>
      </c>
      <c r="R5" s="11" t="str">
        <f>H5</f>
        <v>Renewable Energy Share</v>
      </c>
      <c r="S5" s="296"/>
      <c r="T5" s="296">
        <f t="shared" ref="T5:Y7" si="0">J5</f>
        <v>0.27381631271203372</v>
      </c>
      <c r="U5" s="296">
        <f t="shared" si="0"/>
        <v>0.39999999999998403</v>
      </c>
      <c r="V5" s="296">
        <f t="shared" si="0"/>
        <v>0.59999999999990683</v>
      </c>
      <c r="W5" s="296">
        <f t="shared" si="0"/>
        <v>0.79999999999989868</v>
      </c>
      <c r="X5" s="296">
        <f t="shared" si="0"/>
        <v>0.89999999999994407</v>
      </c>
      <c r="Y5" s="296">
        <f t="shared" si="0"/>
        <v>0.94999999999980522</v>
      </c>
      <c r="AA5" s="296">
        <f t="shared" ref="AA5:AA13" si="1">Q5</f>
        <v>0.99999999999997091</v>
      </c>
    </row>
    <row r="6" spans="1:27" ht="15.75" thickTop="1" x14ac:dyDescent="0.25">
      <c r="C6" s="13"/>
      <c r="H6" s="14" t="s">
        <v>3</v>
      </c>
      <c r="I6" s="15" t="s">
        <v>4</v>
      </c>
      <c r="J6" s="16">
        <v>2.0119585039994887</v>
      </c>
      <c r="K6" s="16">
        <v>2.0008163309532572</v>
      </c>
      <c r="L6" s="16">
        <v>2.1088284103938948</v>
      </c>
      <c r="M6" s="16">
        <v>2.9441085023428495</v>
      </c>
      <c r="N6" s="16">
        <v>4.2299417556441519</v>
      </c>
      <c r="O6" s="16">
        <v>5.2290009097530845</v>
      </c>
      <c r="P6" s="16">
        <v>7.0789267525369635</v>
      </c>
      <c r="Q6" s="17">
        <v>5.5991224568402735</v>
      </c>
      <c r="R6" s="18" t="str">
        <f>H6</f>
        <v>PV capacity</v>
      </c>
      <c r="S6" s="19" t="str">
        <f t="shared" ref="S6:Y13" si="2">I6</f>
        <v>MW</v>
      </c>
      <c r="T6" s="19">
        <f t="shared" si="0"/>
        <v>2.0119585039994887</v>
      </c>
      <c r="U6" s="19">
        <f t="shared" si="0"/>
        <v>2.0008163309532572</v>
      </c>
      <c r="V6" s="19">
        <f t="shared" si="0"/>
        <v>2.1088284103938948</v>
      </c>
      <c r="W6" s="19">
        <f t="shared" si="0"/>
        <v>2.9441085023428495</v>
      </c>
      <c r="X6" s="19">
        <f t="shared" si="0"/>
        <v>4.2299417556441519</v>
      </c>
      <c r="Y6" s="19">
        <f t="shared" si="0"/>
        <v>5.2290009097530845</v>
      </c>
      <c r="AA6" s="19">
        <f t="shared" si="1"/>
        <v>5.5991224568402735</v>
      </c>
    </row>
    <row r="7" spans="1:27" x14ac:dyDescent="0.25">
      <c r="A7" s="13"/>
      <c r="B7" s="20"/>
      <c r="C7" s="13"/>
      <c r="H7" s="21" t="s">
        <v>5</v>
      </c>
      <c r="I7" s="6" t="s">
        <v>4</v>
      </c>
      <c r="J7" s="22">
        <v>0</v>
      </c>
      <c r="K7" s="22">
        <v>1.1294628226426309</v>
      </c>
      <c r="L7" s="22">
        <v>3.4096292443009819</v>
      </c>
      <c r="M7" s="22">
        <v>4.6661183327857634</v>
      </c>
      <c r="N7" s="22">
        <v>4.6310973797698809</v>
      </c>
      <c r="O7" s="22">
        <v>5.0051581539348424</v>
      </c>
      <c r="P7" s="22">
        <v>8.0437545327282631</v>
      </c>
      <c r="Q7" s="23">
        <v>13.11489065803053</v>
      </c>
      <c r="R7" s="24" t="str">
        <f t="shared" ref="R7:R13" si="3">H7</f>
        <v>Wind capacity</v>
      </c>
      <c r="S7" s="22" t="str">
        <f t="shared" si="2"/>
        <v>MW</v>
      </c>
      <c r="T7" s="22">
        <f>J7</f>
        <v>0</v>
      </c>
      <c r="U7" s="22">
        <f t="shared" si="0"/>
        <v>1.1294628226426309</v>
      </c>
      <c r="V7" s="22">
        <f t="shared" si="0"/>
        <v>3.4096292443009819</v>
      </c>
      <c r="W7" s="22">
        <f t="shared" si="0"/>
        <v>4.6661183327857634</v>
      </c>
      <c r="X7" s="22">
        <f t="shared" si="0"/>
        <v>4.6310973797698809</v>
      </c>
      <c r="Y7" s="22">
        <f t="shared" si="0"/>
        <v>5.0051581539348424</v>
      </c>
      <c r="AA7" s="22">
        <f t="shared" si="1"/>
        <v>13.11489065803053</v>
      </c>
    </row>
    <row r="8" spans="1:27" x14ac:dyDescent="0.25">
      <c r="A8" s="13"/>
      <c r="B8" s="20"/>
      <c r="C8" s="13"/>
      <c r="H8" s="21" t="s">
        <v>6</v>
      </c>
      <c r="I8" s="6" t="s">
        <v>7</v>
      </c>
      <c r="J8" s="22">
        <v>0</v>
      </c>
      <c r="K8" s="22">
        <v>0</v>
      </c>
      <c r="L8" s="22">
        <v>0</v>
      </c>
      <c r="M8" s="22">
        <v>5.1993811026198831</v>
      </c>
      <c r="N8" s="22">
        <v>10.491127295181657</v>
      </c>
      <c r="O8" s="22">
        <v>14.052230692275856</v>
      </c>
      <c r="P8" s="22">
        <v>16.675722342447703</v>
      </c>
      <c r="Q8" s="23">
        <v>26.622342951203091</v>
      </c>
      <c r="R8" s="24" t="s">
        <v>6</v>
      </c>
      <c r="S8" s="22" t="str">
        <f t="shared" si="2"/>
        <v>MWh</v>
      </c>
      <c r="T8" s="22">
        <f t="shared" si="2"/>
        <v>0</v>
      </c>
      <c r="U8" s="22">
        <f t="shared" si="2"/>
        <v>0</v>
      </c>
      <c r="V8" s="22">
        <f t="shared" si="2"/>
        <v>0</v>
      </c>
      <c r="W8" s="22">
        <f t="shared" si="2"/>
        <v>5.1993811026198831</v>
      </c>
      <c r="X8" s="22">
        <f t="shared" si="2"/>
        <v>10.491127295181657</v>
      </c>
      <c r="Y8" s="22">
        <f t="shared" si="2"/>
        <v>14.052230692275856</v>
      </c>
      <c r="AA8" s="22">
        <f t="shared" si="1"/>
        <v>26.622342951203091</v>
      </c>
    </row>
    <row r="9" spans="1:27" ht="15.75" thickBot="1" x14ac:dyDescent="0.3">
      <c r="A9" s="13"/>
      <c r="B9" s="20"/>
      <c r="C9" s="13"/>
      <c r="H9" s="25" t="s">
        <v>8</v>
      </c>
      <c r="I9" s="26" t="s">
        <v>9</v>
      </c>
      <c r="J9" s="27">
        <v>0</v>
      </c>
      <c r="K9" s="27">
        <v>0</v>
      </c>
      <c r="L9" s="27">
        <v>0</v>
      </c>
      <c r="M9" s="27">
        <v>221</v>
      </c>
      <c r="N9" s="27">
        <v>195</v>
      </c>
      <c r="O9" s="27">
        <v>165</v>
      </c>
      <c r="P9" s="27">
        <v>100</v>
      </c>
      <c r="Q9" s="28">
        <v>39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 t="s">
        <v>9</v>
      </c>
      <c r="V9" s="29" t="s">
        <v>9</v>
      </c>
      <c r="W9" s="29">
        <f t="shared" si="2"/>
        <v>221</v>
      </c>
      <c r="X9" s="29">
        <f t="shared" si="2"/>
        <v>195</v>
      </c>
      <c r="Y9" s="29">
        <f t="shared" si="2"/>
        <v>165</v>
      </c>
      <c r="AA9" s="29">
        <f t="shared" si="1"/>
        <v>39</v>
      </c>
    </row>
    <row r="10" spans="1:27" ht="15.75" thickTop="1" x14ac:dyDescent="0.25">
      <c r="A10" s="13"/>
      <c r="B10" s="20"/>
      <c r="C10" s="13"/>
      <c r="H10" s="14" t="s">
        <v>10</v>
      </c>
      <c r="I10" s="15" t="s">
        <v>18</v>
      </c>
      <c r="J10" s="16">
        <v>0</v>
      </c>
      <c r="K10" s="16">
        <v>7.9327401426212418E-3</v>
      </c>
      <c r="L10" s="16">
        <v>2.7920032411749673E-2</v>
      </c>
      <c r="M10" s="16">
        <v>0.13209412743141513</v>
      </c>
      <c r="N10" s="16">
        <v>0.15313921609115511</v>
      </c>
      <c r="O10" s="16">
        <v>0.16965992332922042</v>
      </c>
      <c r="P10" s="16">
        <v>9.718270518779093E-2</v>
      </c>
      <c r="Q10" s="17">
        <v>9.1064359999917105E-2</v>
      </c>
      <c r="R10" s="18" t="str">
        <f t="shared" si="3"/>
        <v>Biogas storage size</v>
      </c>
      <c r="S10" s="19" t="str">
        <f>I10</f>
        <v>m3</v>
      </c>
      <c r="T10" s="19">
        <f t="shared" ref="T10:V13" si="4">J10</f>
        <v>0</v>
      </c>
      <c r="U10" s="30">
        <f t="shared" si="4"/>
        <v>7.9327401426212418E-3</v>
      </c>
      <c r="V10" s="30">
        <f t="shared" si="4"/>
        <v>2.7920032411749673E-2</v>
      </c>
      <c r="W10" s="30">
        <f t="shared" si="2"/>
        <v>0.13209412743141513</v>
      </c>
      <c r="X10" s="30">
        <f t="shared" si="2"/>
        <v>0.15313921609115511</v>
      </c>
      <c r="Y10" s="30">
        <f t="shared" si="2"/>
        <v>0.16965992332922042</v>
      </c>
      <c r="AA10" s="30">
        <f t="shared" si="1"/>
        <v>9.1064359999917105E-2</v>
      </c>
    </row>
    <row r="11" spans="1:27" x14ac:dyDescent="0.25">
      <c r="H11" s="21" t="s">
        <v>11</v>
      </c>
      <c r="I11" s="6" t="s">
        <v>12</v>
      </c>
      <c r="J11" s="22">
        <v>0</v>
      </c>
      <c r="K11" s="22">
        <v>1.6028460152721173E-4</v>
      </c>
      <c r="L11" s="22">
        <v>5.6413687947496456E-4</v>
      </c>
      <c r="M11" s="22">
        <v>2.669021573727354E-3</v>
      </c>
      <c r="N11" s="22">
        <v>3.0942471060509988E-3</v>
      </c>
      <c r="O11" s="22">
        <v>3.4280554659610499E-3</v>
      </c>
      <c r="P11" s="22">
        <v>1.963620501404E-3</v>
      </c>
      <c r="Q11" s="23">
        <v>1.8399965703520696E-3</v>
      </c>
      <c r="R11" s="24" t="str">
        <f t="shared" si="3"/>
        <v>Biogas storage hours</v>
      </c>
      <c r="S11" s="22" t="str">
        <f t="shared" si="2"/>
        <v>h</v>
      </c>
      <c r="T11" s="22">
        <f t="shared" si="4"/>
        <v>0</v>
      </c>
      <c r="U11" s="22">
        <f t="shared" si="4"/>
        <v>1.6028460152721173E-4</v>
      </c>
      <c r="V11" s="22">
        <f t="shared" si="4"/>
        <v>5.6413687947496456E-4</v>
      </c>
      <c r="W11" s="22">
        <f t="shared" si="2"/>
        <v>2.669021573727354E-3</v>
      </c>
      <c r="X11" s="22">
        <f t="shared" si="2"/>
        <v>3.0942471060509988E-3</v>
      </c>
      <c r="Y11" s="22">
        <f t="shared" si="2"/>
        <v>3.4280554659610499E-3</v>
      </c>
      <c r="AA11" s="22">
        <f t="shared" si="1"/>
        <v>1.8399965703520696E-3</v>
      </c>
    </row>
    <row r="12" spans="1:27" x14ac:dyDescent="0.25">
      <c r="H12" s="21" t="s">
        <v>13</v>
      </c>
      <c r="I12" s="6" t="s">
        <v>18</v>
      </c>
      <c r="J12" s="22">
        <v>3.1004689344627011E-10</v>
      </c>
      <c r="K12" s="22">
        <v>3.1859108509650014E-2</v>
      </c>
      <c r="L12" s="22">
        <v>9.8072966255642768E-2</v>
      </c>
      <c r="M12" s="22">
        <v>0.1591127609092382</v>
      </c>
      <c r="N12" s="22">
        <v>8.214539648754747E-2</v>
      </c>
      <c r="O12" s="22">
        <v>0.10283931705299665</v>
      </c>
      <c r="P12" s="22">
        <v>8.3257057139633162E-2</v>
      </c>
      <c r="Q12" s="23">
        <v>6.7478779060156716E-2</v>
      </c>
      <c r="R12" s="24" t="str">
        <f t="shared" si="3"/>
        <v>Syngas storage size</v>
      </c>
      <c r="S12" s="22" t="str">
        <f t="shared" si="2"/>
        <v>m3</v>
      </c>
      <c r="T12" s="22">
        <f t="shared" si="4"/>
        <v>3.1004689344627011E-10</v>
      </c>
      <c r="U12" s="31">
        <f t="shared" si="4"/>
        <v>3.1859108509650014E-2</v>
      </c>
      <c r="V12" s="31">
        <f t="shared" si="4"/>
        <v>9.8072966255642768E-2</v>
      </c>
      <c r="W12" s="31">
        <f t="shared" si="2"/>
        <v>0.1591127609092382</v>
      </c>
      <c r="X12" s="31">
        <f t="shared" si="2"/>
        <v>8.214539648754747E-2</v>
      </c>
      <c r="Y12" s="31">
        <f t="shared" si="2"/>
        <v>0.10283931705299665</v>
      </c>
      <c r="AA12" s="31">
        <f t="shared" si="1"/>
        <v>6.7478779060156716E-2</v>
      </c>
    </row>
    <row r="13" spans="1:27" x14ac:dyDescent="0.25">
      <c r="H13" s="32" t="s">
        <v>14</v>
      </c>
      <c r="I13" s="26" t="s">
        <v>12</v>
      </c>
      <c r="J13" s="33">
        <v>1.5355107487906458E-12</v>
      </c>
      <c r="K13" s="33">
        <v>1.5778259546384639E-4</v>
      </c>
      <c r="L13" s="33">
        <v>4.8570747533523915E-4</v>
      </c>
      <c r="M13" s="33">
        <v>7.880077491833696E-4</v>
      </c>
      <c r="N13" s="33">
        <v>4.0682600579630451E-4</v>
      </c>
      <c r="O13" s="33">
        <v>5.093128816029593E-4</v>
      </c>
      <c r="P13" s="33">
        <v>4.1233151775712991E-4</v>
      </c>
      <c r="Q13" s="34">
        <v>3.3418941699570921E-4</v>
      </c>
      <c r="R13" s="24" t="str">
        <f t="shared" si="3"/>
        <v>Syngas storage hours</v>
      </c>
      <c r="S13" s="22" t="str">
        <f t="shared" si="2"/>
        <v>h</v>
      </c>
      <c r="T13" s="22">
        <f t="shared" si="4"/>
        <v>1.5355107487906458E-12</v>
      </c>
      <c r="U13" s="22">
        <f t="shared" si="4"/>
        <v>1.5778259546384639E-4</v>
      </c>
      <c r="V13" s="22">
        <f t="shared" si="4"/>
        <v>4.8570747533523915E-4</v>
      </c>
      <c r="W13" s="22">
        <f t="shared" si="2"/>
        <v>7.880077491833696E-4</v>
      </c>
      <c r="X13" s="22">
        <f t="shared" si="2"/>
        <v>4.0682600579630451E-4</v>
      </c>
      <c r="Y13" s="22">
        <f t="shared" si="2"/>
        <v>5.093128816029593E-4</v>
      </c>
      <c r="AA13" s="22">
        <f t="shared" si="1"/>
        <v>3.3418941699570921E-4</v>
      </c>
    </row>
    <row r="14" spans="1:27" x14ac:dyDescent="0.25">
      <c r="H14" s="25" t="s">
        <v>15</v>
      </c>
      <c r="I14" s="26" t="s">
        <v>16</v>
      </c>
      <c r="J14" s="35">
        <v>4.7123387260492491</v>
      </c>
      <c r="K14" s="35">
        <v>4.7780446922347846</v>
      </c>
      <c r="L14" s="35">
        <v>5.080729139275233</v>
      </c>
      <c r="M14" s="35">
        <v>5.8979216836148671</v>
      </c>
      <c r="N14" s="35">
        <v>6.5452589247369399</v>
      </c>
      <c r="O14" s="35">
        <v>7.1139625427707696</v>
      </c>
      <c r="P14" s="35">
        <v>8.5109816770470061</v>
      </c>
      <c r="Q14" s="36">
        <v>10.814488221994374</v>
      </c>
      <c r="R14" s="37" t="s">
        <v>17</v>
      </c>
      <c r="S14" s="6" t="s">
        <v>18</v>
      </c>
      <c r="T14" s="22">
        <f>[2]NoSP!$F$112</f>
        <v>0</v>
      </c>
      <c r="U14" s="31">
        <f>'[2]40SP'!$F$112</f>
        <v>0</v>
      </c>
      <c r="V14" s="31">
        <f>'[2]60SP'!$F$112</f>
        <v>0</v>
      </c>
      <c r="W14" s="31">
        <f>'[2]80SP'!$F$112</f>
        <v>0</v>
      </c>
      <c r="X14" s="31">
        <f>'[2]90SP'!$F$112</f>
        <v>0</v>
      </c>
      <c r="Y14" s="31">
        <f>'[2]95SP'!$F$112</f>
        <v>0</v>
      </c>
      <c r="AA14" s="31">
        <f>'[2]100SP'!$F$112</f>
        <v>0</v>
      </c>
    </row>
    <row r="15" spans="1:27" ht="15.75" thickBot="1" x14ac:dyDescent="0.3">
      <c r="H15" s="14" t="s">
        <v>19</v>
      </c>
      <c r="I15" s="15" t="s">
        <v>2</v>
      </c>
      <c r="J15" s="38">
        <v>1</v>
      </c>
      <c r="K15" s="38">
        <v>1.0000199999999999</v>
      </c>
      <c r="L15" s="38">
        <v>1.0000199999999999</v>
      </c>
      <c r="M15" s="38">
        <v>1.0000199999999999</v>
      </c>
      <c r="N15" s="38">
        <v>1.0000199999999999</v>
      </c>
      <c r="O15" s="38">
        <v>1.0000199999999999</v>
      </c>
      <c r="P15" s="38">
        <v>1.0000138568232628</v>
      </c>
      <c r="Q15" s="39">
        <v>1.0000082034052138</v>
      </c>
      <c r="R15" s="40" t="s">
        <v>20</v>
      </c>
      <c r="S15" s="41" t="s">
        <v>12</v>
      </c>
      <c r="T15" s="41">
        <f>[2]NoSP!$B$169</f>
        <v>0</v>
      </c>
      <c r="U15" s="41">
        <f>'[2]40SP'!$B$169</f>
        <v>0</v>
      </c>
      <c r="V15" s="41">
        <f>'[2]60SP'!$B$169</f>
        <v>0</v>
      </c>
      <c r="W15" s="41">
        <f>'[2]80SP'!$B$169</f>
        <v>0</v>
      </c>
      <c r="X15" s="41">
        <f>'[2]90SP'!$B$169</f>
        <v>0</v>
      </c>
      <c r="Y15" s="41">
        <f>'[2]95SP'!$B$169</f>
        <v>0</v>
      </c>
      <c r="AA15" s="41">
        <f>'[2]100SP'!$B$169</f>
        <v>0</v>
      </c>
    </row>
    <row r="16" spans="1:27" ht="15.75" thickTop="1" x14ac:dyDescent="0.25">
      <c r="H16" s="25" t="s">
        <v>21</v>
      </c>
      <c r="I16" s="26" t="s">
        <v>2</v>
      </c>
      <c r="J16" s="42">
        <v>1.000000000000004</v>
      </c>
      <c r="K16" s="42">
        <v>1.0000002851352061</v>
      </c>
      <c r="L16" s="42">
        <v>1.0000013804476793</v>
      </c>
      <c r="M16" s="42">
        <v>1.0000061112296466</v>
      </c>
      <c r="N16" s="42">
        <v>1.0000129992156175</v>
      </c>
      <c r="O16" s="42">
        <v>1.0000069541830607</v>
      </c>
      <c r="P16" s="42">
        <v>1.0000035555020332</v>
      </c>
      <c r="Q16" s="43">
        <v>1.0000026085677769</v>
      </c>
      <c r="R16" s="37" t="str">
        <f>H15</f>
        <v>Syngas generation size</v>
      </c>
      <c r="S16" s="6" t="s">
        <v>2</v>
      </c>
      <c r="T16" s="297">
        <f>J15</f>
        <v>1</v>
      </c>
      <c r="U16" s="297">
        <f>J15</f>
        <v>1</v>
      </c>
      <c r="V16" s="297">
        <f t="shared" ref="V16:Y17" si="5">L15</f>
        <v>1.0000199999999999</v>
      </c>
      <c r="W16" s="297">
        <f t="shared" si="5"/>
        <v>1.0000199999999999</v>
      </c>
      <c r="X16" s="297">
        <f t="shared" si="5"/>
        <v>1.0000199999999999</v>
      </c>
      <c r="Y16" s="297">
        <f t="shared" si="5"/>
        <v>1.0000199999999999</v>
      </c>
      <c r="AA16" s="297">
        <f>Q15</f>
        <v>1.0000082034052138</v>
      </c>
    </row>
    <row r="17" spans="2:27" ht="15.75" thickBot="1" x14ac:dyDescent="0.3">
      <c r="R17" s="40" t="str">
        <f>H16</f>
        <v>Gas Separation size</v>
      </c>
      <c r="S17" s="45" t="s">
        <v>2</v>
      </c>
      <c r="T17" s="298">
        <f>J16</f>
        <v>1.000000000000004</v>
      </c>
      <c r="U17" s="298">
        <f>J16</f>
        <v>1.000000000000004</v>
      </c>
      <c r="V17" s="298">
        <f t="shared" si="5"/>
        <v>1.0000013804476793</v>
      </c>
      <c r="W17" s="298">
        <f t="shared" si="5"/>
        <v>1.0000061112296466</v>
      </c>
      <c r="X17" s="298">
        <f t="shared" si="5"/>
        <v>1.0000129992156175</v>
      </c>
      <c r="Y17" s="298">
        <f t="shared" si="5"/>
        <v>1.0000069541830607</v>
      </c>
      <c r="AA17" s="298">
        <f>Q16</f>
        <v>1.0000026085677769</v>
      </c>
    </row>
    <row r="18" spans="2:27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7" x14ac:dyDescent="0.25">
      <c r="H19" s="50" t="s">
        <v>1</v>
      </c>
      <c r="I19" s="8" t="s">
        <v>2</v>
      </c>
      <c r="J19" s="9">
        <v>0.27381631271203372</v>
      </c>
      <c r="K19" s="9">
        <v>0.39999999999998403</v>
      </c>
      <c r="L19" s="9">
        <v>0.59999999999990683</v>
      </c>
      <c r="M19" s="9">
        <v>0.79999999999989868</v>
      </c>
      <c r="N19" s="9">
        <v>0.89999999999994407</v>
      </c>
      <c r="O19" s="9">
        <v>0.94999999999980522</v>
      </c>
      <c r="P19" s="9">
        <v>0.99000000000013433</v>
      </c>
      <c r="Q19" s="10">
        <v>0.99999999999997091</v>
      </c>
    </row>
    <row r="20" spans="2:27" x14ac:dyDescent="0.25">
      <c r="H20" s="51" t="s">
        <v>23</v>
      </c>
      <c r="I20" s="52" t="s">
        <v>24</v>
      </c>
      <c r="J20" s="53">
        <v>-9678.987524377837</v>
      </c>
      <c r="K20" s="53">
        <v>-9678.9875243787355</v>
      </c>
      <c r="L20" s="53">
        <v>-9678.9875243793776</v>
      </c>
      <c r="M20" s="53">
        <v>-9678.9875243793995</v>
      </c>
      <c r="N20" s="53">
        <v>-9678.9875243783936</v>
      </c>
      <c r="O20" s="53">
        <v>-9678.9875243785882</v>
      </c>
      <c r="P20" s="53">
        <v>-9678.9875243775041</v>
      </c>
      <c r="Q20" s="54">
        <v>-9678.9875243787938</v>
      </c>
    </row>
    <row r="21" spans="2:27" x14ac:dyDescent="0.25">
      <c r="B21" s="55"/>
      <c r="H21" s="56" t="s">
        <v>25</v>
      </c>
      <c r="I21" s="57" t="s">
        <v>24</v>
      </c>
      <c r="J21" s="58">
        <v>-1702.5570878064136</v>
      </c>
      <c r="K21" s="58">
        <v>-1702.5570878067806</v>
      </c>
      <c r="L21" s="58">
        <v>-1702.5570878067101</v>
      </c>
      <c r="M21" s="58">
        <v>-1702.5570878064552</v>
      </c>
      <c r="N21" s="58">
        <v>-1702.5570878065339</v>
      </c>
      <c r="O21" s="58">
        <v>-1702.5570878063763</v>
      </c>
      <c r="P21" s="58">
        <v>-1702.557087806546</v>
      </c>
      <c r="Q21" s="59">
        <v>-1702.5570878065926</v>
      </c>
    </row>
    <row r="22" spans="2:27" x14ac:dyDescent="0.25">
      <c r="H22" s="61" t="s">
        <v>26</v>
      </c>
      <c r="I22" s="6" t="s">
        <v>24</v>
      </c>
      <c r="J22" s="31">
        <v>2970.8414872927092</v>
      </c>
      <c r="K22" s="31">
        <v>2954.3890456153422</v>
      </c>
      <c r="L22" s="31">
        <v>3113.8787995506818</v>
      </c>
      <c r="M22" s="31">
        <v>4347.2465582488912</v>
      </c>
      <c r="N22" s="31">
        <v>6245.8974335300554</v>
      </c>
      <c r="O22" s="31">
        <v>7721.1000171749974</v>
      </c>
      <c r="P22" s="31">
        <v>10452.685400885601</v>
      </c>
      <c r="Q22" s="62">
        <v>8267.618469340754</v>
      </c>
    </row>
    <row r="23" spans="2:27" x14ac:dyDescent="0.25">
      <c r="H23" s="61" t="s">
        <v>27</v>
      </c>
      <c r="I23" s="6" t="s">
        <v>24</v>
      </c>
      <c r="J23" s="31">
        <v>0</v>
      </c>
      <c r="K23" s="31">
        <v>1476.6865628316955</v>
      </c>
      <c r="L23" s="31">
        <v>4457.8303848167825</v>
      </c>
      <c r="M23" s="31">
        <v>6100.5941094065784</v>
      </c>
      <c r="N23" s="31">
        <v>6054.8068823289186</v>
      </c>
      <c r="O23" s="31">
        <v>6543.8628369104636</v>
      </c>
      <c r="P23" s="31">
        <v>10516.596026954621</v>
      </c>
      <c r="Q23" s="62">
        <v>17146.720033164154</v>
      </c>
    </row>
    <row r="24" spans="2:27" x14ac:dyDescent="0.25">
      <c r="H24" s="61" t="s">
        <v>28</v>
      </c>
      <c r="I24" s="6" t="s">
        <v>24</v>
      </c>
      <c r="J24" s="31">
        <v>7028.7228496675152</v>
      </c>
      <c r="K24" s="31">
        <v>5807.3925146273095</v>
      </c>
      <c r="L24" s="31">
        <v>3871.5950097519071</v>
      </c>
      <c r="M24" s="31">
        <v>1935.7975048750243</v>
      </c>
      <c r="N24" s="31">
        <v>967.89875243847973</v>
      </c>
      <c r="O24" s="31">
        <v>483.94937621926783</v>
      </c>
      <c r="P24" s="31">
        <v>96.789875244179967</v>
      </c>
      <c r="Q24" s="62">
        <v>-2.1026380636612884E-13</v>
      </c>
    </row>
    <row r="25" spans="2:27" x14ac:dyDescent="0.25">
      <c r="H25" s="61" t="s">
        <v>29</v>
      </c>
      <c r="I25" s="6" t="s">
        <v>24</v>
      </c>
      <c r="J25" s="31">
        <v>-320.57681258179457</v>
      </c>
      <c r="K25" s="31">
        <v>-559.48059869569806</v>
      </c>
      <c r="L25" s="31">
        <v>-1764.3166697407394</v>
      </c>
      <c r="M25" s="31">
        <v>-2636.893087832947</v>
      </c>
      <c r="N25" s="31">
        <v>-3469.1000156274958</v>
      </c>
      <c r="O25" s="31">
        <v>-4933.5797689475712</v>
      </c>
      <c r="P25" s="31">
        <v>-11288.79389270777</v>
      </c>
      <c r="Q25" s="62">
        <v>-15674.229559926962</v>
      </c>
    </row>
    <row r="26" spans="2:27" x14ac:dyDescent="0.25">
      <c r="H26" s="61" t="s">
        <v>30</v>
      </c>
      <c r="I26" s="6" t="s">
        <v>24</v>
      </c>
      <c r="J26" s="31">
        <v>0</v>
      </c>
      <c r="K26" s="31">
        <v>0</v>
      </c>
      <c r="L26" s="31">
        <v>0</v>
      </c>
      <c r="M26" s="31">
        <v>-1146.4900223347931</v>
      </c>
      <c r="N26" s="31">
        <v>-2039.1798357268437</v>
      </c>
      <c r="O26" s="31">
        <v>-2307.0209302895055</v>
      </c>
      <c r="P26" s="31">
        <v>-1663.1114381967072</v>
      </c>
      <c r="Q26" s="62">
        <v>-1034.2033536282825</v>
      </c>
    </row>
    <row r="27" spans="2:27" x14ac:dyDescent="0.25">
      <c r="B27" s="63"/>
      <c r="H27" s="61" t="s">
        <v>31</v>
      </c>
      <c r="I27" s="6" t="s">
        <v>24</v>
      </c>
      <c r="J27" s="31">
        <v>0</v>
      </c>
      <c r="K27" s="31">
        <v>0</v>
      </c>
      <c r="L27" s="31">
        <v>0</v>
      </c>
      <c r="M27" s="31">
        <v>1078.7324620148079</v>
      </c>
      <c r="N27" s="31">
        <v>1918.6643074353799</v>
      </c>
      <c r="O27" s="31">
        <v>2170.6759933093904</v>
      </c>
      <c r="P27" s="31">
        <v>1564.8215521992875</v>
      </c>
      <c r="Q27" s="62">
        <v>973.08193542885192</v>
      </c>
    </row>
    <row r="28" spans="2:27" x14ac:dyDescent="0.25">
      <c r="H28" s="64" t="s">
        <v>32</v>
      </c>
      <c r="I28" s="65" t="s">
        <v>24</v>
      </c>
      <c r="J28" s="66">
        <v>5.9333160606911406E-10</v>
      </c>
      <c r="K28" s="66">
        <v>-8.6401996668428183E-11</v>
      </c>
      <c r="L28" s="66">
        <v>-7.4555828177835792E-10</v>
      </c>
      <c r="M28" s="66">
        <v>-1.838088792283088E-9</v>
      </c>
      <c r="N28" s="66">
        <v>1.0049916454590857E-10</v>
      </c>
      <c r="O28" s="66">
        <v>-1.5456862456630915E-9</v>
      </c>
      <c r="P28" s="66">
        <v>1.7075763025786728E-9</v>
      </c>
      <c r="Q28" s="67">
        <v>-2.7785063139162958E-10</v>
      </c>
    </row>
    <row r="30" spans="2:27" x14ac:dyDescent="0.25">
      <c r="H30" s="68" t="s">
        <v>15</v>
      </c>
    </row>
    <row r="31" spans="2:27" x14ac:dyDescent="0.25">
      <c r="H31" s="69" t="s">
        <v>33</v>
      </c>
      <c r="I31" s="70" t="s">
        <v>103</v>
      </c>
      <c r="J31" s="71">
        <v>0.29678031211521699</v>
      </c>
      <c r="K31" s="71">
        <v>0.29513675058659844</v>
      </c>
      <c r="L31" s="71">
        <v>0.31106941449841957</v>
      </c>
      <c r="M31" s="71">
        <v>0.43428005025434924</v>
      </c>
      <c r="N31" s="71">
        <v>0.6239509572260572</v>
      </c>
      <c r="O31" s="71">
        <v>0.7713203423243955</v>
      </c>
      <c r="P31" s="71">
        <v>1.0441995135004143</v>
      </c>
      <c r="Q31" s="72">
        <v>0.82591629350665574</v>
      </c>
    </row>
    <row r="32" spans="2:27" x14ac:dyDescent="0.25">
      <c r="H32" s="73" t="s">
        <v>34</v>
      </c>
      <c r="I32" s="74" t="s">
        <v>103</v>
      </c>
      <c r="J32" s="75">
        <v>0</v>
      </c>
      <c r="K32" s="75">
        <v>0.31238435866102482</v>
      </c>
      <c r="L32" s="75">
        <v>0.94302780348362358</v>
      </c>
      <c r="M32" s="75">
        <v>1.2905448090922815</v>
      </c>
      <c r="N32" s="75">
        <v>1.2808587904574174</v>
      </c>
      <c r="O32" s="75">
        <v>1.3843157017385634</v>
      </c>
      <c r="P32" s="75">
        <v>2.2247240462991398</v>
      </c>
      <c r="Q32" s="76">
        <v>3.6272877911406338</v>
      </c>
    </row>
    <row r="33" spans="8:17" x14ac:dyDescent="0.25">
      <c r="H33" s="73" t="s">
        <v>35</v>
      </c>
      <c r="I33" s="74" t="s">
        <v>103</v>
      </c>
      <c r="J33" s="75">
        <v>0</v>
      </c>
      <c r="K33" s="75">
        <v>0</v>
      </c>
      <c r="L33" s="75">
        <v>0</v>
      </c>
      <c r="M33" s="75">
        <v>0.38347558942552989</v>
      </c>
      <c r="N33" s="75">
        <v>0.7737634814326384</v>
      </c>
      <c r="O33" s="75">
        <v>1.0364093997164174</v>
      </c>
      <c r="P33" s="75">
        <v>1.2299026226688561</v>
      </c>
      <c r="Q33" s="76">
        <v>1.9635065123338082</v>
      </c>
    </row>
    <row r="34" spans="8:17" x14ac:dyDescent="0.25">
      <c r="H34" s="73" t="s">
        <v>36</v>
      </c>
      <c r="I34" s="74" t="s">
        <v>103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6">
        <v>0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>
        <v>0.6425853673864047</v>
      </c>
      <c r="K36" s="75">
        <v>0.64258874311912739</v>
      </c>
      <c r="L36" s="75">
        <v>0.64258901917733835</v>
      </c>
      <c r="M36" s="75">
        <v>0.64259021150422646</v>
      </c>
      <c r="N36" s="75">
        <v>0.64259194752394266</v>
      </c>
      <c r="O36" s="75">
        <v>0.64259042395864097</v>
      </c>
      <c r="P36" s="75">
        <v>0.64258855255678915</v>
      </c>
      <c r="Q36" s="76">
        <v>0.64258737998773119</v>
      </c>
    </row>
    <row r="37" spans="8:17" x14ac:dyDescent="0.25">
      <c r="H37" s="77" t="s">
        <v>38</v>
      </c>
      <c r="I37" s="78" t="s">
        <v>103</v>
      </c>
      <c r="J37" s="79">
        <v>5.5646308521603176E-2</v>
      </c>
      <c r="K37" s="79">
        <v>5.5338140734987204E-2</v>
      </c>
      <c r="L37" s="79">
        <v>5.8325515218453673E-2</v>
      </c>
      <c r="M37" s="79">
        <v>8.1427509422690489E-2</v>
      </c>
      <c r="N37" s="79">
        <v>0.11699080447988572</v>
      </c>
      <c r="O37" s="79">
        <v>0.14462256418582414</v>
      </c>
      <c r="P37" s="79">
        <v>0.19578740878132767</v>
      </c>
      <c r="Q37" s="80">
        <v>0.15485930503249795</v>
      </c>
    </row>
    <row r="38" spans="8:17" x14ac:dyDescent="0.25">
      <c r="H38" s="81" t="s">
        <v>39</v>
      </c>
      <c r="I38" s="82" t="s">
        <v>103</v>
      </c>
      <c r="J38" s="83">
        <v>0</v>
      </c>
      <c r="K38" s="83">
        <v>9.3715307598307443E-2</v>
      </c>
      <c r="L38" s="83">
        <v>0.28290834104508705</v>
      </c>
      <c r="M38" s="83">
        <v>0.38716344272768438</v>
      </c>
      <c r="N38" s="83">
        <v>0.38425763713722511</v>
      </c>
      <c r="O38" s="83">
        <v>0.41529471052156913</v>
      </c>
      <c r="P38" s="83">
        <v>0.66741721388974173</v>
      </c>
      <c r="Q38" s="84">
        <v>1.0881863373421901</v>
      </c>
    </row>
    <row r="39" spans="8:17" x14ac:dyDescent="0.25">
      <c r="H39" s="81" t="s">
        <v>40</v>
      </c>
      <c r="I39" s="82" t="s">
        <v>103</v>
      </c>
      <c r="J39" s="83">
        <v>0</v>
      </c>
      <c r="K39" s="83">
        <v>0</v>
      </c>
      <c r="L39" s="83">
        <v>0</v>
      </c>
      <c r="M39" s="83">
        <v>9.586889735638246E-2</v>
      </c>
      <c r="N39" s="83">
        <v>0.1934408703581596</v>
      </c>
      <c r="O39" s="83">
        <v>0.25910234992910436</v>
      </c>
      <c r="P39" s="83">
        <v>0.30747565566721397</v>
      </c>
      <c r="Q39" s="84">
        <v>0.49087662808345206</v>
      </c>
    </row>
    <row r="40" spans="8:17" x14ac:dyDescent="0.25">
      <c r="H40" s="81" t="s">
        <v>41</v>
      </c>
      <c r="I40" s="82" t="s">
        <v>103</v>
      </c>
      <c r="J40" s="83">
        <v>0.25703414695456189</v>
      </c>
      <c r="K40" s="83">
        <v>0.2570354972476509</v>
      </c>
      <c r="L40" s="83">
        <v>0.25703560767093531</v>
      </c>
      <c r="M40" s="83">
        <v>0.25703608460169053</v>
      </c>
      <c r="N40" s="83">
        <v>0.25703677900957705</v>
      </c>
      <c r="O40" s="83">
        <v>0.25703616958345638</v>
      </c>
      <c r="P40" s="83">
        <v>0.25703542102271565</v>
      </c>
      <c r="Q40" s="84">
        <v>0.25703495199509246</v>
      </c>
    </row>
    <row r="41" spans="8:17" x14ac:dyDescent="0.25">
      <c r="H41" s="85" t="s">
        <v>42</v>
      </c>
      <c r="I41" s="86" t="s">
        <v>103</v>
      </c>
      <c r="J41" s="87">
        <v>0</v>
      </c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8">
        <v>0</v>
      </c>
    </row>
    <row r="42" spans="8:17" x14ac:dyDescent="0.25">
      <c r="H42" s="89" t="s">
        <v>43</v>
      </c>
      <c r="I42" s="90" t="s">
        <v>103</v>
      </c>
      <c r="J42" s="91">
        <v>0</v>
      </c>
      <c r="K42" s="91">
        <v>0</v>
      </c>
      <c r="L42" s="91">
        <v>0</v>
      </c>
      <c r="M42" s="91">
        <v>0.27481454375547121</v>
      </c>
      <c r="N42" s="91">
        <v>0.48879298142466504</v>
      </c>
      <c r="O42" s="91">
        <v>0.55299469863732897</v>
      </c>
      <c r="P42" s="91">
        <v>0.39864909610971083</v>
      </c>
      <c r="Q42" s="92">
        <v>0.24789934255065993</v>
      </c>
    </row>
    <row r="43" spans="8:17" x14ac:dyDescent="0.25">
      <c r="H43" s="89" t="s">
        <v>44</v>
      </c>
      <c r="I43" s="90" t="s">
        <v>103</v>
      </c>
      <c r="J43" s="91">
        <v>0</v>
      </c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>
        <v>8.478643178136118E-2</v>
      </c>
      <c r="K44" s="91">
        <v>8.4787488861760241E-2</v>
      </c>
      <c r="L44" s="91">
        <v>8.4787488861784638E-2</v>
      </c>
      <c r="M44" s="91">
        <v>8.4787488861786664E-2</v>
      </c>
      <c r="N44" s="91">
        <v>8.4787488861792909E-2</v>
      </c>
      <c r="O44" s="91">
        <v>8.4787488861776547E-2</v>
      </c>
      <c r="P44" s="91">
        <v>8.4787164170202114E-2</v>
      </c>
      <c r="Q44" s="92">
        <v>8.4786865364310182E-2</v>
      </c>
    </row>
    <row r="45" spans="8:17" x14ac:dyDescent="0.25">
      <c r="H45" s="89" t="s">
        <v>46</v>
      </c>
      <c r="I45" s="90" t="s">
        <v>103</v>
      </c>
      <c r="J45" s="91">
        <v>1.9027730795181892</v>
      </c>
      <c r="K45" s="91">
        <v>1.9027730795180353</v>
      </c>
      <c r="L45" s="91">
        <v>1.9027730795184938</v>
      </c>
      <c r="M45" s="91">
        <v>1.9027730795185998</v>
      </c>
      <c r="N45" s="91">
        <v>1.9027730795186846</v>
      </c>
      <c r="O45" s="91">
        <v>1.9027730795183002</v>
      </c>
      <c r="P45" s="91">
        <v>1.9027730795187403</v>
      </c>
      <c r="Q45" s="92">
        <v>1.9027730795182773</v>
      </c>
    </row>
    <row r="46" spans="8:17" x14ac:dyDescent="0.25">
      <c r="H46" s="89" t="s">
        <v>47</v>
      </c>
      <c r="I46" s="90" t="s">
        <v>103</v>
      </c>
      <c r="J46" s="91">
        <v>1.943959344632846</v>
      </c>
      <c r="K46" s="91">
        <v>1.6055115907682023</v>
      </c>
      <c r="L46" s="91">
        <v>1.0694391346620999</v>
      </c>
      <c r="M46" s="91">
        <v>0.53438624195525997</v>
      </c>
      <c r="N46" s="91">
        <v>0.26724037216792751</v>
      </c>
      <c r="O46" s="91">
        <v>0.13394187865639123</v>
      </c>
      <c r="P46" s="91">
        <v>2.6868167723298218E-2</v>
      </c>
      <c r="Q46" s="92">
        <v>-5.6467238242179076E-17</v>
      </c>
    </row>
    <row r="47" spans="8:17" x14ac:dyDescent="0.25">
      <c r="H47" s="93" t="s">
        <v>48</v>
      </c>
      <c r="I47" s="94" t="s">
        <v>103</v>
      </c>
      <c r="J47" s="95">
        <v>-0.47122626486093483</v>
      </c>
      <c r="K47" s="95">
        <v>-0.47122626486090824</v>
      </c>
      <c r="L47" s="95">
        <v>-0.47122626486100216</v>
      </c>
      <c r="M47" s="95">
        <v>-0.47122626486108499</v>
      </c>
      <c r="N47" s="95">
        <v>-0.47122626486103353</v>
      </c>
      <c r="O47" s="95">
        <v>-0.47122626486099783</v>
      </c>
      <c r="P47" s="95">
        <v>-0.47122626486114361</v>
      </c>
      <c r="Q47" s="96">
        <v>-0.47122626486093283</v>
      </c>
    </row>
    <row r="48" spans="8:17" x14ac:dyDescent="0.25">
      <c r="H48" s="97" t="s">
        <v>49</v>
      </c>
      <c r="I48" s="98" t="s">
        <v>103</v>
      </c>
      <c r="J48" s="99">
        <v>-1.7732886818825993E-2</v>
      </c>
      <c r="K48" s="99">
        <v>-3.0947984210391508E-2</v>
      </c>
      <c r="L48" s="99">
        <v>-9.7594169600469363E-2</v>
      </c>
      <c r="M48" s="99">
        <v>-0.14586122528111939</v>
      </c>
      <c r="N48" s="99">
        <v>-0.19189521988471919</v>
      </c>
      <c r="O48" s="99">
        <v>-0.27290374169554149</v>
      </c>
      <c r="P48" s="99">
        <v>-0.62444598786889072</v>
      </c>
      <c r="Q48" s="100">
        <v>-0.86702883006417131</v>
      </c>
    </row>
    <row r="49" spans="8:27" x14ac:dyDescent="0.25">
      <c r="H49" s="101" t="s">
        <v>50</v>
      </c>
      <c r="I49" s="102" t="s">
        <v>103</v>
      </c>
      <c r="J49" s="103">
        <v>-3.5465773637651986E-2</v>
      </c>
      <c r="K49" s="103">
        <v>-6.1895968420783015E-2</v>
      </c>
      <c r="L49" s="103">
        <v>-0.19518833920093873</v>
      </c>
      <c r="M49" s="103">
        <v>-0.29172245056223878</v>
      </c>
      <c r="N49" s="103">
        <v>-0.38379043976943839</v>
      </c>
      <c r="O49" s="103">
        <v>-0.54580748339108298</v>
      </c>
      <c r="P49" s="103">
        <v>-1.2488919757377814</v>
      </c>
      <c r="Q49" s="104">
        <v>-1.7340576601283426</v>
      </c>
    </row>
    <row r="50" spans="8:27" x14ac:dyDescent="0.25">
      <c r="H50" s="105" t="s">
        <v>51</v>
      </c>
      <c r="I50" s="106" t="s">
        <v>103</v>
      </c>
      <c r="J50" s="107">
        <v>4.7123387260492473</v>
      </c>
      <c r="K50" s="107">
        <v>4.7780446922347863</v>
      </c>
      <c r="L50" s="107">
        <v>5.0807291392752338</v>
      </c>
      <c r="M50" s="107">
        <v>5.8979216836148662</v>
      </c>
      <c r="N50" s="107">
        <v>6.5452589247369408</v>
      </c>
      <c r="O50" s="107">
        <v>7.1139625427707704</v>
      </c>
      <c r="P50" s="107">
        <v>8.5109816770470079</v>
      </c>
      <c r="Q50" s="108">
        <v>10.814488221994376</v>
      </c>
    </row>
    <row r="51" spans="8:27" x14ac:dyDescent="0.25">
      <c r="H51" s="105" t="s">
        <v>52</v>
      </c>
      <c r="I51" s="106" t="s">
        <v>103</v>
      </c>
      <c r="J51" s="107">
        <v>4.6946058392304213</v>
      </c>
      <c r="K51" s="107">
        <v>4.7470967080243947</v>
      </c>
      <c r="L51" s="107">
        <v>4.9831349696747642</v>
      </c>
      <c r="M51" s="107">
        <v>5.7520604583337471</v>
      </c>
      <c r="N51" s="107">
        <v>6.3533637048522218</v>
      </c>
      <c r="O51" s="107">
        <v>6.8410588010752287</v>
      </c>
      <c r="P51" s="107">
        <v>7.8865356891781175</v>
      </c>
      <c r="Q51" s="108">
        <v>9.9474593919302041</v>
      </c>
    </row>
    <row r="52" spans="8:27" x14ac:dyDescent="0.25">
      <c r="H52" s="109" t="s">
        <v>53</v>
      </c>
      <c r="I52" s="110" t="s">
        <v>103</v>
      </c>
      <c r="J52" s="111">
        <v>4.6768729524115953</v>
      </c>
      <c r="K52" s="111">
        <v>4.716148723814003</v>
      </c>
      <c r="L52" s="111">
        <v>4.8855408000742955</v>
      </c>
      <c r="M52" s="111">
        <v>5.6061992330526271</v>
      </c>
      <c r="N52" s="111">
        <v>6.1614684849675028</v>
      </c>
      <c r="O52" s="111">
        <v>6.5681550593796878</v>
      </c>
      <c r="P52" s="111">
        <v>7.2620897013092263</v>
      </c>
      <c r="Q52" s="112">
        <v>9.0804305618660326</v>
      </c>
    </row>
    <row r="53" spans="8:27" x14ac:dyDescent="0.25">
      <c r="H53" s="113" t="s">
        <v>54</v>
      </c>
      <c r="I53" s="114" t="s">
        <v>103</v>
      </c>
      <c r="J53" s="115">
        <v>4.7123387260492482</v>
      </c>
      <c r="K53" s="115">
        <v>4.7780446922347863</v>
      </c>
      <c r="L53" s="115">
        <v>5.0807291392752338</v>
      </c>
      <c r="M53" s="115">
        <v>5.8979216836148671</v>
      </c>
      <c r="N53" s="115">
        <v>6.5452589247369408</v>
      </c>
      <c r="O53" s="115">
        <v>7.1139625427707704</v>
      </c>
      <c r="P53" s="115">
        <v>8.5109816770470061</v>
      </c>
      <c r="Q53" s="116">
        <v>10.814488221994376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>
        <v>0.27381631271203372</v>
      </c>
      <c r="K56" s="124">
        <v>0.39999999999998403</v>
      </c>
      <c r="L56" s="124">
        <v>0.59999999999990683</v>
      </c>
      <c r="M56" s="124">
        <v>0.79999999999989868</v>
      </c>
      <c r="N56" s="124">
        <v>0.89999999999994407</v>
      </c>
      <c r="O56" s="124">
        <v>0.94999999999980522</v>
      </c>
      <c r="P56" s="124">
        <v>0.99000000000013433</v>
      </c>
      <c r="Q56" s="125">
        <v>0.99999999999997091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>
        <v>1609566.8031995911</v>
      </c>
      <c r="K57" s="128">
        <v>1600653.0647626058</v>
      </c>
      <c r="L57" s="128">
        <v>1687062.7283151159</v>
      </c>
      <c r="M57" s="128">
        <v>2355286.8018742795</v>
      </c>
      <c r="N57" s="128">
        <v>3383953.4045153214</v>
      </c>
      <c r="O57" s="128">
        <v>4183200.7278024675</v>
      </c>
      <c r="P57" s="128">
        <v>5663141.4020295702</v>
      </c>
      <c r="Q57" s="129">
        <v>4479297.9654722186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>
        <v>0</v>
      </c>
      <c r="K58" s="132">
        <v>1694194.2339639463</v>
      </c>
      <c r="L58" s="132">
        <v>5114443.866451473</v>
      </c>
      <c r="M58" s="132">
        <v>6999177.4991786452</v>
      </c>
      <c r="N58" s="132">
        <v>6946646.0696548214</v>
      </c>
      <c r="O58" s="132">
        <v>7507737.230902262</v>
      </c>
      <c r="P58" s="132">
        <v>12065631.799092397</v>
      </c>
      <c r="Q58" s="133">
        <v>19672335.987045795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>
        <v>0</v>
      </c>
      <c r="K59" s="132">
        <v>0</v>
      </c>
      <c r="L59" s="132">
        <v>0</v>
      </c>
      <c r="M59" s="132">
        <v>2079752.4410479532</v>
      </c>
      <c r="N59" s="132">
        <v>4196450.9180726632</v>
      </c>
      <c r="O59" s="132">
        <v>5620892.2769103423</v>
      </c>
      <c r="P59" s="132">
        <v>6670288.9369790806</v>
      </c>
      <c r="Q59" s="133">
        <v>10648937.180481236</v>
      </c>
    </row>
    <row r="60" spans="8:27" x14ac:dyDescent="0.25">
      <c r="H60" s="134" t="s">
        <v>60</v>
      </c>
      <c r="I60" s="74" t="s">
        <v>57</v>
      </c>
      <c r="J60" s="135">
        <v>0</v>
      </c>
      <c r="K60" s="135">
        <v>0</v>
      </c>
      <c r="L60" s="135">
        <v>0</v>
      </c>
      <c r="M60" s="135">
        <v>0</v>
      </c>
      <c r="N60" s="135">
        <v>0</v>
      </c>
      <c r="O60" s="135">
        <v>0</v>
      </c>
      <c r="P60" s="135">
        <v>0</v>
      </c>
      <c r="Q60" s="136">
        <v>0</v>
      </c>
    </row>
    <row r="61" spans="8:27" x14ac:dyDescent="0.25">
      <c r="H61" s="134" t="s">
        <v>61</v>
      </c>
      <c r="I61" s="74" t="s">
        <v>57</v>
      </c>
      <c r="J61" s="135">
        <v>0</v>
      </c>
      <c r="K61" s="135">
        <v>0</v>
      </c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6">
        <v>0</v>
      </c>
    </row>
    <row r="62" spans="8:27" x14ac:dyDescent="0.25">
      <c r="H62" s="134" t="s">
        <v>62</v>
      </c>
      <c r="I62" s="74"/>
      <c r="J62" s="135">
        <v>0</v>
      </c>
      <c r="K62" s="135">
        <v>0</v>
      </c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6">
        <v>0</v>
      </c>
    </row>
    <row r="63" spans="8:27" x14ac:dyDescent="0.25">
      <c r="H63" s="137" t="s">
        <v>63</v>
      </c>
      <c r="I63" s="138" t="s">
        <v>57</v>
      </c>
      <c r="J63" s="139">
        <v>1379675.7</v>
      </c>
      <c r="K63" s="139">
        <v>1379693.6182944216</v>
      </c>
      <c r="L63" s="139">
        <v>1379693.6182944216</v>
      </c>
      <c r="M63" s="139">
        <v>1379693.6182944216</v>
      </c>
      <c r="N63" s="139">
        <v>1379693.6182944216</v>
      </c>
      <c r="O63" s="139">
        <v>1379693.6182944216</v>
      </c>
      <c r="P63" s="139">
        <v>1379688.1145319487</v>
      </c>
      <c r="Q63" s="140">
        <v>1379683.0495514944</v>
      </c>
    </row>
    <row r="64" spans="8:27" x14ac:dyDescent="0.25">
      <c r="H64" s="141" t="s">
        <v>64</v>
      </c>
      <c r="I64" s="142" t="s">
        <v>57</v>
      </c>
      <c r="J64" s="143">
        <v>2105340.095675278</v>
      </c>
      <c r="K64" s="143">
        <v>2105340.4854261978</v>
      </c>
      <c r="L64" s="143">
        <v>2105341.9826073265</v>
      </c>
      <c r="M64" s="143">
        <v>2105348.4491067603</v>
      </c>
      <c r="N64" s="143">
        <v>2105357.8642854113</v>
      </c>
      <c r="O64" s="143">
        <v>2105349.6013386352</v>
      </c>
      <c r="P64" s="143">
        <v>2105344.9556861632</v>
      </c>
      <c r="Q64" s="144">
        <v>2105343.661323017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2400.4524320667124</v>
      </c>
      <c r="J68" s="151">
        <v>2400.4524320667124</v>
      </c>
      <c r="K68" s="152" t="s">
        <v>24</v>
      </c>
    </row>
    <row r="69" spans="8:17" x14ac:dyDescent="0.25">
      <c r="H69" s="153" t="s">
        <v>69</v>
      </c>
      <c r="I69" s="154">
        <v>524.1741660667119</v>
      </c>
      <c r="J69" s="154">
        <v>-413.96496693328845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>
        <v>0.27381631271203372</v>
      </c>
      <c r="K72" s="9">
        <v>0.39999999999998403</v>
      </c>
      <c r="L72" s="9">
        <v>0.59999999999990683</v>
      </c>
      <c r="M72" s="9">
        <v>0.79999999999989868</v>
      </c>
      <c r="N72" s="9">
        <v>0.89999999999994407</v>
      </c>
      <c r="O72" s="9">
        <v>0.94999999999980522</v>
      </c>
      <c r="P72" s="9">
        <v>0.99000000000013433</v>
      </c>
      <c r="Q72" s="10">
        <v>0.99999999999997091</v>
      </c>
    </row>
    <row r="73" spans="8:17" x14ac:dyDescent="0.25">
      <c r="H73" s="51" t="s">
        <v>71</v>
      </c>
      <c r="I73" s="52"/>
      <c r="J73" s="157">
        <v>320.57681258179457</v>
      </c>
      <c r="K73" s="157">
        <v>311.21590808219526</v>
      </c>
      <c r="L73" s="157">
        <v>405.07147216435351</v>
      </c>
      <c r="M73" s="157">
        <v>616.55447699512808</v>
      </c>
      <c r="N73" s="157">
        <v>1449.1433220999695</v>
      </c>
      <c r="O73" s="157">
        <v>2507.1287388443884</v>
      </c>
      <c r="P73" s="157">
        <v>5467.7210805227814</v>
      </c>
      <c r="Q73" s="158">
        <v>4075.0935657195641</v>
      </c>
    </row>
    <row r="74" spans="8:17" x14ac:dyDescent="0.25">
      <c r="H74" s="130" t="s">
        <v>72</v>
      </c>
      <c r="I74" s="131"/>
      <c r="J74" s="160">
        <v>0</v>
      </c>
      <c r="K74" s="160">
        <v>248.26469061350281</v>
      </c>
      <c r="L74" s="160">
        <v>1359.2451975763859</v>
      </c>
      <c r="M74" s="160">
        <v>2020.338610837819</v>
      </c>
      <c r="N74" s="160">
        <v>2019.9566935275263</v>
      </c>
      <c r="O74" s="160">
        <v>2426.4510301031828</v>
      </c>
      <c r="P74" s="160">
        <v>5821.0728121849888</v>
      </c>
      <c r="Q74" s="161">
        <v>11599.135994207398</v>
      </c>
    </row>
    <row r="75" spans="8:17" x14ac:dyDescent="0.25">
      <c r="H75" s="130" t="s">
        <v>73</v>
      </c>
      <c r="I75" s="159" t="s">
        <v>2</v>
      </c>
      <c r="J75" s="162">
        <v>0.10790774733455477</v>
      </c>
      <c r="K75" s="162">
        <v>0.10534019158515225</v>
      </c>
      <c r="L75" s="162">
        <v>0.13008581844059036</v>
      </c>
      <c r="M75" s="162">
        <v>0.1418264339815779</v>
      </c>
      <c r="N75" s="162">
        <v>0.23201522879970554</v>
      </c>
      <c r="O75" s="162">
        <v>0.32471134077624586</v>
      </c>
      <c r="P75" s="162">
        <v>0.52309247536135839</v>
      </c>
      <c r="Q75" s="163">
        <v>0.49289811580341408</v>
      </c>
    </row>
    <row r="76" spans="8:17" x14ac:dyDescent="0.25">
      <c r="H76" s="130" t="s">
        <v>74</v>
      </c>
      <c r="I76" s="159" t="s">
        <v>2</v>
      </c>
      <c r="J76" s="162">
        <v>0</v>
      </c>
      <c r="K76" s="162">
        <v>0.16812280741380231</v>
      </c>
      <c r="L76" s="162">
        <v>0.30491182486573032</v>
      </c>
      <c r="M76" s="162">
        <v>0.33117079658235826</v>
      </c>
      <c r="N76" s="162">
        <v>0.33361207595618159</v>
      </c>
      <c r="O76" s="162">
        <v>0.37079796606017751</v>
      </c>
      <c r="P76" s="162">
        <v>0.55351301859130608</v>
      </c>
      <c r="Q76" s="163">
        <v>0.67646383516923625</v>
      </c>
    </row>
    <row r="77" spans="8:17" x14ac:dyDescent="0.25">
      <c r="H77" s="164" t="s">
        <v>75</v>
      </c>
      <c r="I77" s="165" t="s">
        <v>2</v>
      </c>
      <c r="J77" s="166">
        <v>0.10790774733455477</v>
      </c>
      <c r="K77" s="166">
        <v>0.12626293210369743</v>
      </c>
      <c r="L77" s="166">
        <v>0.23301432038400841</v>
      </c>
      <c r="M77" s="166">
        <v>0.25238641856362409</v>
      </c>
      <c r="N77" s="166">
        <v>0.28202450254453126</v>
      </c>
      <c r="O77" s="166">
        <v>0.34585296992446091</v>
      </c>
      <c r="P77" s="166">
        <v>0.53834910516866885</v>
      </c>
      <c r="Q77" s="167">
        <v>0.61674749308867771</v>
      </c>
    </row>
    <row r="78" spans="8:17" x14ac:dyDescent="0.25">
      <c r="H78" s="168" t="s">
        <v>76</v>
      </c>
      <c r="I78" s="169"/>
      <c r="J78" s="170">
        <v>72.119611185928136</v>
      </c>
      <c r="K78" s="170">
        <v>105.98288323608162</v>
      </c>
      <c r="L78" s="170">
        <v>148.98534918157225</v>
      </c>
      <c r="M78" s="170">
        <v>206.45188050712639</v>
      </c>
      <c r="N78" s="170">
        <v>240.44734867033424</v>
      </c>
      <c r="O78" s="170">
        <v>269.19792415338588</v>
      </c>
      <c r="P78" s="170">
        <v>343.45156507578986</v>
      </c>
      <c r="Q78" s="171">
        <v>470.59507864590205</v>
      </c>
    </row>
    <row r="79" spans="8:17" x14ac:dyDescent="0.25">
      <c r="H79" s="172" t="s">
        <v>77</v>
      </c>
      <c r="I79" s="173"/>
      <c r="J79" s="174">
        <v>68.4908021582023</v>
      </c>
      <c r="K79" s="174">
        <v>101.64761110183301</v>
      </c>
      <c r="L79" s="174">
        <v>139.87118995108941</v>
      </c>
      <c r="M79" s="174">
        <v>196.23557528463482</v>
      </c>
      <c r="N79" s="174">
        <v>228.50016236636009</v>
      </c>
      <c r="O79" s="174">
        <v>253.10148271577418</v>
      </c>
      <c r="P79" s="174">
        <v>308.10854365399695</v>
      </c>
      <c r="Q79" s="175">
        <v>422.01283947951748</v>
      </c>
    </row>
    <row r="80" spans="8:17" x14ac:dyDescent="0.25">
      <c r="H80" s="172" t="s">
        <v>78</v>
      </c>
      <c r="I80" s="173"/>
      <c r="J80" s="174">
        <v>64.861993130476463</v>
      </c>
      <c r="K80" s="174">
        <v>97.312338967584395</v>
      </c>
      <c r="L80" s="174">
        <v>130.75703072060654</v>
      </c>
      <c r="M80" s="174">
        <v>186.01927006214325</v>
      </c>
      <c r="N80" s="174">
        <v>216.55297606238591</v>
      </c>
      <c r="O80" s="174">
        <v>237.00504127816248</v>
      </c>
      <c r="P80" s="174">
        <v>272.76552223220403</v>
      </c>
      <c r="Q80" s="175">
        <v>373.43060031313297</v>
      </c>
    </row>
    <row r="81" spans="8:17" x14ac:dyDescent="0.25">
      <c r="H81" s="73" t="s">
        <v>79</v>
      </c>
      <c r="I81" s="176"/>
      <c r="J81" s="177">
        <v>64.337346404210663</v>
      </c>
      <c r="K81" s="177">
        <v>92.601173645890157</v>
      </c>
      <c r="L81" s="177">
        <v>114.269629294854</v>
      </c>
      <c r="M81" s="177">
        <v>154.00610227490398</v>
      </c>
      <c r="N81" s="177">
        <v>171.96434601923733</v>
      </c>
      <c r="O81" s="177">
        <v>175.19655471739162</v>
      </c>
      <c r="P81" s="177">
        <v>157.68396881686436</v>
      </c>
      <c r="Q81" s="178">
        <v>179.6570383987775</v>
      </c>
    </row>
    <row r="82" spans="8:17" x14ac:dyDescent="0.25">
      <c r="H82" s="134" t="s">
        <v>80</v>
      </c>
      <c r="I82" s="176"/>
      <c r="J82" s="177">
        <v>61.10011398417403</v>
      </c>
      <c r="K82" s="177">
        <v>88.813285682779224</v>
      </c>
      <c r="L82" s="177">
        <v>107.27919968333376</v>
      </c>
      <c r="M82" s="177">
        <v>146.38508500394548</v>
      </c>
      <c r="N82" s="177">
        <v>163.41989713720903</v>
      </c>
      <c r="O82" s="177">
        <v>164.72083841330524</v>
      </c>
      <c r="P82" s="177">
        <v>141.45743659378962</v>
      </c>
      <c r="Q82" s="178">
        <v>161.11000804621148</v>
      </c>
    </row>
    <row r="83" spans="8:17" x14ac:dyDescent="0.25">
      <c r="H83" s="179" t="s">
        <v>81</v>
      </c>
      <c r="I83" s="180"/>
      <c r="J83" s="181">
        <v>57.862881564137382</v>
      </c>
      <c r="K83" s="181">
        <v>85.025397719668305</v>
      </c>
      <c r="L83" s="181">
        <v>100.28877007181349</v>
      </c>
      <c r="M83" s="181">
        <v>138.76406773298694</v>
      </c>
      <c r="N83" s="181">
        <v>154.87544825518071</v>
      </c>
      <c r="O83" s="181">
        <v>154.2451221092189</v>
      </c>
      <c r="P83" s="181">
        <v>125.23090437071484</v>
      </c>
      <c r="Q83" s="182">
        <v>142.56297769364548</v>
      </c>
    </row>
    <row r="84" spans="8:17" x14ac:dyDescent="0.25">
      <c r="H84" s="183" t="s">
        <v>82</v>
      </c>
      <c r="I84" s="184" t="s">
        <v>12</v>
      </c>
      <c r="J84" s="185">
        <v>0</v>
      </c>
      <c r="K84" s="185">
        <v>0</v>
      </c>
      <c r="L84" s="185">
        <v>0</v>
      </c>
      <c r="M84" s="185">
        <v>1.7660290367975036</v>
      </c>
      <c r="N84" s="185">
        <v>2.4802060882240275</v>
      </c>
      <c r="O84" s="185">
        <v>2.687364361720757</v>
      </c>
      <c r="P84" s="185">
        <v>2.3556851095360489</v>
      </c>
      <c r="Q84" s="186">
        <v>4.7547348993375564</v>
      </c>
    </row>
    <row r="86" spans="8:17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439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>
        <f t="shared" ref="J92:O92" si="6">J5</f>
        <v>0.27381631271203372</v>
      </c>
      <c r="K92" s="228">
        <f t="shared" si="6"/>
        <v>0.39999999999998403</v>
      </c>
      <c r="L92" s="228">
        <f t="shared" si="6"/>
        <v>0.59999999999990683</v>
      </c>
      <c r="M92" s="228">
        <f t="shared" si="6"/>
        <v>0.79999999999989868</v>
      </c>
      <c r="N92" s="228">
        <f t="shared" si="6"/>
        <v>0.89999999999994407</v>
      </c>
      <c r="O92" s="228">
        <f t="shared" si="6"/>
        <v>0.94999999999980522</v>
      </c>
      <c r="P92" s="229">
        <f>P5</f>
        <v>0.99000000000013433</v>
      </c>
      <c r="Q92" s="229">
        <f>Q5</f>
        <v>0.99999999999997091</v>
      </c>
    </row>
    <row r="93" spans="8:17" ht="18" x14ac:dyDescent="0.25">
      <c r="H93" s="148" t="s">
        <v>89</v>
      </c>
      <c r="I93" s="194" t="s">
        <v>104</v>
      </c>
      <c r="J93" s="195">
        <f t="shared" ref="J93:O93" si="7">IF(J22&gt;0,  $I$88*(J6*1000)/(J22*1000)/$K$88*1000, 0)</f>
        <v>14.221939731457093</v>
      </c>
      <c r="K93" s="195">
        <f t="shared" si="7"/>
        <v>14.221939731457082</v>
      </c>
      <c r="L93" s="195">
        <f t="shared" si="7"/>
        <v>14.221939731457102</v>
      </c>
      <c r="M93" s="195">
        <f t="shared" si="7"/>
        <v>14.221939731457054</v>
      </c>
      <c r="N93" s="195">
        <f t="shared" si="7"/>
        <v>14.221939731457129</v>
      </c>
      <c r="O93" s="195">
        <f t="shared" si="7"/>
        <v>14.221939731457047</v>
      </c>
      <c r="P93" s="196">
        <f>IF(P22&gt;0,  $I$88*(P6*1000)/(P22*1000)/$K$88*1000, 0)</f>
        <v>14.221939731457073</v>
      </c>
      <c r="Q93" s="196">
        <f>IF(Q22&gt;0,  $I$88*(Q6*1000)/(Q22*1000)/$K$88*1000, 0)</f>
        <v>14.221939731457093</v>
      </c>
    </row>
    <row r="94" spans="8:17" ht="18" x14ac:dyDescent="0.25">
      <c r="H94" s="61" t="s">
        <v>90</v>
      </c>
      <c r="I94" s="230" t="s">
        <v>104</v>
      </c>
      <c r="J94" s="231">
        <f t="shared" ref="J94:O94" si="8">IF(J23&gt;0,$I$89*(J7*1000)/(J23*1000)/$K$89*1000,0)</f>
        <v>0</v>
      </c>
      <c r="K94" s="231">
        <f t="shared" si="8"/>
        <v>11.625916654409675</v>
      </c>
      <c r="L94" s="231">
        <f t="shared" si="8"/>
        <v>11.625916654409675</v>
      </c>
      <c r="M94" s="231">
        <f t="shared" si="8"/>
        <v>11.625916654409691</v>
      </c>
      <c r="N94" s="231">
        <f t="shared" si="8"/>
        <v>11.625916654409689</v>
      </c>
      <c r="O94" s="231">
        <f t="shared" si="8"/>
        <v>11.625916654409629</v>
      </c>
      <c r="P94" s="232">
        <f>IF(P23&gt;0,$I$89*(P7*1000)/(P23*1000)/$K$89*1000,0)</f>
        <v>11.625916654409604</v>
      </c>
      <c r="Q94" s="232">
        <f>IF(Q23&gt;0,$I$89*(Q7*1000)/(Q23*1000)/$K$89*1000,0)</f>
        <v>11.625916654409728</v>
      </c>
    </row>
    <row r="95" spans="8:17" ht="18" x14ac:dyDescent="0.25">
      <c r="H95" s="153" t="s">
        <v>99</v>
      </c>
      <c r="I95" s="197" t="s">
        <v>104</v>
      </c>
      <c r="J95" s="198">
        <f t="shared" ref="J95:O95" si="9">IF(-J26&gt;0,$I$90*(J8*1000)/(-J26*1000)/$K$90*1000,0)</f>
        <v>0</v>
      </c>
      <c r="K95" s="198">
        <f t="shared" si="9"/>
        <v>0</v>
      </c>
      <c r="L95" s="198">
        <f t="shared" si="9"/>
        <v>0</v>
      </c>
      <c r="M95" s="198">
        <f t="shared" si="9"/>
        <v>20.18093961213911</v>
      </c>
      <c r="N95" s="198">
        <f t="shared" si="9"/>
        <v>22.894261528884638</v>
      </c>
      <c r="O95" s="198">
        <f t="shared" si="9"/>
        <v>27.105270593613746</v>
      </c>
      <c r="P95" s="199">
        <f>IF(-P26&gt;0,$I$90*(P8*1000)/(-P26*1000)/$K$90*1000,0)</f>
        <v>44.619357861162953</v>
      </c>
      <c r="Q95" s="199">
        <f>IF(-Q26&gt;0,$I$90*(Q8*1000)/(-Q26*1000)/$K$90*1000,0)</f>
        <v>114.55138461621594</v>
      </c>
    </row>
    <row r="96" spans="8:17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5"/>
      <c r="Q96" s="235"/>
    </row>
    <row r="97" spans="8:17" x14ac:dyDescent="0.25">
      <c r="H97" s="7" t="s">
        <v>1</v>
      </c>
      <c r="I97" s="8" t="s">
        <v>2</v>
      </c>
      <c r="J97" s="9">
        <f t="shared" ref="J97:O97" si="10">J5</f>
        <v>0.27381631271203372</v>
      </c>
      <c r="K97" s="9">
        <f t="shared" si="10"/>
        <v>0.39999999999998403</v>
      </c>
      <c r="L97" s="9">
        <f t="shared" si="10"/>
        <v>0.59999999999990683</v>
      </c>
      <c r="M97" s="9">
        <f t="shared" si="10"/>
        <v>0.79999999999989868</v>
      </c>
      <c r="N97" s="9">
        <f t="shared" si="10"/>
        <v>0.89999999999994407</v>
      </c>
      <c r="O97" s="9">
        <f t="shared" si="10"/>
        <v>0.94999999999980522</v>
      </c>
      <c r="P97" s="10">
        <f>P5</f>
        <v>0.99000000000013433</v>
      </c>
      <c r="Q97" s="10">
        <f>Q5</f>
        <v>0.99999999999997091</v>
      </c>
    </row>
    <row r="98" spans="8:17" ht="18" x14ac:dyDescent="0.25">
      <c r="H98" s="200" t="s">
        <v>91</v>
      </c>
      <c r="I98" s="201" t="s">
        <v>106</v>
      </c>
      <c r="J98" s="202">
        <f t="shared" ref="J98:O98" si="11">$M$88/1000*J24*1000</f>
        <v>2811489.1398670059</v>
      </c>
      <c r="K98" s="202">
        <f t="shared" si="11"/>
        <v>2322957.0058509237</v>
      </c>
      <c r="L98" s="202">
        <f t="shared" si="11"/>
        <v>1548638.0039007629</v>
      </c>
      <c r="M98" s="202">
        <f t="shared" si="11"/>
        <v>774319.00195000984</v>
      </c>
      <c r="N98" s="202">
        <f t="shared" si="11"/>
        <v>387159.50097539189</v>
      </c>
      <c r="O98" s="202">
        <f t="shared" si="11"/>
        <v>193579.75048770715</v>
      </c>
      <c r="P98" s="203">
        <f>$M$88/1000*P24*1000</f>
        <v>38715.950097671994</v>
      </c>
      <c r="Q98" s="203">
        <f>$M$88/1000*Q24*1000</f>
        <v>-8.4105522546451547E-11</v>
      </c>
    </row>
    <row r="99" spans="8:17" ht="18" x14ac:dyDescent="0.25">
      <c r="H99" s="204" t="s">
        <v>92</v>
      </c>
      <c r="I99" s="13" t="s">
        <v>106</v>
      </c>
      <c r="J99" s="31">
        <f t="shared" ref="J99:O100" si="12">J93/1000*J22*1000</f>
        <v>42251.128583989266</v>
      </c>
      <c r="K99" s="31">
        <f t="shared" si="12"/>
        <v>42017.142950018402</v>
      </c>
      <c r="L99" s="31">
        <f t="shared" si="12"/>
        <v>44285.396618271792</v>
      </c>
      <c r="M99" s="31">
        <f t="shared" si="12"/>
        <v>61826.278549199844</v>
      </c>
      <c r="N99" s="31">
        <f t="shared" si="12"/>
        <v>88828.776868527202</v>
      </c>
      <c r="O99" s="31">
        <f t="shared" si="12"/>
        <v>109809.01910481478</v>
      </c>
      <c r="P99" s="62">
        <f>P93/1000*P22*1000</f>
        <v>148657.46180327621</v>
      </c>
      <c r="Q99" s="62">
        <f>Q93/1000*Q22*1000</f>
        <v>117581.57159364573</v>
      </c>
    </row>
    <row r="100" spans="8:17" ht="18" x14ac:dyDescent="0.25">
      <c r="H100" s="204" t="s">
        <v>93</v>
      </c>
      <c r="I100" s="13" t="s">
        <v>106</v>
      </c>
      <c r="J100" s="31">
        <f t="shared" si="12"/>
        <v>0</v>
      </c>
      <c r="K100" s="31">
        <f t="shared" si="12"/>
        <v>17167.83490416799</v>
      </c>
      <c r="L100" s="31">
        <f t="shared" si="12"/>
        <v>51826.364513374923</v>
      </c>
      <c r="M100" s="31">
        <f t="shared" si="12"/>
        <v>70924.998658343597</v>
      </c>
      <c r="N100" s="31">
        <f t="shared" si="12"/>
        <v>70392.68017250218</v>
      </c>
      <c r="O100" s="31">
        <f t="shared" si="12"/>
        <v>76078.403939809607</v>
      </c>
      <c r="P100" s="62">
        <f>P94/1000*P23*1000</f>
        <v>122265.06889746962</v>
      </c>
      <c r="Q100" s="62">
        <f>Q94/1000*Q23*1000</f>
        <v>199346.33800206406</v>
      </c>
    </row>
    <row r="101" spans="8:17" ht="18" x14ac:dyDescent="0.25">
      <c r="H101" s="204" t="s">
        <v>94</v>
      </c>
      <c r="I101" s="13" t="s">
        <v>106</v>
      </c>
      <c r="J101" s="31">
        <f t="shared" ref="J101:O101" si="13">J95/1000*(-J26)*1000</f>
        <v>0</v>
      </c>
      <c r="K101" s="31">
        <f t="shared" si="13"/>
        <v>0</v>
      </c>
      <c r="L101" s="31">
        <f t="shared" si="13"/>
        <v>0</v>
      </c>
      <c r="M101" s="31">
        <f t="shared" si="13"/>
        <v>23137.245906658478</v>
      </c>
      <c r="N101" s="31">
        <f t="shared" si="13"/>
        <v>46685.516463558371</v>
      </c>
      <c r="O101" s="31">
        <f t="shared" si="13"/>
        <v>62532.426580627558</v>
      </c>
      <c r="P101" s="62">
        <f>P95/1000*(-P26)*1000</f>
        <v>74206.964423892277</v>
      </c>
      <c r="Q101" s="62">
        <f>Q95/1000*(-Q26)*1000</f>
        <v>118469.42613285377</v>
      </c>
    </row>
    <row r="102" spans="8:17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62">
        <f>'[3]100SP'!$C$174</f>
        <v>1630310.3764794073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8">
        <f>'[3]100SP'!$C$175</f>
        <v>5111323.9103376018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8">
        <f>'[3]100SP'!$C$176</f>
        <v>542342.85007914237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>
        <f t="shared" ref="J105:O105" si="14">J98/J104</f>
        <v>5.183970138920226</v>
      </c>
      <c r="K105" s="211">
        <f t="shared" si="14"/>
        <v>4.2831891404340841</v>
      </c>
      <c r="L105" s="211">
        <f t="shared" si="14"/>
        <v>2.8554594269563274</v>
      </c>
      <c r="M105" s="211">
        <f t="shared" si="14"/>
        <v>1.4277297134772922</v>
      </c>
      <c r="N105" s="211">
        <f t="shared" si="14"/>
        <v>0.71386485673941369</v>
      </c>
      <c r="O105" s="211">
        <f t="shared" si="14"/>
        <v>0.35693242836972827</v>
      </c>
      <c r="P105" s="212">
        <f>P98/P104</f>
        <v>7.1386485674186165E-2</v>
      </c>
      <c r="Q105" s="212">
        <f>Q98/Q104</f>
        <v>-1.5507814389768076E-16</v>
      </c>
    </row>
    <row r="106" spans="8:17" ht="18" x14ac:dyDescent="0.25">
      <c r="H106" s="213" t="s">
        <v>89</v>
      </c>
      <c r="I106" s="214" t="s">
        <v>109</v>
      </c>
      <c r="J106" s="215">
        <f t="shared" ref="J106:O106" si="15">J99/J104</f>
        <v>7.7904831930256019E-2</v>
      </c>
      <c r="K106" s="215">
        <f t="shared" si="15"/>
        <v>7.7473397028999857E-2</v>
      </c>
      <c r="L106" s="215">
        <f t="shared" si="15"/>
        <v>8.1655721305834192E-2</v>
      </c>
      <c r="M106" s="215">
        <f t="shared" si="15"/>
        <v>0.11399851319174414</v>
      </c>
      <c r="N106" s="215">
        <f t="shared" si="15"/>
        <v>0.16378712627181274</v>
      </c>
      <c r="O106" s="215">
        <f t="shared" si="15"/>
        <v>0.20247158986016142</v>
      </c>
      <c r="P106" s="216">
        <f>P99/P104</f>
        <v>0.27410237229380474</v>
      </c>
      <c r="Q106" s="216">
        <f>Q99/Q104</f>
        <v>0.21680302704550714</v>
      </c>
    </row>
    <row r="107" spans="8:17" ht="18" x14ac:dyDescent="0.25">
      <c r="H107" s="213" t="s">
        <v>90</v>
      </c>
      <c r="I107" s="214" t="s">
        <v>109</v>
      </c>
      <c r="J107" s="215">
        <f t="shared" ref="J107:O107" si="16">J100/J104</f>
        <v>0</v>
      </c>
      <c r="K107" s="215">
        <f t="shared" si="16"/>
        <v>3.1654948344324446E-2</v>
      </c>
      <c r="L107" s="215">
        <f t="shared" si="16"/>
        <v>9.5560150753006071E-2</v>
      </c>
      <c r="M107" s="215">
        <f t="shared" si="16"/>
        <v>0.1307752073213253</v>
      </c>
      <c r="N107" s="215">
        <f t="shared" si="16"/>
        <v>0.12979369076632996</v>
      </c>
      <c r="O107" s="215">
        <f t="shared" si="16"/>
        <v>0.14027732444284638</v>
      </c>
      <c r="P107" s="216">
        <f>P100/P104</f>
        <v>0.22543870335826843</v>
      </c>
      <c r="Q107" s="216">
        <f>Q100/Q104</f>
        <v>0.36756516283560131</v>
      </c>
    </row>
    <row r="108" spans="8:17" ht="18" x14ac:dyDescent="0.25">
      <c r="H108" s="213" t="s">
        <v>99</v>
      </c>
      <c r="I108" s="214" t="s">
        <v>109</v>
      </c>
      <c r="J108" s="215">
        <f t="shared" ref="J108:O108" si="17">J101/J104</f>
        <v>0</v>
      </c>
      <c r="K108" s="215">
        <f t="shared" si="17"/>
        <v>0</v>
      </c>
      <c r="L108" s="215">
        <f t="shared" si="17"/>
        <v>0</v>
      </c>
      <c r="M108" s="215">
        <f t="shared" si="17"/>
        <v>4.2661659323581763E-2</v>
      </c>
      <c r="N108" s="215">
        <f t="shared" si="17"/>
        <v>8.6081187309366675E-2</v>
      </c>
      <c r="O108" s="215">
        <f t="shared" si="17"/>
        <v>0.11530054571845577</v>
      </c>
      <c r="P108" s="216">
        <f>P101/P104</f>
        <v>0.13682666677188329</v>
      </c>
      <c r="Q108" s="216">
        <f>Q101/Q104</f>
        <v>0.21844009949714632</v>
      </c>
    </row>
    <row r="109" spans="8:17" ht="18" x14ac:dyDescent="0.25">
      <c r="H109" s="213" t="s">
        <v>100</v>
      </c>
      <c r="I109" s="214" t="s">
        <v>108</v>
      </c>
      <c r="J109" s="215">
        <f t="shared" ref="J109:O109" si="18">-J103/J104</f>
        <v>-9.4245252972192066</v>
      </c>
      <c r="K109" s="215">
        <f t="shared" si="18"/>
        <v>-9.4245252972192066</v>
      </c>
      <c r="L109" s="215">
        <f t="shared" si="18"/>
        <v>-9.4245252972192066</v>
      </c>
      <c r="M109" s="215">
        <f t="shared" si="18"/>
        <v>-9.4245252972203968</v>
      </c>
      <c r="N109" s="215">
        <f t="shared" si="18"/>
        <v>-9.4245252972200717</v>
      </c>
      <c r="O109" s="215">
        <f t="shared" si="18"/>
        <v>-9.4245252972199971</v>
      </c>
      <c r="P109" s="216">
        <f>-P103/P104</f>
        <v>-9.4245252972206099</v>
      </c>
      <c r="Q109" s="216">
        <f>-Q103/Q104</f>
        <v>-9.4245252972206099</v>
      </c>
    </row>
    <row r="110" spans="8:17" ht="18" x14ac:dyDescent="0.25">
      <c r="H110" s="217" t="s">
        <v>101</v>
      </c>
      <c r="I110" s="218" t="s">
        <v>108</v>
      </c>
      <c r="J110" s="219">
        <f>SUM(J105:J109)</f>
        <v>-4.1626503263687242</v>
      </c>
      <c r="K110" s="219">
        <f t="shared" ref="K110:O110" si="19">SUM(K105:K109)</f>
        <v>-5.0322078114117978</v>
      </c>
      <c r="L110" s="219">
        <f t="shared" si="19"/>
        <v>-6.3918499982040391</v>
      </c>
      <c r="M110" s="219">
        <f t="shared" si="19"/>
        <v>-7.7093602039064528</v>
      </c>
      <c r="N110" s="219">
        <f t="shared" si="19"/>
        <v>-8.3309984361331484</v>
      </c>
      <c r="O110" s="219">
        <f t="shared" si="19"/>
        <v>-8.6095434088288059</v>
      </c>
      <c r="P110" s="220">
        <f>SUM(P105:P109)</f>
        <v>-8.7167710691224674</v>
      </c>
      <c r="Q110" s="220">
        <f>SUM(Q105:Q109)</f>
        <v>-8.6217170078423546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</row>
    <row r="112" spans="8:17" x14ac:dyDescent="0.25">
      <c r="H112" s="283" t="s">
        <v>133</v>
      </c>
      <c r="I112" s="70"/>
      <c r="J112" s="284">
        <f t="shared" ref="J112:O112" si="20">(J31+J37)*J104/J22</f>
        <v>64.337346404201114</v>
      </c>
      <c r="K112" s="284">
        <f t="shared" si="20"/>
        <v>64.337346404195856</v>
      </c>
      <c r="L112" s="284">
        <f t="shared" si="20"/>
        <v>64.337346404211459</v>
      </c>
      <c r="M112" s="284">
        <f t="shared" si="20"/>
        <v>64.337346404223211</v>
      </c>
      <c r="N112" s="284">
        <f t="shared" si="20"/>
        <v>64.337346404221535</v>
      </c>
      <c r="O112" s="284">
        <f t="shared" si="20"/>
        <v>64.33734640420802</v>
      </c>
      <c r="P112" s="285">
        <f>(P31+P37)*P104/P22</f>
        <v>64.337346404223226</v>
      </c>
      <c r="Q112" s="285">
        <f>(Q31+Q37)*Q104/Q22</f>
        <v>64.337346404207693</v>
      </c>
    </row>
    <row r="113" spans="8:17" x14ac:dyDescent="0.25">
      <c r="H113" s="286" t="s">
        <v>134</v>
      </c>
      <c r="I113" s="287"/>
      <c r="J113" s="181">
        <f>K113</f>
        <v>149.14827286907322</v>
      </c>
      <c r="K113" s="181">
        <f>L113</f>
        <v>149.14827286907322</v>
      </c>
      <c r="L113" s="181">
        <f t="shared" ref="L113:Q113" si="21">IF(L32&gt;0,(L32+L38)*L104/L23,0)</f>
        <v>149.14827286907322</v>
      </c>
      <c r="M113" s="181">
        <f t="shared" si="21"/>
        <v>149.14827286910119</v>
      </c>
      <c r="N113" s="181">
        <f t="shared" si="21"/>
        <v>149.14827286909656</v>
      </c>
      <c r="O113" s="181">
        <f t="shared" si="21"/>
        <v>149.14827286906529</v>
      </c>
      <c r="P113" s="182">
        <f t="shared" si="21"/>
        <v>149.14827286909997</v>
      </c>
      <c r="Q113" s="182">
        <f t="shared" si="21"/>
        <v>149.14827286906524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8:17" x14ac:dyDescent="0.25">
      <c r="H115" s="226" t="s">
        <v>1</v>
      </c>
      <c r="I115" s="227"/>
      <c r="J115" s="228">
        <f t="shared" ref="J115:O115" si="22">J28</f>
        <v>5.9333160606911406E-10</v>
      </c>
      <c r="K115" s="228">
        <f t="shared" si="22"/>
        <v>-8.6401996668428183E-11</v>
      </c>
      <c r="L115" s="228">
        <f t="shared" si="22"/>
        <v>-7.4555828177835792E-10</v>
      </c>
      <c r="M115" s="228">
        <f t="shared" si="22"/>
        <v>-1.838088792283088E-9</v>
      </c>
      <c r="N115" s="228">
        <f t="shared" si="22"/>
        <v>1.0049916454590857E-10</v>
      </c>
      <c r="O115" s="228">
        <f t="shared" si="22"/>
        <v>-1.5456862456630915E-9</v>
      </c>
      <c r="P115" s="229">
        <f>P28</f>
        <v>1.7075763025786728E-9</v>
      </c>
      <c r="Q115" s="229">
        <f>Q28</f>
        <v>-2.7785063139162958E-10</v>
      </c>
    </row>
    <row r="116" spans="8:17" ht="18" x14ac:dyDescent="0.25">
      <c r="H116" s="148" t="s">
        <v>89</v>
      </c>
      <c r="I116" s="194" t="s">
        <v>104</v>
      </c>
      <c r="J116" s="195">
        <f>IF(J22&gt;0,  $J$88*(J6*1000)/(J22*1000)/$K$88*1000, 0)</f>
        <v>47.406465771523642</v>
      </c>
      <c r="K116" s="195">
        <f t="shared" ref="K116:O116" si="23">IF(K22&gt;0,  $J$88*(K6*1000)/(K22*1000)/$K$88*1000, 0)</f>
        <v>47.406465771523614</v>
      </c>
      <c r="L116" s="195">
        <f t="shared" si="23"/>
        <v>47.406465771523678</v>
      </c>
      <c r="M116" s="195">
        <f t="shared" si="23"/>
        <v>47.406465771523514</v>
      </c>
      <c r="N116" s="195">
        <f t="shared" si="23"/>
        <v>47.406465771523756</v>
      </c>
      <c r="O116" s="195">
        <f t="shared" si="23"/>
        <v>47.406465771523486</v>
      </c>
      <c r="P116" s="196">
        <f>IF(P22&gt;0,  $J$88*(P6*1000)/(P22*1000)/$K$88*1000, 0)</f>
        <v>47.406465771523578</v>
      </c>
      <c r="Q116" s="196">
        <f>IF(Q22&gt;0,  $J$88*(Q6*1000)/(Q22*1000)/$K$88*1000, 0)</f>
        <v>47.406465771523642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24">IF(J23&gt;0,$J$89*(J7*1000)/(J23*1000)/$K$89*1000,0)</f>
        <v>0</v>
      </c>
      <c r="K117" s="231">
        <f t="shared" si="24"/>
        <v>19.886436382542872</v>
      </c>
      <c r="L117" s="231">
        <f t="shared" si="24"/>
        <v>19.886436382542865</v>
      </c>
      <c r="M117" s="231">
        <f t="shared" si="24"/>
        <v>19.886436382542897</v>
      </c>
      <c r="N117" s="231">
        <f t="shared" si="24"/>
        <v>19.88643638254289</v>
      </c>
      <c r="O117" s="231">
        <f t="shared" si="24"/>
        <v>19.886436382542787</v>
      </c>
      <c r="P117" s="232">
        <f>IF(P23&gt;0,$J$89*(P7*1000)/(P23*1000)/$K$89*1000,0)</f>
        <v>19.886436382542744</v>
      </c>
      <c r="Q117" s="232">
        <f>IF(Q23&gt;0,$J$89*(Q7*1000)/(Q23*1000)/$K$89*1000,0)</f>
        <v>19.886436382542954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25">IF(-J26&gt;0,$J$90*(J8*1000)/(-J26*1000)/$K$90*1000,0)</f>
        <v>0</v>
      </c>
      <c r="K118" s="198">
        <f t="shared" si="25"/>
        <v>0</v>
      </c>
      <c r="L118" s="198">
        <f t="shared" si="25"/>
        <v>0</v>
      </c>
      <c r="M118" s="198">
        <f t="shared" si="25"/>
        <v>38.321110050016962</v>
      </c>
      <c r="N118" s="198">
        <f t="shared" si="25"/>
        <v>43.473373015522519</v>
      </c>
      <c r="O118" s="198">
        <f t="shared" si="25"/>
        <v>51.469558767648572</v>
      </c>
      <c r="P118" s="199">
        <f>IF(-P26&gt;0,$J$90*(P8*1000)/(-P26*1000)/$K$90*1000,0)</f>
        <v>84.726645826253247</v>
      </c>
      <c r="Q118" s="199">
        <f>IF(-Q26&gt;0,$J$90*(Q8*1000)/(-Q26*1000)/$K$90*1000,0)</f>
        <v>217.51892134989313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26">J28</f>
        <v>5.9333160606911406E-10</v>
      </c>
      <c r="K120" s="9">
        <f t="shared" si="26"/>
        <v>-8.6401996668428183E-11</v>
      </c>
      <c r="L120" s="9">
        <f t="shared" si="26"/>
        <v>-7.4555828177835792E-10</v>
      </c>
      <c r="M120" s="9">
        <f t="shared" si="26"/>
        <v>-1.838088792283088E-9</v>
      </c>
      <c r="N120" s="9">
        <f t="shared" si="26"/>
        <v>1.0049916454590857E-10</v>
      </c>
      <c r="O120" s="9">
        <f t="shared" si="26"/>
        <v>-1.5456862456630915E-9</v>
      </c>
      <c r="P120" s="10">
        <f>P28</f>
        <v>1.7075763025786728E-9</v>
      </c>
      <c r="Q120" s="10">
        <f>Q28</f>
        <v>-2.7785063139162958E-10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2811489.1398670059</v>
      </c>
      <c r="K121" s="202">
        <f t="shared" ref="K121:O121" si="27">$M$88/1000*K24*1000</f>
        <v>2322957.0058509237</v>
      </c>
      <c r="L121" s="202">
        <f t="shared" si="27"/>
        <v>1548638.0039007629</v>
      </c>
      <c r="M121" s="202">
        <f t="shared" si="27"/>
        <v>774319.00195000984</v>
      </c>
      <c r="N121" s="202">
        <f t="shared" si="27"/>
        <v>387159.50097539189</v>
      </c>
      <c r="O121" s="202">
        <f t="shared" si="27"/>
        <v>193579.75048770715</v>
      </c>
      <c r="P121" s="203">
        <f>$M$88/1000*P24*1000</f>
        <v>38715.950097671994</v>
      </c>
      <c r="Q121" s="203">
        <f>$M$88/1000*Q24*1000</f>
        <v>-8.4105522546451547E-11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140837.09527996421</v>
      </c>
      <c r="K122" s="31">
        <f t="shared" ref="K122:O123" si="28">K116/1000*K22*1000</f>
        <v>140057.14316672803</v>
      </c>
      <c r="L122" s="31">
        <f t="shared" si="28"/>
        <v>147617.98872757267</v>
      </c>
      <c r="M122" s="31">
        <f t="shared" si="28"/>
        <v>206087.59516399945</v>
      </c>
      <c r="N122" s="31">
        <f t="shared" si="28"/>
        <v>296095.92289509065</v>
      </c>
      <c r="O122" s="31">
        <f t="shared" si="28"/>
        <v>366030.06368271593</v>
      </c>
      <c r="P122" s="62">
        <f>P116/1000*P22*1000</f>
        <v>495524.87267758744</v>
      </c>
      <c r="Q122" s="62">
        <f>Q116/1000*Q22*1000</f>
        <v>391938.57197881915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28"/>
        <v>29366.033388708409</v>
      </c>
      <c r="L123" s="31">
        <f t="shared" si="28"/>
        <v>88650.360351825526</v>
      </c>
      <c r="M123" s="31">
        <f t="shared" si="28"/>
        <v>121319.07665242985</v>
      </c>
      <c r="N123" s="31">
        <f t="shared" si="28"/>
        <v>120408.5318740169</v>
      </c>
      <c r="O123" s="31">
        <f t="shared" si="28"/>
        <v>130134.1120023059</v>
      </c>
      <c r="P123" s="62">
        <f>P117/1000*P23*1000</f>
        <v>209137.61785093485</v>
      </c>
      <c r="Q123" s="62">
        <f>Q117/1000*Q23*1000</f>
        <v>340987.15710879373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29">K118/1000*(-K26)*1000</f>
        <v>0</v>
      </c>
      <c r="L124" s="31">
        <f t="shared" si="29"/>
        <v>0</v>
      </c>
      <c r="M124" s="31">
        <f t="shared" si="29"/>
        <v>43934.770317138013</v>
      </c>
      <c r="N124" s="31">
        <f t="shared" si="29"/>
        <v>88650.025644285008</v>
      </c>
      <c r="O124" s="31">
        <f t="shared" si="29"/>
        <v>118741.34934973097</v>
      </c>
      <c r="P124" s="62">
        <f>P118/1000*(-P26)*1000</f>
        <v>140909.85379368308</v>
      </c>
      <c r="Q124" s="62">
        <f>Q118/1000*(-Q26)*1000</f>
        <v>224958.7979376661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62">
        <f>'[3]100SP'!$C$174</f>
        <v>1630310.3764794073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8">
        <f>'[3]100SP'!$C$175</f>
        <v>5111323.9103376018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8">
        <f>'[3]100SP'!$C$176</f>
        <v>542342.85007914237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30">J121/J127</f>
        <v>5.183970138920226</v>
      </c>
      <c r="K128" s="211">
        <f t="shared" si="30"/>
        <v>4.2831891404340841</v>
      </c>
      <c r="L128" s="211">
        <f t="shared" si="30"/>
        <v>2.8554594269563274</v>
      </c>
      <c r="M128" s="211">
        <f t="shared" si="30"/>
        <v>1.4277297134772922</v>
      </c>
      <c r="N128" s="211">
        <f t="shared" si="30"/>
        <v>0.71386485673941369</v>
      </c>
      <c r="O128" s="211">
        <f t="shared" si="30"/>
        <v>0.35693242836972827</v>
      </c>
      <c r="P128" s="212">
        <f>P121/P127</f>
        <v>7.1386485674186165E-2</v>
      </c>
      <c r="Q128" s="212">
        <f>Q121/Q127</f>
        <v>-1.5507814389768076E-16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31">J122/J127</f>
        <v>0.25968277310085336</v>
      </c>
      <c r="K129" s="215">
        <f t="shared" si="31"/>
        <v>0.25824465676333291</v>
      </c>
      <c r="L129" s="215">
        <f t="shared" si="31"/>
        <v>0.27218573768611404</v>
      </c>
      <c r="M129" s="215">
        <f t="shared" si="31"/>
        <v>0.37999504397248041</v>
      </c>
      <c r="N129" s="215">
        <f t="shared" si="31"/>
        <v>0.54595708757270911</v>
      </c>
      <c r="O129" s="215">
        <f t="shared" si="31"/>
        <v>0.67490529953387146</v>
      </c>
      <c r="P129" s="216">
        <f>P122/P127</f>
        <v>0.91367457431268262</v>
      </c>
      <c r="Q129" s="216">
        <f>Q122/Q127</f>
        <v>0.72267675681835719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32">J123/J127</f>
        <v>0</v>
      </c>
      <c r="K130" s="215">
        <f t="shared" si="32"/>
        <v>5.4146622167923403E-2</v>
      </c>
      <c r="L130" s="215">
        <f t="shared" si="32"/>
        <v>0.16345815260382618</v>
      </c>
      <c r="M130" s="215">
        <f t="shared" si="32"/>
        <v>0.22369443357595123</v>
      </c>
      <c r="N130" s="215">
        <f t="shared" si="32"/>
        <v>0.22201552367924865</v>
      </c>
      <c r="O130" s="215">
        <f t="shared" si="32"/>
        <v>0.23994805496802671</v>
      </c>
      <c r="P130" s="216">
        <f>P123/P127</f>
        <v>0.38561883469177488</v>
      </c>
      <c r="Q130" s="216">
        <f>Q123/Q127</f>
        <v>0.62872988379773898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33">K124/K127</f>
        <v>0</v>
      </c>
      <c r="L131" s="215">
        <f t="shared" si="33"/>
        <v>0</v>
      </c>
      <c r="M131" s="215">
        <f t="shared" si="33"/>
        <v>8.100921826612717E-2</v>
      </c>
      <c r="N131" s="215">
        <f t="shared" si="33"/>
        <v>0.16345753545261762</v>
      </c>
      <c r="O131" s="215">
        <f t="shared" si="33"/>
        <v>0.21894148569010138</v>
      </c>
      <c r="P131" s="216">
        <f>P124/P127</f>
        <v>0.2598169290387447</v>
      </c>
      <c r="Q131" s="216">
        <f>Q124/Q127</f>
        <v>0.41479075073053617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34">-K126/K127</f>
        <v>-9.4245252972192066</v>
      </c>
      <c r="L132" s="215">
        <f t="shared" si="34"/>
        <v>-9.4245252972192066</v>
      </c>
      <c r="M132" s="215">
        <f t="shared" si="34"/>
        <v>-9.4245252972203968</v>
      </c>
      <c r="N132" s="215">
        <f t="shared" si="34"/>
        <v>-9.4245252972200717</v>
      </c>
      <c r="O132" s="215">
        <f t="shared" si="34"/>
        <v>-9.4245252972199971</v>
      </c>
      <c r="P132" s="216">
        <f>-P126/P127</f>
        <v>-9.4245252972206099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35">SUM(J128:J132)</f>
        <v>-3.9808723851981274</v>
      </c>
      <c r="K133" s="219">
        <f t="shared" si="35"/>
        <v>-4.8289448778538659</v>
      </c>
      <c r="L133" s="219">
        <f t="shared" si="35"/>
        <v>-6.1334219799729386</v>
      </c>
      <c r="M133" s="219">
        <f t="shared" si="35"/>
        <v>-7.3120968879285453</v>
      </c>
      <c r="N133" s="219">
        <f t="shared" si="35"/>
        <v>-7.7792302937760827</v>
      </c>
      <c r="O133" s="219">
        <f t="shared" si="35"/>
        <v>-7.9337980286582699</v>
      </c>
      <c r="P133" s="220">
        <f>SUM(P128:P132)</f>
        <v>-7.7940284735032215</v>
      </c>
      <c r="Q133" s="220">
        <f>SUM(Q128:Q132)</f>
        <v>-7.6583279058739775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7.7904831930256019E-2</v>
      </c>
      <c r="K136" s="366">
        <f t="shared" ref="K136:O136" si="36">SUM(K106:K108)</f>
        <v>0.1091283453733243</v>
      </c>
      <c r="L136" s="366">
        <f t="shared" si="36"/>
        <v>0.17721587205884026</v>
      </c>
      <c r="M136" s="366">
        <f t="shared" si="36"/>
        <v>0.28743537983665124</v>
      </c>
      <c r="N136" s="366">
        <f t="shared" si="36"/>
        <v>0.37966200434750941</v>
      </c>
      <c r="O136" s="366">
        <f t="shared" si="36"/>
        <v>0.45804946002146357</v>
      </c>
      <c r="P136" s="367">
        <f>SUM(P106:P108)</f>
        <v>0.63636774242395644</v>
      </c>
      <c r="Q136" s="367">
        <f>SUM(Q106:Q108)</f>
        <v>0.80280828937825466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0.25968277310085336</v>
      </c>
      <c r="K137" s="289">
        <f t="shared" ref="K137:O137" si="37">SUM(K129:K131)</f>
        <v>0.31239127893125629</v>
      </c>
      <c r="L137" s="289">
        <f t="shared" si="37"/>
        <v>0.43564389028994022</v>
      </c>
      <c r="M137" s="289">
        <f t="shared" si="37"/>
        <v>0.68469869581455878</v>
      </c>
      <c r="N137" s="289">
        <f t="shared" si="37"/>
        <v>0.93143014670457547</v>
      </c>
      <c r="O137" s="289">
        <f t="shared" si="37"/>
        <v>1.1337948401919995</v>
      </c>
      <c r="P137" s="370">
        <f>SUM(P129:P131)</f>
        <v>1.5591103380432021</v>
      </c>
      <c r="Q137" s="370">
        <f>SUM(Q129:Q131)</f>
        <v>1.7661973913466322</v>
      </c>
    </row>
    <row r="138" spans="8:17" ht="18" x14ac:dyDescent="0.25">
      <c r="H138" s="368" t="s">
        <v>189</v>
      </c>
      <c r="I138" s="369" t="s">
        <v>190</v>
      </c>
      <c r="J138" s="289">
        <f>J128</f>
        <v>5.183970138920226</v>
      </c>
      <c r="K138" s="289">
        <f t="shared" ref="K138:O138" si="38">K128</f>
        <v>4.2831891404340841</v>
      </c>
      <c r="L138" s="289">
        <f t="shared" si="38"/>
        <v>2.8554594269563274</v>
      </c>
      <c r="M138" s="289">
        <f t="shared" si="38"/>
        <v>1.4277297134772922</v>
      </c>
      <c r="N138" s="289">
        <f t="shared" si="38"/>
        <v>0.71386485673941369</v>
      </c>
      <c r="O138" s="289">
        <f t="shared" si="38"/>
        <v>0.35693242836972827</v>
      </c>
      <c r="P138" s="370">
        <f>P128</f>
        <v>7.1386485674186165E-2</v>
      </c>
      <c r="Q138" s="370">
        <f>Q128</f>
        <v>-1.5507814389768076E-16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39">K132</f>
        <v>-9.4245252972192066</v>
      </c>
      <c r="L139" s="289">
        <f t="shared" si="39"/>
        <v>-9.4245252972192066</v>
      </c>
      <c r="M139" s="289">
        <f t="shared" si="39"/>
        <v>-9.4245252972203968</v>
      </c>
      <c r="N139" s="289">
        <f t="shared" si="39"/>
        <v>-9.4245252972200717</v>
      </c>
      <c r="O139" s="289">
        <f t="shared" si="39"/>
        <v>-9.4245252972199971</v>
      </c>
      <c r="P139" s="370">
        <f>P132</f>
        <v>-9.4245252972206099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-4.1626503263687242</v>
      </c>
      <c r="K140" s="289">
        <f t="shared" ref="K140:O140" si="40">K136+K138+K139</f>
        <v>-5.0322078114117978</v>
      </c>
      <c r="L140" s="289">
        <f t="shared" si="40"/>
        <v>-6.3918499982040391</v>
      </c>
      <c r="M140" s="289">
        <f t="shared" si="40"/>
        <v>-7.7093602039064528</v>
      </c>
      <c r="N140" s="289">
        <f t="shared" si="40"/>
        <v>-8.3309984361331484</v>
      </c>
      <c r="O140" s="289">
        <f t="shared" si="40"/>
        <v>-8.6095434088288059</v>
      </c>
      <c r="P140" s="370">
        <f>P136+P138+P139</f>
        <v>-8.7167710691224674</v>
      </c>
      <c r="Q140" s="370">
        <f>Q136+Q138+Q139</f>
        <v>-8.6217170078423546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-3.9808723851981274</v>
      </c>
      <c r="K141" s="374">
        <f t="shared" ref="K141:O141" si="41">K137+K138+K139</f>
        <v>-4.8289448778538659</v>
      </c>
      <c r="L141" s="374">
        <f t="shared" si="41"/>
        <v>-6.1334219799729386</v>
      </c>
      <c r="M141" s="374">
        <f t="shared" si="41"/>
        <v>-7.3120968879285453</v>
      </c>
      <c r="N141" s="374">
        <f t="shared" si="41"/>
        <v>-7.7792302937760827</v>
      </c>
      <c r="O141" s="374">
        <f t="shared" si="41"/>
        <v>-7.9337980286582699</v>
      </c>
      <c r="P141" s="375">
        <f>P137+P138+P139</f>
        <v>-7.7940284735032215</v>
      </c>
      <c r="Q141" s="375">
        <f>Q137+Q138+Q139</f>
        <v>-7.6583279058739784</v>
      </c>
    </row>
    <row r="142" spans="8:17" x14ac:dyDescent="0.25">
      <c r="H142" s="376" t="s">
        <v>196</v>
      </c>
      <c r="I142" s="377"/>
      <c r="J142" s="378">
        <f>J140-J110</f>
        <v>0</v>
      </c>
      <c r="K142" s="378">
        <f t="shared" ref="K142:O142" si="42">K140-K110</f>
        <v>0</v>
      </c>
      <c r="L142" s="378">
        <f t="shared" si="42"/>
        <v>0</v>
      </c>
      <c r="M142" s="378">
        <f t="shared" si="42"/>
        <v>0</v>
      </c>
      <c r="N142" s="378">
        <f t="shared" si="42"/>
        <v>0</v>
      </c>
      <c r="O142" s="378">
        <f t="shared" si="42"/>
        <v>0</v>
      </c>
      <c r="P142" s="379">
        <f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43">K141-K133</f>
        <v>0</v>
      </c>
      <c r="L143" s="382">
        <f t="shared" si="43"/>
        <v>0</v>
      </c>
      <c r="M143" s="382">
        <f t="shared" si="43"/>
        <v>0</v>
      </c>
      <c r="N143" s="382">
        <f t="shared" si="43"/>
        <v>0</v>
      </c>
      <c r="O143" s="382">
        <f t="shared" si="43"/>
        <v>0</v>
      </c>
      <c r="P143" s="383">
        <f>P141-P133</f>
        <v>0</v>
      </c>
      <c r="Q143" s="383">
        <f>Q141-Q133</f>
        <v>0</v>
      </c>
    </row>
    <row r="144" spans="8:17" x14ac:dyDescent="0.25"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honeticPr fontId="15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4020D-0615-49E5-84F3-D1B10215F946}">
  <sheetPr codeName="Foglio11"/>
  <dimension ref="A3:AA151"/>
  <sheetViews>
    <sheetView zoomScale="70" zoomScaleNormal="70" workbookViewId="0">
      <selection activeCell="Z14" sqref="Z14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7" x14ac:dyDescent="0.25">
      <c r="U3" s="1"/>
      <c r="V3" s="1"/>
      <c r="W3" s="2"/>
    </row>
    <row r="4" spans="1:27" x14ac:dyDescent="0.25">
      <c r="A4" s="225" t="s">
        <v>102</v>
      </c>
      <c r="B4" s="225" t="s">
        <v>145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7" ht="15.75" thickBot="1" x14ac:dyDescent="0.3">
      <c r="H5" s="7" t="s">
        <v>1</v>
      </c>
      <c r="I5" s="8" t="s">
        <v>2</v>
      </c>
      <c r="J5" s="9">
        <v>0.27381631271203366</v>
      </c>
      <c r="K5" s="9">
        <v>0.40000000000002983</v>
      </c>
      <c r="L5" s="9">
        <v>0.6000000000000506</v>
      </c>
      <c r="M5" s="9">
        <v>0.80000000000004257</v>
      </c>
      <c r="N5" s="9">
        <v>0.89999999999992752</v>
      </c>
      <c r="O5" s="9">
        <v>0.94999999999996454</v>
      </c>
      <c r="P5" s="9">
        <v>0.99000000000010169</v>
      </c>
      <c r="Q5" s="10">
        <v>1.0000000000000315</v>
      </c>
      <c r="R5" s="11" t="str">
        <f>H5</f>
        <v>Renewable Energy Share</v>
      </c>
      <c r="S5" s="296"/>
      <c r="T5" s="296">
        <f t="shared" ref="T5:Z13" si="0">J5</f>
        <v>0.27381631271203366</v>
      </c>
      <c r="U5" s="296">
        <f t="shared" si="0"/>
        <v>0.40000000000002983</v>
      </c>
      <c r="V5" s="296">
        <f t="shared" si="0"/>
        <v>0.6000000000000506</v>
      </c>
      <c r="W5" s="296">
        <f t="shared" si="0"/>
        <v>0.80000000000004257</v>
      </c>
      <c r="X5" s="296">
        <f t="shared" si="0"/>
        <v>0.89999999999992752</v>
      </c>
      <c r="Y5" s="296">
        <f t="shared" si="0"/>
        <v>0.94999999999996454</v>
      </c>
      <c r="Z5" s="296">
        <f t="shared" si="0"/>
        <v>0.99000000000010169</v>
      </c>
      <c r="AA5" s="296">
        <f t="shared" ref="AA5:AA13" si="1">Q5</f>
        <v>1.0000000000000315</v>
      </c>
    </row>
    <row r="6" spans="1:27" ht="15.75" thickTop="1" x14ac:dyDescent="0.25">
      <c r="C6" s="13"/>
      <c r="H6" s="14" t="s">
        <v>3</v>
      </c>
      <c r="I6" s="15" t="s">
        <v>4</v>
      </c>
      <c r="J6" s="16">
        <v>2.0119585039994887</v>
      </c>
      <c r="K6" s="16">
        <v>2.6075473820791739</v>
      </c>
      <c r="L6" s="16">
        <v>2.5696061733131299</v>
      </c>
      <c r="M6" s="16">
        <v>3.2855543504596558</v>
      </c>
      <c r="N6" s="16">
        <v>3.7483278476611765</v>
      </c>
      <c r="O6" s="16">
        <v>4.3027183798329771</v>
      </c>
      <c r="P6" s="16">
        <v>4.863651778008534</v>
      </c>
      <c r="Q6" s="17">
        <v>6.233395901086908</v>
      </c>
      <c r="R6" s="18" t="str">
        <f>H6</f>
        <v>PV capacity</v>
      </c>
      <c r="S6" s="19" t="str">
        <f t="shared" ref="S6:Y13" si="2">I6</f>
        <v>MW</v>
      </c>
      <c r="T6" s="19">
        <f t="shared" si="0"/>
        <v>2.0119585039994887</v>
      </c>
      <c r="U6" s="19">
        <f t="shared" si="0"/>
        <v>2.6075473820791739</v>
      </c>
      <c r="V6" s="19">
        <f t="shared" si="0"/>
        <v>2.5696061733131299</v>
      </c>
      <c r="W6" s="19">
        <f t="shared" si="0"/>
        <v>3.2855543504596558</v>
      </c>
      <c r="X6" s="19">
        <f t="shared" si="0"/>
        <v>3.7483278476611765</v>
      </c>
      <c r="Y6" s="19">
        <f t="shared" si="0"/>
        <v>4.3027183798329771</v>
      </c>
      <c r="Z6" s="19">
        <f t="shared" si="0"/>
        <v>4.863651778008534</v>
      </c>
      <c r="AA6" s="19">
        <f t="shared" si="1"/>
        <v>6.233395901086908</v>
      </c>
    </row>
    <row r="7" spans="1:27" x14ac:dyDescent="0.25">
      <c r="A7" s="13"/>
      <c r="B7" s="20"/>
      <c r="C7" s="13"/>
      <c r="H7" s="21" t="s">
        <v>5</v>
      </c>
      <c r="I7" s="6" t="s">
        <v>4</v>
      </c>
      <c r="J7" s="22">
        <v>0</v>
      </c>
      <c r="K7" s="22">
        <v>0.46845783635064286</v>
      </c>
      <c r="L7" s="22">
        <v>2.4224564046795618</v>
      </c>
      <c r="M7" s="22">
        <v>3.9918254252968746</v>
      </c>
      <c r="N7" s="22">
        <v>4.4912258623136259</v>
      </c>
      <c r="O7" s="22">
        <v>4.6972813859219098</v>
      </c>
      <c r="P7" s="22">
        <v>7.1392546332954758</v>
      </c>
      <c r="Q7" s="23">
        <v>11.49276680118728</v>
      </c>
      <c r="R7" s="24" t="str">
        <f t="shared" ref="R7:R13" si="3">H7</f>
        <v>Wind capacity</v>
      </c>
      <c r="S7" s="22" t="str">
        <f t="shared" si="2"/>
        <v>MW</v>
      </c>
      <c r="T7" s="22">
        <f>J7</f>
        <v>0</v>
      </c>
      <c r="U7" s="22">
        <f t="shared" si="0"/>
        <v>0.46845783635064286</v>
      </c>
      <c r="V7" s="22">
        <f t="shared" si="0"/>
        <v>2.4224564046795618</v>
      </c>
      <c r="W7" s="22">
        <f t="shared" si="0"/>
        <v>3.9918254252968746</v>
      </c>
      <c r="X7" s="22">
        <f t="shared" si="0"/>
        <v>4.4912258623136259</v>
      </c>
      <c r="Y7" s="22">
        <f t="shared" si="0"/>
        <v>4.6972813859219098</v>
      </c>
      <c r="Z7" s="22">
        <f t="shared" si="0"/>
        <v>7.1392546332954758</v>
      </c>
      <c r="AA7" s="22">
        <f t="shared" si="1"/>
        <v>11.49276680118728</v>
      </c>
    </row>
    <row r="8" spans="1:27" x14ac:dyDescent="0.25">
      <c r="A8" s="13"/>
      <c r="B8" s="20"/>
      <c r="C8" s="13"/>
      <c r="H8" s="21" t="s">
        <v>6</v>
      </c>
      <c r="I8" s="6" t="s">
        <v>7</v>
      </c>
      <c r="J8" s="22">
        <v>0</v>
      </c>
      <c r="K8" s="22">
        <v>0</v>
      </c>
      <c r="L8" s="22">
        <v>0</v>
      </c>
      <c r="M8" s="22">
        <v>0</v>
      </c>
      <c r="N8" s="22">
        <v>3.212920724674412</v>
      </c>
      <c r="O8" s="22">
        <v>6.3465660127252024</v>
      </c>
      <c r="P8" s="22">
        <v>8.6791475348186236</v>
      </c>
      <c r="Q8" s="23">
        <v>17.43592515768017</v>
      </c>
      <c r="R8" s="24" t="s">
        <v>6</v>
      </c>
      <c r="S8" s="22" t="str">
        <f t="shared" si="2"/>
        <v>MWh</v>
      </c>
      <c r="T8" s="22">
        <f t="shared" si="2"/>
        <v>0</v>
      </c>
      <c r="U8" s="22">
        <f t="shared" si="2"/>
        <v>0</v>
      </c>
      <c r="V8" s="22">
        <f t="shared" si="2"/>
        <v>0</v>
      </c>
      <c r="W8" s="22">
        <f t="shared" si="2"/>
        <v>0</v>
      </c>
      <c r="X8" s="22">
        <f t="shared" si="2"/>
        <v>3.212920724674412</v>
      </c>
      <c r="Y8" s="22">
        <f t="shared" si="2"/>
        <v>6.3465660127252024</v>
      </c>
      <c r="Z8" s="22">
        <f t="shared" si="0"/>
        <v>8.6791475348186236</v>
      </c>
      <c r="AA8" s="22">
        <f t="shared" si="1"/>
        <v>17.43592515768017</v>
      </c>
    </row>
    <row r="9" spans="1:27" ht="15.75" thickBot="1" x14ac:dyDescent="0.3">
      <c r="A9" s="13"/>
      <c r="B9" s="20"/>
      <c r="C9" s="13"/>
      <c r="H9" s="25" t="s">
        <v>8</v>
      </c>
      <c r="I9" s="26" t="s">
        <v>9</v>
      </c>
      <c r="J9" s="27">
        <v>0</v>
      </c>
      <c r="K9" s="27">
        <v>0</v>
      </c>
      <c r="L9" s="27">
        <v>0</v>
      </c>
      <c r="M9" s="27">
        <v>0</v>
      </c>
      <c r="N9" s="27">
        <v>202</v>
      </c>
      <c r="O9" s="27">
        <v>164</v>
      </c>
      <c r="P9" s="27">
        <v>106</v>
      </c>
      <c r="Q9" s="28">
        <v>28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 t="s">
        <v>9</v>
      </c>
      <c r="V9" s="29" t="s">
        <v>9</v>
      </c>
      <c r="W9" s="29">
        <f t="shared" si="2"/>
        <v>0</v>
      </c>
      <c r="X9" s="29">
        <f t="shared" si="2"/>
        <v>202</v>
      </c>
      <c r="Y9" s="29">
        <f t="shared" si="2"/>
        <v>164</v>
      </c>
      <c r="Z9" s="29">
        <f t="shared" si="0"/>
        <v>106</v>
      </c>
      <c r="AA9" s="29">
        <f t="shared" si="1"/>
        <v>28</v>
      </c>
    </row>
    <row r="10" spans="1:27" ht="15.75" thickTop="1" x14ac:dyDescent="0.25">
      <c r="A10" s="13"/>
      <c r="B10" s="20"/>
      <c r="C10" s="13"/>
      <c r="H10" s="14" t="s">
        <v>10</v>
      </c>
      <c r="I10" s="15" t="s">
        <v>18</v>
      </c>
      <c r="J10" s="16">
        <v>0</v>
      </c>
      <c r="K10" s="16">
        <v>119.71397584803395</v>
      </c>
      <c r="L10" s="16">
        <v>204.71131959477984</v>
      </c>
      <c r="M10" s="16">
        <v>1036.4937878956248</v>
      </c>
      <c r="N10" s="16">
        <v>1251.1087098727369</v>
      </c>
      <c r="O10" s="16">
        <v>1367.402380521057</v>
      </c>
      <c r="P10" s="16">
        <v>1657.4067253189494</v>
      </c>
      <c r="Q10" s="17">
        <v>973.24852915029919</v>
      </c>
      <c r="R10" s="18" t="str">
        <f t="shared" si="3"/>
        <v>Biogas storage size</v>
      </c>
      <c r="S10" s="19" t="str">
        <f>I10</f>
        <v>m3</v>
      </c>
      <c r="T10" s="19">
        <f t="shared" ref="T10:V13" si="4">J10</f>
        <v>0</v>
      </c>
      <c r="U10" s="30">
        <f t="shared" si="4"/>
        <v>119.71397584803395</v>
      </c>
      <c r="V10" s="30">
        <f t="shared" si="4"/>
        <v>204.71131959477984</v>
      </c>
      <c r="W10" s="30">
        <f t="shared" si="2"/>
        <v>1036.4937878956248</v>
      </c>
      <c r="X10" s="30">
        <f t="shared" si="2"/>
        <v>1251.1087098727369</v>
      </c>
      <c r="Y10" s="30">
        <f t="shared" si="2"/>
        <v>1367.402380521057</v>
      </c>
      <c r="Z10" s="30">
        <f t="shared" si="0"/>
        <v>1657.4067253189494</v>
      </c>
      <c r="AA10" s="30">
        <f t="shared" si="1"/>
        <v>973.24852915029919</v>
      </c>
    </row>
    <row r="11" spans="1:27" x14ac:dyDescent="0.25">
      <c r="H11" s="21" t="s">
        <v>11</v>
      </c>
      <c r="I11" s="6" t="s">
        <v>12</v>
      </c>
      <c r="J11" s="22">
        <v>0</v>
      </c>
      <c r="K11" s="22">
        <v>2.4188750130544316</v>
      </c>
      <c r="L11" s="22">
        <v>4.1362847766896316</v>
      </c>
      <c r="M11" s="22">
        <v>20.942825655623242</v>
      </c>
      <c r="N11" s="22">
        <v>25.279217196557838</v>
      </c>
      <c r="O11" s="22">
        <v>27.628983396493322</v>
      </c>
      <c r="P11" s="22">
        <v>33.488652314342268</v>
      </c>
      <c r="Q11" s="23">
        <v>19.664926605077735</v>
      </c>
      <c r="R11" s="24" t="str">
        <f t="shared" si="3"/>
        <v>Biogas storage hours</v>
      </c>
      <c r="S11" s="22" t="str">
        <f t="shared" si="2"/>
        <v>h</v>
      </c>
      <c r="T11" s="22">
        <f t="shared" si="4"/>
        <v>0</v>
      </c>
      <c r="U11" s="22">
        <f t="shared" si="4"/>
        <v>2.4188750130544316</v>
      </c>
      <c r="V11" s="22">
        <f t="shared" si="4"/>
        <v>4.1362847766896316</v>
      </c>
      <c r="W11" s="22">
        <f t="shared" si="2"/>
        <v>20.942825655623242</v>
      </c>
      <c r="X11" s="22">
        <f t="shared" si="2"/>
        <v>25.279217196557838</v>
      </c>
      <c r="Y11" s="22">
        <f t="shared" si="2"/>
        <v>27.628983396493322</v>
      </c>
      <c r="Z11" s="22">
        <f t="shared" si="0"/>
        <v>33.488652314342268</v>
      </c>
      <c r="AA11" s="22">
        <f t="shared" si="1"/>
        <v>19.664926605077735</v>
      </c>
    </row>
    <row r="12" spans="1:27" x14ac:dyDescent="0.25">
      <c r="H12" s="21" t="s">
        <v>13</v>
      </c>
      <c r="I12" s="6" t="s">
        <v>18</v>
      </c>
      <c r="J12" s="22">
        <v>0</v>
      </c>
      <c r="K12" s="22">
        <v>478.71160713564268</v>
      </c>
      <c r="L12" s="22">
        <v>729.04193853316656</v>
      </c>
      <c r="M12" s="22">
        <v>1411.4780489291225</v>
      </c>
      <c r="N12" s="22">
        <v>2284.5616266468733</v>
      </c>
      <c r="O12" s="22">
        <v>3369.6430725059708</v>
      </c>
      <c r="P12" s="22">
        <v>5967.9987257240919</v>
      </c>
      <c r="Q12" s="23">
        <v>2377.6756856081811</v>
      </c>
      <c r="R12" s="24" t="str">
        <f t="shared" si="3"/>
        <v>Syngas storage size</v>
      </c>
      <c r="S12" s="22" t="str">
        <f t="shared" si="2"/>
        <v>m3</v>
      </c>
      <c r="T12" s="22">
        <f t="shared" si="4"/>
        <v>0</v>
      </c>
      <c r="U12" s="31">
        <f t="shared" si="4"/>
        <v>478.71160713564268</v>
      </c>
      <c r="V12" s="31">
        <f t="shared" si="4"/>
        <v>729.04193853316656</v>
      </c>
      <c r="W12" s="31">
        <f t="shared" si="2"/>
        <v>1411.4780489291225</v>
      </c>
      <c r="X12" s="31">
        <f t="shared" si="2"/>
        <v>2284.5616266468733</v>
      </c>
      <c r="Y12" s="31">
        <f t="shared" si="2"/>
        <v>3369.6430725059708</v>
      </c>
      <c r="Z12" s="31">
        <f t="shared" si="0"/>
        <v>5967.9987257240919</v>
      </c>
      <c r="AA12" s="31">
        <f t="shared" si="1"/>
        <v>2377.6756856081811</v>
      </c>
    </row>
    <row r="13" spans="1:27" x14ac:dyDescent="0.25">
      <c r="H13" s="32" t="s">
        <v>14</v>
      </c>
      <c r="I13" s="26" t="s">
        <v>12</v>
      </c>
      <c r="J13" s="33">
        <v>0</v>
      </c>
      <c r="K13" s="33">
        <v>2.3708246522231589</v>
      </c>
      <c r="L13" s="33">
        <v>3.6105884516170552</v>
      </c>
      <c r="M13" s="33">
        <v>6.9903610119167601</v>
      </c>
      <c r="N13" s="33">
        <v>11.314317311806361</v>
      </c>
      <c r="O13" s="33">
        <v>16.688195452980761</v>
      </c>
      <c r="P13" s="33">
        <v>29.556581232787909</v>
      </c>
      <c r="Q13" s="34">
        <v>11.775465742643297</v>
      </c>
      <c r="R13" s="24" t="str">
        <f t="shared" si="3"/>
        <v>Syngas storage hours</v>
      </c>
      <c r="S13" s="22" t="str">
        <f t="shared" si="2"/>
        <v>h</v>
      </c>
      <c r="T13" s="22">
        <f t="shared" si="4"/>
        <v>0</v>
      </c>
      <c r="U13" s="22">
        <f t="shared" si="4"/>
        <v>2.3708246522231589</v>
      </c>
      <c r="V13" s="22">
        <f t="shared" si="4"/>
        <v>3.6105884516170552</v>
      </c>
      <c r="W13" s="22">
        <f t="shared" si="2"/>
        <v>6.9903610119167601</v>
      </c>
      <c r="X13" s="22">
        <f t="shared" si="2"/>
        <v>11.314317311806361</v>
      </c>
      <c r="Y13" s="22">
        <f t="shared" si="2"/>
        <v>16.688195452980761</v>
      </c>
      <c r="Z13" s="22">
        <f t="shared" si="0"/>
        <v>29.556581232787909</v>
      </c>
      <c r="AA13" s="22">
        <f t="shared" si="1"/>
        <v>11.775465742643297</v>
      </c>
    </row>
    <row r="14" spans="1:27" x14ac:dyDescent="0.25">
      <c r="H14" s="25" t="s">
        <v>15</v>
      </c>
      <c r="I14" s="26" t="s">
        <v>16</v>
      </c>
      <c r="J14" s="35">
        <v>4.712338726049234</v>
      </c>
      <c r="K14" s="35">
        <v>4.7808336670069282</v>
      </c>
      <c r="L14" s="35">
        <v>4.9526105962720077</v>
      </c>
      <c r="M14" s="35">
        <v>5.409703074430583</v>
      </c>
      <c r="N14" s="35">
        <v>5.8608400270282255</v>
      </c>
      <c r="O14" s="35">
        <v>6.2530774183512738</v>
      </c>
      <c r="P14" s="35">
        <v>7.1420695451086651</v>
      </c>
      <c r="Q14" s="36">
        <v>9.5237196830884141</v>
      </c>
      <c r="R14" s="37" t="s">
        <v>17</v>
      </c>
      <c r="S14" s="6" t="s">
        <v>18</v>
      </c>
      <c r="T14" s="22">
        <f>[4]NoSP!$F$112</f>
        <v>0</v>
      </c>
      <c r="U14" s="31">
        <f>'[4]40SP'!$F$112</f>
        <v>0</v>
      </c>
      <c r="V14" s="31">
        <f>'[4]60SP'!$F$112</f>
        <v>3.7932116470074104E-13</v>
      </c>
      <c r="W14" s="31">
        <f>'[4]80SP'!$F$112</f>
        <v>270.65887799928362</v>
      </c>
      <c r="X14" s="31">
        <f>'[4]90SP'!$F$112</f>
        <v>276.52870360573075</v>
      </c>
      <c r="Y14" s="31">
        <f>'[4]95SP'!$F$112</f>
        <v>187.91575566556571</v>
      </c>
      <c r="Z14" s="31">
        <f>'[4]99SP'!$F$112</f>
        <v>52.9056709485385</v>
      </c>
      <c r="AA14" s="31">
        <f>'[4]100SP'!$F$112</f>
        <v>102.18164082454938</v>
      </c>
    </row>
    <row r="15" spans="1:27" ht="15.75" thickBot="1" x14ac:dyDescent="0.3">
      <c r="H15" s="14" t="s">
        <v>19</v>
      </c>
      <c r="I15" s="15" t="s">
        <v>2</v>
      </c>
      <c r="J15" s="38">
        <v>1</v>
      </c>
      <c r="K15" s="38">
        <v>1.3129271194028502</v>
      </c>
      <c r="L15" s="38">
        <v>1.3217883071562411</v>
      </c>
      <c r="M15" s="38">
        <v>1.6542082465449908</v>
      </c>
      <c r="N15" s="38">
        <v>1.6368194743810931</v>
      </c>
      <c r="O15" s="38">
        <v>1.5863789665051902</v>
      </c>
      <c r="P15" s="38">
        <v>1.3217883071562415</v>
      </c>
      <c r="Q15" s="39">
        <v>1.1881626885955781</v>
      </c>
      <c r="R15" s="40" t="s">
        <v>20</v>
      </c>
      <c r="S15" s="41" t="s">
        <v>12</v>
      </c>
      <c r="T15" s="41">
        <f>[4]NoSP!$B$169</f>
        <v>0</v>
      </c>
      <c r="U15" s="41">
        <f>'[4]40SP'!$B$169</f>
        <v>0</v>
      </c>
      <c r="V15" s="41">
        <f>'[4]60SP'!$B$169</f>
        <v>1.3304428794062156E-14</v>
      </c>
      <c r="W15" s="41">
        <f>'[4]80SP'!$B$169</f>
        <v>9.4931738719697929</v>
      </c>
      <c r="X15" s="41">
        <f>'[4]90SP'!$B$169</f>
        <v>9.6990539653628147</v>
      </c>
      <c r="Y15" s="41">
        <f>'[4]95SP'!$B$169</f>
        <v>6.5910158018926301</v>
      </c>
      <c r="Z15" s="41">
        <f>'[4]99SP'!$B$169</f>
        <v>1.8556299975832542</v>
      </c>
      <c r="AA15" s="41">
        <f>'[4]100SP'!$B$169</f>
        <v>3.5839507280939125</v>
      </c>
    </row>
    <row r="16" spans="1:27" ht="15.75" thickTop="1" x14ac:dyDescent="0.25">
      <c r="H16" s="25" t="s">
        <v>21</v>
      </c>
      <c r="I16" s="26" t="s">
        <v>2</v>
      </c>
      <c r="J16" s="42">
        <v>1.0000000000000002</v>
      </c>
      <c r="K16" s="42">
        <v>1.0054470917981277</v>
      </c>
      <c r="L16" s="42">
        <v>1.017585093856155</v>
      </c>
      <c r="M16" s="42">
        <v>1.4729319413355861</v>
      </c>
      <c r="N16" s="42">
        <v>1.4491129050860525</v>
      </c>
      <c r="O16" s="42">
        <v>1.3800197986713556</v>
      </c>
      <c r="P16" s="42">
        <v>1.0175850938561557</v>
      </c>
      <c r="Q16" s="43">
        <v>1.017585093856155</v>
      </c>
      <c r="R16" s="37" t="str">
        <f>H15</f>
        <v>Syngas generation size</v>
      </c>
      <c r="S16" s="6" t="s">
        <v>2</v>
      </c>
      <c r="T16" s="297">
        <f>J15</f>
        <v>1</v>
      </c>
      <c r="U16" s="297">
        <f>J15</f>
        <v>1</v>
      </c>
      <c r="V16" s="297">
        <f t="shared" ref="V16:Z17" si="5">L15</f>
        <v>1.3217883071562411</v>
      </c>
      <c r="W16" s="297">
        <f t="shared" si="5"/>
        <v>1.6542082465449908</v>
      </c>
      <c r="X16" s="297">
        <f t="shared" si="5"/>
        <v>1.6368194743810931</v>
      </c>
      <c r="Y16" s="297">
        <f t="shared" si="5"/>
        <v>1.5863789665051902</v>
      </c>
      <c r="Z16" s="297">
        <f t="shared" si="5"/>
        <v>1.3217883071562415</v>
      </c>
      <c r="AA16" s="297">
        <f>Q15</f>
        <v>1.1881626885955781</v>
      </c>
    </row>
    <row r="17" spans="2:27" ht="15.75" thickBot="1" x14ac:dyDescent="0.3">
      <c r="R17" s="40" t="str">
        <f>H16</f>
        <v>Gas Separation size</v>
      </c>
      <c r="S17" s="45" t="s">
        <v>2</v>
      </c>
      <c r="T17" s="298">
        <f>J16</f>
        <v>1.0000000000000002</v>
      </c>
      <c r="U17" s="298">
        <f>J16</f>
        <v>1.0000000000000002</v>
      </c>
      <c r="V17" s="298">
        <f t="shared" si="5"/>
        <v>1.017585093856155</v>
      </c>
      <c r="W17" s="298">
        <f t="shared" si="5"/>
        <v>1.4729319413355861</v>
      </c>
      <c r="X17" s="298">
        <f t="shared" si="5"/>
        <v>1.4491129050860525</v>
      </c>
      <c r="Y17" s="298">
        <f t="shared" si="5"/>
        <v>1.3800197986713556</v>
      </c>
      <c r="Z17" s="298">
        <f t="shared" si="5"/>
        <v>1.0175850938561557</v>
      </c>
      <c r="AA17" s="298">
        <f>Q16</f>
        <v>1.017585093856155</v>
      </c>
    </row>
    <row r="18" spans="2:27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7" x14ac:dyDescent="0.25">
      <c r="H19" s="50" t="s">
        <v>1</v>
      </c>
      <c r="I19" s="8" t="s">
        <v>2</v>
      </c>
      <c r="J19" s="9">
        <v>0.27381631271203366</v>
      </c>
      <c r="K19" s="9">
        <v>0.40000000000002983</v>
      </c>
      <c r="L19" s="9">
        <v>0.6000000000000506</v>
      </c>
      <c r="M19" s="9">
        <v>0.80000000000004257</v>
      </c>
      <c r="N19" s="9">
        <v>0.89999999999992752</v>
      </c>
      <c r="O19" s="9">
        <v>0.94999999999996454</v>
      </c>
      <c r="P19" s="9">
        <v>0.99000000000010169</v>
      </c>
      <c r="Q19" s="10">
        <v>1.0000000000000315</v>
      </c>
    </row>
    <row r="20" spans="2:27" x14ac:dyDescent="0.25">
      <c r="H20" s="51" t="s">
        <v>23</v>
      </c>
      <c r="I20" s="52" t="s">
        <v>24</v>
      </c>
      <c r="J20" s="53">
        <v>-9678.9875243778388</v>
      </c>
      <c r="K20" s="53">
        <v>-9678.9875243778752</v>
      </c>
      <c r="L20" s="53">
        <v>-9678.9875243778934</v>
      </c>
      <c r="M20" s="53">
        <v>-9678.9875243787774</v>
      </c>
      <c r="N20" s="53">
        <v>-9678.9875243790502</v>
      </c>
      <c r="O20" s="53">
        <v>-9678.9875243788338</v>
      </c>
      <c r="P20" s="53">
        <v>-9678.9875243774441</v>
      </c>
      <c r="Q20" s="54">
        <v>-9678.9875243782735</v>
      </c>
    </row>
    <row r="21" spans="2:27" x14ac:dyDescent="0.25">
      <c r="B21" s="55"/>
      <c r="H21" s="56" t="s">
        <v>25</v>
      </c>
      <c r="I21" s="57" t="s">
        <v>24</v>
      </c>
      <c r="J21" s="58">
        <v>-1702.5570878064138</v>
      </c>
      <c r="K21" s="58">
        <v>-1702.5570878068384</v>
      </c>
      <c r="L21" s="58">
        <v>-1702.5570878068729</v>
      </c>
      <c r="M21" s="58">
        <v>-1702.5570878066894</v>
      </c>
      <c r="N21" s="58">
        <v>-1702.5570878067715</v>
      </c>
      <c r="O21" s="58">
        <v>-1702.557087806638</v>
      </c>
      <c r="P21" s="58">
        <v>-1702.5570878068913</v>
      </c>
      <c r="Q21" s="59">
        <v>-1702.5570878068934</v>
      </c>
    </row>
    <row r="22" spans="2:27" x14ac:dyDescent="0.25">
      <c r="H22" s="61" t="s">
        <v>26</v>
      </c>
      <c r="I22" s="6" t="s">
        <v>24</v>
      </c>
      <c r="J22" s="31">
        <v>2970.8414872927092</v>
      </c>
      <c r="K22" s="31">
        <v>3850.283158108457</v>
      </c>
      <c r="L22" s="31">
        <v>3794.2594792621226</v>
      </c>
      <c r="M22" s="31">
        <v>4851.4227076241341</v>
      </c>
      <c r="N22" s="31">
        <v>5534.7502722696527</v>
      </c>
      <c r="O22" s="31">
        <v>6353.3588021494907</v>
      </c>
      <c r="P22" s="31">
        <v>7181.6284745087323</v>
      </c>
      <c r="Q22" s="62">
        <v>9204.1814544669942</v>
      </c>
    </row>
    <row r="23" spans="2:27" x14ac:dyDescent="0.25">
      <c r="H23" s="61" t="s">
        <v>27</v>
      </c>
      <c r="I23" s="6" t="s">
        <v>24</v>
      </c>
      <c r="J23" s="31">
        <v>0</v>
      </c>
      <c r="K23" s="31">
        <v>612.47291927118306</v>
      </c>
      <c r="L23" s="31">
        <v>3167.1771306878486</v>
      </c>
      <c r="M23" s="31">
        <v>5219.0075215702345</v>
      </c>
      <c r="N23" s="31">
        <v>5871.9355330380549</v>
      </c>
      <c r="O23" s="31">
        <v>6141.3374264068416</v>
      </c>
      <c r="P23" s="31">
        <v>9334.0313415141591</v>
      </c>
      <c r="Q23" s="62">
        <v>15025.916714428489</v>
      </c>
    </row>
    <row r="24" spans="2:27" x14ac:dyDescent="0.25">
      <c r="H24" s="61" t="s">
        <v>28</v>
      </c>
      <c r="I24" s="6" t="s">
        <v>24</v>
      </c>
      <c r="J24" s="31">
        <v>7028.722849667517</v>
      </c>
      <c r="K24" s="31">
        <v>5807.3925146268248</v>
      </c>
      <c r="L24" s="31">
        <v>3871.5950097516102</v>
      </c>
      <c r="M24" s="31">
        <v>1935.7975048752405</v>
      </c>
      <c r="N24" s="31">
        <v>967.89875243829295</v>
      </c>
      <c r="O24" s="31">
        <v>483.94937621879745</v>
      </c>
      <c r="P24" s="31">
        <v>96.789875243921657</v>
      </c>
      <c r="Q24" s="62">
        <v>2.0126378785789712E-11</v>
      </c>
    </row>
    <row r="25" spans="2:27" x14ac:dyDescent="0.25">
      <c r="H25" s="61" t="s">
        <v>29</v>
      </c>
      <c r="I25" s="6" t="s">
        <v>24</v>
      </c>
      <c r="J25" s="31">
        <v>-320.57681258179457</v>
      </c>
      <c r="K25" s="31">
        <v>-591.16106762820152</v>
      </c>
      <c r="L25" s="31">
        <v>-1154.0440953227451</v>
      </c>
      <c r="M25" s="31">
        <v>-2327.2402096909332</v>
      </c>
      <c r="N25" s="31">
        <v>-2657.2624218295291</v>
      </c>
      <c r="O25" s="31">
        <v>-3238.2669933739471</v>
      </c>
      <c r="P25" s="31">
        <v>-6879.32911153041</v>
      </c>
      <c r="Q25" s="62">
        <v>-14522.804533180915</v>
      </c>
    </row>
    <row r="26" spans="2:27" x14ac:dyDescent="0.25">
      <c r="H26" s="61" t="s">
        <v>30</v>
      </c>
      <c r="I26" s="6" t="s">
        <v>24</v>
      </c>
      <c r="J26" s="31">
        <v>2.537382922897158E-15</v>
      </c>
      <c r="K26" s="31">
        <v>0</v>
      </c>
      <c r="L26" s="31">
        <v>0</v>
      </c>
      <c r="M26" s="31">
        <v>0</v>
      </c>
      <c r="N26" s="31">
        <v>-648.63978913257029</v>
      </c>
      <c r="O26" s="31">
        <v>-1038.7662778821048</v>
      </c>
      <c r="P26" s="31">
        <v>-915.95694344876699</v>
      </c>
      <c r="Q26" s="62">
        <v>-478.95281448375295</v>
      </c>
    </row>
    <row r="27" spans="2:27" x14ac:dyDescent="0.25">
      <c r="B27" s="63"/>
      <c r="H27" s="61" t="s">
        <v>31</v>
      </c>
      <c r="I27" s="6" t="s">
        <v>24</v>
      </c>
      <c r="J27" s="31">
        <v>-2.3874235921539368E-15</v>
      </c>
      <c r="K27" s="31">
        <v>0</v>
      </c>
      <c r="L27" s="31">
        <v>0</v>
      </c>
      <c r="M27" s="31">
        <v>0</v>
      </c>
      <c r="N27" s="31">
        <v>610.30517759483496</v>
      </c>
      <c r="O27" s="31">
        <v>977.37519085926942</v>
      </c>
      <c r="P27" s="31">
        <v>861.82388809094141</v>
      </c>
      <c r="Q27" s="62">
        <v>450.64670314776197</v>
      </c>
    </row>
    <row r="28" spans="2:27" x14ac:dyDescent="0.25">
      <c r="H28" s="64" t="s">
        <v>32</v>
      </c>
      <c r="I28" s="65" t="s">
        <v>24</v>
      </c>
      <c r="J28" s="66">
        <v>5.9333175602844484E-10</v>
      </c>
      <c r="K28" s="66">
        <v>3.8846792449476197E-10</v>
      </c>
      <c r="L28" s="66">
        <v>9.4246388471219689E-10</v>
      </c>
      <c r="M28" s="66">
        <v>-1.014086592476815E-10</v>
      </c>
      <c r="N28" s="66">
        <v>-3.1423041946254671E-10</v>
      </c>
      <c r="O28" s="66">
        <v>-4.8635229177307338E-10</v>
      </c>
      <c r="P28" s="66">
        <v>1.133116711571347E-9</v>
      </c>
      <c r="Q28" s="67">
        <v>3.2366642699344084E-10</v>
      </c>
    </row>
    <row r="30" spans="2:27" x14ac:dyDescent="0.25">
      <c r="H30" s="68" t="s">
        <v>15</v>
      </c>
    </row>
    <row r="31" spans="2:27" x14ac:dyDescent="0.25">
      <c r="H31" s="69" t="s">
        <v>33</v>
      </c>
      <c r="I31" s="70" t="s">
        <v>103</v>
      </c>
      <c r="J31" s="71">
        <v>0.29678031211521622</v>
      </c>
      <c r="K31" s="71">
        <v>0.384634536135047</v>
      </c>
      <c r="L31" s="71">
        <v>0.37903789795523629</v>
      </c>
      <c r="M31" s="71">
        <v>0.48464610162817923</v>
      </c>
      <c r="N31" s="71">
        <v>0.55290897219191937</v>
      </c>
      <c r="O31" s="71">
        <v>0.63468610370065326</v>
      </c>
      <c r="P31" s="71">
        <v>0.71742836138414201</v>
      </c>
      <c r="Q31" s="72">
        <v>0.91947680699429513</v>
      </c>
    </row>
    <row r="32" spans="2:27" x14ac:dyDescent="0.25">
      <c r="H32" s="73" t="s">
        <v>34</v>
      </c>
      <c r="I32" s="74" t="s">
        <v>103</v>
      </c>
      <c r="J32" s="75">
        <v>0</v>
      </c>
      <c r="K32" s="75">
        <v>0.12956504440382657</v>
      </c>
      <c r="L32" s="75">
        <v>0.66999769730329861</v>
      </c>
      <c r="M32" s="75">
        <v>1.1040503506354955</v>
      </c>
      <c r="N32" s="75">
        <v>1.2421734318959621</v>
      </c>
      <c r="O32" s="75">
        <v>1.2991638182110599</v>
      </c>
      <c r="P32" s="75">
        <v>1.974559441205973</v>
      </c>
      <c r="Q32" s="76">
        <v>3.178644320518905</v>
      </c>
    </row>
    <row r="33" spans="8:17" x14ac:dyDescent="0.25">
      <c r="H33" s="73" t="s">
        <v>35</v>
      </c>
      <c r="I33" s="74" t="s">
        <v>103</v>
      </c>
      <c r="J33" s="75">
        <v>0</v>
      </c>
      <c r="K33" s="75">
        <v>0</v>
      </c>
      <c r="L33" s="75">
        <v>0</v>
      </c>
      <c r="M33" s="75">
        <v>0</v>
      </c>
      <c r="N33" s="75">
        <v>0.23696602429297764</v>
      </c>
      <c r="O33" s="75">
        <v>0.46808516139184447</v>
      </c>
      <c r="P33" s="75">
        <v>0.64012257438645259</v>
      </c>
      <c r="Q33" s="76">
        <v>1.2859706847899555</v>
      </c>
    </row>
    <row r="34" spans="8:17" x14ac:dyDescent="0.25">
      <c r="H34" s="73" t="s">
        <v>36</v>
      </c>
      <c r="I34" s="74" t="s">
        <v>103</v>
      </c>
      <c r="J34" s="75">
        <v>0</v>
      </c>
      <c r="K34" s="75">
        <v>3.1295316937455429E-2</v>
      </c>
      <c r="L34" s="75">
        <v>3.5147292520506961E-2</v>
      </c>
      <c r="M34" s="75">
        <v>8.8660338198523633E-2</v>
      </c>
      <c r="N34" s="75">
        <v>0.10193826396894398</v>
      </c>
      <c r="O34" s="75">
        <v>0.10391346787661164</v>
      </c>
      <c r="P34" s="75">
        <v>0.11907579176856908</v>
      </c>
      <c r="Q34" s="76">
        <v>7.654976225584878E-2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>
        <v>0.64258536738640193</v>
      </c>
      <c r="K36" s="75">
        <v>0.69507541972350495</v>
      </c>
      <c r="L36" s="75">
        <v>0.69955321963785222</v>
      </c>
      <c r="M36" s="75">
        <v>0.86009557866699571</v>
      </c>
      <c r="N36" s="75">
        <v>0.85206561334212449</v>
      </c>
      <c r="O36" s="75">
        <v>0.82861261530632024</v>
      </c>
      <c r="P36" s="75">
        <v>0.69955321963785688</v>
      </c>
      <c r="Q36" s="76">
        <v>0.67810068090211217</v>
      </c>
    </row>
    <row r="37" spans="8:17" x14ac:dyDescent="0.25">
      <c r="H37" s="77" t="s">
        <v>38</v>
      </c>
      <c r="I37" s="78" t="s">
        <v>103</v>
      </c>
      <c r="J37" s="79">
        <v>5.564630852160303E-2</v>
      </c>
      <c r="K37" s="79">
        <v>7.2118975525321316E-2</v>
      </c>
      <c r="L37" s="79">
        <v>7.1069605866606808E-2</v>
      </c>
      <c r="M37" s="79">
        <v>9.0871144055283598E-2</v>
      </c>
      <c r="N37" s="79">
        <v>0.1036704322859849</v>
      </c>
      <c r="O37" s="79">
        <v>0.11900364444387247</v>
      </c>
      <c r="P37" s="79">
        <v>0.13451781775952665</v>
      </c>
      <c r="Q37" s="80">
        <v>0.17240190131143032</v>
      </c>
    </row>
    <row r="38" spans="8:17" x14ac:dyDescent="0.25">
      <c r="H38" s="81" t="s">
        <v>39</v>
      </c>
      <c r="I38" s="82" t="s">
        <v>103</v>
      </c>
      <c r="J38" s="83">
        <v>0</v>
      </c>
      <c r="K38" s="83">
        <v>3.8869513321147971E-2</v>
      </c>
      <c r="L38" s="83">
        <v>0.20099930919098957</v>
      </c>
      <c r="M38" s="83">
        <v>0.33121510519064862</v>
      </c>
      <c r="N38" s="83">
        <v>0.37265202956878862</v>
      </c>
      <c r="O38" s="83">
        <v>0.38974914546331785</v>
      </c>
      <c r="P38" s="83">
        <v>0.59236783236179202</v>
      </c>
      <c r="Q38" s="84">
        <v>0.95359329615567157</v>
      </c>
    </row>
    <row r="39" spans="8:17" x14ac:dyDescent="0.25">
      <c r="H39" s="81" t="s">
        <v>40</v>
      </c>
      <c r="I39" s="82" t="s">
        <v>103</v>
      </c>
      <c r="J39" s="83">
        <v>0</v>
      </c>
      <c r="K39" s="83">
        <v>0</v>
      </c>
      <c r="L39" s="83">
        <v>0</v>
      </c>
      <c r="M39" s="83">
        <v>0</v>
      </c>
      <c r="N39" s="83">
        <v>5.924150607324441E-2</v>
      </c>
      <c r="O39" s="83">
        <v>0.1170212903479611</v>
      </c>
      <c r="P39" s="83">
        <v>0.16003064359661312</v>
      </c>
      <c r="Q39" s="84">
        <v>0.32149267119748887</v>
      </c>
    </row>
    <row r="40" spans="8:17" x14ac:dyDescent="0.25">
      <c r="H40" s="81" t="s">
        <v>41</v>
      </c>
      <c r="I40" s="82" t="s">
        <v>103</v>
      </c>
      <c r="J40" s="83">
        <v>0.25703414695456078</v>
      </c>
      <c r="K40" s="83">
        <v>0.29054829466438414</v>
      </c>
      <c r="L40" s="83">
        <v>0.29388020486334365</v>
      </c>
      <c r="M40" s="83">
        <v>0.36505480025848408</v>
      </c>
      <c r="N40" s="83">
        <v>0.36684065757912071</v>
      </c>
      <c r="O40" s="83">
        <v>0.36297963216242451</v>
      </c>
      <c r="P40" s="83">
        <v>0.32462753980527598</v>
      </c>
      <c r="Q40" s="84">
        <v>0.2964057984504514</v>
      </c>
    </row>
    <row r="41" spans="8:17" x14ac:dyDescent="0.25">
      <c r="H41" s="85" t="s">
        <v>42</v>
      </c>
      <c r="I41" s="86" t="s">
        <v>103</v>
      </c>
      <c r="J41" s="87">
        <v>0</v>
      </c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8">
        <v>0</v>
      </c>
    </row>
    <row r="42" spans="8:17" x14ac:dyDescent="0.25">
      <c r="H42" s="89" t="s">
        <v>43</v>
      </c>
      <c r="I42" s="90" t="s">
        <v>103</v>
      </c>
      <c r="J42" s="91">
        <v>-6.0821264616738976E-19</v>
      </c>
      <c r="K42" s="91">
        <v>0</v>
      </c>
      <c r="L42" s="91">
        <v>0</v>
      </c>
      <c r="M42" s="91">
        <v>0</v>
      </c>
      <c r="N42" s="91">
        <v>0.15547945838122385</v>
      </c>
      <c r="O42" s="91">
        <v>0.24899307901812998</v>
      </c>
      <c r="P42" s="91">
        <v>0.21955558671228742</v>
      </c>
      <c r="Q42" s="92">
        <v>0.11480535951345588</v>
      </c>
    </row>
    <row r="43" spans="8:17" x14ac:dyDescent="0.25">
      <c r="H43" s="89" t="s">
        <v>44</v>
      </c>
      <c r="I43" s="90" t="s">
        <v>103</v>
      </c>
      <c r="J43" s="91">
        <v>0</v>
      </c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>
        <v>8.4786431781360944E-2</v>
      </c>
      <c r="K44" s="91">
        <v>0.10132588809831138</v>
      </c>
      <c r="L44" s="91">
        <v>0.10179423749557517</v>
      </c>
      <c r="M44" s="91">
        <v>0.11936396771546942</v>
      </c>
      <c r="N44" s="91">
        <v>0.11844490119877282</v>
      </c>
      <c r="O44" s="91">
        <v>0.11577891757226888</v>
      </c>
      <c r="P44" s="91">
        <v>0.10179423749557198</v>
      </c>
      <c r="Q44" s="92">
        <v>9.473158634145086E-2</v>
      </c>
    </row>
    <row r="45" spans="8:17" x14ac:dyDescent="0.25">
      <c r="H45" s="89" t="s">
        <v>46</v>
      </c>
      <c r="I45" s="90" t="s">
        <v>103</v>
      </c>
      <c r="J45" s="91">
        <v>1.9027730795181843</v>
      </c>
      <c r="K45" s="91">
        <v>1.9027730795185147</v>
      </c>
      <c r="L45" s="91">
        <v>1.9027730795183615</v>
      </c>
      <c r="M45" s="91">
        <v>1.9027730795183653</v>
      </c>
      <c r="N45" s="91">
        <v>1.9027730795183702</v>
      </c>
      <c r="O45" s="91">
        <v>1.9027730795183668</v>
      </c>
      <c r="P45" s="91">
        <v>1.9027730795183742</v>
      </c>
      <c r="Q45" s="92">
        <v>1.9027730795183766</v>
      </c>
    </row>
    <row r="46" spans="8:17" x14ac:dyDescent="0.25">
      <c r="H46" s="89" t="s">
        <v>47</v>
      </c>
      <c r="I46" s="90" t="s">
        <v>103</v>
      </c>
      <c r="J46" s="91">
        <v>1.9439593446328409</v>
      </c>
      <c r="K46" s="91">
        <v>1.6058538635404782</v>
      </c>
      <c r="L46" s="91">
        <v>1.0695843167812356</v>
      </c>
      <c r="M46" s="91">
        <v>0.53419887342410011</v>
      </c>
      <c r="N46" s="91">
        <v>0.26691192159174443</v>
      </c>
      <c r="O46" s="91">
        <v>0.13354372819939991</v>
      </c>
      <c r="P46" s="91">
        <v>2.688968433726549E-2</v>
      </c>
      <c r="Q46" s="92">
        <v>5.4050245046484611E-15</v>
      </c>
    </row>
    <row r="47" spans="8:17" x14ac:dyDescent="0.25">
      <c r="H47" s="93" t="s">
        <v>48</v>
      </c>
      <c r="I47" s="94" t="s">
        <v>103</v>
      </c>
      <c r="J47" s="95">
        <v>-0.47122626486093483</v>
      </c>
      <c r="K47" s="95">
        <v>-0.47122626486106378</v>
      </c>
      <c r="L47" s="95">
        <v>-0.4712262648609985</v>
      </c>
      <c r="M47" s="95">
        <v>-0.47122626486096281</v>
      </c>
      <c r="N47" s="95">
        <v>-0.47122626486095071</v>
      </c>
      <c r="O47" s="95">
        <v>-0.47122626486095842</v>
      </c>
      <c r="P47" s="95">
        <v>-0.47122626486103503</v>
      </c>
      <c r="Q47" s="96">
        <v>-0.47122626486103242</v>
      </c>
    </row>
    <row r="48" spans="8:17" x14ac:dyDescent="0.25">
      <c r="H48" s="97" t="s">
        <v>49</v>
      </c>
      <c r="I48" s="98" t="s">
        <v>103</v>
      </c>
      <c r="J48" s="99">
        <v>-1.7732886818825944E-2</v>
      </c>
      <c r="K48" s="99">
        <v>-3.2700407180180302E-2</v>
      </c>
      <c r="L48" s="99">
        <v>-6.38365986656413E-2</v>
      </c>
      <c r="M48" s="99">
        <v>-0.12873260204414932</v>
      </c>
      <c r="N48" s="99">
        <v>-0.14698796645563425</v>
      </c>
      <c r="O48" s="99">
        <v>-0.17912656133853702</v>
      </c>
      <c r="P48" s="99">
        <v>-0.38053396171037723</v>
      </c>
      <c r="Q48" s="100">
        <v>-0.80333710665099012</v>
      </c>
    </row>
    <row r="49" spans="8:27" x14ac:dyDescent="0.25">
      <c r="H49" s="101" t="s">
        <v>50</v>
      </c>
      <c r="I49" s="102" t="s">
        <v>103</v>
      </c>
      <c r="J49" s="103">
        <v>-3.5465773637651889E-2</v>
      </c>
      <c r="K49" s="103">
        <v>-6.5400814360360604E-2</v>
      </c>
      <c r="L49" s="103">
        <v>-0.1276731973312826</v>
      </c>
      <c r="M49" s="103">
        <v>-0.25746520408829865</v>
      </c>
      <c r="N49" s="103">
        <v>-0.2939759329112685</v>
      </c>
      <c r="O49" s="103">
        <v>-0.35825312267707404</v>
      </c>
      <c r="P49" s="103">
        <v>-0.76106792342075447</v>
      </c>
      <c r="Q49" s="104">
        <v>-1.6066742133019802</v>
      </c>
    </row>
    <row r="50" spans="8:27" x14ac:dyDescent="0.25">
      <c r="H50" s="105" t="s">
        <v>51</v>
      </c>
      <c r="I50" s="106" t="s">
        <v>103</v>
      </c>
      <c r="J50" s="107">
        <v>4.7123387260492322</v>
      </c>
      <c r="K50" s="107">
        <v>4.7808336670069282</v>
      </c>
      <c r="L50" s="107">
        <v>4.9526105962720077</v>
      </c>
      <c r="M50" s="107">
        <v>5.4097030744305821</v>
      </c>
      <c r="N50" s="107">
        <v>5.8608400270282273</v>
      </c>
      <c r="O50" s="107">
        <v>6.253077418351273</v>
      </c>
      <c r="P50" s="107">
        <v>7.1420695451086651</v>
      </c>
      <c r="Q50" s="108">
        <v>9.5237196830884141</v>
      </c>
    </row>
    <row r="51" spans="8:27" x14ac:dyDescent="0.25">
      <c r="H51" s="105" t="s">
        <v>52</v>
      </c>
      <c r="I51" s="106" t="s">
        <v>103</v>
      </c>
      <c r="J51" s="107">
        <v>4.6946058392304062</v>
      </c>
      <c r="K51" s="107">
        <v>4.7481332598267478</v>
      </c>
      <c r="L51" s="107">
        <v>4.888773997606366</v>
      </c>
      <c r="M51" s="107">
        <v>5.280970472386433</v>
      </c>
      <c r="N51" s="107">
        <v>5.7138520605725933</v>
      </c>
      <c r="O51" s="107">
        <v>6.0739508570127363</v>
      </c>
      <c r="P51" s="107">
        <v>6.7615355833982882</v>
      </c>
      <c r="Q51" s="108">
        <v>8.7203825764374248</v>
      </c>
    </row>
    <row r="52" spans="8:27" x14ac:dyDescent="0.25">
      <c r="H52" s="109" t="s">
        <v>53</v>
      </c>
      <c r="I52" s="110" t="s">
        <v>103</v>
      </c>
      <c r="J52" s="111">
        <v>4.6768729524115802</v>
      </c>
      <c r="K52" s="111">
        <v>4.7154328526465674</v>
      </c>
      <c r="L52" s="111">
        <v>4.8249373989407252</v>
      </c>
      <c r="M52" s="111">
        <v>5.1522378703422831</v>
      </c>
      <c r="N52" s="111">
        <v>5.5668640941169585</v>
      </c>
      <c r="O52" s="111">
        <v>5.8948242956741987</v>
      </c>
      <c r="P52" s="111">
        <v>6.3810016216879104</v>
      </c>
      <c r="Q52" s="112">
        <v>7.9170454697864336</v>
      </c>
    </row>
    <row r="53" spans="8:27" x14ac:dyDescent="0.25">
      <c r="H53" s="113" t="s">
        <v>54</v>
      </c>
      <c r="I53" s="114" t="s">
        <v>103</v>
      </c>
      <c r="J53" s="115">
        <v>4.7123387260492331</v>
      </c>
      <c r="K53" s="115">
        <v>4.7808336670069282</v>
      </c>
      <c r="L53" s="115">
        <v>4.9526105962720077</v>
      </c>
      <c r="M53" s="115">
        <v>5.4097030744305821</v>
      </c>
      <c r="N53" s="115">
        <v>5.8608400270282273</v>
      </c>
      <c r="O53" s="115">
        <v>6.253077418351273</v>
      </c>
      <c r="P53" s="115">
        <v>7.1420695451086642</v>
      </c>
      <c r="Q53" s="116">
        <v>9.5237196830884159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>
        <v>0.27381631271203366</v>
      </c>
      <c r="K56" s="124">
        <v>0.40000000000002983</v>
      </c>
      <c r="L56" s="124">
        <v>0.6000000000000506</v>
      </c>
      <c r="M56" s="124">
        <v>0.80000000000004257</v>
      </c>
      <c r="N56" s="124">
        <v>0.89999999999992752</v>
      </c>
      <c r="O56" s="124">
        <v>0.94999999999996454</v>
      </c>
      <c r="P56" s="124">
        <v>0.99000000000010169</v>
      </c>
      <c r="Q56" s="125">
        <v>1.0000000000000315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>
        <v>1609566.8031995911</v>
      </c>
      <c r="K57" s="128">
        <v>2086037.9056633392</v>
      </c>
      <c r="L57" s="128">
        <v>2055684.9386505042</v>
      </c>
      <c r="M57" s="128">
        <v>2628443.4803677243</v>
      </c>
      <c r="N57" s="128">
        <v>2998662.2781289411</v>
      </c>
      <c r="O57" s="128">
        <v>3442174.7038663817</v>
      </c>
      <c r="P57" s="128">
        <v>3890921.4224068271</v>
      </c>
      <c r="Q57" s="129">
        <v>4986716.7208695263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>
        <v>0</v>
      </c>
      <c r="K58" s="132">
        <v>702686.75452596426</v>
      </c>
      <c r="L58" s="132">
        <v>3633684.6070193425</v>
      </c>
      <c r="M58" s="132">
        <v>5987738.1379453121</v>
      </c>
      <c r="N58" s="132">
        <v>6736838.7934704386</v>
      </c>
      <c r="O58" s="132">
        <v>7045922.0788828647</v>
      </c>
      <c r="P58" s="132">
        <v>10708881.949943213</v>
      </c>
      <c r="Q58" s="133">
        <v>17239150.201780919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>
        <v>0</v>
      </c>
      <c r="K59" s="132">
        <v>0</v>
      </c>
      <c r="L59" s="132">
        <v>0</v>
      </c>
      <c r="M59" s="132">
        <v>0</v>
      </c>
      <c r="N59" s="132">
        <v>1285168.2898697648</v>
      </c>
      <c r="O59" s="132">
        <v>2538626.405090081</v>
      </c>
      <c r="P59" s="132">
        <v>3471659.0139274495</v>
      </c>
      <c r="Q59" s="133">
        <v>6974370.0630720677</v>
      </c>
    </row>
    <row r="60" spans="8:27" x14ac:dyDescent="0.25">
      <c r="H60" s="134" t="s">
        <v>60</v>
      </c>
      <c r="I60" s="74" t="s">
        <v>57</v>
      </c>
      <c r="J60" s="135">
        <v>0</v>
      </c>
      <c r="K60" s="135">
        <v>73681.180695332514</v>
      </c>
      <c r="L60" s="135">
        <v>78976.515210754791</v>
      </c>
      <c r="M60" s="135">
        <v>130796.56298589741</v>
      </c>
      <c r="N60" s="135">
        <v>144167.07262507151</v>
      </c>
      <c r="O60" s="135">
        <v>151412.16830646183</v>
      </c>
      <c r="P60" s="135">
        <v>169479.43898737052</v>
      </c>
      <c r="Q60" s="136">
        <v>126856.38336606364</v>
      </c>
    </row>
    <row r="61" spans="8:27" x14ac:dyDescent="0.25">
      <c r="H61" s="134" t="s">
        <v>61</v>
      </c>
      <c r="I61" s="74" t="s">
        <v>57</v>
      </c>
      <c r="J61" s="135">
        <v>0</v>
      </c>
      <c r="K61" s="135">
        <v>96046.733124550534</v>
      </c>
      <c r="L61" s="135">
        <v>111642.31277061628</v>
      </c>
      <c r="M61" s="135">
        <v>154158.08244828432</v>
      </c>
      <c r="N61" s="135">
        <v>208551.18934010019</v>
      </c>
      <c r="O61" s="135">
        <v>276151.76341712195</v>
      </c>
      <c r="P61" s="135">
        <v>438029.3206126109</v>
      </c>
      <c r="Q61" s="136">
        <v>214352.19521338967</v>
      </c>
    </row>
    <row r="62" spans="8:27" x14ac:dyDescent="0.25">
      <c r="H62" s="134" t="s">
        <v>62</v>
      </c>
      <c r="I62" s="74"/>
      <c r="J62" s="135">
        <v>0</v>
      </c>
      <c r="K62" s="135">
        <v>0</v>
      </c>
      <c r="L62" s="135">
        <v>0</v>
      </c>
      <c r="M62" s="135">
        <v>195888.35964149798</v>
      </c>
      <c r="N62" s="135">
        <v>200136.62416519719</v>
      </c>
      <c r="O62" s="135">
        <v>136003.33157450549</v>
      </c>
      <c r="P62" s="135">
        <v>38290.283231978043</v>
      </c>
      <c r="Q62" s="136">
        <v>73953.583767722113</v>
      </c>
    </row>
    <row r="63" spans="8:27" x14ac:dyDescent="0.25">
      <c r="H63" s="137" t="s">
        <v>63</v>
      </c>
      <c r="I63" s="138" t="s">
        <v>57</v>
      </c>
      <c r="J63" s="139">
        <v>1379675.7</v>
      </c>
      <c r="K63" s="139">
        <v>1656906.123485723</v>
      </c>
      <c r="L63" s="139">
        <v>1664599.7326660163</v>
      </c>
      <c r="M63" s="139">
        <v>1946490.1338363681</v>
      </c>
      <c r="N63" s="139">
        <v>1932109.5371043989</v>
      </c>
      <c r="O63" s="139">
        <v>1890139.4197478371</v>
      </c>
      <c r="P63" s="139">
        <v>1664599.7326660168</v>
      </c>
      <c r="Q63" s="140">
        <v>1548253.4226722433</v>
      </c>
    </row>
    <row r="64" spans="8:27" x14ac:dyDescent="0.25">
      <c r="H64" s="141" t="s">
        <v>64</v>
      </c>
      <c r="I64" s="142" t="s">
        <v>57</v>
      </c>
      <c r="J64" s="143">
        <v>2105340.0956752724</v>
      </c>
      <c r="K64" s="143">
        <v>2112785.7180419993</v>
      </c>
      <c r="L64" s="143">
        <v>2129377.1365383216</v>
      </c>
      <c r="M64" s="143">
        <v>2718176.7409109091</v>
      </c>
      <c r="N64" s="143">
        <v>2689007.3948395927</v>
      </c>
      <c r="O64" s="143">
        <v>2603781.8542197775</v>
      </c>
      <c r="P64" s="143">
        <v>2129377.1365383221</v>
      </c>
      <c r="Q64" s="144">
        <v>2129377.1365383212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2400.4524320667142</v>
      </c>
      <c r="J68" s="151">
        <v>2400.4524320667142</v>
      </c>
      <c r="K68" s="152" t="s">
        <v>24</v>
      </c>
    </row>
    <row r="69" spans="8:17" x14ac:dyDescent="0.25">
      <c r="H69" s="153" t="s">
        <v>69</v>
      </c>
      <c r="I69" s="154">
        <v>524.17416606671372</v>
      </c>
      <c r="J69" s="154">
        <v>-413.96496693328663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>
        <v>0.27381631271203366</v>
      </c>
      <c r="K72" s="9">
        <v>0.40000000000002983</v>
      </c>
      <c r="L72" s="9">
        <v>0.6000000000000506</v>
      </c>
      <c r="M72" s="9">
        <v>0.80000000000004257</v>
      </c>
      <c r="N72" s="9">
        <v>0.89999999999992752</v>
      </c>
      <c r="O72" s="9">
        <v>0.94999999999996454</v>
      </c>
      <c r="P72" s="9">
        <v>0.99000000000010169</v>
      </c>
      <c r="Q72" s="10">
        <v>1.0000000000000315</v>
      </c>
    </row>
    <row r="73" spans="8:17" x14ac:dyDescent="0.25">
      <c r="H73" s="51" t="s">
        <v>71</v>
      </c>
      <c r="I73" s="156"/>
      <c r="J73" s="157">
        <v>320.57681258179457</v>
      </c>
      <c r="K73" s="157">
        <v>497.14484370738631</v>
      </c>
      <c r="L73" s="157">
        <v>456.01010625115583</v>
      </c>
      <c r="M73" s="157">
        <v>769.23373958117838</v>
      </c>
      <c r="N73" s="157">
        <v>836.18345293204163</v>
      </c>
      <c r="O73" s="157">
        <v>1251.5370007577687</v>
      </c>
      <c r="P73" s="157">
        <v>2480.2776774318158</v>
      </c>
      <c r="Q73" s="158">
        <v>4848.6460138902248</v>
      </c>
    </row>
    <row r="74" spans="8:17" x14ac:dyDescent="0.25">
      <c r="H74" s="130" t="s">
        <v>72</v>
      </c>
      <c r="I74" s="159"/>
      <c r="J74" s="160">
        <v>0</v>
      </c>
      <c r="K74" s="160">
        <v>94.016223920815207</v>
      </c>
      <c r="L74" s="160">
        <v>698.0339890715893</v>
      </c>
      <c r="M74" s="160">
        <v>1558.0064701097549</v>
      </c>
      <c r="N74" s="160">
        <v>1821.0789688974874</v>
      </c>
      <c r="O74" s="160">
        <v>1986.7299926161784</v>
      </c>
      <c r="P74" s="160">
        <v>4399.0514340985937</v>
      </c>
      <c r="Q74" s="161">
        <v>9674.1585192906896</v>
      </c>
    </row>
    <row r="75" spans="8:17" x14ac:dyDescent="0.25">
      <c r="H75" s="130" t="s">
        <v>73</v>
      </c>
      <c r="I75" s="159" t="s">
        <v>2</v>
      </c>
      <c r="J75" s="162">
        <v>0.10790774733455477</v>
      </c>
      <c r="K75" s="162">
        <v>0.1291190344430721</v>
      </c>
      <c r="L75" s="162">
        <v>0.12018421743255078</v>
      </c>
      <c r="M75" s="162">
        <v>0.158558382961004</v>
      </c>
      <c r="N75" s="162">
        <v>0.1510788042455157</v>
      </c>
      <c r="O75" s="162">
        <v>0.19698824507351045</v>
      </c>
      <c r="P75" s="162">
        <v>0.34536424241877567</v>
      </c>
      <c r="Q75" s="163">
        <v>0.52678731268787282</v>
      </c>
    </row>
    <row r="76" spans="8:17" x14ac:dyDescent="0.25">
      <c r="H76" s="130" t="s">
        <v>74</v>
      </c>
      <c r="I76" s="159" t="s">
        <v>2</v>
      </c>
      <c r="J76" s="162">
        <v>0</v>
      </c>
      <c r="K76" s="162">
        <v>0.15350266266905407</v>
      </c>
      <c r="L76" s="162">
        <v>0.22039625832988699</v>
      </c>
      <c r="M76" s="162">
        <v>0.29852543106529189</v>
      </c>
      <c r="N76" s="162">
        <v>0.31013265705171789</v>
      </c>
      <c r="O76" s="162">
        <v>0.32350119439351005</v>
      </c>
      <c r="P76" s="162">
        <v>0.47129169306870822</v>
      </c>
      <c r="Q76" s="163">
        <v>0.64383150147512624</v>
      </c>
    </row>
    <row r="77" spans="8:17" x14ac:dyDescent="0.25">
      <c r="H77" s="164" t="s">
        <v>75</v>
      </c>
      <c r="I77" s="165" t="s">
        <v>2</v>
      </c>
      <c r="J77" s="166">
        <v>0.10790774733455477</v>
      </c>
      <c r="K77" s="166">
        <v>0.13246546693972769</v>
      </c>
      <c r="L77" s="166">
        <v>0.16577671535114916</v>
      </c>
      <c r="M77" s="166">
        <v>0.23109640370122617</v>
      </c>
      <c r="N77" s="166">
        <v>0.23295657188988791</v>
      </c>
      <c r="O77" s="166">
        <v>0.25917132630827511</v>
      </c>
      <c r="P77" s="166">
        <v>0.41653371334618655</v>
      </c>
      <c r="Q77" s="167">
        <v>0.59937043721201433</v>
      </c>
    </row>
    <row r="78" spans="8:17" x14ac:dyDescent="0.25">
      <c r="H78" s="168" t="s">
        <v>76</v>
      </c>
      <c r="I78" s="169"/>
      <c r="J78" s="170">
        <v>72.119611185928136</v>
      </c>
      <c r="K78" s="170">
        <v>87.577930680219936</v>
      </c>
      <c r="L78" s="170">
        <v>123.37578070926263</v>
      </c>
      <c r="M78" s="170">
        <v>140.83777079985612</v>
      </c>
      <c r="N78" s="170">
        <v>169.53671764395844</v>
      </c>
      <c r="O78" s="170">
        <v>193.26684723494461</v>
      </c>
      <c r="P78" s="170">
        <v>251.21933818700668</v>
      </c>
      <c r="Q78" s="171">
        <v>389.22689497355725</v>
      </c>
    </row>
    <row r="79" spans="8:17" x14ac:dyDescent="0.25">
      <c r="H79" s="172" t="s">
        <v>77</v>
      </c>
      <c r="I79" s="173"/>
      <c r="J79" s="174">
        <v>68.4908021582023</v>
      </c>
      <c r="K79" s="174">
        <v>82.997174690975953</v>
      </c>
      <c r="L79" s="174">
        <v>117.41418559192196</v>
      </c>
      <c r="M79" s="174">
        <v>131.82117607405533</v>
      </c>
      <c r="N79" s="174">
        <v>160.38540777421315</v>
      </c>
      <c r="O79" s="174">
        <v>182.70158276992839</v>
      </c>
      <c r="P79" s="174">
        <v>229.68149468775994</v>
      </c>
      <c r="Q79" s="175">
        <v>344.21349508043153</v>
      </c>
    </row>
    <row r="80" spans="8:17" x14ac:dyDescent="0.25">
      <c r="H80" s="172" t="s">
        <v>78</v>
      </c>
      <c r="I80" s="173"/>
      <c r="J80" s="174">
        <v>64.861993130476463</v>
      </c>
      <c r="K80" s="174">
        <v>78.416418701731956</v>
      </c>
      <c r="L80" s="174">
        <v>111.4525904745813</v>
      </c>
      <c r="M80" s="174">
        <v>122.80458134825452</v>
      </c>
      <c r="N80" s="174">
        <v>151.23409790446786</v>
      </c>
      <c r="O80" s="174">
        <v>172.13631830491221</v>
      </c>
      <c r="P80" s="174">
        <v>208.14365118851319</v>
      </c>
      <c r="Q80" s="175">
        <v>299.20009518730592</v>
      </c>
    </row>
    <row r="81" spans="8:17" x14ac:dyDescent="0.25">
      <c r="H81" s="73" t="s">
        <v>79</v>
      </c>
      <c r="I81" s="176"/>
      <c r="J81" s="177">
        <v>64.337346404210663</v>
      </c>
      <c r="K81" s="177">
        <v>75.976879199049492</v>
      </c>
      <c r="L81" s="177">
        <v>102.92294902939739</v>
      </c>
      <c r="M81" s="177">
        <v>108.29066846271179</v>
      </c>
      <c r="N81" s="177">
        <v>129.90884714304562</v>
      </c>
      <c r="O81" s="177">
        <v>142.93029993798226</v>
      </c>
      <c r="P81" s="177">
        <v>146.23390568758182</v>
      </c>
      <c r="Q81" s="178">
        <v>155.66294643147876</v>
      </c>
    </row>
    <row r="82" spans="8:17" x14ac:dyDescent="0.25">
      <c r="H82" s="134" t="s">
        <v>80</v>
      </c>
      <c r="I82" s="176"/>
      <c r="J82" s="177">
        <v>61.10011398417403</v>
      </c>
      <c r="K82" s="177">
        <v>72.002915190857678</v>
      </c>
      <c r="L82" s="177">
        <v>97.949647568862915</v>
      </c>
      <c r="M82" s="177">
        <v>101.35777635167501</v>
      </c>
      <c r="N82" s="177">
        <v>122.89658377291217</v>
      </c>
      <c r="O82" s="177">
        <v>135.11676936864913</v>
      </c>
      <c r="P82" s="177">
        <v>133.69680166640083</v>
      </c>
      <c r="Q82" s="178">
        <v>137.66080283156546</v>
      </c>
    </row>
    <row r="83" spans="8:17" x14ac:dyDescent="0.25">
      <c r="H83" s="179" t="s">
        <v>81</v>
      </c>
      <c r="I83" s="180"/>
      <c r="J83" s="181">
        <v>57.862881564137382</v>
      </c>
      <c r="K83" s="181">
        <v>68.028951182665836</v>
      </c>
      <c r="L83" s="181">
        <v>92.976346108328443</v>
      </c>
      <c r="M83" s="181">
        <v>94.424884240638221</v>
      </c>
      <c r="N83" s="181">
        <v>115.88432040277876</v>
      </c>
      <c r="O83" s="181">
        <v>127.30323879931605</v>
      </c>
      <c r="P83" s="181">
        <v>121.15969764521986</v>
      </c>
      <c r="Q83" s="182">
        <v>119.65865923165215</v>
      </c>
    </row>
    <row r="84" spans="8:17" x14ac:dyDescent="0.25">
      <c r="H84" s="183" t="s">
        <v>82</v>
      </c>
      <c r="I84" s="184" t="s">
        <v>12</v>
      </c>
      <c r="J84" s="185">
        <v>0</v>
      </c>
      <c r="K84" s="185">
        <v>0</v>
      </c>
      <c r="L84" s="185">
        <v>0</v>
      </c>
      <c r="M84" s="185">
        <v>0</v>
      </c>
      <c r="N84" s="185">
        <v>0.85716107428520705</v>
      </c>
      <c r="O84" s="185">
        <v>1.4750131085668599</v>
      </c>
      <c r="P84" s="185">
        <v>1.7844919683728631</v>
      </c>
      <c r="Q84" s="186">
        <v>2.7971791675609587</v>
      </c>
    </row>
    <row r="86" spans="8:17" ht="14.45" customHeight="1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>
        <f t="shared" ref="J92:O92" si="6">J5</f>
        <v>0.27381631271203366</v>
      </c>
      <c r="K92" s="228">
        <f t="shared" si="6"/>
        <v>0.40000000000002983</v>
      </c>
      <c r="L92" s="228">
        <f t="shared" si="6"/>
        <v>0.6000000000000506</v>
      </c>
      <c r="M92" s="228">
        <f t="shared" si="6"/>
        <v>0.80000000000004257</v>
      </c>
      <c r="N92" s="228">
        <f t="shared" si="6"/>
        <v>0.89999999999992752</v>
      </c>
      <c r="O92" s="228">
        <f t="shared" si="6"/>
        <v>0.94999999999996454</v>
      </c>
      <c r="P92" s="228">
        <f t="shared" ref="P92" si="7">P5</f>
        <v>0.99000000000010169</v>
      </c>
      <c r="Q92" s="229">
        <f>Q5</f>
        <v>1.0000000000000315</v>
      </c>
    </row>
    <row r="93" spans="8:17" ht="18" x14ac:dyDescent="0.25">
      <c r="H93" s="148" t="s">
        <v>89</v>
      </c>
      <c r="I93" s="194" t="s">
        <v>104</v>
      </c>
      <c r="J93" s="195">
        <f t="shared" ref="J93:O93" si="8">IF(J22&gt;0,  $I$88*(J6*1000)/(J22*1000)/$K$88*1000, 0)</f>
        <v>14.221939731457093</v>
      </c>
      <c r="K93" s="195">
        <f t="shared" si="8"/>
        <v>14.221939731457068</v>
      </c>
      <c r="L93" s="195">
        <f t="shared" si="8"/>
        <v>14.221939731457109</v>
      </c>
      <c r="M93" s="195">
        <f t="shared" si="8"/>
        <v>14.221939731457084</v>
      </c>
      <c r="N93" s="195">
        <f t="shared" si="8"/>
        <v>14.221939731457089</v>
      </c>
      <c r="O93" s="195">
        <f t="shared" si="8"/>
        <v>14.221939731457097</v>
      </c>
      <c r="P93" s="195">
        <f t="shared" ref="P93" si="9">IF(P22&gt;0,  $I$88*(P6*1000)/(P22*1000)/$K$88*1000, 0)</f>
        <v>14.221939731457079</v>
      </c>
      <c r="Q93" s="196">
        <f>IF(Q22&gt;0,  $I$88*(Q6*1000)/(Q22*1000)/$K$88*1000, 0)</f>
        <v>14.221939731457134</v>
      </c>
    </row>
    <row r="94" spans="8:17" ht="18" x14ac:dyDescent="0.25">
      <c r="H94" s="61" t="s">
        <v>90</v>
      </c>
      <c r="I94" s="230" t="s">
        <v>104</v>
      </c>
      <c r="J94" s="231">
        <f t="shared" ref="J94:O94" si="10">IF(J23&gt;0,$I$89*(J7*1000)/(J23*1000)/$K$89*1000,0)</f>
        <v>0</v>
      </c>
      <c r="K94" s="231">
        <f t="shared" si="10"/>
        <v>11.625916654409696</v>
      </c>
      <c r="L94" s="231">
        <f t="shared" si="10"/>
        <v>11.625916654409684</v>
      </c>
      <c r="M94" s="231">
        <f t="shared" si="10"/>
        <v>11.625916654409627</v>
      </c>
      <c r="N94" s="231">
        <f t="shared" si="10"/>
        <v>11.625916654409682</v>
      </c>
      <c r="O94" s="231">
        <f t="shared" si="10"/>
        <v>11.625916654409718</v>
      </c>
      <c r="P94" s="231">
        <f t="shared" ref="P94" si="11">IF(P23&gt;0,$I$89*(P7*1000)/(P23*1000)/$K$89*1000,0)</f>
        <v>11.625916654409663</v>
      </c>
      <c r="Q94" s="232">
        <f>IF(Q23&gt;0,$I$89*(Q7*1000)/(Q23*1000)/$K$89*1000,0)</f>
        <v>11.625916654409659</v>
      </c>
    </row>
    <row r="95" spans="8:17" ht="18" x14ac:dyDescent="0.25">
      <c r="H95" s="153" t="s">
        <v>99</v>
      </c>
      <c r="I95" s="197" t="s">
        <v>104</v>
      </c>
      <c r="J95" s="198">
        <f t="shared" ref="J95:O95" si="12">IF(-J26&gt;0,$I$90*(J8*1000)/(-J26*1000)/$K$90*1000,0)</f>
        <v>0</v>
      </c>
      <c r="K95" s="198">
        <f t="shared" si="12"/>
        <v>0</v>
      </c>
      <c r="L95" s="198">
        <f t="shared" si="12"/>
        <v>0</v>
      </c>
      <c r="M95" s="198">
        <f t="shared" si="12"/>
        <v>0</v>
      </c>
      <c r="N95" s="198">
        <f t="shared" si="12"/>
        <v>22.042275950911463</v>
      </c>
      <c r="O95" s="198">
        <f t="shared" si="12"/>
        <v>27.188232192335875</v>
      </c>
      <c r="P95" s="198">
        <f t="shared" ref="P95" si="13">IF(-P26&gt;0,$I$90*(P8*1000)/(-P26*1000)/$K$90*1000,0)</f>
        <v>42.165962937648892</v>
      </c>
      <c r="Q95" s="199">
        <f>IF(-Q26&gt;0,$I$90*(Q8*1000)/(-Q26*1000)/$K$90*1000,0)</f>
        <v>161.99897903368256</v>
      </c>
    </row>
    <row r="96" spans="8:17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>
        <f t="shared" ref="J97:O97" si="14">J5</f>
        <v>0.27381631271203366</v>
      </c>
      <c r="K97" s="9">
        <f t="shared" si="14"/>
        <v>0.40000000000002983</v>
      </c>
      <c r="L97" s="9">
        <f t="shared" si="14"/>
        <v>0.6000000000000506</v>
      </c>
      <c r="M97" s="9">
        <f t="shared" si="14"/>
        <v>0.80000000000004257</v>
      </c>
      <c r="N97" s="9">
        <f t="shared" si="14"/>
        <v>0.89999999999992752</v>
      </c>
      <c r="O97" s="9">
        <f t="shared" si="14"/>
        <v>0.94999999999996454</v>
      </c>
      <c r="P97" s="9">
        <f t="shared" ref="P97" si="15">P5</f>
        <v>0.99000000000010169</v>
      </c>
      <c r="Q97" s="10">
        <f>Q5</f>
        <v>1.0000000000000315</v>
      </c>
    </row>
    <row r="98" spans="8:17" ht="18" x14ac:dyDescent="0.25">
      <c r="H98" s="200" t="s">
        <v>91</v>
      </c>
      <c r="I98" s="201" t="s">
        <v>106</v>
      </c>
      <c r="J98" s="202">
        <f t="shared" ref="J98:O98" si="16">$M$88/1000*J24*1000</f>
        <v>2811489.1398670068</v>
      </c>
      <c r="K98" s="202">
        <f t="shared" si="16"/>
        <v>2322957.00585073</v>
      </c>
      <c r="L98" s="202">
        <f t="shared" si="16"/>
        <v>1548638.0039006441</v>
      </c>
      <c r="M98" s="202">
        <f t="shared" si="16"/>
        <v>774319.00195009622</v>
      </c>
      <c r="N98" s="202">
        <f t="shared" si="16"/>
        <v>387159.50097531721</v>
      </c>
      <c r="O98" s="202">
        <f t="shared" si="16"/>
        <v>193579.75048751899</v>
      </c>
      <c r="P98" s="202">
        <f t="shared" ref="P98" si="17">$M$88/1000*P24*1000</f>
        <v>38715.950097568668</v>
      </c>
      <c r="Q98" s="203">
        <f>$M$88/1000*Q24*1000</f>
        <v>8.0505515143158839E-9</v>
      </c>
    </row>
    <row r="99" spans="8:17" ht="18" x14ac:dyDescent="0.25">
      <c r="H99" s="204" t="s">
        <v>92</v>
      </c>
      <c r="I99" s="13" t="s">
        <v>106</v>
      </c>
      <c r="J99" s="31">
        <f t="shared" ref="J99:O100" si="18">J93/1000*J22*1000</f>
        <v>42251.128583989266</v>
      </c>
      <c r="K99" s="31">
        <f t="shared" si="18"/>
        <v>54758.495023662661</v>
      </c>
      <c r="L99" s="31">
        <f t="shared" si="18"/>
        <v>53961.729639575744</v>
      </c>
      <c r="M99" s="31">
        <f t="shared" si="18"/>
        <v>68996.641359652771</v>
      </c>
      <c r="N99" s="31">
        <f t="shared" si="18"/>
        <v>78714.884800884713</v>
      </c>
      <c r="O99" s="31">
        <f t="shared" si="18"/>
        <v>90357.085976492497</v>
      </c>
      <c r="P99" s="31">
        <f t="shared" ref="P99" si="19">P93/1000*P22*1000</f>
        <v>102136.68733817922</v>
      </c>
      <c r="Q99" s="62">
        <f>Q93/1000*Q22*1000</f>
        <v>130901.31392282507</v>
      </c>
    </row>
    <row r="100" spans="8:17" ht="18" x14ac:dyDescent="0.25">
      <c r="H100" s="204" t="s">
        <v>93</v>
      </c>
      <c r="I100" s="13" t="s">
        <v>106</v>
      </c>
      <c r="J100" s="31">
        <f t="shared" si="18"/>
        <v>0</v>
      </c>
      <c r="K100" s="31">
        <f t="shared" si="18"/>
        <v>7120.5591125297733</v>
      </c>
      <c r="L100" s="31">
        <f t="shared" si="18"/>
        <v>36821.337351129339</v>
      </c>
      <c r="M100" s="31">
        <f t="shared" si="18"/>
        <v>60675.7464645125</v>
      </c>
      <c r="N100" s="31">
        <f t="shared" si="18"/>
        <v>68266.63310716713</v>
      </c>
      <c r="O100" s="31">
        <f t="shared" si="18"/>
        <v>71398.677066013013</v>
      </c>
      <c r="P100" s="31">
        <f t="shared" ref="P100" si="20">P94/1000*P23*1000</f>
        <v>108516.67042609122</v>
      </c>
      <c r="Q100" s="62">
        <f>Q94/1000*Q23*1000</f>
        <v>174690.05537804661</v>
      </c>
    </row>
    <row r="101" spans="8:17" ht="18" x14ac:dyDescent="0.25">
      <c r="H101" s="204" t="s">
        <v>94</v>
      </c>
      <c r="I101" s="13" t="s">
        <v>106</v>
      </c>
      <c r="J101" s="31">
        <f t="shared" ref="J101:O101" si="21">J95/1000*(-J26)*1000</f>
        <v>0</v>
      </c>
      <c r="K101" s="31">
        <f t="shared" si="21"/>
        <v>0</v>
      </c>
      <c r="L101" s="31">
        <f t="shared" si="21"/>
        <v>0</v>
      </c>
      <c r="M101" s="31">
        <f t="shared" si="21"/>
        <v>0</v>
      </c>
      <c r="N101" s="31">
        <f t="shared" si="21"/>
        <v>14297.497224801138</v>
      </c>
      <c r="O101" s="31">
        <f t="shared" si="21"/>
        <v>28242.218756627153</v>
      </c>
      <c r="P101" s="31">
        <f t="shared" ref="P101" si="22">P95/1000*(-P26)*1000</f>
        <v>38622.206529942872</v>
      </c>
      <c r="Q101" s="62">
        <f>Q95/1000*(-Q26)*1000</f>
        <v>77589.866951676755</v>
      </c>
    </row>
    <row r="102" spans="8:17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>
        <f t="shared" ref="J105:O105" si="23">J98/J104</f>
        <v>5.1839701389202277</v>
      </c>
      <c r="K105" s="211">
        <f t="shared" si="23"/>
        <v>4.283189140433727</v>
      </c>
      <c r="L105" s="211">
        <f t="shared" si="23"/>
        <v>2.8554594269561084</v>
      </c>
      <c r="M105" s="211">
        <f t="shared" si="23"/>
        <v>1.4277297134774516</v>
      </c>
      <c r="N105" s="211">
        <f t="shared" si="23"/>
        <v>0.71386485673927602</v>
      </c>
      <c r="O105" s="211">
        <f t="shared" si="23"/>
        <v>0.35693242836938133</v>
      </c>
      <c r="P105" s="211">
        <f t="shared" ref="P105" si="24">P98/P104</f>
        <v>7.1386485673995886E-2</v>
      </c>
      <c r="Q105" s="212">
        <f>Q98/Q104</f>
        <v>1.4844026270727256E-14</v>
      </c>
    </row>
    <row r="106" spans="8:17" ht="18" x14ac:dyDescent="0.25">
      <c r="H106" s="213" t="s">
        <v>89</v>
      </c>
      <c r="I106" s="214" t="s">
        <v>109</v>
      </c>
      <c r="J106" s="215">
        <f t="shared" ref="J106:O106" si="25">J99/J104</f>
        <v>7.7904831930256019E-2</v>
      </c>
      <c r="K106" s="215">
        <f t="shared" si="25"/>
        <v>0.10096656573544757</v>
      </c>
      <c r="L106" s="215">
        <f t="shared" si="25"/>
        <v>9.9497448213255305E-2</v>
      </c>
      <c r="M106" s="215">
        <f t="shared" si="25"/>
        <v>0.12721960167738758</v>
      </c>
      <c r="N106" s="215">
        <f t="shared" si="25"/>
        <v>0.14513860520037866</v>
      </c>
      <c r="O106" s="215">
        <f t="shared" si="25"/>
        <v>0.16660510222142186</v>
      </c>
      <c r="P106" s="215">
        <f t="shared" ref="P106" si="26">P99/P104</f>
        <v>0.18832494486333703</v>
      </c>
      <c r="Q106" s="216">
        <f>Q99/Q104</f>
        <v>0.24136266183600108</v>
      </c>
    </row>
    <row r="107" spans="8:17" ht="18" x14ac:dyDescent="0.25">
      <c r="H107" s="213" t="s">
        <v>90</v>
      </c>
      <c r="I107" s="214" t="s">
        <v>109</v>
      </c>
      <c r="J107" s="215">
        <f t="shared" ref="J107:O107" si="27">J100/J104</f>
        <v>0</v>
      </c>
      <c r="K107" s="215">
        <f t="shared" si="27"/>
        <v>1.3129257832920798E-2</v>
      </c>
      <c r="L107" s="215">
        <f t="shared" si="27"/>
        <v>6.7893099993404857E-2</v>
      </c>
      <c r="M107" s="215">
        <f t="shared" si="27"/>
        <v>0.11187710219772189</v>
      </c>
      <c r="N107" s="215">
        <f t="shared" si="27"/>
        <v>0.12587357443212402</v>
      </c>
      <c r="O107" s="215">
        <f t="shared" si="27"/>
        <v>0.13164860024538769</v>
      </c>
      <c r="P107" s="215">
        <f t="shared" ref="P107" si="28">P100/P104</f>
        <v>0.200088690042205</v>
      </c>
      <c r="Q107" s="216">
        <f>Q100/Q104</f>
        <v>0.32210262447924715</v>
      </c>
    </row>
    <row r="108" spans="8:17" ht="18" x14ac:dyDescent="0.25">
      <c r="H108" s="213" t="s">
        <v>99</v>
      </c>
      <c r="I108" s="214" t="s">
        <v>109</v>
      </c>
      <c r="J108" s="215">
        <f t="shared" ref="J108:O108" si="29">J101/J104</f>
        <v>0</v>
      </c>
      <c r="K108" s="215">
        <f t="shared" si="29"/>
        <v>0</v>
      </c>
      <c r="L108" s="215">
        <f t="shared" si="29"/>
        <v>0</v>
      </c>
      <c r="M108" s="215">
        <f t="shared" si="29"/>
        <v>0</v>
      </c>
      <c r="N108" s="215">
        <f t="shared" si="29"/>
        <v>2.6362470202593739E-2</v>
      </c>
      <c r="O108" s="215">
        <f t="shared" si="29"/>
        <v>5.2074474204842833E-2</v>
      </c>
      <c r="P108" s="215">
        <f t="shared" ref="P108" si="30">P101/P104</f>
        <v>7.1213636400492747E-2</v>
      </c>
      <c r="Q108" s="216">
        <f>Q101/Q104</f>
        <v>0.14306423868288171</v>
      </c>
    </row>
    <row r="109" spans="8:17" ht="18" x14ac:dyDescent="0.25">
      <c r="H109" s="213" t="s">
        <v>100</v>
      </c>
      <c r="I109" s="214" t="s">
        <v>108</v>
      </c>
      <c r="J109" s="215">
        <f t="shared" ref="J109:O109" si="31">-J103/J104</f>
        <v>-9.4245252972192066</v>
      </c>
      <c r="K109" s="215">
        <f t="shared" si="31"/>
        <v>-9.4245252972192066</v>
      </c>
      <c r="L109" s="215">
        <f t="shared" si="31"/>
        <v>-9.4245252972192066</v>
      </c>
      <c r="M109" s="215">
        <f t="shared" si="31"/>
        <v>-9.4245252972203968</v>
      </c>
      <c r="N109" s="215">
        <f t="shared" si="31"/>
        <v>-9.4245252972200717</v>
      </c>
      <c r="O109" s="215">
        <f t="shared" si="31"/>
        <v>-9.4245252972199971</v>
      </c>
      <c r="P109" s="215">
        <f t="shared" ref="P109" si="32">-P103/P104</f>
        <v>-9.4245252972199971</v>
      </c>
      <c r="Q109" s="216">
        <f>-Q103/Q104</f>
        <v>-9.4245252972206099</v>
      </c>
    </row>
    <row r="110" spans="8:17" ht="18" x14ac:dyDescent="0.25">
      <c r="H110" s="217" t="s">
        <v>101</v>
      </c>
      <c r="I110" s="218" t="s">
        <v>108</v>
      </c>
      <c r="J110" s="219">
        <f>SUM(J105:J109)</f>
        <v>-4.1626503263687225</v>
      </c>
      <c r="K110" s="219">
        <f t="shared" ref="K110:O110" si="33">SUM(K105:K109)</f>
        <v>-5.0272403332171116</v>
      </c>
      <c r="L110" s="219">
        <f t="shared" si="33"/>
        <v>-6.4016753220564375</v>
      </c>
      <c r="M110" s="219">
        <f t="shared" si="33"/>
        <v>-7.7576988798678359</v>
      </c>
      <c r="N110" s="219">
        <f t="shared" si="33"/>
        <v>-8.4132857906456984</v>
      </c>
      <c r="O110" s="219">
        <f t="shared" si="33"/>
        <v>-8.7172646921789632</v>
      </c>
      <c r="P110" s="219">
        <f t="shared" ref="P110" si="34">SUM(P105:P109)</f>
        <v>-8.8935115402399667</v>
      </c>
      <c r="Q110" s="220">
        <f>SUM(Q105:Q109)</f>
        <v>-8.7179957722224657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 t="shared" ref="J112:O112" si="35">(J31+J37)*J104/J22</f>
        <v>64.337346404200943</v>
      </c>
      <c r="K112" s="284">
        <f t="shared" si="35"/>
        <v>64.337346404211985</v>
      </c>
      <c r="L112" s="284">
        <f t="shared" si="35"/>
        <v>64.337346404206997</v>
      </c>
      <c r="M112" s="284">
        <f t="shared" si="35"/>
        <v>64.33734640421541</v>
      </c>
      <c r="N112" s="284">
        <f t="shared" si="35"/>
        <v>64.33734640421072</v>
      </c>
      <c r="O112" s="284">
        <f t="shared" si="35"/>
        <v>64.337346404210521</v>
      </c>
      <c r="P112" s="284">
        <f t="shared" ref="P112" si="36">(P31+P37)*P104/P22</f>
        <v>64.337346404210678</v>
      </c>
      <c r="Q112" s="285">
        <f>(Q31+Q37)*Q104/Q22</f>
        <v>64.337346404211232</v>
      </c>
    </row>
    <row r="113" spans="8:17" x14ac:dyDescent="0.25">
      <c r="H113" s="286" t="s">
        <v>134</v>
      </c>
      <c r="I113" s="287"/>
      <c r="J113" s="181">
        <f>K113</f>
        <v>149.1482728690751</v>
      </c>
      <c r="K113" s="181">
        <f t="shared" ref="K113" si="37">IF(K32&gt;0,(K32+K38)*K104/K23,0)</f>
        <v>149.1482728690751</v>
      </c>
      <c r="L113" s="181">
        <f t="shared" ref="L113:Q113" si="38">IF(L32&gt;0,(L32+L38)*L104/L23,0)</f>
        <v>149.14827286906296</v>
      </c>
      <c r="M113" s="181">
        <f t="shared" si="38"/>
        <v>149.14827286908198</v>
      </c>
      <c r="N113" s="181">
        <f t="shared" si="38"/>
        <v>149.14827286907175</v>
      </c>
      <c r="O113" s="181">
        <f t="shared" si="38"/>
        <v>149.14827286907169</v>
      </c>
      <c r="P113" s="181">
        <f t="shared" si="38"/>
        <v>149.14827286907152</v>
      </c>
      <c r="Q113" s="182">
        <f t="shared" si="38"/>
        <v>149.14827286907214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 t="shared" ref="J115:O115" si="39">J28</f>
        <v>5.9333175602844484E-10</v>
      </c>
      <c r="K115" s="228">
        <f t="shared" si="39"/>
        <v>3.8846792449476197E-10</v>
      </c>
      <c r="L115" s="228">
        <f t="shared" si="39"/>
        <v>9.4246388471219689E-10</v>
      </c>
      <c r="M115" s="228">
        <f t="shared" si="39"/>
        <v>-1.014086592476815E-10</v>
      </c>
      <c r="N115" s="228">
        <f t="shared" si="39"/>
        <v>-3.1423041946254671E-10</v>
      </c>
      <c r="O115" s="228">
        <f t="shared" si="39"/>
        <v>-4.8635229177307338E-10</v>
      </c>
      <c r="P115" s="228">
        <f t="shared" ref="P115" si="40">P28</f>
        <v>1.133116711571347E-9</v>
      </c>
      <c r="Q115" s="229">
        <f>Q28</f>
        <v>3.2366642699344084E-10</v>
      </c>
    </row>
    <row r="116" spans="8:17" ht="18" x14ac:dyDescent="0.25">
      <c r="H116" s="148" t="s">
        <v>89</v>
      </c>
      <c r="I116" s="194" t="s">
        <v>104</v>
      </c>
      <c r="J116" s="195">
        <f t="shared" ref="J116:O116" si="41">IF(J22&gt;0,  $J$88*(J6*1000)/(J22*1000)/$K$88*1000, 0)</f>
        <v>47.406465771523642</v>
      </c>
      <c r="K116" s="195">
        <f t="shared" si="41"/>
        <v>47.406465771523557</v>
      </c>
      <c r="L116" s="195">
        <f t="shared" si="41"/>
        <v>47.406465771523685</v>
      </c>
      <c r="M116" s="195">
        <f t="shared" si="41"/>
        <v>47.406465771523614</v>
      </c>
      <c r="N116" s="195">
        <f t="shared" si="41"/>
        <v>47.406465771523628</v>
      </c>
      <c r="O116" s="195">
        <f t="shared" si="41"/>
        <v>47.406465771523663</v>
      </c>
      <c r="P116" s="195">
        <f t="shared" ref="P116" si="42">IF(P22&gt;0,  $J$88*(P6*1000)/(P22*1000)/$K$88*1000, 0)</f>
        <v>47.406465771523592</v>
      </c>
      <c r="Q116" s="196">
        <f>IF(Q22&gt;0,  $J$88*(Q6*1000)/(Q22*1000)/$K$88*1000, 0)</f>
        <v>47.406465771523784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43">IF(J23&gt;0,$J$89*(J7*1000)/(J23*1000)/$K$89*1000,0)</f>
        <v>0</v>
      </c>
      <c r="K117" s="231">
        <f t="shared" si="43"/>
        <v>19.886436382542897</v>
      </c>
      <c r="L117" s="231">
        <f t="shared" si="43"/>
        <v>19.886436382542879</v>
      </c>
      <c r="M117" s="231">
        <f t="shared" si="43"/>
        <v>19.886436382542779</v>
      </c>
      <c r="N117" s="231">
        <f t="shared" si="43"/>
        <v>19.886436382542875</v>
      </c>
      <c r="O117" s="231">
        <f t="shared" si="43"/>
        <v>19.886436382542943</v>
      </c>
      <c r="P117" s="231">
        <f t="shared" ref="P117" si="44">IF(P23&gt;0,$J$89*(P7*1000)/(P23*1000)/$K$89*1000,0)</f>
        <v>19.886436382542843</v>
      </c>
      <c r="Q117" s="232">
        <f>IF(Q23&gt;0,$J$89*(Q7*1000)/(Q23*1000)/$K$89*1000,0)</f>
        <v>19.886436382542836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45">IF(-J26&gt;0,$J$90*(J8*1000)/(-J26*1000)/$K$90*1000,0)</f>
        <v>0</v>
      </c>
      <c r="K118" s="198">
        <f t="shared" si="45"/>
        <v>0</v>
      </c>
      <c r="L118" s="198">
        <f t="shared" si="45"/>
        <v>0</v>
      </c>
      <c r="M118" s="198">
        <f t="shared" si="45"/>
        <v>0</v>
      </c>
      <c r="N118" s="198">
        <f t="shared" si="45"/>
        <v>41.855557704539741</v>
      </c>
      <c r="O118" s="198">
        <f t="shared" si="45"/>
        <v>51.627092589941149</v>
      </c>
      <c r="P118" s="198">
        <f t="shared" ref="P118" si="46">IF(-P26&gt;0,$J$90*(P8*1000)/(-P26*1000)/$K$90*1000,0)</f>
        <v>80.067952095086099</v>
      </c>
      <c r="Q118" s="199">
        <f>IF(-Q26&gt;0,$J$90*(Q8*1000)/(-Q26*1000)/$K$90*1000,0)</f>
        <v>307.61603883923993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47">J28</f>
        <v>5.9333175602844484E-10</v>
      </c>
      <c r="K120" s="9">
        <f t="shared" si="47"/>
        <v>3.8846792449476197E-10</v>
      </c>
      <c r="L120" s="9">
        <f t="shared" si="47"/>
        <v>9.4246388471219689E-10</v>
      </c>
      <c r="M120" s="9">
        <f t="shared" si="47"/>
        <v>-1.014086592476815E-10</v>
      </c>
      <c r="N120" s="9">
        <f t="shared" si="47"/>
        <v>-3.1423041946254671E-10</v>
      </c>
      <c r="O120" s="9">
        <f t="shared" si="47"/>
        <v>-4.8635229177307338E-10</v>
      </c>
      <c r="P120" s="9">
        <f t="shared" ref="P120" si="48">P28</f>
        <v>1.133116711571347E-9</v>
      </c>
      <c r="Q120" s="10">
        <f>Q28</f>
        <v>3.2366642699344084E-10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2811489.1398670068</v>
      </c>
      <c r="K121" s="202">
        <f t="shared" ref="K121:O121" si="49">$M$88/1000*K24*1000</f>
        <v>2322957.00585073</v>
      </c>
      <c r="L121" s="202">
        <f t="shared" si="49"/>
        <v>1548638.0039006441</v>
      </c>
      <c r="M121" s="202">
        <f t="shared" si="49"/>
        <v>774319.00195009622</v>
      </c>
      <c r="N121" s="202">
        <f t="shared" si="49"/>
        <v>387159.50097531721</v>
      </c>
      <c r="O121" s="202">
        <f t="shared" si="49"/>
        <v>193579.75048751899</v>
      </c>
      <c r="P121" s="202">
        <f t="shared" ref="P121" si="50">$M$88/1000*P24*1000</f>
        <v>38715.950097568668</v>
      </c>
      <c r="Q121" s="203">
        <f>$M$88/1000*Q24*1000</f>
        <v>8.0505515143158839E-9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140837.09527996421</v>
      </c>
      <c r="K122" s="31">
        <f t="shared" ref="K122:O123" si="51">K116/1000*K22*1000</f>
        <v>182528.31674554219</v>
      </c>
      <c r="L122" s="31">
        <f t="shared" si="51"/>
        <v>179872.43213191911</v>
      </c>
      <c r="M122" s="31">
        <f t="shared" si="51"/>
        <v>229988.80453217591</v>
      </c>
      <c r="N122" s="31">
        <f t="shared" si="51"/>
        <v>262382.94933628239</v>
      </c>
      <c r="O122" s="31">
        <f t="shared" si="51"/>
        <v>301190.2865883084</v>
      </c>
      <c r="P122" s="31">
        <f t="shared" ref="P122" si="52">P116/1000*P22*1000</f>
        <v>340455.62446059741</v>
      </c>
      <c r="Q122" s="62">
        <f>Q116/1000*Q22*1000</f>
        <v>436337.71307608357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51"/>
        <v>12179.903745116713</v>
      </c>
      <c r="L123" s="31">
        <f t="shared" si="51"/>
        <v>62983.866521668599</v>
      </c>
      <c r="M123" s="31">
        <f t="shared" si="51"/>
        <v>103787.46105771873</v>
      </c>
      <c r="N123" s="31">
        <f t="shared" si="51"/>
        <v>116771.87242015426</v>
      </c>
      <c r="O123" s="31">
        <f t="shared" si="51"/>
        <v>122129.31603396966</v>
      </c>
      <c r="P123" s="31">
        <f t="shared" ref="P123" si="53">P117/1000*P23*1000</f>
        <v>185620.62046568238</v>
      </c>
      <c r="Q123" s="62">
        <f>Q117/1000*Q23*1000</f>
        <v>298811.93683086924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54">K118/1000*(-K26)*1000</f>
        <v>0</v>
      </c>
      <c r="L124" s="31">
        <f t="shared" si="54"/>
        <v>0</v>
      </c>
      <c r="M124" s="31">
        <f t="shared" si="54"/>
        <v>0</v>
      </c>
      <c r="N124" s="31">
        <f t="shared" si="54"/>
        <v>27149.180123498783</v>
      </c>
      <c r="O124" s="31">
        <f t="shared" si="54"/>
        <v>53628.482807527958</v>
      </c>
      <c r="P124" s="31">
        <f t="shared" ref="P124" si="55">P118/1000*(-P26)*1000</f>
        <v>73338.79666921738</v>
      </c>
      <c r="Q124" s="62">
        <f>Q118/1000*(-Q26)*1000</f>
        <v>147333.56758239743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56">J121/J127</f>
        <v>5.1839701389202277</v>
      </c>
      <c r="K128" s="211">
        <f t="shared" si="56"/>
        <v>4.283189140433727</v>
      </c>
      <c r="L128" s="211">
        <f t="shared" si="56"/>
        <v>2.8554594269561084</v>
      </c>
      <c r="M128" s="211">
        <f t="shared" si="56"/>
        <v>1.4277297134774516</v>
      </c>
      <c r="N128" s="211">
        <f t="shared" si="56"/>
        <v>0.71386485673927602</v>
      </c>
      <c r="O128" s="211">
        <f t="shared" si="56"/>
        <v>0.35693242836938133</v>
      </c>
      <c r="P128" s="211">
        <f t="shared" ref="P128" si="57">P121/P127</f>
        <v>7.1386485673995886E-2</v>
      </c>
      <c r="Q128" s="212">
        <f>Q121/Q127</f>
        <v>1.4844026270727256E-14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58">J122/J127</f>
        <v>0.25968277310085336</v>
      </c>
      <c r="K129" s="215">
        <f t="shared" si="58"/>
        <v>0.33655521911815856</v>
      </c>
      <c r="L129" s="215">
        <f t="shared" si="58"/>
        <v>0.33165816071085097</v>
      </c>
      <c r="M129" s="215">
        <f t="shared" si="58"/>
        <v>0.42406533892462528</v>
      </c>
      <c r="N129" s="215">
        <f t="shared" si="58"/>
        <v>0.48379535066792889</v>
      </c>
      <c r="O129" s="215">
        <f t="shared" si="58"/>
        <v>0.55535034073807299</v>
      </c>
      <c r="P129" s="215">
        <f t="shared" ref="P129" si="59">P122/P127</f>
        <v>0.62774981621112347</v>
      </c>
      <c r="Q129" s="216">
        <f>Q122/Q127</f>
        <v>0.8045422061200036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60">J123/J127</f>
        <v>0</v>
      </c>
      <c r="K130" s="215">
        <f t="shared" si="60"/>
        <v>2.2457941029996095E-2</v>
      </c>
      <c r="L130" s="215">
        <f t="shared" si="60"/>
        <v>0.11613293419924514</v>
      </c>
      <c r="M130" s="215">
        <f t="shared" si="60"/>
        <v>0.19136872744347161</v>
      </c>
      <c r="N130" s="215">
        <f t="shared" si="60"/>
        <v>0.21531006152863311</v>
      </c>
      <c r="O130" s="215">
        <f t="shared" si="60"/>
        <v>0.22518839515658429</v>
      </c>
      <c r="P130" s="215">
        <f t="shared" ref="P130" si="61">P123/P127</f>
        <v>0.34225696980903492</v>
      </c>
      <c r="Q130" s="216">
        <f>Q123/Q127</f>
        <v>0.55096501555660693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62">K124/K127</f>
        <v>0</v>
      </c>
      <c r="L131" s="215">
        <f t="shared" si="62"/>
        <v>0</v>
      </c>
      <c r="M131" s="215">
        <f t="shared" si="62"/>
        <v>0</v>
      </c>
      <c r="N131" s="215">
        <f t="shared" si="62"/>
        <v>5.0059072631891466E-2</v>
      </c>
      <c r="O131" s="215">
        <f t="shared" si="62"/>
        <v>9.8882990344027394E-2</v>
      </c>
      <c r="P131" s="215">
        <f t="shared" ref="P131" si="63">P124/P127</f>
        <v>0.13522589383913794</v>
      </c>
      <c r="Q131" s="216">
        <f>Q124/Q127</f>
        <v>0.27166130716187648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64">-K126/K127</f>
        <v>-9.4245252972192066</v>
      </c>
      <c r="L132" s="215">
        <f t="shared" si="64"/>
        <v>-9.4245252972192066</v>
      </c>
      <c r="M132" s="215">
        <f t="shared" si="64"/>
        <v>-9.4245252972203968</v>
      </c>
      <c r="N132" s="215">
        <f t="shared" si="64"/>
        <v>-9.4245252972200717</v>
      </c>
      <c r="O132" s="215">
        <f t="shared" si="64"/>
        <v>-9.4245252972199971</v>
      </c>
      <c r="P132" s="215">
        <f t="shared" ref="P132" si="65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66">SUM(J128:J132)</f>
        <v>-3.9808723851981256</v>
      </c>
      <c r="K133" s="219">
        <f t="shared" si="66"/>
        <v>-4.7823229966373244</v>
      </c>
      <c r="L133" s="219">
        <f t="shared" si="66"/>
        <v>-6.1212747753530028</v>
      </c>
      <c r="M133" s="219">
        <f t="shared" si="66"/>
        <v>-7.3813615173748488</v>
      </c>
      <c r="N133" s="219">
        <f t="shared" si="66"/>
        <v>-7.9614959556523424</v>
      </c>
      <c r="O133" s="219">
        <f t="shared" si="66"/>
        <v>-8.1881711426119317</v>
      </c>
      <c r="P133" s="219">
        <f t="shared" ref="P133" si="67">SUM(P128:P132)</f>
        <v>-8.2479061316867046</v>
      </c>
      <c r="Q133" s="220">
        <f>SUM(Q128:Q132)</f>
        <v>-7.7973567683821079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7.7904831930256019E-2</v>
      </c>
      <c r="K136" s="366">
        <f t="shared" ref="K136:O136" si="68">SUM(K106:K108)</f>
        <v>0.11409582356836837</v>
      </c>
      <c r="L136" s="366">
        <f t="shared" si="68"/>
        <v>0.16739054820666016</v>
      </c>
      <c r="M136" s="366">
        <f t="shared" si="68"/>
        <v>0.23909670387510945</v>
      </c>
      <c r="N136" s="366">
        <f t="shared" si="68"/>
        <v>0.29737464983509643</v>
      </c>
      <c r="O136" s="366">
        <f t="shared" si="68"/>
        <v>0.35032817667165239</v>
      </c>
      <c r="P136" s="366">
        <f t="shared" ref="P136" si="69">SUM(P106:P108)</f>
        <v>0.45962727130603476</v>
      </c>
      <c r="Q136" s="367">
        <f>SUM(Q106:Q108)</f>
        <v>0.70652952499813004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0.25968277310085336</v>
      </c>
      <c r="K137" s="289">
        <f t="shared" ref="K137:O137" si="70">SUM(K129:K131)</f>
        <v>0.35901316014815465</v>
      </c>
      <c r="L137" s="289">
        <f t="shared" si="70"/>
        <v>0.44779109491009611</v>
      </c>
      <c r="M137" s="289">
        <f t="shared" si="70"/>
        <v>0.61543406636809683</v>
      </c>
      <c r="N137" s="289">
        <f t="shared" si="70"/>
        <v>0.74916448482845344</v>
      </c>
      <c r="O137" s="289">
        <f t="shared" si="70"/>
        <v>0.87942172623868464</v>
      </c>
      <c r="P137" s="289">
        <f t="shared" ref="P137" si="71">SUM(P129:P131)</f>
        <v>1.1052326798592964</v>
      </c>
      <c r="Q137" s="370">
        <f>SUM(Q129:Q131)</f>
        <v>1.6271685288384872</v>
      </c>
    </row>
    <row r="138" spans="8:17" ht="18" x14ac:dyDescent="0.25">
      <c r="H138" s="368" t="s">
        <v>189</v>
      </c>
      <c r="I138" s="369" t="s">
        <v>190</v>
      </c>
      <c r="J138" s="289">
        <f>J128</f>
        <v>5.1839701389202277</v>
      </c>
      <c r="K138" s="289">
        <f t="shared" ref="K138:O138" si="72">K128</f>
        <v>4.283189140433727</v>
      </c>
      <c r="L138" s="289">
        <f t="shared" si="72"/>
        <v>2.8554594269561084</v>
      </c>
      <c r="M138" s="289">
        <f t="shared" si="72"/>
        <v>1.4277297134774516</v>
      </c>
      <c r="N138" s="289">
        <f t="shared" si="72"/>
        <v>0.71386485673927602</v>
      </c>
      <c r="O138" s="289">
        <f t="shared" si="72"/>
        <v>0.35693242836938133</v>
      </c>
      <c r="P138" s="289">
        <f t="shared" ref="P138" si="73">P128</f>
        <v>7.1386485673995886E-2</v>
      </c>
      <c r="Q138" s="370">
        <f>Q128</f>
        <v>1.4844026270727256E-14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74">K132</f>
        <v>-9.4245252972192066</v>
      </c>
      <c r="L139" s="289">
        <f t="shared" si="74"/>
        <v>-9.4245252972192066</v>
      </c>
      <c r="M139" s="289">
        <f t="shared" si="74"/>
        <v>-9.4245252972203968</v>
      </c>
      <c r="N139" s="289">
        <f t="shared" si="74"/>
        <v>-9.4245252972200717</v>
      </c>
      <c r="O139" s="289">
        <f t="shared" si="74"/>
        <v>-9.4245252972199971</v>
      </c>
      <c r="P139" s="289">
        <f t="shared" ref="P139" si="75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-4.1626503263687225</v>
      </c>
      <c r="K140" s="289">
        <f t="shared" ref="K140:O140" si="76">K136+K138+K139</f>
        <v>-5.0272403332171116</v>
      </c>
      <c r="L140" s="289">
        <f t="shared" si="76"/>
        <v>-6.4016753220564375</v>
      </c>
      <c r="M140" s="289">
        <f t="shared" si="76"/>
        <v>-7.7576988798678359</v>
      </c>
      <c r="N140" s="289">
        <f t="shared" si="76"/>
        <v>-8.4132857906456984</v>
      </c>
      <c r="O140" s="289">
        <f t="shared" si="76"/>
        <v>-8.7172646921789632</v>
      </c>
      <c r="P140" s="289">
        <f t="shared" ref="P140" si="77">P136+P138+P139</f>
        <v>-8.8935115402399667</v>
      </c>
      <c r="Q140" s="370">
        <f>Q136+Q138+Q139</f>
        <v>-8.7179957722224657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-3.9808723851981256</v>
      </c>
      <c r="K141" s="374">
        <f t="shared" ref="K141:O141" si="78">K137+K138+K139</f>
        <v>-4.7823229966373253</v>
      </c>
      <c r="L141" s="374">
        <f t="shared" si="78"/>
        <v>-6.1212747753530019</v>
      </c>
      <c r="M141" s="374">
        <f t="shared" si="78"/>
        <v>-7.3813615173748488</v>
      </c>
      <c r="N141" s="374">
        <f t="shared" si="78"/>
        <v>-7.9614959556523424</v>
      </c>
      <c r="O141" s="374">
        <f t="shared" si="78"/>
        <v>-8.1881711426119317</v>
      </c>
      <c r="P141" s="374">
        <f t="shared" ref="P141" si="79">P137+P138+P139</f>
        <v>-8.2479061316867046</v>
      </c>
      <c r="Q141" s="375">
        <f>Q137+Q138+Q139</f>
        <v>-7.7973567683821079</v>
      </c>
    </row>
    <row r="142" spans="8:17" x14ac:dyDescent="0.25">
      <c r="H142" s="376" t="s">
        <v>196</v>
      </c>
      <c r="I142" s="377"/>
      <c r="J142" s="378">
        <f>J140-J110</f>
        <v>0</v>
      </c>
      <c r="K142" s="378">
        <f t="shared" ref="K142:O142" si="80">K140-K110</f>
        <v>0</v>
      </c>
      <c r="L142" s="378">
        <f t="shared" si="80"/>
        <v>0</v>
      </c>
      <c r="M142" s="378">
        <f t="shared" si="80"/>
        <v>0</v>
      </c>
      <c r="N142" s="378">
        <f t="shared" si="80"/>
        <v>0</v>
      </c>
      <c r="O142" s="378">
        <f t="shared" si="80"/>
        <v>0</v>
      </c>
      <c r="P142" s="378">
        <f t="shared" ref="P142" si="81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82">K141-K133</f>
        <v>0</v>
      </c>
      <c r="L143" s="382">
        <f t="shared" si="82"/>
        <v>0</v>
      </c>
      <c r="M143" s="382">
        <f t="shared" si="82"/>
        <v>0</v>
      </c>
      <c r="N143" s="382">
        <f t="shared" si="82"/>
        <v>0</v>
      </c>
      <c r="O143" s="382">
        <f t="shared" si="82"/>
        <v>0</v>
      </c>
      <c r="P143" s="382">
        <f t="shared" ref="P143" si="83">P141-P133</f>
        <v>0</v>
      </c>
      <c r="Q143" s="383">
        <f>Q141-Q133</f>
        <v>0</v>
      </c>
    </row>
    <row r="144" spans="8:17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59496-314B-4A6E-88E0-84D15CB73EA2}">
  <sheetPr codeName="Foglio17"/>
  <dimension ref="A3:AA151"/>
  <sheetViews>
    <sheetView topLeftCell="A30" zoomScale="40" zoomScaleNormal="40" workbookViewId="0">
      <selection activeCell="AX47" sqref="AX47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4" x14ac:dyDescent="0.25">
      <c r="U3" s="1"/>
      <c r="V3" s="1"/>
      <c r="W3" s="2"/>
    </row>
    <row r="4" spans="1:24" x14ac:dyDescent="0.25">
      <c r="A4" s="225" t="s">
        <v>102</v>
      </c>
      <c r="B4" s="225" t="s">
        <v>160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4" ht="30.75" thickBot="1" x14ac:dyDescent="0.3">
      <c r="H5" s="7" t="s">
        <v>1</v>
      </c>
      <c r="I5" s="8" t="s">
        <v>2</v>
      </c>
      <c r="J5" s="9"/>
      <c r="K5" s="9"/>
      <c r="L5" s="9">
        <v>0.56743698922489505</v>
      </c>
      <c r="M5" s="9">
        <v>0.80000000000001781</v>
      </c>
      <c r="N5" s="9">
        <v>0.90000000000004754</v>
      </c>
      <c r="O5" s="9">
        <v>0.94999999999985107</v>
      </c>
      <c r="P5" s="9">
        <v>0.99000000000024946</v>
      </c>
      <c r="Q5" s="10">
        <v>1.0000000000000029</v>
      </c>
      <c r="R5" s="11" t="str">
        <f>H5</f>
        <v>Renewable Energy Share</v>
      </c>
      <c r="S5" s="296"/>
      <c r="T5" s="296">
        <f t="shared" ref="T5:W13" si="0">L5</f>
        <v>0.56743698922489505</v>
      </c>
      <c r="U5" s="296">
        <f t="shared" si="0"/>
        <v>0.80000000000001781</v>
      </c>
      <c r="V5" s="296">
        <f t="shared" si="0"/>
        <v>0.90000000000004754</v>
      </c>
      <c r="W5" s="296">
        <f t="shared" si="0"/>
        <v>0.94999999999985107</v>
      </c>
      <c r="X5" s="296">
        <f t="shared" ref="X5:X13" si="1">Q5</f>
        <v>1.0000000000000029</v>
      </c>
    </row>
    <row r="6" spans="1:24" ht="15.75" thickTop="1" x14ac:dyDescent="0.25">
      <c r="C6" s="13"/>
      <c r="H6" s="14" t="s">
        <v>3</v>
      </c>
      <c r="I6" s="15" t="s">
        <v>4</v>
      </c>
      <c r="J6" s="16"/>
      <c r="K6" s="16"/>
      <c r="L6" s="16">
        <v>1.5577878476308327</v>
      </c>
      <c r="M6" s="16">
        <v>2.0850853003559142</v>
      </c>
      <c r="N6" s="16">
        <v>3.0760306903589996</v>
      </c>
      <c r="O6" s="16">
        <v>3.8658538551954535</v>
      </c>
      <c r="P6" s="16">
        <v>5.4281267555751409</v>
      </c>
      <c r="Q6" s="17">
        <v>9.7591005772203019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1.5577878476308327</v>
      </c>
      <c r="U6" s="19">
        <f t="shared" si="0"/>
        <v>2.0850853003559142</v>
      </c>
      <c r="V6" s="19">
        <f t="shared" si="0"/>
        <v>3.0760306903589996</v>
      </c>
      <c r="W6" s="19">
        <f t="shared" si="0"/>
        <v>3.8658538551954535</v>
      </c>
      <c r="X6" s="19">
        <f t="shared" si="1"/>
        <v>9.7591005772203019</v>
      </c>
    </row>
    <row r="7" spans="1:24" x14ac:dyDescent="0.25">
      <c r="A7" s="13"/>
      <c r="B7" s="20"/>
      <c r="C7" s="13"/>
      <c r="H7" s="21" t="s">
        <v>5</v>
      </c>
      <c r="I7" s="6" t="s">
        <v>4</v>
      </c>
      <c r="J7" s="22"/>
      <c r="K7" s="22"/>
      <c r="L7" s="22">
        <v>1.5389421413309414</v>
      </c>
      <c r="M7" s="22">
        <v>3.5701569055808267</v>
      </c>
      <c r="N7" s="22">
        <v>3.504433270189411</v>
      </c>
      <c r="O7" s="22">
        <v>3.2328566830680838</v>
      </c>
      <c r="P7" s="22">
        <v>3.705467303546059</v>
      </c>
      <c r="Q7" s="23">
        <v>3.9020935450395622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1.5389421413309414</v>
      </c>
      <c r="U7" s="22">
        <f t="shared" si="0"/>
        <v>3.5701569055808267</v>
      </c>
      <c r="V7" s="22">
        <f t="shared" si="0"/>
        <v>3.504433270189411</v>
      </c>
      <c r="W7" s="22">
        <f t="shared" si="0"/>
        <v>3.2328566830680838</v>
      </c>
      <c r="X7" s="22">
        <f t="shared" si="1"/>
        <v>3.9020935450395622</v>
      </c>
    </row>
    <row r="8" spans="1:24" x14ac:dyDescent="0.25">
      <c r="A8" s="13"/>
      <c r="B8" s="20"/>
      <c r="C8" s="13"/>
      <c r="H8" s="21" t="s">
        <v>6</v>
      </c>
      <c r="I8" s="6" t="s">
        <v>7</v>
      </c>
      <c r="J8" s="22"/>
      <c r="K8" s="22"/>
      <c r="L8" s="22">
        <v>0</v>
      </c>
      <c r="M8" s="22">
        <v>2.0753948021555511</v>
      </c>
      <c r="N8" s="22">
        <v>7.6068203189753643</v>
      </c>
      <c r="O8" s="22">
        <v>11.742495882122093</v>
      </c>
      <c r="P8" s="22">
        <v>15.730095960029116</v>
      </c>
      <c r="Q8" s="23">
        <v>19.16192933832685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2.0753948021555511</v>
      </c>
      <c r="V8" s="22">
        <f t="shared" si="0"/>
        <v>7.6068203189753643</v>
      </c>
      <c r="W8" s="22">
        <f t="shared" si="0"/>
        <v>11.742495882122093</v>
      </c>
      <c r="X8" s="22">
        <f t="shared" si="1"/>
        <v>19.16192933832685</v>
      </c>
    </row>
    <row r="9" spans="1:24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/>
      <c r="L9" s="27">
        <v>0</v>
      </c>
      <c r="M9" s="27">
        <v>220</v>
      </c>
      <c r="N9" s="27">
        <v>183</v>
      </c>
      <c r="O9" s="27">
        <v>169</v>
      </c>
      <c r="P9" s="27">
        <v>133</v>
      </c>
      <c r="Q9" s="28">
        <v>106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si="0"/>
        <v>220</v>
      </c>
      <c r="V9" s="29">
        <f t="shared" si="0"/>
        <v>183</v>
      </c>
      <c r="W9" s="29">
        <f t="shared" si="0"/>
        <v>169</v>
      </c>
      <c r="X9" s="29">
        <f t="shared" si="1"/>
        <v>106</v>
      </c>
    </row>
    <row r="10" spans="1:24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/>
      <c r="L10" s="16">
        <v>1.5585429825310841E-3</v>
      </c>
      <c r="M10" s="16">
        <v>1.2415911094059595E-2</v>
      </c>
      <c r="N10" s="16">
        <v>1.2180408062775427E-2</v>
      </c>
      <c r="O10" s="16">
        <v>1.4003660487674097E-2</v>
      </c>
      <c r="P10" s="16">
        <v>1.054468426549704E-2</v>
      </c>
      <c r="Q10" s="17">
        <v>4.8262672560994702E-3</v>
      </c>
      <c r="R10" s="18" t="str">
        <f t="shared" si="3"/>
        <v>Biogas storage size</v>
      </c>
      <c r="S10" s="19" t="str">
        <f>I10</f>
        <v>m3</v>
      </c>
      <c r="T10" s="19">
        <f>L10</f>
        <v>1.5585429825310841E-3</v>
      </c>
      <c r="U10" s="30">
        <f t="shared" si="0"/>
        <v>1.2415911094059595E-2</v>
      </c>
      <c r="V10" s="30">
        <f t="shared" si="0"/>
        <v>1.2180408062775427E-2</v>
      </c>
      <c r="W10" s="30">
        <f t="shared" si="0"/>
        <v>1.4003660487674097E-2</v>
      </c>
      <c r="X10" s="30">
        <f t="shared" si="1"/>
        <v>4.8262672560994702E-3</v>
      </c>
    </row>
    <row r="11" spans="1:24" x14ac:dyDescent="0.25">
      <c r="H11" s="21" t="s">
        <v>11</v>
      </c>
      <c r="I11" s="6" t="s">
        <v>12</v>
      </c>
      <c r="J11" s="22"/>
      <c r="K11" s="22"/>
      <c r="L11" s="22">
        <v>3.1491065688114325E-5</v>
      </c>
      <c r="M11" s="22">
        <v>2.508690977555507E-4</v>
      </c>
      <c r="N11" s="22">
        <v>2.4611065252109479E-4</v>
      </c>
      <c r="O11" s="22">
        <v>2.8295029218586266E-4</v>
      </c>
      <c r="P11" s="22">
        <v>2.1306011357217738E-4</v>
      </c>
      <c r="Q11" s="23">
        <v>9.7516912201805431E-5</v>
      </c>
      <c r="R11" s="24" t="str">
        <f t="shared" si="3"/>
        <v>Biogas storage hours</v>
      </c>
      <c r="S11" s="22" t="str">
        <f t="shared" si="2"/>
        <v>h</v>
      </c>
      <c r="T11" s="22">
        <f>L11</f>
        <v>3.1491065688114325E-5</v>
      </c>
      <c r="U11" s="22">
        <f t="shared" si="0"/>
        <v>2.508690977555507E-4</v>
      </c>
      <c r="V11" s="22">
        <f t="shared" si="0"/>
        <v>2.4611065252109479E-4</v>
      </c>
      <c r="W11" s="22">
        <f t="shared" si="0"/>
        <v>2.8295029218586266E-4</v>
      </c>
      <c r="X11" s="22">
        <f t="shared" si="1"/>
        <v>9.7516912201805431E-5</v>
      </c>
    </row>
    <row r="12" spans="1:24" x14ac:dyDescent="0.25">
      <c r="H12" s="21" t="s">
        <v>13</v>
      </c>
      <c r="I12" s="6" t="s">
        <v>18</v>
      </c>
      <c r="J12" s="22"/>
      <c r="K12" s="22"/>
      <c r="L12" s="22">
        <v>5.9523339872554135E-3</v>
      </c>
      <c r="M12" s="22">
        <v>1.1584081770706689E-2</v>
      </c>
      <c r="N12" s="22">
        <v>1.0414061204402159E-2</v>
      </c>
      <c r="O12" s="22">
        <v>9.2918563295825152E-3</v>
      </c>
      <c r="P12" s="22">
        <v>8.2772548284992808E-4</v>
      </c>
      <c r="Q12" s="23">
        <v>2.837750904063796E-3</v>
      </c>
      <c r="R12" s="24" t="str">
        <f t="shared" si="3"/>
        <v>Syngas storage size</v>
      </c>
      <c r="S12" s="22" t="str">
        <f t="shared" si="2"/>
        <v>m3</v>
      </c>
      <c r="T12" s="22">
        <f>L12</f>
        <v>5.9523339872554135E-3</v>
      </c>
      <c r="U12" s="31">
        <f t="shared" si="0"/>
        <v>1.1584081770706689E-2</v>
      </c>
      <c r="V12" s="31">
        <f t="shared" si="0"/>
        <v>1.0414061204402159E-2</v>
      </c>
      <c r="W12" s="31">
        <f t="shared" si="0"/>
        <v>9.2918563295825152E-3</v>
      </c>
      <c r="X12" s="31">
        <f t="shared" si="1"/>
        <v>2.837750904063796E-3</v>
      </c>
    </row>
    <row r="13" spans="1:24" x14ac:dyDescent="0.25">
      <c r="H13" s="32" t="s">
        <v>14</v>
      </c>
      <c r="I13" s="26" t="s">
        <v>12</v>
      </c>
      <c r="J13" s="33"/>
      <c r="K13" s="33"/>
      <c r="L13" s="33">
        <v>2.9479001438233965E-5</v>
      </c>
      <c r="M13" s="33">
        <v>5.7370296073849866E-5</v>
      </c>
      <c r="N13" s="33">
        <v>5.157575597735938E-5</v>
      </c>
      <c r="O13" s="33">
        <v>4.6018023634108409E-5</v>
      </c>
      <c r="P13" s="33">
        <v>4.0993198217102859E-6</v>
      </c>
      <c r="Q13" s="34">
        <v>1.4053993469008749E-5</v>
      </c>
      <c r="R13" s="24" t="str">
        <f t="shared" si="3"/>
        <v>Syngas storage hours</v>
      </c>
      <c r="S13" s="22" t="str">
        <f t="shared" si="2"/>
        <v>h</v>
      </c>
      <c r="T13" s="22">
        <f>L13</f>
        <v>2.9479001438233965E-5</v>
      </c>
      <c r="U13" s="22">
        <f t="shared" si="0"/>
        <v>5.7370296073849866E-5</v>
      </c>
      <c r="V13" s="22">
        <f t="shared" si="0"/>
        <v>5.157575597735938E-5</v>
      </c>
      <c r="W13" s="22">
        <f t="shared" si="0"/>
        <v>4.6018023634108409E-5</v>
      </c>
      <c r="X13" s="22">
        <f t="shared" si="1"/>
        <v>1.4053993469008749E-5</v>
      </c>
    </row>
    <row r="14" spans="1:24" x14ac:dyDescent="0.25">
      <c r="H14" s="25" t="s">
        <v>15</v>
      </c>
      <c r="I14" s="26" t="s">
        <v>16</v>
      </c>
      <c r="J14" s="35"/>
      <c r="K14" s="35"/>
      <c r="L14" s="35">
        <v>4.4039086124379621</v>
      </c>
      <c r="M14" s="35">
        <v>4.9042149472651859</v>
      </c>
      <c r="N14" s="35">
        <v>5.5180803811213686</v>
      </c>
      <c r="O14" s="35">
        <v>5.946887907236186</v>
      </c>
      <c r="P14" s="35">
        <v>6.6773362385139583</v>
      </c>
      <c r="Q14" s="36">
        <v>7.7805660328519757</v>
      </c>
      <c r="R14" s="37" t="s">
        <v>17</v>
      </c>
      <c r="S14" s="6" t="s">
        <v>18</v>
      </c>
      <c r="T14" s="22">
        <f>[5]NoSP!$F$112</f>
        <v>0</v>
      </c>
      <c r="U14" s="31">
        <f>'[5]80SP'!$F$112</f>
        <v>0</v>
      </c>
      <c r="V14" s="31">
        <f>'[5]90SP'!$F$112</f>
        <v>0</v>
      </c>
      <c r="W14" s="31">
        <f>'[5]95SP'!$F$112</f>
        <v>0</v>
      </c>
      <c r="X14" s="31">
        <f>'[5]100SP'!$F$112</f>
        <v>0</v>
      </c>
    </row>
    <row r="15" spans="1:24" ht="15.75" thickBot="1" x14ac:dyDescent="0.3">
      <c r="H15" s="14" t="s">
        <v>19</v>
      </c>
      <c r="I15" s="15" t="s">
        <v>2</v>
      </c>
      <c r="J15" s="38"/>
      <c r="K15" s="38"/>
      <c r="L15" s="38">
        <v>1.0000020000000001</v>
      </c>
      <c r="M15" s="38">
        <v>1.0000020000000001</v>
      </c>
      <c r="N15" s="38">
        <v>1.0000020000000001</v>
      </c>
      <c r="O15" s="38">
        <v>1.0000020000000001</v>
      </c>
      <c r="P15" s="38">
        <v>1.0000017101449372</v>
      </c>
      <c r="Q15" s="39">
        <v>1.0000015537627696</v>
      </c>
      <c r="R15" s="40" t="s">
        <v>20</v>
      </c>
      <c r="S15" s="41" t="s">
        <v>12</v>
      </c>
      <c r="T15" s="41">
        <f>[5]NoSP!$B$169</f>
        <v>0</v>
      </c>
      <c r="U15" s="41">
        <f>'[5]80SP'!$B$169</f>
        <v>0</v>
      </c>
      <c r="V15" s="41">
        <f>'[5]90SP'!$B$169</f>
        <v>0</v>
      </c>
      <c r="W15" s="41">
        <f>'[5]95SP'!$B$169</f>
        <v>0</v>
      </c>
      <c r="X15" s="41">
        <f>'[5]100SP'!$B$169</f>
        <v>0</v>
      </c>
    </row>
    <row r="16" spans="1:24" ht="15.75" thickTop="1" x14ac:dyDescent="0.25">
      <c r="H16" s="25" t="s">
        <v>21</v>
      </c>
      <c r="I16" s="26" t="s">
        <v>2</v>
      </c>
      <c r="J16" s="42"/>
      <c r="K16" s="42"/>
      <c r="L16" s="42">
        <v>1.000000035532236</v>
      </c>
      <c r="M16" s="42">
        <v>1.0000009355533981</v>
      </c>
      <c r="N16" s="42">
        <v>1.000000945223201</v>
      </c>
      <c r="O16" s="42">
        <v>1.0000012469289674</v>
      </c>
      <c r="P16" s="42">
        <v>1.0000015162649154</v>
      </c>
      <c r="Q16" s="43">
        <v>1.0000006177057166</v>
      </c>
      <c r="R16" s="37" t="str">
        <f>H15</f>
        <v>Syngas generation size</v>
      </c>
      <c r="S16" s="6" t="s">
        <v>2</v>
      </c>
      <c r="T16" s="297">
        <f t="shared" ref="T16:W17" si="4">L15</f>
        <v>1.0000020000000001</v>
      </c>
      <c r="U16" s="297">
        <f t="shared" si="4"/>
        <v>1.0000020000000001</v>
      </c>
      <c r="V16" s="297">
        <f t="shared" si="4"/>
        <v>1.0000020000000001</v>
      </c>
      <c r="W16" s="297">
        <f t="shared" si="4"/>
        <v>1.0000020000000001</v>
      </c>
      <c r="X16" s="297">
        <f>Q15</f>
        <v>1.0000015537627696</v>
      </c>
    </row>
    <row r="17" spans="2:24" ht="15.75" thickBot="1" x14ac:dyDescent="0.3">
      <c r="R17" s="40" t="str">
        <f>H16</f>
        <v>Gas Separation size</v>
      </c>
      <c r="S17" s="45" t="s">
        <v>2</v>
      </c>
      <c r="T17" s="298">
        <f t="shared" si="4"/>
        <v>1.000000035532236</v>
      </c>
      <c r="U17" s="298">
        <f t="shared" si="4"/>
        <v>1.0000009355533981</v>
      </c>
      <c r="V17" s="298">
        <f t="shared" si="4"/>
        <v>1.000000945223201</v>
      </c>
      <c r="W17" s="298">
        <f t="shared" si="4"/>
        <v>1.0000012469289674</v>
      </c>
      <c r="X17" s="298">
        <f>Q16</f>
        <v>1.0000006177057166</v>
      </c>
    </row>
    <row r="18" spans="2:24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4" x14ac:dyDescent="0.25">
      <c r="H19" s="50" t="s">
        <v>1</v>
      </c>
      <c r="I19" s="8" t="s">
        <v>2</v>
      </c>
      <c r="J19" s="9"/>
      <c r="K19" s="9"/>
      <c r="L19" s="9">
        <v>0.56743698922489505</v>
      </c>
      <c r="M19" s="9">
        <v>0.80000000000001781</v>
      </c>
      <c r="N19" s="9">
        <v>0.90000000000004754</v>
      </c>
      <c r="O19" s="9">
        <v>0.94999999999985107</v>
      </c>
      <c r="P19" s="9">
        <v>0.99000000000024946</v>
      </c>
      <c r="Q19" s="10">
        <v>1.0000000000000029</v>
      </c>
    </row>
    <row r="20" spans="2:24" x14ac:dyDescent="0.25">
      <c r="H20" s="51" t="s">
        <v>23</v>
      </c>
      <c r="I20" s="52" t="s">
        <v>24</v>
      </c>
      <c r="J20" s="53"/>
      <c r="K20" s="53"/>
      <c r="L20" s="53">
        <v>-9678.9875243784827</v>
      </c>
      <c r="M20" s="53">
        <v>-9678.9875243792667</v>
      </c>
      <c r="N20" s="53">
        <v>-9678.9875243787392</v>
      </c>
      <c r="O20" s="53">
        <v>-9678.98752437849</v>
      </c>
      <c r="P20" s="53">
        <v>-9678.987524378379</v>
      </c>
      <c r="Q20" s="54">
        <v>-9678.9875243781153</v>
      </c>
    </row>
    <row r="21" spans="2:24" x14ac:dyDescent="0.25">
      <c r="B21" s="55"/>
      <c r="H21" s="56" t="s">
        <v>25</v>
      </c>
      <c r="I21" s="57" t="s">
        <v>24</v>
      </c>
      <c r="J21" s="58"/>
      <c r="K21" s="58"/>
      <c r="L21" s="58">
        <v>-1702.5570878067379</v>
      </c>
      <c r="M21" s="58">
        <v>-1702.5570878068725</v>
      </c>
      <c r="N21" s="58">
        <v>-1702.5570878068359</v>
      </c>
      <c r="O21" s="58">
        <v>-1702.5570878069002</v>
      </c>
      <c r="P21" s="58">
        <v>-1702.5570878064739</v>
      </c>
      <c r="Q21" s="59">
        <v>-1702.5570878066655</v>
      </c>
    </row>
    <row r="22" spans="2:24" x14ac:dyDescent="0.25">
      <c r="H22" s="61" t="s">
        <v>26</v>
      </c>
      <c r="I22" s="6" t="s">
        <v>24</v>
      </c>
      <c r="J22" s="31"/>
      <c r="K22" s="31"/>
      <c r="L22" s="31">
        <v>2585.6636387105268</v>
      </c>
      <c r="M22" s="31">
        <v>3460.8879848045567</v>
      </c>
      <c r="N22" s="31">
        <v>5105.6892757991072</v>
      </c>
      <c r="O22" s="31">
        <v>6416.6617817374399</v>
      </c>
      <c r="P22" s="31">
        <v>9009.7698473820255</v>
      </c>
      <c r="Q22" s="62">
        <v>16198.451892800569</v>
      </c>
    </row>
    <row r="23" spans="2:24" x14ac:dyDescent="0.25">
      <c r="H23" s="61" t="s">
        <v>27</v>
      </c>
      <c r="I23" s="6" t="s">
        <v>24</v>
      </c>
      <c r="J23" s="31"/>
      <c r="K23" s="31"/>
      <c r="L23" s="31">
        <v>3674.3099968630863</v>
      </c>
      <c r="M23" s="31">
        <v>8523.9482734552439</v>
      </c>
      <c r="N23" s="31">
        <v>8367.0294367665119</v>
      </c>
      <c r="O23" s="31">
        <v>7718.6252231351955</v>
      </c>
      <c r="P23" s="31">
        <v>8847.0093779442723</v>
      </c>
      <c r="Q23" s="62">
        <v>9316.4654707772443</v>
      </c>
    </row>
    <row r="24" spans="2:24" x14ac:dyDescent="0.25">
      <c r="H24" s="61" t="s">
        <v>28</v>
      </c>
      <c r="I24" s="6" t="s">
        <v>24</v>
      </c>
      <c r="J24" s="31"/>
      <c r="K24" s="31"/>
      <c r="L24" s="31">
        <v>4186.7719848000152</v>
      </c>
      <c r="M24" s="31">
        <v>1935.7975048732808</v>
      </c>
      <c r="N24" s="31">
        <v>967.89875243872916</v>
      </c>
      <c r="O24" s="31">
        <v>483.94937621952045</v>
      </c>
      <c r="P24" s="31">
        <v>96.789875241969142</v>
      </c>
      <c r="Q24" s="62">
        <v>2.8424494757928186E-10</v>
      </c>
    </row>
    <row r="25" spans="2:24" x14ac:dyDescent="0.25">
      <c r="H25" s="61" t="s">
        <v>29</v>
      </c>
      <c r="I25" s="6" t="s">
        <v>24</v>
      </c>
      <c r="J25" s="31"/>
      <c r="K25" s="31"/>
      <c r="L25" s="31">
        <v>-767.75809599496597</v>
      </c>
      <c r="M25" s="31">
        <v>-4214.6776844798724</v>
      </c>
      <c r="N25" s="31">
        <v>-4679.7944761436911</v>
      </c>
      <c r="O25" s="31">
        <v>-4823.5736334261519</v>
      </c>
      <c r="P25" s="31">
        <v>-8151.1380055826248</v>
      </c>
      <c r="Q25" s="62">
        <v>-15716.211401512399</v>
      </c>
    </row>
    <row r="26" spans="2:24" x14ac:dyDescent="0.25">
      <c r="H26" s="61" t="s">
        <v>30</v>
      </c>
      <c r="I26" s="6" t="s">
        <v>24</v>
      </c>
      <c r="J26" s="31"/>
      <c r="K26" s="31"/>
      <c r="L26" s="31">
        <v>0</v>
      </c>
      <c r="M26" s="31">
        <v>-456.32071533573429</v>
      </c>
      <c r="N26" s="31">
        <v>-1384.6948304670498</v>
      </c>
      <c r="O26" s="31">
        <v>-1974.2000556406585</v>
      </c>
      <c r="P26" s="31">
        <v>-2088.7236989283278</v>
      </c>
      <c r="Q26" s="62">
        <v>-2025.6926850638977</v>
      </c>
    </row>
    <row r="27" spans="2:24" x14ac:dyDescent="0.25">
      <c r="B27" s="63"/>
      <c r="H27" s="61" t="s">
        <v>31</v>
      </c>
      <c r="I27" s="6" t="s">
        <v>24</v>
      </c>
      <c r="J27" s="31"/>
      <c r="K27" s="31"/>
      <c r="L27" s="31">
        <v>0</v>
      </c>
      <c r="M27" s="31">
        <v>429.35216105939327</v>
      </c>
      <c r="N27" s="31">
        <v>1302.8593659864453</v>
      </c>
      <c r="O27" s="31">
        <v>1857.5248323522965</v>
      </c>
      <c r="P27" s="31">
        <v>1965.2801283216641</v>
      </c>
      <c r="Q27" s="62">
        <v>1905.9742473766271</v>
      </c>
    </row>
    <row r="28" spans="2:24" x14ac:dyDescent="0.25">
      <c r="H28" s="64" t="s">
        <v>32</v>
      </c>
      <c r="I28" s="65" t="s">
        <v>24</v>
      </c>
      <c r="J28" s="66"/>
      <c r="K28" s="66"/>
      <c r="L28" s="66">
        <v>1.7917045624926686E-10</v>
      </c>
      <c r="M28" s="66">
        <v>-2.3993607101147063E-9</v>
      </c>
      <c r="N28" s="66">
        <v>1.3137650967109948E-9</v>
      </c>
      <c r="O28" s="66">
        <v>-8.4787643572781235E-10</v>
      </c>
      <c r="P28" s="66">
        <v>5.9981175581924617E-10</v>
      </c>
      <c r="Q28" s="67">
        <v>3.1241143005900085E-10</v>
      </c>
    </row>
    <row r="30" spans="2:24" x14ac:dyDescent="0.25">
      <c r="H30" s="68" t="s">
        <v>15</v>
      </c>
    </row>
    <row r="31" spans="2:24" x14ac:dyDescent="0.25">
      <c r="H31" s="69" t="s">
        <v>33</v>
      </c>
      <c r="I31" s="70" t="s">
        <v>103</v>
      </c>
      <c r="J31" s="71"/>
      <c r="K31" s="71"/>
      <c r="L31" s="71">
        <v>0.2297864308384808</v>
      </c>
      <c r="M31" s="71">
        <v>0.30756711184474739</v>
      </c>
      <c r="N31" s="71">
        <v>0.45373965046806874</v>
      </c>
      <c r="O31" s="71">
        <v>0.57024501820299933</v>
      </c>
      <c r="P31" s="71">
        <v>0.80069303095389177</v>
      </c>
      <c r="Q31" s="72">
        <v>1.4395470430993629</v>
      </c>
    </row>
    <row r="32" spans="2:24" x14ac:dyDescent="0.25">
      <c r="H32" s="73" t="s">
        <v>34</v>
      </c>
      <c r="I32" s="74" t="s">
        <v>103</v>
      </c>
      <c r="J32" s="75"/>
      <c r="K32" s="75"/>
      <c r="L32" s="75">
        <v>0.42563725356743343</v>
      </c>
      <c r="M32" s="75">
        <v>0.98742619315260249</v>
      </c>
      <c r="N32" s="75">
        <v>0.969248493737498</v>
      </c>
      <c r="O32" s="75">
        <v>0.89413643489439443</v>
      </c>
      <c r="P32" s="75">
        <v>1.0248500472548634</v>
      </c>
      <c r="Q32" s="76">
        <v>1.0792325033333361</v>
      </c>
    </row>
    <row r="33" spans="8:17" x14ac:dyDescent="0.25">
      <c r="H33" s="73" t="s">
        <v>35</v>
      </c>
      <c r="I33" s="74" t="s">
        <v>103</v>
      </c>
      <c r="J33" s="75"/>
      <c r="K33" s="75"/>
      <c r="L33" s="75">
        <v>0</v>
      </c>
      <c r="M33" s="75">
        <v>0.15306884210627381</v>
      </c>
      <c r="N33" s="75">
        <v>0.56103406307406878</v>
      </c>
      <c r="O33" s="75">
        <v>0.86605702502827919</v>
      </c>
      <c r="P33" s="75">
        <v>1.1601588152390863</v>
      </c>
      <c r="Q33" s="76">
        <v>1.4132705417267191</v>
      </c>
    </row>
    <row r="34" spans="8:17" x14ac:dyDescent="0.25">
      <c r="H34" s="73" t="s">
        <v>36</v>
      </c>
      <c r="I34" s="74" t="s">
        <v>103</v>
      </c>
      <c r="J34" s="75"/>
      <c r="K34" s="75"/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6">
        <v>0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/>
      <c r="K36" s="75"/>
      <c r="L36" s="75">
        <v>0.64258570672865123</v>
      </c>
      <c r="M36" s="75">
        <v>0.64258593356641269</v>
      </c>
      <c r="N36" s="75">
        <v>0.64258593600360348</v>
      </c>
      <c r="O36" s="75">
        <v>0.64258601204418686</v>
      </c>
      <c r="P36" s="75">
        <v>0.64258600569578217</v>
      </c>
      <c r="Q36" s="76">
        <v>0.64258575580258681</v>
      </c>
    </row>
    <row r="37" spans="8:17" x14ac:dyDescent="0.25">
      <c r="H37" s="77" t="s">
        <v>38</v>
      </c>
      <c r="I37" s="78" t="s">
        <v>103</v>
      </c>
      <c r="J37" s="79"/>
      <c r="K37" s="79"/>
      <c r="L37" s="79">
        <v>4.3084955782215148E-2</v>
      </c>
      <c r="M37" s="79">
        <v>5.7668833470890135E-2</v>
      </c>
      <c r="N37" s="79">
        <v>8.5076184462762869E-2</v>
      </c>
      <c r="O37" s="79">
        <v>0.10692094091306235</v>
      </c>
      <c r="P37" s="79">
        <v>0.15012994330385471</v>
      </c>
      <c r="Q37" s="80">
        <v>0.26991507058113057</v>
      </c>
    </row>
    <row r="38" spans="8:17" x14ac:dyDescent="0.25">
      <c r="H38" s="81" t="s">
        <v>39</v>
      </c>
      <c r="I38" s="82" t="s">
        <v>103</v>
      </c>
      <c r="J38" s="83"/>
      <c r="K38" s="83"/>
      <c r="L38" s="83">
        <v>0.12769117607023003</v>
      </c>
      <c r="M38" s="83">
        <v>0.29622785794578077</v>
      </c>
      <c r="N38" s="83">
        <v>0.29077454812124942</v>
      </c>
      <c r="O38" s="83">
        <v>0.26824093046831837</v>
      </c>
      <c r="P38" s="83">
        <v>0.30745501417645904</v>
      </c>
      <c r="Q38" s="84">
        <v>0.32376975100000083</v>
      </c>
    </row>
    <row r="39" spans="8:17" x14ac:dyDescent="0.25">
      <c r="H39" s="81" t="s">
        <v>40</v>
      </c>
      <c r="I39" s="82" t="s">
        <v>103</v>
      </c>
      <c r="J39" s="83"/>
      <c r="K39" s="83"/>
      <c r="L39" s="83">
        <v>0</v>
      </c>
      <c r="M39" s="83">
        <v>3.8267210526568451E-2</v>
      </c>
      <c r="N39" s="83">
        <v>0.14025851576851719</v>
      </c>
      <c r="O39" s="83">
        <v>0.2165142562570698</v>
      </c>
      <c r="P39" s="83">
        <v>0.29003970380977157</v>
      </c>
      <c r="Q39" s="84">
        <v>0.35331763543167977</v>
      </c>
    </row>
    <row r="40" spans="8:17" x14ac:dyDescent="0.25">
      <c r="H40" s="81" t="s">
        <v>41</v>
      </c>
      <c r="I40" s="82" t="s">
        <v>103</v>
      </c>
      <c r="J40" s="83"/>
      <c r="K40" s="83"/>
      <c r="L40" s="83">
        <v>0.2570342826914605</v>
      </c>
      <c r="M40" s="83">
        <v>0.25703437342656504</v>
      </c>
      <c r="N40" s="83">
        <v>0.25703437440144139</v>
      </c>
      <c r="O40" s="83">
        <v>0.25703440481767476</v>
      </c>
      <c r="P40" s="83">
        <v>0.25703440227831287</v>
      </c>
      <c r="Q40" s="84">
        <v>0.25703430232103469</v>
      </c>
    </row>
    <row r="41" spans="8:17" x14ac:dyDescent="0.25">
      <c r="H41" s="85" t="s">
        <v>42</v>
      </c>
      <c r="I41" s="86" t="s">
        <v>103</v>
      </c>
      <c r="J41" s="87"/>
      <c r="K41" s="87"/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8">
        <v>0</v>
      </c>
    </row>
    <row r="42" spans="8:17" x14ac:dyDescent="0.25">
      <c r="H42" s="89" t="s">
        <v>43</v>
      </c>
      <c r="I42" s="90" t="s">
        <v>103</v>
      </c>
      <c r="J42" s="91"/>
      <c r="K42" s="91"/>
      <c r="L42" s="91">
        <v>0</v>
      </c>
      <c r="M42" s="91">
        <v>0.10938042786955716</v>
      </c>
      <c r="N42" s="91">
        <v>0.3319124202236316</v>
      </c>
      <c r="O42" s="91">
        <v>0.47321727795589641</v>
      </c>
      <c r="P42" s="91">
        <v>0.50066868369533568</v>
      </c>
      <c r="Q42" s="92">
        <v>0.48556010099485958</v>
      </c>
    </row>
    <row r="43" spans="8:17" x14ac:dyDescent="0.25">
      <c r="H43" s="89" t="s">
        <v>44</v>
      </c>
      <c r="I43" s="90" t="s">
        <v>103</v>
      </c>
      <c r="J43" s="91"/>
      <c r="K43" s="91"/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/>
      <c r="K44" s="91"/>
      <c r="L44" s="91">
        <v>8.4786537489401181E-2</v>
      </c>
      <c r="M44" s="91">
        <v>8.4786537489419861E-2</v>
      </c>
      <c r="N44" s="91">
        <v>8.4786537489424121E-2</v>
      </c>
      <c r="O44" s="91">
        <v>8.4786537489415545E-2</v>
      </c>
      <c r="P44" s="91">
        <v>8.4786522169409267E-2</v>
      </c>
      <c r="Q44" s="92">
        <v>8.4786513903966382E-2</v>
      </c>
    </row>
    <row r="45" spans="8:17" x14ac:dyDescent="0.25">
      <c r="H45" s="89" t="s">
        <v>46</v>
      </c>
      <c r="I45" s="90" t="s">
        <v>103</v>
      </c>
      <c r="J45" s="91"/>
      <c r="K45" s="91"/>
      <c r="L45" s="91">
        <v>1.9027730795181945</v>
      </c>
      <c r="M45" s="91">
        <v>1.9027730795185653</v>
      </c>
      <c r="N45" s="91">
        <v>1.9027730795187234</v>
      </c>
      <c r="O45" s="91">
        <v>1.9027730795184319</v>
      </c>
      <c r="P45" s="91">
        <v>1.9027730795184943</v>
      </c>
      <c r="Q45" s="92">
        <v>1.9027730795180884</v>
      </c>
    </row>
    <row r="46" spans="8:17" x14ac:dyDescent="0.25">
      <c r="H46" s="89" t="s">
        <v>47</v>
      </c>
      <c r="I46" s="90" t="s">
        <v>103</v>
      </c>
      <c r="J46" s="91"/>
      <c r="K46" s="91"/>
      <c r="L46" s="91">
        <v>1.1617554546128019</v>
      </c>
      <c r="M46" s="91">
        <v>0.53865481120887659</v>
      </c>
      <c r="N46" s="91">
        <v>0.27008284271347793</v>
      </c>
      <c r="O46" s="91">
        <v>0.13560225450753188</v>
      </c>
      <c r="P46" s="91">
        <v>2.7387255279745584E-2</v>
      </c>
      <c r="Q46" s="92">
        <v>8.1145423409433941E-14</v>
      </c>
    </row>
    <row r="47" spans="8:17" x14ac:dyDescent="0.25">
      <c r="H47" s="93" t="s">
        <v>48</v>
      </c>
      <c r="I47" s="94" t="s">
        <v>103</v>
      </c>
      <c r="J47" s="95"/>
      <c r="K47" s="95"/>
      <c r="L47" s="95">
        <v>-0.4712262648609073</v>
      </c>
      <c r="M47" s="95">
        <v>-0.47122626486107516</v>
      </c>
      <c r="N47" s="95">
        <v>-0.4712262648610987</v>
      </c>
      <c r="O47" s="95">
        <v>-0.47122626486107472</v>
      </c>
      <c r="P47" s="95">
        <v>-0.47122626486104768</v>
      </c>
      <c r="Q47" s="96">
        <v>-0.47122626486087138</v>
      </c>
    </row>
    <row r="48" spans="8:17" x14ac:dyDescent="0.25">
      <c r="H48" s="97" t="s">
        <v>49</v>
      </c>
      <c r="I48" s="98" t="s">
        <v>103</v>
      </c>
      <c r="J48" s="99"/>
      <c r="K48" s="99"/>
      <c r="L48" s="99">
        <v>-4.2468971198727543E-2</v>
      </c>
      <c r="M48" s="99">
        <v>-0.23313726827219794</v>
      </c>
      <c r="N48" s="99">
        <v>-0.25886546538568711</v>
      </c>
      <c r="O48" s="99">
        <v>-0.26681869039422745</v>
      </c>
      <c r="P48" s="99">
        <v>-0.45088478649955682</v>
      </c>
      <c r="Q48" s="100">
        <v>-0.86935107926010402</v>
      </c>
    </row>
    <row r="49" spans="8:27" x14ac:dyDescent="0.25">
      <c r="H49" s="101" t="s">
        <v>50</v>
      </c>
      <c r="I49" s="102" t="s">
        <v>103</v>
      </c>
      <c r="J49" s="103"/>
      <c r="K49" s="103"/>
      <c r="L49" s="103">
        <v>-8.4937942397455085E-2</v>
      </c>
      <c r="M49" s="103">
        <v>-0.46627453654439588</v>
      </c>
      <c r="N49" s="103">
        <v>-0.51773093077137422</v>
      </c>
      <c r="O49" s="103">
        <v>-0.53363738078845491</v>
      </c>
      <c r="P49" s="103">
        <v>-0.90176957299911364</v>
      </c>
      <c r="Q49" s="104">
        <v>-1.738702158520208</v>
      </c>
    </row>
    <row r="50" spans="8:27" x14ac:dyDescent="0.25">
      <c r="H50" s="105" t="s">
        <v>51</v>
      </c>
      <c r="I50" s="106" t="s">
        <v>103</v>
      </c>
      <c r="J50" s="107"/>
      <c r="K50" s="107"/>
      <c r="L50" s="107">
        <v>4.4039086124379612</v>
      </c>
      <c r="M50" s="107">
        <v>4.9042149472651841</v>
      </c>
      <c r="N50" s="107">
        <v>5.5180803811213677</v>
      </c>
      <c r="O50" s="107">
        <v>5.946887907236186</v>
      </c>
      <c r="P50" s="107">
        <v>6.6773362385139592</v>
      </c>
      <c r="Q50" s="108">
        <v>7.7805660328519748</v>
      </c>
    </row>
    <row r="51" spans="8:27" x14ac:dyDescent="0.25">
      <c r="H51" s="105" t="s">
        <v>52</v>
      </c>
      <c r="I51" s="106" t="s">
        <v>103</v>
      </c>
      <c r="J51" s="107"/>
      <c r="K51" s="107"/>
      <c r="L51" s="107">
        <v>4.361439641239234</v>
      </c>
      <c r="M51" s="107">
        <v>4.6710776789929866</v>
      </c>
      <c r="N51" s="107">
        <v>5.2592149157356802</v>
      </c>
      <c r="O51" s="107">
        <v>5.6800692168419582</v>
      </c>
      <c r="P51" s="107">
        <v>6.2264514520144028</v>
      </c>
      <c r="Q51" s="108">
        <v>6.9112149535918705</v>
      </c>
    </row>
    <row r="52" spans="8:27" x14ac:dyDescent="0.25">
      <c r="H52" s="109" t="s">
        <v>53</v>
      </c>
      <c r="I52" s="110" t="s">
        <v>103</v>
      </c>
      <c r="J52" s="111"/>
      <c r="K52" s="111"/>
      <c r="L52" s="111">
        <v>4.3189706700405059</v>
      </c>
      <c r="M52" s="111">
        <v>4.4379404107207883</v>
      </c>
      <c r="N52" s="111">
        <v>5.0003494503499937</v>
      </c>
      <c r="O52" s="111">
        <v>5.4132505264477313</v>
      </c>
      <c r="P52" s="111">
        <v>5.7755666655148454</v>
      </c>
      <c r="Q52" s="112">
        <v>6.0418638743317672</v>
      </c>
    </row>
    <row r="53" spans="8:27" x14ac:dyDescent="0.25">
      <c r="H53" s="113" t="s">
        <v>54</v>
      </c>
      <c r="I53" s="114" t="s">
        <v>103</v>
      </c>
      <c r="J53" s="115"/>
      <c r="K53" s="115"/>
      <c r="L53" s="115">
        <v>4.4039086124379621</v>
      </c>
      <c r="M53" s="115">
        <v>4.9042149472651841</v>
      </c>
      <c r="N53" s="115">
        <v>5.5180803811213677</v>
      </c>
      <c r="O53" s="115">
        <v>5.946887907236186</v>
      </c>
      <c r="P53" s="115">
        <v>6.6773362385139592</v>
      </c>
      <c r="Q53" s="116">
        <v>7.7805660328519766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/>
      <c r="L56" s="124">
        <v>0.56743698922489505</v>
      </c>
      <c r="M56" s="124">
        <v>0.80000000000001781</v>
      </c>
      <c r="N56" s="124">
        <v>0.90000000000004754</v>
      </c>
      <c r="O56" s="124">
        <v>0.94999999999985107</v>
      </c>
      <c r="P56" s="124">
        <v>0.99000000000024946</v>
      </c>
      <c r="Q56" s="125">
        <v>1.0000000000000029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/>
      <c r="L57" s="128">
        <v>1246230.2781046662</v>
      </c>
      <c r="M57" s="128">
        <v>1668068.2402847314</v>
      </c>
      <c r="N57" s="128">
        <v>2460824.5522872</v>
      </c>
      <c r="O57" s="128">
        <v>3092683.0841563628</v>
      </c>
      <c r="P57" s="128">
        <v>4342501.4044601126</v>
      </c>
      <c r="Q57" s="129">
        <v>7807280.4617762417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/>
      <c r="L58" s="132">
        <v>2308413.2119964119</v>
      </c>
      <c r="M58" s="132">
        <v>5355235.3583712392</v>
      </c>
      <c r="N58" s="132">
        <v>5256649.905284116</v>
      </c>
      <c r="O58" s="132">
        <v>4849285.0246021254</v>
      </c>
      <c r="P58" s="132">
        <v>5558200.955319088</v>
      </c>
      <c r="Q58" s="133">
        <v>5853140.3175593428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/>
      <c r="L59" s="132">
        <v>0</v>
      </c>
      <c r="M59" s="132">
        <v>830157.92086222046</v>
      </c>
      <c r="N59" s="132">
        <v>3042728.1275901455</v>
      </c>
      <c r="O59" s="132">
        <v>4696998.3528488372</v>
      </c>
      <c r="P59" s="132">
        <v>6292038.3840116458</v>
      </c>
      <c r="Q59" s="133">
        <v>7664771.7353307391</v>
      </c>
    </row>
    <row r="60" spans="8:27" x14ac:dyDescent="0.25">
      <c r="H60" s="134" t="s">
        <v>60</v>
      </c>
      <c r="I60" s="74" t="s">
        <v>57</v>
      </c>
      <c r="J60" s="135"/>
      <c r="K60" s="135"/>
      <c r="L60" s="135">
        <v>0</v>
      </c>
      <c r="M60" s="135">
        <v>0</v>
      </c>
      <c r="N60" s="135">
        <v>0</v>
      </c>
      <c r="O60" s="135">
        <v>0</v>
      </c>
      <c r="P60" s="135">
        <v>0</v>
      </c>
      <c r="Q60" s="136">
        <v>0</v>
      </c>
    </row>
    <row r="61" spans="8:27" x14ac:dyDescent="0.25">
      <c r="H61" s="134" t="s">
        <v>61</v>
      </c>
      <c r="I61" s="74" t="s">
        <v>57</v>
      </c>
      <c r="J61" s="135"/>
      <c r="K61" s="135"/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6">
        <v>0</v>
      </c>
    </row>
    <row r="62" spans="8:27" x14ac:dyDescent="0.25">
      <c r="H62" s="134" t="s">
        <v>62</v>
      </c>
      <c r="I62" s="74"/>
      <c r="J62" s="135"/>
      <c r="K62" s="135"/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6">
        <v>0</v>
      </c>
    </row>
    <row r="63" spans="8:27" x14ac:dyDescent="0.25">
      <c r="H63" s="137" t="s">
        <v>63</v>
      </c>
      <c r="I63" s="138" t="s">
        <v>57</v>
      </c>
      <c r="J63" s="139"/>
      <c r="K63" s="139"/>
      <c r="L63" s="139">
        <v>1379677.4918294421</v>
      </c>
      <c r="M63" s="139">
        <v>1379677.4918294421</v>
      </c>
      <c r="N63" s="139">
        <v>1379677.4918294421</v>
      </c>
      <c r="O63" s="139">
        <v>1379677.4918294421</v>
      </c>
      <c r="P63" s="139">
        <v>1379677.089244267</v>
      </c>
      <c r="Q63" s="140">
        <v>1379676.9622064792</v>
      </c>
    </row>
    <row r="64" spans="8:27" x14ac:dyDescent="0.25">
      <c r="H64" s="141" t="s">
        <v>64</v>
      </c>
      <c r="I64" s="142" t="s">
        <v>57</v>
      </c>
      <c r="J64" s="143"/>
      <c r="K64" s="143"/>
      <c r="L64" s="143">
        <v>2105340.1442442373</v>
      </c>
      <c r="M64" s="143">
        <v>2105341.3744819388</v>
      </c>
      <c r="N64" s="143">
        <v>2105341.3876995794</v>
      </c>
      <c r="O64" s="143">
        <v>2105341.800100781</v>
      </c>
      <c r="P64" s="143">
        <v>2105342.1682557222</v>
      </c>
      <c r="Q64" s="144">
        <v>2105340.9400163759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2400.4524320667465</v>
      </c>
      <c r="J68" s="151">
        <v>2400.4524320667465</v>
      </c>
      <c r="K68" s="152" t="s">
        <v>24</v>
      </c>
    </row>
    <row r="69" spans="8:17" x14ac:dyDescent="0.25">
      <c r="H69" s="153" t="s">
        <v>69</v>
      </c>
      <c r="I69" s="154">
        <v>524.17416606674601</v>
      </c>
      <c r="J69" s="154">
        <v>-413.96496693325435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/>
      <c r="K72" s="9"/>
      <c r="L72" s="9">
        <v>0.56743698922489505</v>
      </c>
      <c r="M72" s="9">
        <v>0.80000000000001781</v>
      </c>
      <c r="N72" s="9">
        <v>0.90000000000004754</v>
      </c>
      <c r="O72" s="9">
        <v>0.94999999999985107</v>
      </c>
      <c r="P72" s="9">
        <v>0.99000000000024946</v>
      </c>
      <c r="Q72" s="10">
        <v>1.0000000000000029</v>
      </c>
    </row>
    <row r="73" spans="8:17" x14ac:dyDescent="0.25">
      <c r="H73" s="51" t="s">
        <v>71</v>
      </c>
      <c r="I73" s="52"/>
      <c r="J73" s="157"/>
      <c r="K73" s="157"/>
      <c r="L73" s="157">
        <v>20.876460387027208</v>
      </c>
      <c r="M73" s="157">
        <v>244.48790333343112</v>
      </c>
      <c r="N73" s="157">
        <v>881.56243708103568</v>
      </c>
      <c r="O73" s="157">
        <v>1461.1425026595662</v>
      </c>
      <c r="P73" s="157">
        <v>3578.9983564076306</v>
      </c>
      <c r="Q73" s="158">
        <v>10213.640162091826</v>
      </c>
    </row>
    <row r="74" spans="8:17" x14ac:dyDescent="0.25">
      <c r="H74" s="130" t="s">
        <v>72</v>
      </c>
      <c r="I74" s="131"/>
      <c r="J74" s="160"/>
      <c r="K74" s="160"/>
      <c r="L74" s="160">
        <v>746.88163560793873</v>
      </c>
      <c r="M74" s="160">
        <v>3970.1897811464414</v>
      </c>
      <c r="N74" s="160">
        <v>3798.2320390626555</v>
      </c>
      <c r="O74" s="160">
        <v>3362.4311307665857</v>
      </c>
      <c r="P74" s="160">
        <v>4572.1396491749947</v>
      </c>
      <c r="Q74" s="161">
        <v>5502.571239420573</v>
      </c>
    </row>
    <row r="75" spans="8:17" x14ac:dyDescent="0.25">
      <c r="H75" s="130" t="s">
        <v>73</v>
      </c>
      <c r="I75" s="159" t="s">
        <v>2</v>
      </c>
      <c r="J75" s="162"/>
      <c r="K75" s="162"/>
      <c r="L75" s="162">
        <v>8.073927356397493E-3</v>
      </c>
      <c r="M75" s="162">
        <v>7.064311367686113E-2</v>
      </c>
      <c r="N75" s="162">
        <v>0.17266276685885074</v>
      </c>
      <c r="O75" s="162">
        <v>0.22771069324834081</v>
      </c>
      <c r="P75" s="162">
        <v>0.39723526982740659</v>
      </c>
      <c r="Q75" s="163">
        <v>0.63053186993945365</v>
      </c>
    </row>
    <row r="76" spans="8:17" x14ac:dyDescent="0.25">
      <c r="H76" s="130" t="s">
        <v>74</v>
      </c>
      <c r="I76" s="159" t="s">
        <v>2</v>
      </c>
      <c r="J76" s="162"/>
      <c r="K76" s="162"/>
      <c r="L76" s="162">
        <v>0.20327126351494107</v>
      </c>
      <c r="M76" s="162">
        <v>0.46576887303623871</v>
      </c>
      <c r="N76" s="162">
        <v>0.45395227395429183</v>
      </c>
      <c r="O76" s="162">
        <v>0.43562565010778098</v>
      </c>
      <c r="P76" s="162">
        <v>0.5168005880691624</v>
      </c>
      <c r="Q76" s="163">
        <v>0.5906286302117868</v>
      </c>
    </row>
    <row r="77" spans="8:17" x14ac:dyDescent="0.25">
      <c r="H77" s="164" t="s">
        <v>75</v>
      </c>
      <c r="I77" s="165" t="s">
        <v>2</v>
      </c>
      <c r="J77" s="166"/>
      <c r="K77" s="166"/>
      <c r="L77" s="166">
        <v>0.12264557978839073</v>
      </c>
      <c r="M77" s="166">
        <v>0.35166752333184104</v>
      </c>
      <c r="N77" s="166">
        <v>0.34735338694327378</v>
      </c>
      <c r="O77" s="166">
        <v>0.34124341668926828</v>
      </c>
      <c r="P77" s="166">
        <v>0.45647302364705578</v>
      </c>
      <c r="Q77" s="167">
        <v>0.61596168145725883</v>
      </c>
    </row>
    <row r="78" spans="8:17" x14ac:dyDescent="0.25">
      <c r="H78" s="168" t="s">
        <v>76</v>
      </c>
      <c r="I78" s="169"/>
      <c r="J78" s="170"/>
      <c r="K78" s="170"/>
      <c r="L78" s="170">
        <v>81.585210896300481</v>
      </c>
      <c r="M78" s="170">
        <v>136.55291043616711</v>
      </c>
      <c r="N78" s="170">
        <v>176.31995120148801</v>
      </c>
      <c r="O78" s="170">
        <v>200.26387504983822</v>
      </c>
      <c r="P78" s="170">
        <v>239.63991653209797</v>
      </c>
      <c r="Q78" s="171">
        <v>300.59541917636892</v>
      </c>
    </row>
    <row r="79" spans="8:17" x14ac:dyDescent="0.25">
      <c r="H79" s="172" t="s">
        <v>77</v>
      </c>
      <c r="I79" s="173"/>
      <c r="J79" s="174"/>
      <c r="K79" s="174"/>
      <c r="L79" s="174">
        <v>77.391503873357237</v>
      </c>
      <c r="M79" s="174">
        <v>120.22368046558421</v>
      </c>
      <c r="N79" s="174">
        <v>160.20327073135857</v>
      </c>
      <c r="O79" s="174">
        <v>184.52634284266941</v>
      </c>
      <c r="P79" s="174">
        <v>214.12028636776901</v>
      </c>
      <c r="Q79" s="175">
        <v>251.88305738668225</v>
      </c>
    </row>
    <row r="80" spans="8:17" x14ac:dyDescent="0.25">
      <c r="H80" s="172" t="s">
        <v>78</v>
      </c>
      <c r="I80" s="173"/>
      <c r="J80" s="174"/>
      <c r="K80" s="174"/>
      <c r="L80" s="174">
        <v>73.197796850413994</v>
      </c>
      <c r="M80" s="174">
        <v>103.89445049500135</v>
      </c>
      <c r="N80" s="174">
        <v>144.08659026122911</v>
      </c>
      <c r="O80" s="174">
        <v>168.78881063550057</v>
      </c>
      <c r="P80" s="174">
        <v>188.60065620344008</v>
      </c>
      <c r="Q80" s="175">
        <v>203.17069559699559</v>
      </c>
    </row>
    <row r="81" spans="8:17" x14ac:dyDescent="0.25">
      <c r="H81" s="73" t="s">
        <v>79</v>
      </c>
      <c r="I81" s="176"/>
      <c r="J81" s="177"/>
      <c r="K81" s="177"/>
      <c r="L81" s="177">
        <v>71.57914540376558</v>
      </c>
      <c r="M81" s="177">
        <v>88.423384452670035</v>
      </c>
      <c r="N81" s="177">
        <v>114.70033146619913</v>
      </c>
      <c r="O81" s="177">
        <v>131.3563710495398</v>
      </c>
      <c r="P81" s="177">
        <v>129.48929008864252</v>
      </c>
      <c r="Q81" s="178">
        <v>114.56729756611924</v>
      </c>
    </row>
    <row r="82" spans="8:17" x14ac:dyDescent="0.25">
      <c r="H82" s="134" t="s">
        <v>80</v>
      </c>
      <c r="I82" s="176"/>
      <c r="J82" s="177"/>
      <c r="K82" s="177"/>
      <c r="L82" s="177">
        <v>67.899778010113849</v>
      </c>
      <c r="M82" s="177">
        <v>77.84956530159549</v>
      </c>
      <c r="N82" s="177">
        <v>104.21604662230072</v>
      </c>
      <c r="O82" s="177">
        <v>121.03386470887055</v>
      </c>
      <c r="P82" s="177">
        <v>115.69977271138602</v>
      </c>
      <c r="Q82" s="178">
        <v>96.001333841192903</v>
      </c>
    </row>
    <row r="83" spans="8:17" x14ac:dyDescent="0.25">
      <c r="H83" s="179" t="s">
        <v>81</v>
      </c>
      <c r="I83" s="180"/>
      <c r="J83" s="181"/>
      <c r="K83" s="181"/>
      <c r="L83" s="181">
        <v>64.220410616462132</v>
      </c>
      <c r="M83" s="181">
        <v>67.275746150520945</v>
      </c>
      <c r="N83" s="181">
        <v>93.73176177840233</v>
      </c>
      <c r="O83" s="181">
        <v>110.71135836820127</v>
      </c>
      <c r="P83" s="181">
        <v>101.91025533412952</v>
      </c>
      <c r="Q83" s="182">
        <v>77.435370116266583</v>
      </c>
    </row>
    <row r="84" spans="8:17" x14ac:dyDescent="0.25">
      <c r="H84" s="183" t="s">
        <v>82</v>
      </c>
      <c r="I84" s="184" t="s">
        <v>12</v>
      </c>
      <c r="J84" s="185"/>
      <c r="K84" s="185"/>
      <c r="L84" s="185">
        <v>0</v>
      </c>
      <c r="M84" s="185">
        <v>0.99535246917777942</v>
      </c>
      <c r="N84" s="185">
        <v>2.4729338178636904</v>
      </c>
      <c r="O84" s="185">
        <v>3.037490893852842</v>
      </c>
      <c r="P84" s="185">
        <v>2.8978866316769389</v>
      </c>
      <c r="Q84" s="186">
        <v>1.9634933759218176</v>
      </c>
    </row>
    <row r="86" spans="8:17" ht="14.45" customHeight="1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>
        <f t="shared" ref="J92:O92" si="5">J5</f>
        <v>0</v>
      </c>
      <c r="K92" s="228">
        <f t="shared" si="5"/>
        <v>0</v>
      </c>
      <c r="L92" s="228">
        <f t="shared" si="5"/>
        <v>0.56743698922489505</v>
      </c>
      <c r="M92" s="228">
        <f t="shared" si="5"/>
        <v>0.80000000000001781</v>
      </c>
      <c r="N92" s="228">
        <f t="shared" si="5"/>
        <v>0.90000000000004754</v>
      </c>
      <c r="O92" s="228">
        <f t="shared" si="5"/>
        <v>0.94999999999985107</v>
      </c>
      <c r="P92" s="228">
        <f t="shared" ref="P92" si="6">P5</f>
        <v>0.99000000000024946</v>
      </c>
      <c r="Q92" s="229">
        <f>Q5</f>
        <v>1.0000000000000029</v>
      </c>
    </row>
    <row r="93" spans="8:17" ht="18" x14ac:dyDescent="0.25">
      <c r="H93" s="148" t="s">
        <v>89</v>
      </c>
      <c r="I93" s="194" t="s">
        <v>104</v>
      </c>
      <c r="J93" s="195">
        <f t="shared" ref="J93:O93" si="7">IF(J22&gt;0,  $I$88*(J6*1000)/(J22*1000)/$K$88*1000, 0)</f>
        <v>0</v>
      </c>
      <c r="K93" s="195">
        <f t="shared" si="7"/>
        <v>0</v>
      </c>
      <c r="L93" s="195">
        <f t="shared" si="7"/>
        <v>12.651894976007693</v>
      </c>
      <c r="M93" s="195">
        <f t="shared" si="7"/>
        <v>12.651894976007702</v>
      </c>
      <c r="N93" s="195">
        <f t="shared" si="7"/>
        <v>12.651894976007675</v>
      </c>
      <c r="O93" s="195">
        <f t="shared" si="7"/>
        <v>12.651894976007698</v>
      </c>
      <c r="P93" s="195">
        <f t="shared" ref="P93" si="8">IF(P22&gt;0,  $I$88*(P6*1000)/(P22*1000)/$K$88*1000, 0)</f>
        <v>12.651894976007661</v>
      </c>
      <c r="Q93" s="196">
        <f>IF(Q22&gt;0,  $I$88*(Q6*1000)/(Q22*1000)/$K$88*1000, 0)</f>
        <v>12.651894976007727</v>
      </c>
    </row>
    <row r="94" spans="8:17" ht="18" x14ac:dyDescent="0.25">
      <c r="H94" s="61" t="s">
        <v>90</v>
      </c>
      <c r="I94" s="230" t="s">
        <v>104</v>
      </c>
      <c r="J94" s="231">
        <f t="shared" ref="J94:O94" si="9">IF(J23&gt;0,$I$89*(J7*1000)/(J23*1000)/$K$89*1000,0)</f>
        <v>0</v>
      </c>
      <c r="K94" s="231">
        <f t="shared" si="9"/>
        <v>0</v>
      </c>
      <c r="L94" s="231">
        <f t="shared" si="9"/>
        <v>6.366343767455926</v>
      </c>
      <c r="M94" s="231">
        <f t="shared" si="9"/>
        <v>6.366343767455934</v>
      </c>
      <c r="N94" s="231">
        <f t="shared" si="9"/>
        <v>6.3663437674559615</v>
      </c>
      <c r="O94" s="231">
        <f t="shared" si="9"/>
        <v>6.3663437674559287</v>
      </c>
      <c r="P94" s="231">
        <f t="shared" ref="P94" si="10">IF(P23&gt;0,$I$89*(P7*1000)/(P23*1000)/$K$89*1000,0)</f>
        <v>6.3663437674559775</v>
      </c>
      <c r="Q94" s="232">
        <f>IF(Q23&gt;0,$I$89*(Q7*1000)/(Q23*1000)/$K$89*1000,0)</f>
        <v>6.3663437674559589</v>
      </c>
    </row>
    <row r="95" spans="8:17" ht="18" x14ac:dyDescent="0.25">
      <c r="H95" s="153" t="s">
        <v>99</v>
      </c>
      <c r="I95" s="197" t="s">
        <v>104</v>
      </c>
      <c r="J95" s="198">
        <f t="shared" ref="J95:O95" si="11">IF(-J26&gt;0,$I$90*(J8*1000)/(-J26*1000)/$K$90*1000,0)</f>
        <v>0</v>
      </c>
      <c r="K95" s="198">
        <f t="shared" si="11"/>
        <v>0</v>
      </c>
      <c r="L95" s="198">
        <f t="shared" si="11"/>
        <v>0</v>
      </c>
      <c r="M95" s="198">
        <f t="shared" si="11"/>
        <v>20.239069933078213</v>
      </c>
      <c r="N95" s="198">
        <f t="shared" si="11"/>
        <v>24.446072646940436</v>
      </c>
      <c r="O95" s="198">
        <f t="shared" si="11"/>
        <v>26.468496202369952</v>
      </c>
      <c r="P95" s="198">
        <f t="shared" ref="P95" si="12">IF(-P26&gt;0,$I$90*(P8*1000)/(-P26*1000)/$K$90*1000,0)</f>
        <v>33.512774838550584</v>
      </c>
      <c r="Q95" s="199">
        <f>IF(-Q26&gt;0,$I$90*(Q8*1000)/(-Q26*1000)/$K$90*1000,0)</f>
        <v>42.094532000970688</v>
      </c>
    </row>
    <row r="96" spans="8:17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>
        <f t="shared" ref="J97:O97" si="13">J5</f>
        <v>0</v>
      </c>
      <c r="K97" s="9">
        <f t="shared" si="13"/>
        <v>0</v>
      </c>
      <c r="L97" s="9">
        <f t="shared" si="13"/>
        <v>0.56743698922489505</v>
      </c>
      <c r="M97" s="9">
        <f t="shared" si="13"/>
        <v>0.80000000000001781</v>
      </c>
      <c r="N97" s="9">
        <f t="shared" si="13"/>
        <v>0.90000000000004754</v>
      </c>
      <c r="O97" s="9">
        <f t="shared" si="13"/>
        <v>0.94999999999985107</v>
      </c>
      <c r="P97" s="9">
        <f t="shared" ref="P97" si="14">P5</f>
        <v>0.99000000000024946</v>
      </c>
      <c r="Q97" s="10">
        <f>Q5</f>
        <v>1.0000000000000029</v>
      </c>
    </row>
    <row r="98" spans="8:17" ht="18" x14ac:dyDescent="0.25">
      <c r="H98" s="200" t="s">
        <v>91</v>
      </c>
      <c r="I98" s="201" t="s">
        <v>106</v>
      </c>
      <c r="J98" s="202">
        <f t="shared" ref="J98:O98" si="15">$M$88/1000*J24*1000</f>
        <v>0</v>
      </c>
      <c r="K98" s="202">
        <f t="shared" si="15"/>
        <v>0</v>
      </c>
      <c r="L98" s="202">
        <f t="shared" si="15"/>
        <v>1674708.7939200061</v>
      </c>
      <c r="M98" s="202">
        <f t="shared" si="15"/>
        <v>774319.00194931228</v>
      </c>
      <c r="N98" s="202">
        <f t="shared" si="15"/>
        <v>387159.50097549171</v>
      </c>
      <c r="O98" s="202">
        <f t="shared" si="15"/>
        <v>193579.7504878082</v>
      </c>
      <c r="P98" s="202">
        <f t="shared" ref="P98" si="16">$M$88/1000*P24*1000</f>
        <v>38715.950096787659</v>
      </c>
      <c r="Q98" s="203">
        <f>$M$88/1000*Q24*1000</f>
        <v>1.1369797903171275E-7</v>
      </c>
    </row>
    <row r="99" spans="8:17" ht="18" x14ac:dyDescent="0.25">
      <c r="H99" s="204" t="s">
        <v>92</v>
      </c>
      <c r="I99" s="13" t="s">
        <v>106</v>
      </c>
      <c r="J99" s="31">
        <f t="shared" ref="J99:O100" si="17">J93/1000*J22*1000</f>
        <v>0</v>
      </c>
      <c r="K99" s="31">
        <f t="shared" si="17"/>
        <v>0</v>
      </c>
      <c r="L99" s="31">
        <f t="shared" si="17"/>
        <v>32713.544800247484</v>
      </c>
      <c r="M99" s="31">
        <f t="shared" si="17"/>
        <v>43786.791307474188</v>
      </c>
      <c r="N99" s="31">
        <f t="shared" si="17"/>
        <v>64596.64449753899</v>
      </c>
      <c r="O99" s="31">
        <f t="shared" si="17"/>
        <v>81182.930959104531</v>
      </c>
      <c r="P99" s="31">
        <f t="shared" ref="P99" si="18">P93/1000*P22*1000</f>
        <v>113990.66186707796</v>
      </c>
      <c r="Q99" s="62">
        <f>Q93/1000*Q22*1000</f>
        <v>204941.11212162636</v>
      </c>
    </row>
    <row r="100" spans="8:17" ht="18" x14ac:dyDescent="0.25">
      <c r="H100" s="204" t="s">
        <v>93</v>
      </c>
      <c r="I100" s="13" t="s">
        <v>106</v>
      </c>
      <c r="J100" s="31">
        <f t="shared" si="17"/>
        <v>0</v>
      </c>
      <c r="K100" s="31">
        <f t="shared" si="17"/>
        <v>0</v>
      </c>
      <c r="L100" s="31">
        <f t="shared" si="17"/>
        <v>23391.920548230315</v>
      </c>
      <c r="M100" s="31">
        <f t="shared" si="17"/>
        <v>54266.384964828561</v>
      </c>
      <c r="N100" s="31">
        <f t="shared" si="17"/>
        <v>53267.385706879046</v>
      </c>
      <c r="O100" s="31">
        <f t="shared" si="17"/>
        <v>49139.421582634881</v>
      </c>
      <c r="P100" s="31">
        <f t="shared" ref="P100" si="19">P94/1000*P23*1000</f>
        <v>56323.103013900101</v>
      </c>
      <c r="Q100" s="62">
        <f>Q94/1000*Q23*1000</f>
        <v>59311.821884601355</v>
      </c>
    </row>
    <row r="101" spans="8:17" ht="18" x14ac:dyDescent="0.25">
      <c r="H101" s="204" t="s">
        <v>94</v>
      </c>
      <c r="I101" s="13" t="s">
        <v>106</v>
      </c>
      <c r="J101" s="31">
        <f t="shared" ref="J101:O101" si="20">J95/1000*(-J26)*1000</f>
        <v>0</v>
      </c>
      <c r="K101" s="31">
        <f t="shared" si="20"/>
        <v>0</v>
      </c>
      <c r="L101" s="31">
        <f t="shared" si="20"/>
        <v>0</v>
      </c>
      <c r="M101" s="31">
        <f t="shared" si="20"/>
        <v>9235.5068695922018</v>
      </c>
      <c r="N101" s="31">
        <f t="shared" si="20"/>
        <v>33850.350419440372</v>
      </c>
      <c r="O101" s="31">
        <f t="shared" si="20"/>
        <v>52254.10667544332</v>
      </c>
      <c r="P101" s="31">
        <f t="shared" ref="P101" si="21">P95/1000*(-P26)*1000</f>
        <v>69998.927022129574</v>
      </c>
      <c r="Q101" s="62">
        <f>Q95/1000*(-Q26)*1000</f>
        <v>85270.585555554469</v>
      </c>
    </row>
    <row r="102" spans="8:17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>
        <f t="shared" ref="J105:O105" si="22">J98/J104</f>
        <v>0</v>
      </c>
      <c r="K105" s="211">
        <f t="shared" si="22"/>
        <v>0</v>
      </c>
      <c r="L105" s="211">
        <f t="shared" si="22"/>
        <v>3.0879153171756846</v>
      </c>
      <c r="M105" s="211">
        <f t="shared" si="22"/>
        <v>1.4277297134760061</v>
      </c>
      <c r="N105" s="211">
        <f t="shared" si="22"/>
        <v>0.71386485673959776</v>
      </c>
      <c r="O105" s="211">
        <f t="shared" si="22"/>
        <v>0.35693242836991462</v>
      </c>
      <c r="P105" s="211">
        <f t="shared" ref="P105" si="23">P98/P104</f>
        <v>7.1386485672555816E-2</v>
      </c>
      <c r="Q105" s="212">
        <f>Q98/Q104</f>
        <v>2.096422567664E-13</v>
      </c>
    </row>
    <row r="106" spans="8:17" ht="18" x14ac:dyDescent="0.25">
      <c r="H106" s="213" t="s">
        <v>89</v>
      </c>
      <c r="I106" s="214" t="s">
        <v>109</v>
      </c>
      <c r="J106" s="215">
        <f t="shared" ref="J106:O106" si="24">J99/J104</f>
        <v>0</v>
      </c>
      <c r="K106" s="215">
        <f t="shared" si="24"/>
        <v>0</v>
      </c>
      <c r="L106" s="215">
        <f t="shared" si="24"/>
        <v>6.0318938095109999E-2</v>
      </c>
      <c r="M106" s="215">
        <f t="shared" si="24"/>
        <v>8.0736366859231662E-2</v>
      </c>
      <c r="N106" s="215">
        <f t="shared" si="24"/>
        <v>0.11910665824784576</v>
      </c>
      <c r="O106" s="215">
        <f t="shared" si="24"/>
        <v>0.14968931727828258</v>
      </c>
      <c r="P106" s="215">
        <f t="shared" ref="P106" si="25">P99/P104</f>
        <v>0.21018192062538305</v>
      </c>
      <c r="Q106" s="216">
        <f>Q99/Q104</f>
        <v>0.37788109881363779</v>
      </c>
    </row>
    <row r="107" spans="8:17" ht="18" x14ac:dyDescent="0.25">
      <c r="H107" s="213" t="s">
        <v>90</v>
      </c>
      <c r="I107" s="214" t="s">
        <v>109</v>
      </c>
      <c r="J107" s="215">
        <f t="shared" ref="J107:O107" si="26">J100/J104</f>
        <v>0</v>
      </c>
      <c r="K107" s="215">
        <f t="shared" si="26"/>
        <v>0</v>
      </c>
      <c r="L107" s="215">
        <f t="shared" si="26"/>
        <v>4.3131241694839548E-2</v>
      </c>
      <c r="M107" s="215">
        <f t="shared" si="26"/>
        <v>0.10005918757277908</v>
      </c>
      <c r="N107" s="215">
        <f t="shared" si="26"/>
        <v>9.8217180698714782E-2</v>
      </c>
      <c r="O107" s="215">
        <f t="shared" si="26"/>
        <v>9.0605825402629125E-2</v>
      </c>
      <c r="P107" s="215">
        <f t="shared" ref="P107" si="27">P100/P104</f>
        <v>0.10385147145515283</v>
      </c>
      <c r="Q107" s="216">
        <f>Q100/Q104</f>
        <v>0.10936222700446069</v>
      </c>
    </row>
    <row r="108" spans="8:17" ht="18" x14ac:dyDescent="0.25">
      <c r="H108" s="213" t="s">
        <v>99</v>
      </c>
      <c r="I108" s="214" t="s">
        <v>109</v>
      </c>
      <c r="J108" s="215">
        <f t="shared" ref="J108:O108" si="28">J101/J104</f>
        <v>0</v>
      </c>
      <c r="K108" s="215">
        <f t="shared" si="28"/>
        <v>0</v>
      </c>
      <c r="L108" s="215">
        <f t="shared" si="28"/>
        <v>0</v>
      </c>
      <c r="M108" s="215">
        <f t="shared" si="28"/>
        <v>1.7028908684319898E-2</v>
      </c>
      <c r="N108" s="215">
        <f t="shared" si="28"/>
        <v>6.2415039516978486E-2</v>
      </c>
      <c r="O108" s="215">
        <f t="shared" si="28"/>
        <v>9.6348844034393019E-2</v>
      </c>
      <c r="P108" s="215">
        <f t="shared" ref="P108" si="29">P101/P104</f>
        <v>0.12906766819534005</v>
      </c>
      <c r="Q108" s="216">
        <f>Q101/Q104</f>
        <v>0.15722634776712038</v>
      </c>
    </row>
    <row r="109" spans="8:17" ht="18" x14ac:dyDescent="0.25">
      <c r="H109" s="213" t="s">
        <v>100</v>
      </c>
      <c r="I109" s="214" t="s">
        <v>108</v>
      </c>
      <c r="J109" s="215">
        <f t="shared" ref="J109:O109" si="30">-J103/J104</f>
        <v>-9.4245252972192066</v>
      </c>
      <c r="K109" s="215">
        <f t="shared" si="30"/>
        <v>-9.4245252972192066</v>
      </c>
      <c r="L109" s="215">
        <f t="shared" si="30"/>
        <v>-9.4245252972192066</v>
      </c>
      <c r="M109" s="215">
        <f t="shared" si="30"/>
        <v>-9.4245252972203968</v>
      </c>
      <c r="N109" s="215">
        <f t="shared" si="30"/>
        <v>-9.4245252972200717</v>
      </c>
      <c r="O109" s="215">
        <f t="shared" si="30"/>
        <v>-9.4245252972199971</v>
      </c>
      <c r="P109" s="215">
        <f t="shared" ref="P109" si="31">-P103/P104</f>
        <v>-9.4245252972199971</v>
      </c>
      <c r="Q109" s="216">
        <f>-Q103/Q104</f>
        <v>-9.4245252972206099</v>
      </c>
    </row>
    <row r="110" spans="8:17" ht="18" x14ac:dyDescent="0.25">
      <c r="H110" s="217" t="s">
        <v>101</v>
      </c>
      <c r="I110" s="218" t="s">
        <v>108</v>
      </c>
      <c r="J110" s="219">
        <f>SUM(J105:J109)</f>
        <v>-9.4245252972192066</v>
      </c>
      <c r="K110" s="219">
        <f t="shared" ref="K110:O110" si="32">SUM(K105:K109)</f>
        <v>-9.4245252972192066</v>
      </c>
      <c r="L110" s="219">
        <f t="shared" si="32"/>
        <v>-6.2331598002535724</v>
      </c>
      <c r="M110" s="219">
        <f t="shared" si="32"/>
        <v>-7.7989711206280603</v>
      </c>
      <c r="N110" s="219">
        <f t="shared" si="32"/>
        <v>-8.4309215620169358</v>
      </c>
      <c r="O110" s="219">
        <f t="shared" si="32"/>
        <v>-8.7309488821347774</v>
      </c>
      <c r="P110" s="219">
        <f t="shared" ref="P110" si="33">SUM(P105:P109)</f>
        <v>-8.9100377512715649</v>
      </c>
      <c r="Q110" s="220">
        <f>SUM(Q105:Q109)</f>
        <v>-8.7800556236351817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>L112</f>
        <v>57.23476298669312</v>
      </c>
      <c r="K112" s="284">
        <f>M112</f>
        <v>57.2347629867118</v>
      </c>
      <c r="L112" s="284">
        <f t="shared" ref="L112:O112" si="34">(L31+L37)*L104/L22</f>
        <v>57.23476298669312</v>
      </c>
      <c r="M112" s="284">
        <f t="shared" si="34"/>
        <v>57.2347629867118</v>
      </c>
      <c r="N112" s="284">
        <f t="shared" si="34"/>
        <v>57.234762986712092</v>
      </c>
      <c r="O112" s="284">
        <f t="shared" si="34"/>
        <v>57.234762986703309</v>
      </c>
      <c r="P112" s="284">
        <f t="shared" ref="P112" si="35">(P31+P37)*P104/P22</f>
        <v>57.234762986705014</v>
      </c>
      <c r="Q112" s="285">
        <f>(Q31+Q37)*Q104/Q22</f>
        <v>57.234762986693276</v>
      </c>
    </row>
    <row r="113" spans="8:17" x14ac:dyDescent="0.25">
      <c r="H113" s="286" t="s">
        <v>134</v>
      </c>
      <c r="I113" s="287"/>
      <c r="J113" s="181">
        <f>K113</f>
        <v>81.673489121982243</v>
      </c>
      <c r="K113" s="181">
        <f>M113</f>
        <v>81.673489121982243</v>
      </c>
      <c r="L113" s="181">
        <f t="shared" ref="L113:Q113" si="36">IF(L32&gt;0,(L32+L38)*L104/L23,0)</f>
        <v>81.673489121955569</v>
      </c>
      <c r="M113" s="181">
        <f t="shared" si="36"/>
        <v>81.673489121982243</v>
      </c>
      <c r="N113" s="181">
        <f t="shared" si="36"/>
        <v>81.673489121983195</v>
      </c>
      <c r="O113" s="181">
        <f t="shared" si="36"/>
        <v>81.673489121970078</v>
      </c>
      <c r="P113" s="181">
        <f t="shared" si="36"/>
        <v>81.673489121973375</v>
      </c>
      <c r="Q113" s="182">
        <f t="shared" si="36"/>
        <v>81.673489121955967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 t="shared" ref="J115:O115" si="37">J28</f>
        <v>0</v>
      </c>
      <c r="K115" s="228">
        <f t="shared" si="37"/>
        <v>0</v>
      </c>
      <c r="L115" s="228">
        <f t="shared" si="37"/>
        <v>1.7917045624926686E-10</v>
      </c>
      <c r="M115" s="228">
        <f t="shared" si="37"/>
        <v>-2.3993607101147063E-9</v>
      </c>
      <c r="N115" s="228">
        <f t="shared" si="37"/>
        <v>1.3137650967109948E-9</v>
      </c>
      <c r="O115" s="228">
        <f t="shared" si="37"/>
        <v>-8.4787643572781235E-10</v>
      </c>
      <c r="P115" s="228">
        <f t="shared" ref="P115" si="38">P28</f>
        <v>5.9981175581924617E-10</v>
      </c>
      <c r="Q115" s="229">
        <f>Q28</f>
        <v>3.1241143005900085E-10</v>
      </c>
    </row>
    <row r="116" spans="8:17" ht="18" x14ac:dyDescent="0.25">
      <c r="H116" s="148" t="s">
        <v>89</v>
      </c>
      <c r="I116" s="194" t="s">
        <v>104</v>
      </c>
      <c r="J116" s="195">
        <f t="shared" ref="J116:O116" si="39">IF(J22&gt;0,  $J$88*(J6*1000)/(J22*1000)/$K$88*1000, 0)</f>
        <v>0</v>
      </c>
      <c r="K116" s="195">
        <f t="shared" si="39"/>
        <v>0</v>
      </c>
      <c r="L116" s="195">
        <f t="shared" si="39"/>
        <v>42.172983253358979</v>
      </c>
      <c r="M116" s="195">
        <f t="shared" si="39"/>
        <v>42.172983253359014</v>
      </c>
      <c r="N116" s="195">
        <f t="shared" si="39"/>
        <v>42.172983253358922</v>
      </c>
      <c r="O116" s="195">
        <f t="shared" si="39"/>
        <v>42.172983253358993</v>
      </c>
      <c r="P116" s="195">
        <f t="shared" ref="P116" si="40">IF(P22&gt;0,  $J$88*(P6*1000)/(P22*1000)/$K$88*1000, 0)</f>
        <v>42.172983253358872</v>
      </c>
      <c r="Q116" s="196">
        <f>IF(Q22&gt;0,  $J$88*(Q6*1000)/(Q22*1000)/$K$88*1000, 0)</f>
        <v>42.172983253359078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41">IF(J23&gt;0,$J$89*(J7*1000)/(J23*1000)/$K$89*1000,0)</f>
        <v>0</v>
      </c>
      <c r="K117" s="231">
        <f t="shared" si="41"/>
        <v>0</v>
      </c>
      <c r="L117" s="231">
        <f t="shared" si="41"/>
        <v>10.889798549595662</v>
      </c>
      <c r="M117" s="231">
        <f t="shared" si="41"/>
        <v>10.889798549595678</v>
      </c>
      <c r="N117" s="231">
        <f t="shared" si="41"/>
        <v>10.889798549595724</v>
      </c>
      <c r="O117" s="231">
        <f t="shared" si="41"/>
        <v>10.889798549595669</v>
      </c>
      <c r="P117" s="231">
        <f t="shared" ref="P117" si="42">IF(P23&gt;0,$J$89*(P7*1000)/(P23*1000)/$K$89*1000,0)</f>
        <v>10.889798549595749</v>
      </c>
      <c r="Q117" s="232">
        <f>IF(Q23&gt;0,$J$89*(Q7*1000)/(Q23*1000)/$K$89*1000,0)</f>
        <v>10.889798549595717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43">IF(-J26&gt;0,$J$90*(J8*1000)/(-J26*1000)/$K$90*1000,0)</f>
        <v>0</v>
      </c>
      <c r="K118" s="198">
        <f t="shared" si="43"/>
        <v>0</v>
      </c>
      <c r="L118" s="198">
        <f t="shared" si="43"/>
        <v>0</v>
      </c>
      <c r="M118" s="198">
        <f t="shared" si="43"/>
        <v>38.431492344833906</v>
      </c>
      <c r="N118" s="198">
        <f t="shared" si="43"/>
        <v>46.420070531830717</v>
      </c>
      <c r="O118" s="198">
        <f t="shared" si="43"/>
        <v>50.260402901129453</v>
      </c>
      <c r="P118" s="198">
        <f t="shared" ref="P118" si="44">IF(-P26&gt;0,$J$90*(P8*1000)/(-P26*1000)/$K$90*1000,0)</f>
        <v>63.636617390056713</v>
      </c>
      <c r="Q118" s="199">
        <f>IF(-Q26&gt;0,$J$90*(Q8*1000)/(-Q26*1000)/$K$90*1000,0)</f>
        <v>79.932313574876929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45">J28</f>
        <v>0</v>
      </c>
      <c r="K120" s="9">
        <f t="shared" si="45"/>
        <v>0</v>
      </c>
      <c r="L120" s="9">
        <f t="shared" si="45"/>
        <v>1.7917045624926686E-10</v>
      </c>
      <c r="M120" s="9">
        <f t="shared" si="45"/>
        <v>-2.3993607101147063E-9</v>
      </c>
      <c r="N120" s="9">
        <f t="shared" si="45"/>
        <v>1.3137650967109948E-9</v>
      </c>
      <c r="O120" s="9">
        <f t="shared" si="45"/>
        <v>-8.4787643572781235E-10</v>
      </c>
      <c r="P120" s="9">
        <f t="shared" ref="P120" si="46">P28</f>
        <v>5.9981175581924617E-10</v>
      </c>
      <c r="Q120" s="10">
        <f>Q28</f>
        <v>3.1241143005900085E-10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O121" si="47">$M$88/1000*K24*1000</f>
        <v>0</v>
      </c>
      <c r="L121" s="202">
        <f t="shared" si="47"/>
        <v>1674708.7939200061</v>
      </c>
      <c r="M121" s="202">
        <f t="shared" si="47"/>
        <v>774319.00194931228</v>
      </c>
      <c r="N121" s="202">
        <f t="shared" si="47"/>
        <v>387159.50097549171</v>
      </c>
      <c r="O121" s="202">
        <f t="shared" si="47"/>
        <v>193579.7504878082</v>
      </c>
      <c r="P121" s="202">
        <f t="shared" ref="P121" si="48">$M$88/1000*P24*1000</f>
        <v>38715.950096787659</v>
      </c>
      <c r="Q121" s="203">
        <f>$M$88/1000*Q24*1000</f>
        <v>1.1369797903171275E-7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O123" si="49">K116/1000*K22*1000</f>
        <v>0</v>
      </c>
      <c r="L122" s="31">
        <f t="shared" si="49"/>
        <v>109045.14933415828</v>
      </c>
      <c r="M122" s="31">
        <f t="shared" si="49"/>
        <v>145955.971024914</v>
      </c>
      <c r="N122" s="31">
        <f t="shared" si="49"/>
        <v>215322.14832512999</v>
      </c>
      <c r="O122" s="31">
        <f t="shared" si="49"/>
        <v>270609.76986368169</v>
      </c>
      <c r="P122" s="31">
        <f t="shared" ref="P122" si="50">P116/1000*P22*1000</f>
        <v>379968.8728902599</v>
      </c>
      <c r="Q122" s="62">
        <f>Q116/1000*Q22*1000</f>
        <v>683137.04040542105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49"/>
        <v>0</v>
      </c>
      <c r="L123" s="31">
        <f t="shared" si="49"/>
        <v>40012.495674604477</v>
      </c>
      <c r="M123" s="31">
        <f t="shared" si="49"/>
        <v>92824.079545101515</v>
      </c>
      <c r="N123" s="31">
        <f t="shared" si="49"/>
        <v>91115.265024924694</v>
      </c>
      <c r="O123" s="31">
        <f t="shared" si="49"/>
        <v>84054.273759770193</v>
      </c>
      <c r="P123" s="31">
        <f t="shared" ref="P123" si="51">P117/1000*P23*1000</f>
        <v>96342.149892197544</v>
      </c>
      <c r="Q123" s="62">
        <f>Q117/1000*Q23*1000</f>
        <v>101454.43217102862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52">K118/1000*(-K26)*1000</f>
        <v>0</v>
      </c>
      <c r="L124" s="31">
        <f t="shared" si="52"/>
        <v>0</v>
      </c>
      <c r="M124" s="31">
        <f t="shared" si="52"/>
        <v>17537.086078214405</v>
      </c>
      <c r="N124" s="31">
        <f t="shared" si="52"/>
        <v>64277.631695341828</v>
      </c>
      <c r="O124" s="31">
        <f t="shared" si="52"/>
        <v>99224.090203931686</v>
      </c>
      <c r="P124" s="31">
        <f t="shared" ref="P124" si="53">P118/1000*(-P26)*1000</f>
        <v>132919.31086224603</v>
      </c>
      <c r="Q124" s="62">
        <f>Q118/1000*(-Q26)*1000</f>
        <v>161918.30290886186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54">J121/J127</f>
        <v>0</v>
      </c>
      <c r="K128" s="211">
        <f t="shared" si="54"/>
        <v>0</v>
      </c>
      <c r="L128" s="211">
        <f t="shared" si="54"/>
        <v>3.0879153171756846</v>
      </c>
      <c r="M128" s="211">
        <f t="shared" si="54"/>
        <v>1.4277297134760061</v>
      </c>
      <c r="N128" s="211">
        <f t="shared" si="54"/>
        <v>0.71386485673959776</v>
      </c>
      <c r="O128" s="211">
        <f t="shared" si="54"/>
        <v>0.35693242836991462</v>
      </c>
      <c r="P128" s="211">
        <f t="shared" ref="P128" si="55">P121/P127</f>
        <v>7.1386485672555816E-2</v>
      </c>
      <c r="Q128" s="212">
        <f>Q121/Q127</f>
        <v>2.096422567664E-13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56">J122/J127</f>
        <v>0</v>
      </c>
      <c r="K129" s="215">
        <f t="shared" si="56"/>
        <v>0</v>
      </c>
      <c r="L129" s="215">
        <f t="shared" si="56"/>
        <v>0.20106312698369999</v>
      </c>
      <c r="M129" s="215">
        <f t="shared" si="56"/>
        <v>0.26912122286410561</v>
      </c>
      <c r="N129" s="215">
        <f t="shared" si="56"/>
        <v>0.39702219415948592</v>
      </c>
      <c r="O129" s="215">
        <f t="shared" si="56"/>
        <v>0.49896439092760853</v>
      </c>
      <c r="P129" s="215">
        <f t="shared" ref="P129" si="57">P122/P127</f>
        <v>0.70060640208461022</v>
      </c>
      <c r="Q129" s="216">
        <f>Q122/Q127</f>
        <v>1.2596036627121259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58">J123/J127</f>
        <v>0</v>
      </c>
      <c r="K130" s="215">
        <f t="shared" si="58"/>
        <v>0</v>
      </c>
      <c r="L130" s="215">
        <f t="shared" si="58"/>
        <v>7.3777123951699219E-2</v>
      </c>
      <c r="M130" s="215">
        <f t="shared" si="58"/>
        <v>0.17115387347975372</v>
      </c>
      <c r="N130" s="215">
        <f t="shared" si="58"/>
        <v>0.16800307224780162</v>
      </c>
      <c r="O130" s="215">
        <f t="shared" si="58"/>
        <v>0.15498364871502351</v>
      </c>
      <c r="P130" s="215">
        <f t="shared" ref="P130" si="59">P123/P127</f>
        <v>0.17764067485749827</v>
      </c>
      <c r="Q130" s="216">
        <f>Q123/Q127</f>
        <v>0.18706696724447219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60">K124/K127</f>
        <v>0</v>
      </c>
      <c r="L131" s="215">
        <f t="shared" si="60"/>
        <v>0</v>
      </c>
      <c r="M131" s="215">
        <f t="shared" si="60"/>
        <v>3.2335792894944523E-2</v>
      </c>
      <c r="N131" s="215">
        <f t="shared" si="60"/>
        <v>0.11851844582437487</v>
      </c>
      <c r="O131" s="215">
        <f t="shared" si="60"/>
        <v>0.18295454653721821</v>
      </c>
      <c r="P131" s="215">
        <f t="shared" ref="P131" si="61">P124/P127</f>
        <v>0.24508354971924118</v>
      </c>
      <c r="Q131" s="216">
        <f>Q124/Q127</f>
        <v>0.29855340193981289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62">-K126/K127</f>
        <v>-9.4245252972192066</v>
      </c>
      <c r="L132" s="215">
        <f t="shared" si="62"/>
        <v>-9.4245252972192066</v>
      </c>
      <c r="M132" s="215">
        <f t="shared" si="62"/>
        <v>-9.4245252972203968</v>
      </c>
      <c r="N132" s="215">
        <f t="shared" si="62"/>
        <v>-9.4245252972200717</v>
      </c>
      <c r="O132" s="215">
        <f t="shared" si="62"/>
        <v>-9.4245252972199971</v>
      </c>
      <c r="P132" s="215">
        <f t="shared" ref="P132" si="63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64">SUM(J128:J132)</f>
        <v>-9.4245252972192066</v>
      </c>
      <c r="K133" s="219">
        <f t="shared" si="64"/>
        <v>-9.4245252972192066</v>
      </c>
      <c r="L133" s="219">
        <f t="shared" si="64"/>
        <v>-6.0617697291081232</v>
      </c>
      <c r="M133" s="219">
        <f t="shared" si="64"/>
        <v>-7.5241846945055872</v>
      </c>
      <c r="N133" s="219">
        <f t="shared" si="64"/>
        <v>-8.0271167282488118</v>
      </c>
      <c r="O133" s="219">
        <f t="shared" si="64"/>
        <v>-8.2306902826702313</v>
      </c>
      <c r="P133" s="219">
        <f t="shared" ref="P133" si="65">SUM(P128:P132)</f>
        <v>-8.2298081848860924</v>
      </c>
      <c r="Q133" s="220">
        <f>SUM(Q128:Q132)</f>
        <v>-7.6793012653239892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O136" si="66">SUM(K106:K108)</f>
        <v>0</v>
      </c>
      <c r="L136" s="366">
        <f t="shared" si="66"/>
        <v>0.10345017978994955</v>
      </c>
      <c r="M136" s="366">
        <f t="shared" si="66"/>
        <v>0.19782446311633062</v>
      </c>
      <c r="N136" s="366">
        <f t="shared" si="66"/>
        <v>0.27973887846353901</v>
      </c>
      <c r="O136" s="366">
        <f t="shared" si="66"/>
        <v>0.33664398671530471</v>
      </c>
      <c r="P136" s="366">
        <f t="shared" ref="P136" si="67">SUM(P106:P108)</f>
        <v>0.44310106027587592</v>
      </c>
      <c r="Q136" s="367">
        <f>SUM(Q106:Q108)</f>
        <v>0.64446967358521889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O137" si="68">SUM(K129:K131)</f>
        <v>0</v>
      </c>
      <c r="L137" s="289">
        <f t="shared" si="68"/>
        <v>0.27484025093539921</v>
      </c>
      <c r="M137" s="289">
        <f t="shared" si="68"/>
        <v>0.47261088923880384</v>
      </c>
      <c r="N137" s="289">
        <f t="shared" si="68"/>
        <v>0.68354371223166244</v>
      </c>
      <c r="O137" s="289">
        <f t="shared" si="68"/>
        <v>0.83690258617985025</v>
      </c>
      <c r="P137" s="289">
        <f t="shared" ref="P137" si="69">SUM(P129:P131)</f>
        <v>1.1233306266613496</v>
      </c>
      <c r="Q137" s="370">
        <f>SUM(Q129:Q131)</f>
        <v>1.745224031896411</v>
      </c>
    </row>
    <row r="138" spans="8:17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O138" si="70">K128</f>
        <v>0</v>
      </c>
      <c r="L138" s="289">
        <f t="shared" si="70"/>
        <v>3.0879153171756846</v>
      </c>
      <c r="M138" s="289">
        <f t="shared" si="70"/>
        <v>1.4277297134760061</v>
      </c>
      <c r="N138" s="289">
        <f t="shared" si="70"/>
        <v>0.71386485673959776</v>
      </c>
      <c r="O138" s="289">
        <f t="shared" si="70"/>
        <v>0.35693242836991462</v>
      </c>
      <c r="P138" s="289">
        <f t="shared" ref="P138" si="71">P128</f>
        <v>7.1386485672555816E-2</v>
      </c>
      <c r="Q138" s="370">
        <f>Q128</f>
        <v>2.096422567664E-13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72">K132</f>
        <v>-9.4245252972192066</v>
      </c>
      <c r="L139" s="289">
        <f t="shared" si="72"/>
        <v>-9.4245252972192066</v>
      </c>
      <c r="M139" s="289">
        <f t="shared" si="72"/>
        <v>-9.4245252972203968</v>
      </c>
      <c r="N139" s="289">
        <f t="shared" si="72"/>
        <v>-9.4245252972200717</v>
      </c>
      <c r="O139" s="289">
        <f t="shared" si="72"/>
        <v>-9.4245252972199971</v>
      </c>
      <c r="P139" s="289">
        <f t="shared" ref="P139" si="73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O140" si="74">K136+K138+K139</f>
        <v>-9.4245252972192066</v>
      </c>
      <c r="L140" s="289">
        <f t="shared" si="74"/>
        <v>-6.2331598002535724</v>
      </c>
      <c r="M140" s="289">
        <f t="shared" si="74"/>
        <v>-7.7989711206280603</v>
      </c>
      <c r="N140" s="289">
        <f t="shared" si="74"/>
        <v>-8.430921562016934</v>
      </c>
      <c r="O140" s="289">
        <f t="shared" si="74"/>
        <v>-8.7309488821347774</v>
      </c>
      <c r="P140" s="289">
        <f t="shared" ref="P140" si="75">P136+P138+P139</f>
        <v>-8.9100377512715649</v>
      </c>
      <c r="Q140" s="370">
        <f>Q136+Q138+Q139</f>
        <v>-8.7800556236351817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O141" si="76">K137+K138+K139</f>
        <v>-9.4245252972192066</v>
      </c>
      <c r="L141" s="374">
        <f t="shared" si="76"/>
        <v>-6.0617697291081232</v>
      </c>
      <c r="M141" s="374">
        <f t="shared" si="76"/>
        <v>-7.5241846945055872</v>
      </c>
      <c r="N141" s="374">
        <f t="shared" si="76"/>
        <v>-8.0271167282488118</v>
      </c>
      <c r="O141" s="374">
        <f t="shared" si="76"/>
        <v>-8.2306902826702313</v>
      </c>
      <c r="P141" s="374">
        <f t="shared" ref="P141" si="77">P137+P138+P139</f>
        <v>-8.2298081848860924</v>
      </c>
      <c r="Q141" s="375">
        <f>Q137+Q138+Q139</f>
        <v>-7.6793012653239892</v>
      </c>
    </row>
    <row r="142" spans="8:17" x14ac:dyDescent="0.25">
      <c r="H142" s="376" t="s">
        <v>196</v>
      </c>
      <c r="I142" s="377"/>
      <c r="J142" s="378">
        <f>J140-J110</f>
        <v>0</v>
      </c>
      <c r="K142" s="378">
        <f t="shared" ref="K142:O142" si="78">K140-K110</f>
        <v>0</v>
      </c>
      <c r="L142" s="378">
        <f t="shared" si="78"/>
        <v>0</v>
      </c>
      <c r="M142" s="378">
        <f t="shared" si="78"/>
        <v>0</v>
      </c>
      <c r="N142" s="378">
        <f t="shared" si="78"/>
        <v>0</v>
      </c>
      <c r="O142" s="378">
        <f t="shared" si="78"/>
        <v>0</v>
      </c>
      <c r="P142" s="378">
        <f t="shared" ref="P142" si="79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80">K141-K133</f>
        <v>0</v>
      </c>
      <c r="L143" s="382">
        <f t="shared" si="80"/>
        <v>0</v>
      </c>
      <c r="M143" s="382">
        <f t="shared" si="80"/>
        <v>0</v>
      </c>
      <c r="N143" s="382">
        <f t="shared" si="80"/>
        <v>0</v>
      </c>
      <c r="O143" s="382">
        <f t="shared" si="80"/>
        <v>0</v>
      </c>
      <c r="P143" s="382">
        <f t="shared" ref="P143" si="81">P141-P133</f>
        <v>0</v>
      </c>
      <c r="Q143" s="383">
        <f>Q141-Q133</f>
        <v>0</v>
      </c>
    </row>
    <row r="144" spans="8:17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46941-58E9-42C5-957C-6E2EDF89ACF0}">
  <sheetPr codeName="Foglio18"/>
  <dimension ref="A3:AA151"/>
  <sheetViews>
    <sheetView zoomScale="25" zoomScaleNormal="25" workbookViewId="0">
      <selection activeCell="X5" sqref="X5:X17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5" x14ac:dyDescent="0.25">
      <c r="U3" s="1"/>
      <c r="V3" s="1"/>
      <c r="W3" s="2"/>
    </row>
    <row r="4" spans="1:25" x14ac:dyDescent="0.25">
      <c r="A4" s="225" t="s">
        <v>102</v>
      </c>
      <c r="B4" s="225" t="s">
        <v>161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5" ht="15.75" thickBot="1" x14ac:dyDescent="0.3">
      <c r="H5" s="7" t="s">
        <v>1</v>
      </c>
      <c r="I5" s="8" t="s">
        <v>2</v>
      </c>
      <c r="J5" s="9"/>
      <c r="K5" s="9"/>
      <c r="L5" s="9">
        <v>0.65797610496169012</v>
      </c>
      <c r="M5" s="9">
        <v>0.80000000000006277</v>
      </c>
      <c r="N5" s="9">
        <v>0.89999999999991331</v>
      </c>
      <c r="O5" s="9">
        <v>0.95000000000007079</v>
      </c>
      <c r="P5" s="9">
        <v>0.99000000000005506</v>
      </c>
      <c r="Q5" s="10">
        <v>1.0000000000000129</v>
      </c>
      <c r="R5" s="11" t="str">
        <f>H5</f>
        <v>Renewable Energy Share</v>
      </c>
      <c r="S5" s="296"/>
      <c r="T5" s="296">
        <f t="shared" ref="T5:X13" si="0">L5</f>
        <v>0.65797610496169012</v>
      </c>
      <c r="U5" s="296">
        <f t="shared" si="0"/>
        <v>0.80000000000006277</v>
      </c>
      <c r="V5" s="296">
        <f t="shared" si="0"/>
        <v>0.89999999999991331</v>
      </c>
      <c r="W5" s="296">
        <f t="shared" si="0"/>
        <v>0.95000000000007079</v>
      </c>
      <c r="X5" s="296">
        <f t="shared" si="0"/>
        <v>0.99000000000005506</v>
      </c>
      <c r="Y5" s="296">
        <f t="shared" ref="Y5:Y13" si="1">Q5</f>
        <v>1.0000000000000129</v>
      </c>
    </row>
    <row r="6" spans="1:25" ht="15.75" thickTop="1" x14ac:dyDescent="0.25">
      <c r="C6" s="13"/>
      <c r="H6" s="14" t="s">
        <v>3</v>
      </c>
      <c r="I6" s="15" t="s">
        <v>4</v>
      </c>
      <c r="J6" s="16"/>
      <c r="K6" s="16"/>
      <c r="L6" s="16">
        <v>2.0238944181596348</v>
      </c>
      <c r="M6" s="16">
        <v>2.2092729233530646</v>
      </c>
      <c r="N6" s="16">
        <v>2.7891740149078292</v>
      </c>
      <c r="O6" s="16">
        <v>3.3420895840631548</v>
      </c>
      <c r="P6" s="16">
        <v>4.6585502267117231</v>
      </c>
      <c r="Q6" s="17">
        <v>9.7249027454199055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2.0238944181596348</v>
      </c>
      <c r="U6" s="19">
        <f t="shared" si="0"/>
        <v>2.2092729233530646</v>
      </c>
      <c r="V6" s="19">
        <f t="shared" si="0"/>
        <v>2.7891740149078292</v>
      </c>
      <c r="W6" s="19">
        <f t="shared" si="0"/>
        <v>3.3420895840631548</v>
      </c>
      <c r="X6" s="19">
        <f t="shared" si="0"/>
        <v>4.6585502267117231</v>
      </c>
      <c r="Y6" s="19">
        <f t="shared" si="1"/>
        <v>9.7249027454199055</v>
      </c>
    </row>
    <row r="7" spans="1:25" x14ac:dyDescent="0.25">
      <c r="A7" s="13"/>
      <c r="B7" s="20"/>
      <c r="C7" s="13"/>
      <c r="H7" s="21" t="s">
        <v>5</v>
      </c>
      <c r="I7" s="6" t="s">
        <v>4</v>
      </c>
      <c r="J7" s="22"/>
      <c r="K7" s="22"/>
      <c r="L7" s="22">
        <v>1.6244652005443208</v>
      </c>
      <c r="M7" s="22">
        <v>2.8449073954656914</v>
      </c>
      <c r="N7" s="22">
        <v>3.3394195122650134</v>
      </c>
      <c r="O7" s="22">
        <v>3.1600019019952601</v>
      </c>
      <c r="P7" s="22">
        <v>3.6777402481706631</v>
      </c>
      <c r="Q7" s="23">
        <v>3.8267968026857275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1.6244652005443208</v>
      </c>
      <c r="U7" s="22">
        <f t="shared" si="0"/>
        <v>2.8449073954656914</v>
      </c>
      <c r="V7" s="22">
        <f t="shared" si="0"/>
        <v>3.3394195122650134</v>
      </c>
      <c r="W7" s="22">
        <f t="shared" si="0"/>
        <v>3.1600019019952601</v>
      </c>
      <c r="X7" s="22">
        <f t="shared" si="0"/>
        <v>3.6777402481706631</v>
      </c>
      <c r="Y7" s="22">
        <f t="shared" si="1"/>
        <v>3.8267968026857275</v>
      </c>
    </row>
    <row r="8" spans="1:25" x14ac:dyDescent="0.25">
      <c r="A8" s="13"/>
      <c r="B8" s="20"/>
      <c r="C8" s="13"/>
      <c r="H8" s="21" t="s">
        <v>6</v>
      </c>
      <c r="I8" s="6" t="s">
        <v>7</v>
      </c>
      <c r="J8" s="22"/>
      <c r="K8" s="22"/>
      <c r="L8" s="22">
        <v>0</v>
      </c>
      <c r="M8" s="22">
        <v>0</v>
      </c>
      <c r="N8" s="22">
        <v>1.5756186416471383</v>
      </c>
      <c r="O8" s="22">
        <v>5.1709632046695448</v>
      </c>
      <c r="P8" s="22">
        <v>8.9315097345243775</v>
      </c>
      <c r="Q8" s="23">
        <v>16.614879606097311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0</v>
      </c>
      <c r="V8" s="22">
        <f t="shared" si="0"/>
        <v>1.5756186416471383</v>
      </c>
      <c r="W8" s="22">
        <f t="shared" si="0"/>
        <v>5.1709632046695448</v>
      </c>
      <c r="X8" s="22">
        <f t="shared" si="0"/>
        <v>8.9315097345243775</v>
      </c>
      <c r="Y8" s="22">
        <f t="shared" si="1"/>
        <v>16.614879606097311</v>
      </c>
    </row>
    <row r="9" spans="1:25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/>
      <c r="L9" s="27">
        <v>0</v>
      </c>
      <c r="M9" s="27">
        <v>0</v>
      </c>
      <c r="N9" s="27">
        <v>192</v>
      </c>
      <c r="O9" s="27">
        <v>168</v>
      </c>
      <c r="P9" s="27">
        <v>120</v>
      </c>
      <c r="Q9" s="28">
        <v>68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si="0"/>
        <v>0</v>
      </c>
      <c r="V9" s="29">
        <f t="shared" si="0"/>
        <v>192</v>
      </c>
      <c r="W9" s="29">
        <f t="shared" si="0"/>
        <v>168</v>
      </c>
      <c r="X9" s="29">
        <f t="shared" si="0"/>
        <v>120</v>
      </c>
      <c r="Y9" s="29">
        <f t="shared" si="1"/>
        <v>68</v>
      </c>
    </row>
    <row r="10" spans="1:25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/>
      <c r="L10" s="16">
        <v>237.83659745925493</v>
      </c>
      <c r="M10" s="16">
        <v>798.64331915473315</v>
      </c>
      <c r="N10" s="16">
        <v>1348.1384535250838</v>
      </c>
      <c r="O10" s="16">
        <v>1499.8758172659439</v>
      </c>
      <c r="P10" s="16">
        <v>1282.6615866150175</v>
      </c>
      <c r="Q10" s="17">
        <v>566.47035220391308</v>
      </c>
      <c r="R10" s="18" t="str">
        <f t="shared" si="3"/>
        <v>Biogas storage size</v>
      </c>
      <c r="S10" s="19" t="str">
        <f>I10</f>
        <v>m3</v>
      </c>
      <c r="T10" s="19">
        <f>L10</f>
        <v>237.83659745925493</v>
      </c>
      <c r="U10" s="30">
        <f t="shared" si="0"/>
        <v>798.64331915473315</v>
      </c>
      <c r="V10" s="30">
        <f t="shared" si="0"/>
        <v>1348.1384535250838</v>
      </c>
      <c r="W10" s="30">
        <f t="shared" si="0"/>
        <v>1499.8758172659439</v>
      </c>
      <c r="X10" s="30">
        <f t="shared" si="0"/>
        <v>1282.6615866150175</v>
      </c>
      <c r="Y10" s="30">
        <f t="shared" si="1"/>
        <v>566.47035220391308</v>
      </c>
    </row>
    <row r="11" spans="1:25" x14ac:dyDescent="0.25">
      <c r="H11" s="21" t="s">
        <v>11</v>
      </c>
      <c r="I11" s="6" t="s">
        <v>12</v>
      </c>
      <c r="J11" s="22"/>
      <c r="K11" s="22"/>
      <c r="L11" s="22">
        <v>4.8055959941917248</v>
      </c>
      <c r="M11" s="22">
        <v>16.136949385913873</v>
      </c>
      <c r="N11" s="22">
        <v>27.239747040973604</v>
      </c>
      <c r="O11" s="22">
        <v>30.305669086411591</v>
      </c>
      <c r="P11" s="22">
        <v>25.916757338393687</v>
      </c>
      <c r="Q11" s="23">
        <v>11.445789607067768</v>
      </c>
      <c r="R11" s="24" t="str">
        <f t="shared" si="3"/>
        <v>Biogas storage hours</v>
      </c>
      <c r="S11" s="22" t="str">
        <f t="shared" si="2"/>
        <v>h</v>
      </c>
      <c r="T11" s="22">
        <f>L11</f>
        <v>4.8055959941917248</v>
      </c>
      <c r="U11" s="22">
        <f t="shared" si="0"/>
        <v>16.136949385913873</v>
      </c>
      <c r="V11" s="22">
        <f t="shared" si="0"/>
        <v>27.239747040973604</v>
      </c>
      <c r="W11" s="22">
        <f t="shared" si="0"/>
        <v>30.305669086411591</v>
      </c>
      <c r="X11" s="22">
        <f t="shared" si="0"/>
        <v>25.916757338393687</v>
      </c>
      <c r="Y11" s="22">
        <f t="shared" si="1"/>
        <v>11.445789607067768</v>
      </c>
    </row>
    <row r="12" spans="1:25" x14ac:dyDescent="0.25">
      <c r="H12" s="21" t="s">
        <v>13</v>
      </c>
      <c r="I12" s="6" t="s">
        <v>18</v>
      </c>
      <c r="J12" s="22"/>
      <c r="K12" s="22"/>
      <c r="L12" s="22">
        <v>906.09510716627119</v>
      </c>
      <c r="M12" s="22">
        <v>2720.1448483281588</v>
      </c>
      <c r="N12" s="22">
        <v>3078.2738737825316</v>
      </c>
      <c r="O12" s="22">
        <v>3373.6905057400909</v>
      </c>
      <c r="P12" s="22">
        <v>3966.0638662399597</v>
      </c>
      <c r="Q12" s="23">
        <v>1621.7135444229668</v>
      </c>
      <c r="R12" s="24" t="str">
        <f t="shared" si="3"/>
        <v>Syngas storage size</v>
      </c>
      <c r="S12" s="22" t="str">
        <f t="shared" si="2"/>
        <v>m3</v>
      </c>
      <c r="T12" s="22">
        <f>L12</f>
        <v>906.09510716627119</v>
      </c>
      <c r="U12" s="31">
        <f t="shared" si="0"/>
        <v>2720.1448483281588</v>
      </c>
      <c r="V12" s="31">
        <f t="shared" si="0"/>
        <v>3078.2738737825316</v>
      </c>
      <c r="W12" s="31">
        <f t="shared" si="0"/>
        <v>3373.6905057400909</v>
      </c>
      <c r="X12" s="31">
        <f t="shared" si="0"/>
        <v>3966.0638662399597</v>
      </c>
      <c r="Y12" s="31">
        <f t="shared" si="1"/>
        <v>1621.7135444229668</v>
      </c>
    </row>
    <row r="13" spans="1:25" x14ac:dyDescent="0.25">
      <c r="H13" s="32" t="s">
        <v>14</v>
      </c>
      <c r="I13" s="26" t="s">
        <v>12</v>
      </c>
      <c r="J13" s="33"/>
      <c r="K13" s="33"/>
      <c r="L13" s="33">
        <v>4.487446273095884</v>
      </c>
      <c r="M13" s="33">
        <v>13.471548146955433</v>
      </c>
      <c r="N13" s="33">
        <v>15.245186198692293</v>
      </c>
      <c r="O13" s="33">
        <v>16.708240411880119</v>
      </c>
      <c r="P13" s="33">
        <v>19.641976184021999</v>
      </c>
      <c r="Q13" s="34">
        <v>8.0315546827189106</v>
      </c>
      <c r="R13" s="24" t="str">
        <f t="shared" si="3"/>
        <v>Syngas storage hours</v>
      </c>
      <c r="S13" s="22" t="str">
        <f t="shared" si="2"/>
        <v>h</v>
      </c>
      <c r="T13" s="22">
        <f>L13</f>
        <v>4.487446273095884</v>
      </c>
      <c r="U13" s="22">
        <f t="shared" si="0"/>
        <v>13.471548146955433</v>
      </c>
      <c r="V13" s="22">
        <f t="shared" si="0"/>
        <v>15.245186198692293</v>
      </c>
      <c r="W13" s="22">
        <f t="shared" si="0"/>
        <v>16.708240411880119</v>
      </c>
      <c r="X13" s="22">
        <f t="shared" si="0"/>
        <v>19.641976184021999</v>
      </c>
      <c r="Y13" s="22">
        <f t="shared" si="1"/>
        <v>8.0315546827189106</v>
      </c>
    </row>
    <row r="14" spans="1:25" x14ac:dyDescent="0.25">
      <c r="H14" s="25" t="s">
        <v>15</v>
      </c>
      <c r="I14" s="26" t="s">
        <v>16</v>
      </c>
      <c r="J14" s="35"/>
      <c r="K14" s="35"/>
      <c r="L14" s="35">
        <v>4.4088408444107126</v>
      </c>
      <c r="M14" s="35">
        <v>4.5474336668605275</v>
      </c>
      <c r="N14" s="35">
        <v>4.9507184854342716</v>
      </c>
      <c r="O14" s="35">
        <v>5.2841226703767212</v>
      </c>
      <c r="P14" s="35">
        <v>5.9082435569353606</v>
      </c>
      <c r="Q14" s="36">
        <v>7.464993748666628</v>
      </c>
      <c r="R14" s="37" t="s">
        <v>17</v>
      </c>
      <c r="S14" s="6" t="s">
        <v>18</v>
      </c>
      <c r="T14" s="22">
        <f>[6]NoSP!$F$112</f>
        <v>0</v>
      </c>
      <c r="U14" s="31">
        <f>'[6]80SP'!$F$112</f>
        <v>7.0138791392398279</v>
      </c>
      <c r="V14" s="31">
        <f>'[6]90SP'!$F$112</f>
        <v>205.48760900372807</v>
      </c>
      <c r="W14" s="31">
        <f>'[6]95SP'!$F$112</f>
        <v>238.62049106372552</v>
      </c>
      <c r="X14" s="31">
        <f>'[6]99SP'!$F$112</f>
        <v>98.483982579207506</v>
      </c>
      <c r="Y14" s="31">
        <f>'[6]100SP'!$F$112</f>
        <v>9.3956201300330662</v>
      </c>
    </row>
    <row r="15" spans="1:25" ht="15.75" thickBot="1" x14ac:dyDescent="0.3">
      <c r="H15" s="14" t="s">
        <v>19</v>
      </c>
      <c r="I15" s="15" t="s">
        <v>2</v>
      </c>
      <c r="J15" s="38"/>
      <c r="K15" s="38"/>
      <c r="L15" s="38">
        <v>1.3130513000516153</v>
      </c>
      <c r="M15" s="38">
        <v>1.323877968280885</v>
      </c>
      <c r="N15" s="38">
        <v>1.493707829638816</v>
      </c>
      <c r="O15" s="38">
        <v>1.4350100959061614</v>
      </c>
      <c r="P15" s="38">
        <v>1.3465369419301128</v>
      </c>
      <c r="Q15" s="39">
        <v>1.3224407089104435</v>
      </c>
      <c r="R15" s="40" t="s">
        <v>20</v>
      </c>
      <c r="S15" s="41" t="s">
        <v>12</v>
      </c>
      <c r="T15" s="41">
        <f>[6]NoSP!$B$169</f>
        <v>0</v>
      </c>
      <c r="U15" s="41">
        <f>'[6]80SP'!$B$169</f>
        <v>0.24600698369096818</v>
      </c>
      <c r="V15" s="41">
        <f>'[6]90SP'!$B$169</f>
        <v>7.2073364643627142</v>
      </c>
      <c r="W15" s="41">
        <f>'[6]95SP'!$B$169</f>
        <v>8.3694494997823643</v>
      </c>
      <c r="X15" s="41">
        <f>'[6]99SP'!$B$169</f>
        <v>3.454257909954594</v>
      </c>
      <c r="Y15" s="41">
        <f>'[6]100SP'!$B$169</f>
        <v>0.32954490977243839</v>
      </c>
    </row>
    <row r="16" spans="1:25" ht="15.75" thickTop="1" x14ac:dyDescent="0.25">
      <c r="H16" s="25" t="s">
        <v>21</v>
      </c>
      <c r="I16" s="26" t="s">
        <v>2</v>
      </c>
      <c r="J16" s="42"/>
      <c r="K16" s="42"/>
      <c r="L16" s="42">
        <v>1.0056171937090932</v>
      </c>
      <c r="M16" s="42">
        <v>1.0204474991834545</v>
      </c>
      <c r="N16" s="42">
        <v>1.2530794289028311</v>
      </c>
      <c r="O16" s="42">
        <v>1.1726756238287479</v>
      </c>
      <c r="P16" s="42">
        <v>1.0514856259494585</v>
      </c>
      <c r="Q16" s="43">
        <v>1.0184787498823622</v>
      </c>
      <c r="R16" s="37" t="str">
        <f>H15</f>
        <v>Syngas generation size</v>
      </c>
      <c r="S16" s="6" t="s">
        <v>2</v>
      </c>
      <c r="T16" s="297">
        <f t="shared" ref="T16:X17" si="4">L15</f>
        <v>1.3130513000516153</v>
      </c>
      <c r="U16" s="297">
        <f t="shared" si="4"/>
        <v>1.323877968280885</v>
      </c>
      <c r="V16" s="297">
        <f t="shared" si="4"/>
        <v>1.493707829638816</v>
      </c>
      <c r="W16" s="297">
        <f t="shared" si="4"/>
        <v>1.4350100959061614</v>
      </c>
      <c r="X16" s="297">
        <f t="shared" si="4"/>
        <v>1.3465369419301128</v>
      </c>
      <c r="Y16" s="297">
        <f>Q15</f>
        <v>1.3224407089104435</v>
      </c>
    </row>
    <row r="17" spans="2:25" ht="15.75" thickBot="1" x14ac:dyDescent="0.3">
      <c r="R17" s="40" t="str">
        <f>H16</f>
        <v>Gas Separation size</v>
      </c>
      <c r="S17" s="45" t="s">
        <v>2</v>
      </c>
      <c r="T17" s="298">
        <f t="shared" si="4"/>
        <v>1.0056171937090932</v>
      </c>
      <c r="U17" s="298">
        <f t="shared" si="4"/>
        <v>1.0204474991834545</v>
      </c>
      <c r="V17" s="298">
        <f t="shared" si="4"/>
        <v>1.2530794289028311</v>
      </c>
      <c r="W17" s="298">
        <f t="shared" si="4"/>
        <v>1.1726756238287479</v>
      </c>
      <c r="X17" s="298">
        <f t="shared" si="4"/>
        <v>1.0514856259494585</v>
      </c>
      <c r="Y17" s="298">
        <f>Q16</f>
        <v>1.0184787498823622</v>
      </c>
    </row>
    <row r="18" spans="2:25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5" x14ac:dyDescent="0.25">
      <c r="H19" s="50" t="s">
        <v>1</v>
      </c>
      <c r="I19" s="8" t="s">
        <v>2</v>
      </c>
      <c r="J19" s="9"/>
      <c r="K19" s="9"/>
      <c r="L19" s="9">
        <v>0.65797610496169012</v>
      </c>
      <c r="M19" s="9">
        <v>0.80000000000006277</v>
      </c>
      <c r="N19" s="9">
        <v>0.89999999999991331</v>
      </c>
      <c r="O19" s="9">
        <v>0.95000000000007079</v>
      </c>
      <c r="P19" s="9">
        <v>0.99000000000005506</v>
      </c>
      <c r="Q19" s="10">
        <v>1.0000000000000129</v>
      </c>
    </row>
    <row r="20" spans="2:25" x14ac:dyDescent="0.25">
      <c r="H20" s="51" t="s">
        <v>23</v>
      </c>
      <c r="I20" s="52" t="s">
        <v>24</v>
      </c>
      <c r="J20" s="53"/>
      <c r="K20" s="53"/>
      <c r="L20" s="53">
        <v>-9678.987524378048</v>
      </c>
      <c r="M20" s="53">
        <v>-9678.9875243762981</v>
      </c>
      <c r="N20" s="53">
        <v>-9678.9875243788429</v>
      </c>
      <c r="O20" s="53">
        <v>-9678.9875243782644</v>
      </c>
      <c r="P20" s="53">
        <v>-9678.9875243779734</v>
      </c>
      <c r="Q20" s="54">
        <v>-9678.9875243785609</v>
      </c>
    </row>
    <row r="21" spans="2:25" x14ac:dyDescent="0.25">
      <c r="B21" s="55"/>
      <c r="H21" s="56" t="s">
        <v>25</v>
      </c>
      <c r="I21" s="57" t="s">
        <v>24</v>
      </c>
      <c r="J21" s="58"/>
      <c r="K21" s="58"/>
      <c r="L21" s="58">
        <v>-1702.5570878064411</v>
      </c>
      <c r="M21" s="58">
        <v>-1702.5570878068243</v>
      </c>
      <c r="N21" s="58">
        <v>-1702.5570878068434</v>
      </c>
      <c r="O21" s="58">
        <v>-1702.557087806508</v>
      </c>
      <c r="P21" s="58">
        <v>-1702.5570878067147</v>
      </c>
      <c r="Q21" s="59">
        <v>-1702.5570878068056</v>
      </c>
    </row>
    <row r="22" spans="2:25" x14ac:dyDescent="0.25">
      <c r="H22" s="61" t="s">
        <v>26</v>
      </c>
      <c r="I22" s="6" t="s">
        <v>24</v>
      </c>
      <c r="J22" s="31"/>
      <c r="K22" s="31"/>
      <c r="L22" s="31">
        <v>3359.3214978428373</v>
      </c>
      <c r="M22" s="31">
        <v>3667.018377752468</v>
      </c>
      <c r="N22" s="31">
        <v>4629.5558431474601</v>
      </c>
      <c r="O22" s="31">
        <v>5547.301917888095</v>
      </c>
      <c r="P22" s="31">
        <v>7732.4033234914104</v>
      </c>
      <c r="Q22" s="62">
        <v>16141.689291690664</v>
      </c>
    </row>
    <row r="23" spans="2:25" x14ac:dyDescent="0.25">
      <c r="H23" s="61" t="s">
        <v>27</v>
      </c>
      <c r="I23" s="6" t="s">
        <v>24</v>
      </c>
      <c r="J23" s="31"/>
      <c r="K23" s="31"/>
      <c r="L23" s="31">
        <v>3878.5010596656593</v>
      </c>
      <c r="M23" s="31">
        <v>6792.3747115463575</v>
      </c>
      <c r="N23" s="31">
        <v>7973.0499075314819</v>
      </c>
      <c r="O23" s="31">
        <v>7544.6803793195068</v>
      </c>
      <c r="P23" s="31">
        <v>8780.8094903635538</v>
      </c>
      <c r="Q23" s="62">
        <v>9136.6903085202484</v>
      </c>
    </row>
    <row r="24" spans="2:25" x14ac:dyDescent="0.25">
      <c r="H24" s="61" t="s">
        <v>28</v>
      </c>
      <c r="I24" s="6" t="s">
        <v>24</v>
      </c>
      <c r="J24" s="31"/>
      <c r="K24" s="31"/>
      <c r="L24" s="31">
        <v>3310.4450131156163</v>
      </c>
      <c r="M24" s="31">
        <v>1935.7975048756075</v>
      </c>
      <c r="N24" s="31">
        <v>967.89875243817926</v>
      </c>
      <c r="O24" s="31">
        <v>483.94937621891995</v>
      </c>
      <c r="P24" s="31">
        <v>96.789875243907616</v>
      </c>
      <c r="Q24" s="62">
        <v>-1.7354528836222017E-10</v>
      </c>
    </row>
    <row r="25" spans="2:25" x14ac:dyDescent="0.25">
      <c r="H25" s="61" t="s">
        <v>29</v>
      </c>
      <c r="I25" s="6" t="s">
        <v>24</v>
      </c>
      <c r="J25" s="31"/>
      <c r="K25" s="31"/>
      <c r="L25" s="31">
        <v>-869.28004624543655</v>
      </c>
      <c r="M25" s="31">
        <v>-2716.2030697971782</v>
      </c>
      <c r="N25" s="31">
        <v>-3873.6694484881723</v>
      </c>
      <c r="O25" s="31">
        <v>-3845.7177349524895</v>
      </c>
      <c r="P25" s="31">
        <v>-6867.9564139967624</v>
      </c>
      <c r="Q25" s="62">
        <v>-15532.826951386915</v>
      </c>
    </row>
    <row r="26" spans="2:25" x14ac:dyDescent="0.25">
      <c r="H26" s="61" t="s">
        <v>30</v>
      </c>
      <c r="I26" s="6" t="s">
        <v>24</v>
      </c>
      <c r="J26" s="31"/>
      <c r="K26" s="31"/>
      <c r="L26" s="31">
        <v>0</v>
      </c>
      <c r="M26" s="31">
        <v>0</v>
      </c>
      <c r="N26" s="31">
        <v>-301.9886675237035</v>
      </c>
      <c r="O26" s="31">
        <v>-866.77519619414261</v>
      </c>
      <c r="P26" s="31">
        <v>-1066.9839377914514</v>
      </c>
      <c r="Q26" s="62">
        <v>-1126.3134423910262</v>
      </c>
    </row>
    <row r="27" spans="2:25" x14ac:dyDescent="0.25">
      <c r="B27" s="63"/>
      <c r="H27" s="61" t="s">
        <v>31</v>
      </c>
      <c r="I27" s="6" t="s">
        <v>24</v>
      </c>
      <c r="J27" s="31"/>
      <c r="K27" s="31"/>
      <c r="L27" s="31">
        <v>0</v>
      </c>
      <c r="M27" s="31">
        <v>0</v>
      </c>
      <c r="N27" s="31">
        <v>284.14113727305272</v>
      </c>
      <c r="O27" s="31">
        <v>815.54878209906667</v>
      </c>
      <c r="P27" s="31">
        <v>1003.925187067976</v>
      </c>
      <c r="Q27" s="62">
        <v>1059.7483179457174</v>
      </c>
    </row>
    <row r="28" spans="2:25" x14ac:dyDescent="0.25">
      <c r="H28" s="64" t="s">
        <v>32</v>
      </c>
      <c r="I28" s="65" t="s">
        <v>24</v>
      </c>
      <c r="J28" s="66"/>
      <c r="K28" s="66"/>
      <c r="L28" s="66">
        <v>6.2800609157420695E-10</v>
      </c>
      <c r="M28" s="66">
        <v>9.5678842626512051E-10</v>
      </c>
      <c r="N28" s="66">
        <v>-5.4473048294312321E-10</v>
      </c>
      <c r="O28" s="66">
        <v>6.9178440753603354E-10</v>
      </c>
      <c r="P28" s="66">
        <v>6.6086158767575398E-10</v>
      </c>
      <c r="Q28" s="67">
        <v>-4.5019987737759948E-11</v>
      </c>
    </row>
    <row r="30" spans="2:25" x14ac:dyDescent="0.25">
      <c r="H30" s="68" t="s">
        <v>15</v>
      </c>
    </row>
    <row r="31" spans="2:25" x14ac:dyDescent="0.25">
      <c r="H31" s="69" t="s">
        <v>33</v>
      </c>
      <c r="I31" s="70" t="s">
        <v>103</v>
      </c>
      <c r="J31" s="71"/>
      <c r="K31" s="71"/>
      <c r="L31" s="71">
        <v>0.29854095694101968</v>
      </c>
      <c r="M31" s="71">
        <v>0.32588580054570931</v>
      </c>
      <c r="N31" s="71">
        <v>0.41142594792217757</v>
      </c>
      <c r="O31" s="71">
        <v>0.49298551033914501</v>
      </c>
      <c r="P31" s="71">
        <v>0.68717420739031343</v>
      </c>
      <c r="Q31" s="72">
        <v>1.4345025835964484</v>
      </c>
    </row>
    <row r="32" spans="2:25" x14ac:dyDescent="0.25">
      <c r="H32" s="73" t="s">
        <v>34</v>
      </c>
      <c r="I32" s="74" t="s">
        <v>103</v>
      </c>
      <c r="J32" s="75"/>
      <c r="K32" s="75"/>
      <c r="L32" s="75">
        <v>0.44929103434488826</v>
      </c>
      <c r="M32" s="75">
        <v>0.78683826892467124</v>
      </c>
      <c r="N32" s="75">
        <v>0.92360934926431859</v>
      </c>
      <c r="O32" s="75">
        <v>0.8739864187941625</v>
      </c>
      <c r="P32" s="75">
        <v>1.017181358885985</v>
      </c>
      <c r="Q32" s="76">
        <v>1.0584070949199262</v>
      </c>
    </row>
    <row r="33" spans="8:17" x14ac:dyDescent="0.25">
      <c r="H33" s="73" t="s">
        <v>35</v>
      </c>
      <c r="I33" s="74" t="s">
        <v>103</v>
      </c>
      <c r="J33" s="75"/>
      <c r="K33" s="75"/>
      <c r="L33" s="75">
        <v>0</v>
      </c>
      <c r="M33" s="75">
        <v>0</v>
      </c>
      <c r="N33" s="75">
        <v>0.11620830929492038</v>
      </c>
      <c r="O33" s="75">
        <v>0.38137965339931834</v>
      </c>
      <c r="P33" s="75">
        <v>0.65873531720542022</v>
      </c>
      <c r="Q33" s="76">
        <v>1.2254152223946697</v>
      </c>
    </row>
    <row r="34" spans="8:17" x14ac:dyDescent="0.25">
      <c r="H34" s="73" t="s">
        <v>36</v>
      </c>
      <c r="I34" s="74" t="s">
        <v>103</v>
      </c>
      <c r="J34" s="75"/>
      <c r="K34" s="75"/>
      <c r="L34" s="75">
        <v>3.7561654065949857E-2</v>
      </c>
      <c r="M34" s="75">
        <v>6.577809070578626E-2</v>
      </c>
      <c r="N34" s="75">
        <v>0.1026900941352063</v>
      </c>
      <c r="O34" s="75">
        <v>0.11224816141579569</v>
      </c>
      <c r="P34" s="75">
        <v>9.7856736371650196E-2</v>
      </c>
      <c r="Q34" s="76">
        <v>5.0811014095594992E-2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/>
      <c r="K36" s="75"/>
      <c r="L36" s="75">
        <v>0.69513817159294999</v>
      </c>
      <c r="M36" s="75">
        <v>0.70060918241246106</v>
      </c>
      <c r="N36" s="75">
        <v>0.78450200906169121</v>
      </c>
      <c r="O36" s="75">
        <v>0.75606363247904607</v>
      </c>
      <c r="P36" s="75">
        <v>0.71205937995813773</v>
      </c>
      <c r="Q36" s="76">
        <v>0.69988289604246379</v>
      </c>
    </row>
    <row r="37" spans="8:17" x14ac:dyDescent="0.25">
      <c r="H37" s="77" t="s">
        <v>38</v>
      </c>
      <c r="I37" s="78" t="s">
        <v>103</v>
      </c>
      <c r="J37" s="79"/>
      <c r="K37" s="79"/>
      <c r="L37" s="79">
        <v>5.5976429426441196E-2</v>
      </c>
      <c r="M37" s="79">
        <v>6.1103587602320493E-2</v>
      </c>
      <c r="N37" s="79">
        <v>7.7142365235408281E-2</v>
      </c>
      <c r="O37" s="79">
        <v>9.2434783188589678E-2</v>
      </c>
      <c r="P37" s="79">
        <v>0.12884516388568379</v>
      </c>
      <c r="Q37" s="80">
        <v>0.26896923442433412</v>
      </c>
    </row>
    <row r="38" spans="8:17" x14ac:dyDescent="0.25">
      <c r="H38" s="81" t="s">
        <v>39</v>
      </c>
      <c r="I38" s="82" t="s">
        <v>103</v>
      </c>
      <c r="J38" s="83"/>
      <c r="K38" s="83"/>
      <c r="L38" s="83">
        <v>0.13478731030346647</v>
      </c>
      <c r="M38" s="83">
        <v>0.23605148067740137</v>
      </c>
      <c r="N38" s="83">
        <v>0.27708280477929553</v>
      </c>
      <c r="O38" s="83">
        <v>0.26219592563824873</v>
      </c>
      <c r="P38" s="83">
        <v>0.30515440766579549</v>
      </c>
      <c r="Q38" s="84">
        <v>0.31752212847597783</v>
      </c>
    </row>
    <row r="39" spans="8:17" x14ac:dyDescent="0.25">
      <c r="H39" s="81" t="s">
        <v>40</v>
      </c>
      <c r="I39" s="82" t="s">
        <v>103</v>
      </c>
      <c r="J39" s="83"/>
      <c r="K39" s="83"/>
      <c r="L39" s="83">
        <v>0</v>
      </c>
      <c r="M39" s="83">
        <v>0</v>
      </c>
      <c r="N39" s="83">
        <v>2.905207732373009E-2</v>
      </c>
      <c r="O39" s="83">
        <v>9.5344913349829585E-2</v>
      </c>
      <c r="P39" s="83">
        <v>0.16468382930135506</v>
      </c>
      <c r="Q39" s="84">
        <v>0.30635380559866743</v>
      </c>
    </row>
    <row r="40" spans="8:17" x14ac:dyDescent="0.25">
      <c r="H40" s="81" t="s">
        <v>41</v>
      </c>
      <c r="I40" s="82" t="s">
        <v>103</v>
      </c>
      <c r="J40" s="83"/>
      <c r="K40" s="83"/>
      <c r="L40" s="83">
        <v>0.29307993026355994</v>
      </c>
      <c r="M40" s="83">
        <v>0.3061805136762018</v>
      </c>
      <c r="N40" s="83">
        <v>0.343908067908271</v>
      </c>
      <c r="O40" s="83">
        <v>0.33458733596727797</v>
      </c>
      <c r="P40" s="83">
        <v>0.31870944592359707</v>
      </c>
      <c r="Q40" s="84">
        <v>0.29977603294888966</v>
      </c>
    </row>
    <row r="41" spans="8:17" x14ac:dyDescent="0.25">
      <c r="H41" s="85" t="s">
        <v>42</v>
      </c>
      <c r="I41" s="86" t="s">
        <v>103</v>
      </c>
      <c r="J41" s="87"/>
      <c r="K41" s="87"/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8">
        <v>0</v>
      </c>
    </row>
    <row r="42" spans="8:17" x14ac:dyDescent="0.25">
      <c r="H42" s="89" t="s">
        <v>43</v>
      </c>
      <c r="I42" s="90" t="s">
        <v>103</v>
      </c>
      <c r="J42" s="91"/>
      <c r="K42" s="91"/>
      <c r="L42" s="91">
        <v>0</v>
      </c>
      <c r="M42" s="91">
        <v>0</v>
      </c>
      <c r="N42" s="91">
        <v>7.2386916822730532E-2</v>
      </c>
      <c r="O42" s="91">
        <v>0.20776668391368189</v>
      </c>
      <c r="P42" s="91">
        <v>0.25575687389010032</v>
      </c>
      <c r="Q42" s="92">
        <v>0.26997820196111455</v>
      </c>
    </row>
    <row r="43" spans="8:17" x14ac:dyDescent="0.25">
      <c r="H43" s="89" t="s">
        <v>44</v>
      </c>
      <c r="I43" s="90" t="s">
        <v>103</v>
      </c>
      <c r="J43" s="91"/>
      <c r="K43" s="91"/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/>
      <c r="K44" s="91"/>
      <c r="L44" s="91">
        <v>0.10133245154481586</v>
      </c>
      <c r="M44" s="91">
        <v>0.10190468448706165</v>
      </c>
      <c r="N44" s="91">
        <v>0.11088087542441442</v>
      </c>
      <c r="O44" s="91">
        <v>0.10777846421497228</v>
      </c>
      <c r="P44" s="91">
        <v>0.10310230233996387</v>
      </c>
      <c r="Q44" s="92">
        <v>0.10182871955112914</v>
      </c>
    </row>
    <row r="45" spans="8:17" x14ac:dyDescent="0.25">
      <c r="H45" s="89" t="s">
        <v>46</v>
      </c>
      <c r="I45" s="90" t="s">
        <v>103</v>
      </c>
      <c r="J45" s="91"/>
      <c r="K45" s="91"/>
      <c r="L45" s="91">
        <v>1.9027730795180879</v>
      </c>
      <c r="M45" s="91">
        <v>1.9027730795187721</v>
      </c>
      <c r="N45" s="91">
        <v>1.9027730795183677</v>
      </c>
      <c r="O45" s="91">
        <v>1.9027730795183657</v>
      </c>
      <c r="P45" s="91">
        <v>1.9027730795183677</v>
      </c>
      <c r="Q45" s="92">
        <v>1.9027730795183624</v>
      </c>
    </row>
    <row r="46" spans="8:17" x14ac:dyDescent="0.25">
      <c r="H46" s="89" t="s">
        <v>47</v>
      </c>
      <c r="I46" s="90" t="s">
        <v>103</v>
      </c>
      <c r="J46" s="91"/>
      <c r="K46" s="91"/>
      <c r="L46" s="91">
        <v>0.91158609127044377</v>
      </c>
      <c r="M46" s="91">
        <v>0.53153524317115453</v>
      </c>
      <c r="N46" s="91">
        <v>0.27028285360471038</v>
      </c>
      <c r="O46" s="91">
        <v>0.13580437301926185</v>
      </c>
      <c r="P46" s="91">
        <v>2.7437719459924199E-2</v>
      </c>
      <c r="Q46" s="92">
        <v>-4.9534803120596749E-14</v>
      </c>
    </row>
    <row r="47" spans="8:17" x14ac:dyDescent="0.25">
      <c r="H47" s="93" t="s">
        <v>48</v>
      </c>
      <c r="I47" s="94" t="s">
        <v>103</v>
      </c>
      <c r="J47" s="95"/>
      <c r="K47" s="95"/>
      <c r="L47" s="95">
        <v>-0.47122626486091013</v>
      </c>
      <c r="M47" s="95">
        <v>-0.47122626486101299</v>
      </c>
      <c r="N47" s="95">
        <v>-0.47122626486097108</v>
      </c>
      <c r="O47" s="95">
        <v>-0.47122626486097496</v>
      </c>
      <c r="P47" s="95">
        <v>-0.47122626486093472</v>
      </c>
      <c r="Q47" s="96">
        <v>-0.47122626486090236</v>
      </c>
    </row>
    <row r="48" spans="8:17" x14ac:dyDescent="0.25">
      <c r="H48" s="97" t="s">
        <v>49</v>
      </c>
      <c r="I48" s="98" t="s">
        <v>103</v>
      </c>
      <c r="J48" s="99"/>
      <c r="K48" s="99"/>
      <c r="L48" s="99">
        <v>-4.8084715016624174E-2</v>
      </c>
      <c r="M48" s="99">
        <v>-0.15024830157167507</v>
      </c>
      <c r="N48" s="99">
        <v>-0.21427420576796968</v>
      </c>
      <c r="O48" s="99">
        <v>-0.21272804100162634</v>
      </c>
      <c r="P48" s="99">
        <v>-0.37990487454538496</v>
      </c>
      <c r="Q48" s="100">
        <v>-0.85920706518691448</v>
      </c>
    </row>
    <row r="49" spans="8:27" x14ac:dyDescent="0.25">
      <c r="H49" s="101" t="s">
        <v>50</v>
      </c>
      <c r="I49" s="102" t="s">
        <v>103</v>
      </c>
      <c r="J49" s="103"/>
      <c r="K49" s="103"/>
      <c r="L49" s="103">
        <v>-9.6169430033248349E-2</v>
      </c>
      <c r="M49" s="103">
        <v>-0.30049660314335014</v>
      </c>
      <c r="N49" s="103">
        <v>-0.42854841153593937</v>
      </c>
      <c r="O49" s="103">
        <v>-0.42545608200325269</v>
      </c>
      <c r="P49" s="103">
        <v>-0.75980974909076993</v>
      </c>
      <c r="Q49" s="104">
        <v>-1.718414130373829</v>
      </c>
    </row>
    <row r="50" spans="8:27" x14ac:dyDescent="0.25">
      <c r="H50" s="105" t="s">
        <v>51</v>
      </c>
      <c r="I50" s="106" t="s">
        <v>103</v>
      </c>
      <c r="J50" s="107"/>
      <c r="K50" s="107"/>
      <c r="L50" s="107">
        <v>4.4088408444107134</v>
      </c>
      <c r="M50" s="107">
        <v>4.5474336668605266</v>
      </c>
      <c r="N50" s="107">
        <v>4.9507184854342698</v>
      </c>
      <c r="O50" s="107">
        <v>5.2841226703767212</v>
      </c>
      <c r="P50" s="107">
        <v>5.9082435569353597</v>
      </c>
      <c r="Q50" s="108">
        <v>7.4649937486666262</v>
      </c>
    </row>
    <row r="51" spans="8:27" x14ac:dyDescent="0.25">
      <c r="H51" s="105" t="s">
        <v>52</v>
      </c>
      <c r="I51" s="106" t="s">
        <v>103</v>
      </c>
      <c r="J51" s="107"/>
      <c r="K51" s="107"/>
      <c r="L51" s="107">
        <v>4.3607561293940895</v>
      </c>
      <c r="M51" s="107">
        <v>4.397185365288852</v>
      </c>
      <c r="N51" s="107">
        <v>4.7364442796663004</v>
      </c>
      <c r="O51" s="107">
        <v>5.0713946293750949</v>
      </c>
      <c r="P51" s="107">
        <v>5.5283386823899745</v>
      </c>
      <c r="Q51" s="108">
        <v>6.6057866834797121</v>
      </c>
    </row>
    <row r="52" spans="8:27" x14ac:dyDescent="0.25">
      <c r="H52" s="109" t="s">
        <v>53</v>
      </c>
      <c r="I52" s="110" t="s">
        <v>103</v>
      </c>
      <c r="J52" s="111"/>
      <c r="K52" s="111"/>
      <c r="L52" s="111">
        <v>4.3126714143774647</v>
      </c>
      <c r="M52" s="111">
        <v>4.2469370637171764</v>
      </c>
      <c r="N52" s="111">
        <v>4.5221700738983301</v>
      </c>
      <c r="O52" s="111">
        <v>4.8586665883734685</v>
      </c>
      <c r="P52" s="111">
        <v>5.1484338078445901</v>
      </c>
      <c r="Q52" s="112">
        <v>5.7465796182927971</v>
      </c>
    </row>
    <row r="53" spans="8:27" x14ac:dyDescent="0.25">
      <c r="H53" s="113" t="s">
        <v>54</v>
      </c>
      <c r="I53" s="114" t="s">
        <v>103</v>
      </c>
      <c r="J53" s="115"/>
      <c r="K53" s="115"/>
      <c r="L53" s="115">
        <v>4.4088408444107134</v>
      </c>
      <c r="M53" s="115">
        <v>4.5474336668605266</v>
      </c>
      <c r="N53" s="115">
        <v>4.9507184854342716</v>
      </c>
      <c r="O53" s="115">
        <v>5.2841226703767212</v>
      </c>
      <c r="P53" s="115">
        <v>5.9082435569353589</v>
      </c>
      <c r="Q53" s="116">
        <v>7.4649937486666254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/>
      <c r="L56" s="124">
        <v>0.65797610496169012</v>
      </c>
      <c r="M56" s="124">
        <v>0.80000000000006277</v>
      </c>
      <c r="N56" s="124">
        <v>0.89999999999991331</v>
      </c>
      <c r="O56" s="124">
        <v>0.95000000000007079</v>
      </c>
      <c r="P56" s="124">
        <v>0.99000000000005506</v>
      </c>
      <c r="Q56" s="125">
        <v>1.0000000000000129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/>
      <c r="L57" s="128">
        <v>1619115.5345277076</v>
      </c>
      <c r="M57" s="128">
        <v>1767418.3386824515</v>
      </c>
      <c r="N57" s="128">
        <v>2231339.2119262633</v>
      </c>
      <c r="O57" s="128">
        <v>2673671.6672505238</v>
      </c>
      <c r="P57" s="128">
        <v>3726840.1813693787</v>
      </c>
      <c r="Q57" s="129">
        <v>7779922.1963359239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/>
      <c r="L58" s="132">
        <v>2436697.800816481</v>
      </c>
      <c r="M58" s="132">
        <v>4267361.0931985369</v>
      </c>
      <c r="N58" s="132">
        <v>5009129.2683975203</v>
      </c>
      <c r="O58" s="132">
        <v>4740002.8529928904</v>
      </c>
      <c r="P58" s="132">
        <v>5516610.3722559949</v>
      </c>
      <c r="Q58" s="133">
        <v>5740195.2040285915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/>
      <c r="L59" s="132">
        <v>0</v>
      </c>
      <c r="M59" s="132">
        <v>0</v>
      </c>
      <c r="N59" s="132">
        <v>630247.45665885531</v>
      </c>
      <c r="O59" s="132">
        <v>2068385.281867818</v>
      </c>
      <c r="P59" s="132">
        <v>3572603.8938097511</v>
      </c>
      <c r="Q59" s="133">
        <v>6645951.8424389241</v>
      </c>
    </row>
    <row r="60" spans="8:27" x14ac:dyDescent="0.25">
      <c r="H60" s="134" t="s">
        <v>60</v>
      </c>
      <c r="I60" s="74" t="s">
        <v>57</v>
      </c>
      <c r="J60" s="135"/>
      <c r="K60" s="135"/>
      <c r="L60" s="135">
        <v>81040.220021711575</v>
      </c>
      <c r="M60" s="135">
        <v>115978.47878333989</v>
      </c>
      <c r="N60" s="135">
        <v>150212.02565461272</v>
      </c>
      <c r="O60" s="135">
        <v>159665.26341566828</v>
      </c>
      <c r="P60" s="135">
        <v>146132.81684611557</v>
      </c>
      <c r="Q60" s="136">
        <v>101514.1029423038</v>
      </c>
    </row>
    <row r="61" spans="8:27" x14ac:dyDescent="0.25">
      <c r="H61" s="134" t="s">
        <v>61</v>
      </c>
      <c r="I61" s="74" t="s">
        <v>57</v>
      </c>
      <c r="J61" s="135"/>
      <c r="K61" s="135"/>
      <c r="L61" s="135">
        <v>122672.7251764587</v>
      </c>
      <c r="M61" s="135">
        <v>235688.02405084428</v>
      </c>
      <c r="N61" s="135">
        <v>257999.46233665172</v>
      </c>
      <c r="O61" s="135">
        <v>276403.91850760765</v>
      </c>
      <c r="P61" s="135">
        <v>313308.77886674949</v>
      </c>
      <c r="Q61" s="136">
        <v>167255.75381755081</v>
      </c>
    </row>
    <row r="62" spans="8:27" x14ac:dyDescent="0.25">
      <c r="H62" s="134" t="s">
        <v>62</v>
      </c>
      <c r="I62" s="74"/>
      <c r="J62" s="135"/>
      <c r="K62" s="135"/>
      <c r="L62" s="135">
        <v>0</v>
      </c>
      <c r="M62" s="135">
        <v>5076.2690271443544</v>
      </c>
      <c r="N62" s="135">
        <v>148720.89529056699</v>
      </c>
      <c r="O62" s="135">
        <v>172700.69586058668</v>
      </c>
      <c r="P62" s="135">
        <v>71277.417319574801</v>
      </c>
      <c r="Q62" s="136">
        <v>6800.0452403105237</v>
      </c>
    </row>
    <row r="63" spans="8:27" x14ac:dyDescent="0.25">
      <c r="H63" s="137" t="s">
        <v>63</v>
      </c>
      <c r="I63" s="138" t="s">
        <v>57</v>
      </c>
      <c r="J63" s="139"/>
      <c r="K63" s="139"/>
      <c r="L63" s="139">
        <v>1657013.9416931625</v>
      </c>
      <c r="M63" s="139">
        <v>1666414.0533259201</v>
      </c>
      <c r="N63" s="139">
        <v>1811761.1115730922</v>
      </c>
      <c r="O63" s="139">
        <v>1762116.4301844207</v>
      </c>
      <c r="P63" s="139">
        <v>1686087.4077943447</v>
      </c>
      <c r="Q63" s="140">
        <v>1665166.1718686451</v>
      </c>
    </row>
    <row r="64" spans="8:27" x14ac:dyDescent="0.25">
      <c r="H64" s="141" t="s">
        <v>64</v>
      </c>
      <c r="I64" s="142" t="s">
        <v>57</v>
      </c>
      <c r="J64" s="143"/>
      <c r="K64" s="143"/>
      <c r="L64" s="143">
        <v>2113018.2301126313</v>
      </c>
      <c r="M64" s="143">
        <v>2133289.7544851867</v>
      </c>
      <c r="N64" s="143">
        <v>2442929.4433002099</v>
      </c>
      <c r="O64" s="143">
        <v>2338340.6226143297</v>
      </c>
      <c r="P64" s="143">
        <v>2175715.7277264842</v>
      </c>
      <c r="Q64" s="144">
        <v>2130598.6737445006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2400.452432066827</v>
      </c>
      <c r="J68" s="151">
        <v>2400.452432066827</v>
      </c>
      <c r="K68" s="152" t="s">
        <v>24</v>
      </c>
    </row>
    <row r="69" spans="8:17" x14ac:dyDescent="0.25">
      <c r="H69" s="153" t="s">
        <v>69</v>
      </c>
      <c r="I69" s="154">
        <v>524.1741660668265</v>
      </c>
      <c r="J69" s="154">
        <v>-413.96496693317386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/>
      <c r="K72" s="9"/>
      <c r="L72" s="9">
        <v>0.65797610496169012</v>
      </c>
      <c r="M72" s="9">
        <v>0.80000000000006277</v>
      </c>
      <c r="N72" s="9">
        <v>0.89999999999991331</v>
      </c>
      <c r="O72" s="9">
        <v>0.95000000000007079</v>
      </c>
      <c r="P72" s="9">
        <v>0.99000000000005506</v>
      </c>
      <c r="Q72" s="10">
        <v>1.0000000000000129</v>
      </c>
    </row>
    <row r="73" spans="8:17" x14ac:dyDescent="0.25">
      <c r="H73" s="51" t="s">
        <v>71</v>
      </c>
      <c r="I73" s="52"/>
      <c r="J73" s="157"/>
      <c r="K73" s="157"/>
      <c r="L73" s="157">
        <v>70.147287017874717</v>
      </c>
      <c r="M73" s="157">
        <v>193.57480774403447</v>
      </c>
      <c r="N73" s="157">
        <v>455.80803846023792</v>
      </c>
      <c r="O73" s="157">
        <v>809.63233741913336</v>
      </c>
      <c r="P73" s="157">
        <v>2487.0998097898569</v>
      </c>
      <c r="Q73" s="158">
        <v>10241.41126754658</v>
      </c>
    </row>
    <row r="74" spans="8:17" x14ac:dyDescent="0.25">
      <c r="H74" s="130" t="s">
        <v>72</v>
      </c>
      <c r="I74" s="131"/>
      <c r="J74" s="160"/>
      <c r="K74" s="160"/>
      <c r="L74" s="160">
        <v>799.13275922756179</v>
      </c>
      <c r="M74" s="160">
        <v>2522.6282620531438</v>
      </c>
      <c r="N74" s="160">
        <v>3417.8614100279342</v>
      </c>
      <c r="O74" s="160">
        <v>3036.0853975333562</v>
      </c>
      <c r="P74" s="160">
        <v>4380.8566042069051</v>
      </c>
      <c r="Q74" s="161">
        <v>5291.4156838403342</v>
      </c>
    </row>
    <row r="75" spans="8:17" x14ac:dyDescent="0.25">
      <c r="H75" s="130" t="s">
        <v>73</v>
      </c>
      <c r="I75" s="159" t="s">
        <v>2</v>
      </c>
      <c r="J75" s="162"/>
      <c r="K75" s="162"/>
      <c r="L75" s="162">
        <v>2.0881385441351555E-2</v>
      </c>
      <c r="M75" s="162">
        <v>5.2788065889835367E-2</v>
      </c>
      <c r="N75" s="162">
        <v>9.8456105489020576E-2</v>
      </c>
      <c r="O75" s="162">
        <v>0.14595065302076929</v>
      </c>
      <c r="P75" s="162">
        <v>0.32164641518813808</v>
      </c>
      <c r="Q75" s="163">
        <v>0.63446960739224501</v>
      </c>
    </row>
    <row r="76" spans="8:17" x14ac:dyDescent="0.25">
      <c r="H76" s="130" t="s">
        <v>74</v>
      </c>
      <c r="I76" s="159" t="s">
        <v>2</v>
      </c>
      <c r="J76" s="162"/>
      <c r="K76" s="162"/>
      <c r="L76" s="162">
        <v>0.20604165035253333</v>
      </c>
      <c r="M76" s="162">
        <v>0.37139120987611712</v>
      </c>
      <c r="N76" s="162">
        <v>0.42867678613166121</v>
      </c>
      <c r="O76" s="162">
        <v>0.40241405134344421</v>
      </c>
      <c r="P76" s="162">
        <v>0.49891261267137726</v>
      </c>
      <c r="Q76" s="163">
        <v>0.57913921837822657</v>
      </c>
    </row>
    <row r="77" spans="8:17" x14ac:dyDescent="0.25">
      <c r="H77" s="164" t="s">
        <v>75</v>
      </c>
      <c r="I77" s="165" t="s">
        <v>2</v>
      </c>
      <c r="J77" s="166"/>
      <c r="K77" s="166"/>
      <c r="L77" s="166">
        <v>0.12010242574179274</v>
      </c>
      <c r="M77" s="166">
        <v>0.25969031344430199</v>
      </c>
      <c r="N77" s="166">
        <v>0.30737051726619991</v>
      </c>
      <c r="O77" s="166">
        <v>0.29374602314981324</v>
      </c>
      <c r="P77" s="166">
        <v>0.4159067342870062</v>
      </c>
      <c r="Q77" s="167">
        <v>0.61447083227032939</v>
      </c>
    </row>
    <row r="78" spans="8:17" x14ac:dyDescent="0.25">
      <c r="H78" s="168" t="s">
        <v>76</v>
      </c>
      <c r="I78" s="169"/>
      <c r="J78" s="170"/>
      <c r="K78" s="170"/>
      <c r="L78" s="170">
        <v>79.930483769409719</v>
      </c>
      <c r="M78" s="170">
        <v>98.749723035153309</v>
      </c>
      <c r="N78" s="170">
        <v>118.7219901259283</v>
      </c>
      <c r="O78" s="170">
        <v>141.9165202022476</v>
      </c>
      <c r="P78" s="170">
        <v>182.10906124729902</v>
      </c>
      <c r="Q78" s="171">
        <v>273.5054527642074</v>
      </c>
    </row>
    <row r="79" spans="8:17" x14ac:dyDescent="0.25">
      <c r="H79" s="172" t="s">
        <v>77</v>
      </c>
      <c r="I79" s="173"/>
      <c r="J79" s="174"/>
      <c r="K79" s="174"/>
      <c r="L79" s="174">
        <v>75.835606277229644</v>
      </c>
      <c r="M79" s="174">
        <v>88.226141424901186</v>
      </c>
      <c r="N79" s="174">
        <v>105.38151266127689</v>
      </c>
      <c r="O79" s="174">
        <v>129.36936920737534</v>
      </c>
      <c r="P79" s="174">
        <v>160.60682345548014</v>
      </c>
      <c r="Q79" s="175">
        <v>225.36149066404752</v>
      </c>
    </row>
    <row r="80" spans="8:17" x14ac:dyDescent="0.25">
      <c r="H80" s="172" t="s">
        <v>78</v>
      </c>
      <c r="I80" s="173"/>
      <c r="J80" s="174"/>
      <c r="K80" s="174"/>
      <c r="L80" s="174">
        <v>71.740728785049569</v>
      </c>
      <c r="M80" s="174">
        <v>77.702559814649049</v>
      </c>
      <c r="N80" s="174">
        <v>92.041035196625458</v>
      </c>
      <c r="O80" s="174">
        <v>116.82221821250306</v>
      </c>
      <c r="P80" s="174">
        <v>139.10458566366125</v>
      </c>
      <c r="Q80" s="175">
        <v>177.2175285638877</v>
      </c>
    </row>
    <row r="81" spans="8:17" x14ac:dyDescent="0.25">
      <c r="H81" s="73" t="s">
        <v>79</v>
      </c>
      <c r="I81" s="176"/>
      <c r="J81" s="177"/>
      <c r="K81" s="177"/>
      <c r="L81" s="177">
        <v>70.330638777988625</v>
      </c>
      <c r="M81" s="177">
        <v>73.105376507616327</v>
      </c>
      <c r="N81" s="177">
        <v>82.178598671017085</v>
      </c>
      <c r="O81" s="177">
        <v>100.06535118134082</v>
      </c>
      <c r="P81" s="177">
        <v>106.07833895494943</v>
      </c>
      <c r="Q81" s="178">
        <v>105.00060865111212</v>
      </c>
    </row>
    <row r="82" spans="8:17" x14ac:dyDescent="0.25">
      <c r="H82" s="134" t="s">
        <v>80</v>
      </c>
      <c r="I82" s="176"/>
      <c r="J82" s="177"/>
      <c r="K82" s="177"/>
      <c r="L82" s="177">
        <v>66.727566005734843</v>
      </c>
      <c r="M82" s="177">
        <v>65.314667104287267</v>
      </c>
      <c r="N82" s="177">
        <v>72.94440589439256</v>
      </c>
      <c r="O82" s="177">
        <v>91.218353884352979</v>
      </c>
      <c r="P82" s="177">
        <v>93.553307783254695</v>
      </c>
      <c r="Q82" s="178">
        <v>86.517813254155385</v>
      </c>
    </row>
    <row r="83" spans="8:17" x14ac:dyDescent="0.25">
      <c r="H83" s="179" t="s">
        <v>81</v>
      </c>
      <c r="I83" s="180"/>
      <c r="J83" s="181"/>
      <c r="K83" s="181"/>
      <c r="L83" s="181">
        <v>63.124493233481061</v>
      </c>
      <c r="M83" s="181">
        <v>57.523957700958213</v>
      </c>
      <c r="N83" s="181">
        <v>63.710213117768014</v>
      </c>
      <c r="O83" s="181">
        <v>82.371356587365156</v>
      </c>
      <c r="P83" s="181">
        <v>81.028276611559946</v>
      </c>
      <c r="Q83" s="182">
        <v>68.035017857198667</v>
      </c>
    </row>
    <row r="84" spans="8:17" x14ac:dyDescent="0.25">
      <c r="H84" s="183" t="s">
        <v>82</v>
      </c>
      <c r="I84" s="184" t="s">
        <v>12</v>
      </c>
      <c r="J84" s="185"/>
      <c r="K84" s="185"/>
      <c r="L84" s="185">
        <v>0</v>
      </c>
      <c r="M84" s="185">
        <v>0</v>
      </c>
      <c r="N84" s="185">
        <v>0.56490510567846586</v>
      </c>
      <c r="O84" s="185">
        <v>1.5472245954529238</v>
      </c>
      <c r="P84" s="185">
        <v>1.9172294597816881</v>
      </c>
      <c r="Q84" s="186">
        <v>1.7084879963372741</v>
      </c>
    </row>
    <row r="86" spans="8:17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>
        <f t="shared" ref="J92:O92" si="5">J5</f>
        <v>0</v>
      </c>
      <c r="K92" s="228">
        <f t="shared" si="5"/>
        <v>0</v>
      </c>
      <c r="L92" s="228">
        <f t="shared" si="5"/>
        <v>0.65797610496169012</v>
      </c>
      <c r="M92" s="228">
        <f t="shared" si="5"/>
        <v>0.80000000000006277</v>
      </c>
      <c r="N92" s="228">
        <f t="shared" si="5"/>
        <v>0.89999999999991331</v>
      </c>
      <c r="O92" s="228">
        <f t="shared" si="5"/>
        <v>0.95000000000007079</v>
      </c>
      <c r="P92" s="228">
        <f t="shared" ref="P92" si="6">P5</f>
        <v>0.99000000000005506</v>
      </c>
      <c r="Q92" s="229">
        <f>Q5</f>
        <v>1.0000000000000129</v>
      </c>
    </row>
    <row r="93" spans="8:17" ht="18" x14ac:dyDescent="0.25">
      <c r="H93" s="148" t="s">
        <v>89</v>
      </c>
      <c r="I93" s="194" t="s">
        <v>104</v>
      </c>
      <c r="J93" s="195">
        <f t="shared" ref="J93:O93" si="7">IF(J22&gt;0,  $I$88*(J6*1000)/(J22*1000)/$K$88*1000, 0)</f>
        <v>0</v>
      </c>
      <c r="K93" s="195">
        <f t="shared" si="7"/>
        <v>0</v>
      </c>
      <c r="L93" s="195">
        <f t="shared" si="7"/>
        <v>12.651894976007664</v>
      </c>
      <c r="M93" s="195">
        <f t="shared" si="7"/>
        <v>12.651894976007698</v>
      </c>
      <c r="N93" s="195">
        <f t="shared" si="7"/>
        <v>12.651894976007693</v>
      </c>
      <c r="O93" s="195">
        <f t="shared" si="7"/>
        <v>12.651894976007696</v>
      </c>
      <c r="P93" s="195">
        <f t="shared" ref="P93" si="8">IF(P22&gt;0,  $I$88*(P6*1000)/(P22*1000)/$K$88*1000, 0)</f>
        <v>12.651894976007696</v>
      </c>
      <c r="Q93" s="196">
        <f>IF(Q22&gt;0,  $I$88*(Q6*1000)/(Q22*1000)/$K$88*1000, 0)</f>
        <v>12.651894976007679</v>
      </c>
    </row>
    <row r="94" spans="8:17" ht="18" x14ac:dyDescent="0.25">
      <c r="H94" s="61" t="s">
        <v>90</v>
      </c>
      <c r="I94" s="230" t="s">
        <v>104</v>
      </c>
      <c r="J94" s="231">
        <f t="shared" ref="J94:O94" si="9">IF(J23&gt;0,$I$89*(J7*1000)/(J23*1000)/$K$89*1000,0)</f>
        <v>0</v>
      </c>
      <c r="K94" s="231">
        <f t="shared" si="9"/>
        <v>0</v>
      </c>
      <c r="L94" s="231">
        <f t="shared" si="9"/>
        <v>6.366343767455926</v>
      </c>
      <c r="M94" s="231">
        <f t="shared" si="9"/>
        <v>6.3663437674559438</v>
      </c>
      <c r="N94" s="231">
        <f t="shared" si="9"/>
        <v>6.3663437674559393</v>
      </c>
      <c r="O94" s="231">
        <f t="shared" si="9"/>
        <v>6.3663437674559527</v>
      </c>
      <c r="P94" s="231">
        <f t="shared" ref="P94" si="10">IF(P23&gt;0,$I$89*(P7*1000)/(P23*1000)/$K$89*1000,0)</f>
        <v>6.3663437674559518</v>
      </c>
      <c r="Q94" s="232">
        <f>IF(Q23&gt;0,$I$89*(Q7*1000)/(Q23*1000)/$K$89*1000,0)</f>
        <v>6.3663437674559482</v>
      </c>
    </row>
    <row r="95" spans="8:17" ht="18" x14ac:dyDescent="0.25">
      <c r="H95" s="153" t="s">
        <v>99</v>
      </c>
      <c r="I95" s="197" t="s">
        <v>104</v>
      </c>
      <c r="J95" s="198">
        <f t="shared" ref="J95:O95" si="11">IF(-J26&gt;0,$I$90*(J8*1000)/(-J26*1000)/$K$90*1000,0)</f>
        <v>0</v>
      </c>
      <c r="K95" s="198">
        <f t="shared" si="11"/>
        <v>0</v>
      </c>
      <c r="L95" s="198">
        <f t="shared" si="11"/>
        <v>0</v>
      </c>
      <c r="M95" s="198">
        <f t="shared" si="11"/>
        <v>0</v>
      </c>
      <c r="N95" s="198">
        <f t="shared" si="11"/>
        <v>23.217768444173231</v>
      </c>
      <c r="O95" s="198">
        <f t="shared" si="11"/>
        <v>26.547582766345634</v>
      </c>
      <c r="P95" s="198">
        <f t="shared" ref="P95" si="12">IF(-P26&gt;0,$I$90*(P8*1000)/(-P26*1000)/$K$90*1000,0)</f>
        <v>37.250062452582043</v>
      </c>
      <c r="Q95" s="199">
        <f>IF(-Q26&gt;0,$I$90*(Q8*1000)/(-Q26*1000)/$K$90*1000,0)</f>
        <v>65.644439162668121</v>
      </c>
    </row>
    <row r="96" spans="8:17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>
        <f t="shared" ref="J97:O97" si="13">J5</f>
        <v>0</v>
      </c>
      <c r="K97" s="9">
        <f t="shared" si="13"/>
        <v>0</v>
      </c>
      <c r="L97" s="9">
        <f t="shared" si="13"/>
        <v>0.65797610496169012</v>
      </c>
      <c r="M97" s="9">
        <f t="shared" si="13"/>
        <v>0.80000000000006277</v>
      </c>
      <c r="N97" s="9">
        <f t="shared" si="13"/>
        <v>0.89999999999991331</v>
      </c>
      <c r="O97" s="9">
        <f t="shared" si="13"/>
        <v>0.95000000000007079</v>
      </c>
      <c r="P97" s="9">
        <f t="shared" ref="P97" si="14">P5</f>
        <v>0.99000000000005506</v>
      </c>
      <c r="Q97" s="10">
        <f>Q5</f>
        <v>1.0000000000000129</v>
      </c>
    </row>
    <row r="98" spans="8:17" ht="18" x14ac:dyDescent="0.25">
      <c r="H98" s="200" t="s">
        <v>91</v>
      </c>
      <c r="I98" s="201" t="s">
        <v>106</v>
      </c>
      <c r="J98" s="202">
        <f t="shared" ref="J98:O98" si="15">$M$88/1000*J24*1000</f>
        <v>0</v>
      </c>
      <c r="K98" s="202">
        <f t="shared" si="15"/>
        <v>0</v>
      </c>
      <c r="L98" s="202">
        <f t="shared" si="15"/>
        <v>1324178.0052462467</v>
      </c>
      <c r="M98" s="202">
        <f t="shared" si="15"/>
        <v>774319.00195024314</v>
      </c>
      <c r="N98" s="202">
        <f t="shared" si="15"/>
        <v>387159.50097527175</v>
      </c>
      <c r="O98" s="202">
        <f t="shared" si="15"/>
        <v>193579.750487568</v>
      </c>
      <c r="P98" s="202">
        <f t="shared" ref="P98" si="16">$M$88/1000*P24*1000</f>
        <v>38715.950097563051</v>
      </c>
      <c r="Q98" s="203">
        <f>$M$88/1000*Q24*1000</f>
        <v>-6.941811534488806E-8</v>
      </c>
    </row>
    <row r="99" spans="8:17" ht="18" x14ac:dyDescent="0.25">
      <c r="H99" s="204" t="s">
        <v>92</v>
      </c>
      <c r="I99" s="13" t="s">
        <v>106</v>
      </c>
      <c r="J99" s="31">
        <f t="shared" ref="J99:O100" si="17">J93/1000*J22*1000</f>
        <v>0</v>
      </c>
      <c r="K99" s="31">
        <f t="shared" si="17"/>
        <v>0</v>
      </c>
      <c r="L99" s="31">
        <f t="shared" si="17"/>
        <v>42501.782781352333</v>
      </c>
      <c r="M99" s="31">
        <f t="shared" si="17"/>
        <v>46394.731390414352</v>
      </c>
      <c r="N99" s="31">
        <f t="shared" si="17"/>
        <v>58572.654313064413</v>
      </c>
      <c r="O99" s="31">
        <f t="shared" si="17"/>
        <v>70183.881265326243</v>
      </c>
      <c r="P99" s="31">
        <f t="shared" ref="P99" si="18">P93/1000*P22*1000</f>
        <v>97829.554760946194</v>
      </c>
      <c r="Q99" s="62">
        <f>Q93/1000*Q22*1000</f>
        <v>204222.95765381804</v>
      </c>
    </row>
    <row r="100" spans="8:17" ht="18" x14ac:dyDescent="0.25">
      <c r="H100" s="204" t="s">
        <v>93</v>
      </c>
      <c r="I100" s="13" t="s">
        <v>106</v>
      </c>
      <c r="J100" s="31">
        <f t="shared" si="17"/>
        <v>0</v>
      </c>
      <c r="K100" s="31">
        <f t="shared" si="17"/>
        <v>0</v>
      </c>
      <c r="L100" s="31">
        <f t="shared" si="17"/>
        <v>24691.871048273675</v>
      </c>
      <c r="M100" s="31">
        <f t="shared" si="17"/>
        <v>43242.592411078513</v>
      </c>
      <c r="N100" s="31">
        <f t="shared" si="17"/>
        <v>50759.176586428206</v>
      </c>
      <c r="O100" s="31">
        <f t="shared" si="17"/>
        <v>48032.028910327957</v>
      </c>
      <c r="P100" s="31">
        <f t="shared" ref="P100" si="19">P94/1000*P23*1000</f>
        <v>55901.651772194084</v>
      </c>
      <c r="Q100" s="62">
        <f>Q94/1000*Q23*1000</f>
        <v>58167.311400823055</v>
      </c>
    </row>
    <row r="101" spans="8:17" ht="18" x14ac:dyDescent="0.25">
      <c r="H101" s="204" t="s">
        <v>94</v>
      </c>
      <c r="I101" s="13" t="s">
        <v>106</v>
      </c>
      <c r="J101" s="31">
        <f t="shared" ref="J101:O101" si="20">J95/1000*(-J26)*1000</f>
        <v>0</v>
      </c>
      <c r="K101" s="31">
        <f t="shared" si="20"/>
        <v>0</v>
      </c>
      <c r="L101" s="31">
        <f t="shared" si="20"/>
        <v>0</v>
      </c>
      <c r="M101" s="31">
        <f t="shared" si="20"/>
        <v>0</v>
      </c>
      <c r="N101" s="31">
        <f t="shared" si="20"/>
        <v>7011.5029553297645</v>
      </c>
      <c r="O101" s="31">
        <f t="shared" si="20"/>
        <v>23010.786260779474</v>
      </c>
      <c r="P101" s="31">
        <f t="shared" ref="P101" si="21">P95/1000*(-P26)*1000</f>
        <v>39745.218318633473</v>
      </c>
      <c r="Q101" s="62">
        <f>Q95/1000*(-Q26)*1000</f>
        <v>73936.214247133044</v>
      </c>
    </row>
    <row r="102" spans="8:17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>
        <f t="shared" ref="J105:O105" si="22">J98/J104</f>
        <v>0</v>
      </c>
      <c r="K105" s="211">
        <f t="shared" si="22"/>
        <v>0</v>
      </c>
      <c r="L105" s="211">
        <f t="shared" si="22"/>
        <v>2.4415883883286882</v>
      </c>
      <c r="M105" s="211">
        <f t="shared" si="22"/>
        <v>1.4277297134777225</v>
      </c>
      <c r="N105" s="211">
        <f t="shared" si="22"/>
        <v>0.7138648567391922</v>
      </c>
      <c r="O105" s="211">
        <f t="shared" si="22"/>
        <v>0.3569324283694717</v>
      </c>
      <c r="P105" s="211">
        <f t="shared" ref="P105" si="23">P98/P104</f>
        <v>7.138648567398552E-2</v>
      </c>
      <c r="Q105" s="212">
        <f>Q98/Q104</f>
        <v>-1.2799673736780728E-13</v>
      </c>
    </row>
    <row r="106" spans="8:17" ht="18" x14ac:dyDescent="0.25">
      <c r="H106" s="213" t="s">
        <v>89</v>
      </c>
      <c r="I106" s="214" t="s">
        <v>109</v>
      </c>
      <c r="J106" s="215">
        <f t="shared" ref="J106:O106" si="24">J99/J104</f>
        <v>0</v>
      </c>
      <c r="K106" s="215">
        <f t="shared" si="24"/>
        <v>0</v>
      </c>
      <c r="L106" s="215">
        <f t="shared" si="24"/>
        <v>7.8367001197033492E-2</v>
      </c>
      <c r="M106" s="215">
        <f t="shared" si="24"/>
        <v>8.5545022643224028E-2</v>
      </c>
      <c r="N106" s="215">
        <f t="shared" si="24"/>
        <v>0.10799931132957161</v>
      </c>
      <c r="O106" s="215">
        <f t="shared" si="24"/>
        <v>0.12940869646402595</v>
      </c>
      <c r="P106" s="215">
        <f t="shared" ref="P106" si="25">P99/P104</f>
        <v>0.18038322943995769</v>
      </c>
      <c r="Q106" s="216">
        <f>Q99/Q104</f>
        <v>0.37655692819406844</v>
      </c>
    </row>
    <row r="107" spans="8:17" ht="18" x14ac:dyDescent="0.25">
      <c r="H107" s="213" t="s">
        <v>90</v>
      </c>
      <c r="I107" s="214" t="s">
        <v>109</v>
      </c>
      <c r="J107" s="215">
        <f t="shared" ref="J107:O107" si="26">J100/J104</f>
        <v>0</v>
      </c>
      <c r="K107" s="215">
        <f t="shared" si="26"/>
        <v>0</v>
      </c>
      <c r="L107" s="215">
        <f t="shared" si="26"/>
        <v>4.5528158146957862E-2</v>
      </c>
      <c r="M107" s="215">
        <f t="shared" si="26"/>
        <v>7.9732944584343698E-2</v>
      </c>
      <c r="N107" s="215">
        <f t="shared" si="26"/>
        <v>9.3592414058784282E-2</v>
      </c>
      <c r="O107" s="215">
        <f t="shared" si="26"/>
        <v>8.8563957104475427E-2</v>
      </c>
      <c r="P107" s="215">
        <f t="shared" ref="P107" si="27">P100/P104</f>
        <v>0.10307437770044671</v>
      </c>
      <c r="Q107" s="216">
        <f>Q100/Q104</f>
        <v>0.10725191895188603</v>
      </c>
    </row>
    <row r="108" spans="8:17" ht="18" x14ac:dyDescent="0.25">
      <c r="H108" s="213" t="s">
        <v>99</v>
      </c>
      <c r="I108" s="214" t="s">
        <v>109</v>
      </c>
      <c r="J108" s="215">
        <f t="shared" ref="J108:O108" si="28">J101/J104</f>
        <v>0</v>
      </c>
      <c r="K108" s="215">
        <f t="shared" si="28"/>
        <v>0</v>
      </c>
      <c r="L108" s="215">
        <f t="shared" si="28"/>
        <v>0</v>
      </c>
      <c r="M108" s="215">
        <f t="shared" si="28"/>
        <v>0</v>
      </c>
      <c r="N108" s="215">
        <f t="shared" si="28"/>
        <v>1.2928174409059889E-2</v>
      </c>
      <c r="O108" s="215">
        <f t="shared" si="28"/>
        <v>4.2428486440674304E-2</v>
      </c>
      <c r="P108" s="215">
        <f t="shared" ref="P108" si="29">P101/P104</f>
        <v>7.3284304039103132E-2</v>
      </c>
      <c r="Q108" s="216">
        <f>Q101/Q104</f>
        <v>0.13632744349140727</v>
      </c>
    </row>
    <row r="109" spans="8:17" ht="18" x14ac:dyDescent="0.25">
      <c r="H109" s="213" t="s">
        <v>100</v>
      </c>
      <c r="I109" s="214" t="s">
        <v>108</v>
      </c>
      <c r="J109" s="215">
        <f t="shared" ref="J109:O109" si="30">-J103/J104</f>
        <v>-9.4245252972192066</v>
      </c>
      <c r="K109" s="215">
        <f t="shared" si="30"/>
        <v>-9.4245252972192066</v>
      </c>
      <c r="L109" s="215">
        <f t="shared" si="30"/>
        <v>-9.4245252972192066</v>
      </c>
      <c r="M109" s="215">
        <f t="shared" si="30"/>
        <v>-9.4245252972203968</v>
      </c>
      <c r="N109" s="215">
        <f t="shared" si="30"/>
        <v>-9.4245252972200717</v>
      </c>
      <c r="O109" s="215">
        <f t="shared" si="30"/>
        <v>-9.4245252972199971</v>
      </c>
      <c r="P109" s="215">
        <f t="shared" ref="P109" si="31">-P103/P104</f>
        <v>-9.4245252972199971</v>
      </c>
      <c r="Q109" s="216">
        <f>-Q103/Q104</f>
        <v>-9.4245252972206099</v>
      </c>
    </row>
    <row r="110" spans="8:17" ht="18" x14ac:dyDescent="0.25">
      <c r="H110" s="217" t="s">
        <v>101</v>
      </c>
      <c r="I110" s="218" t="s">
        <v>108</v>
      </c>
      <c r="J110" s="219">
        <f>SUM(J105:J109)</f>
        <v>-9.4245252972192066</v>
      </c>
      <c r="K110" s="219">
        <f t="shared" ref="K110:O110" si="32">SUM(K105:K109)</f>
        <v>-9.4245252972192066</v>
      </c>
      <c r="L110" s="219">
        <f t="shared" si="32"/>
        <v>-6.8590417495465275</v>
      </c>
      <c r="M110" s="219">
        <f t="shared" si="32"/>
        <v>-7.8315176165151064</v>
      </c>
      <c r="N110" s="219">
        <f t="shared" si="32"/>
        <v>-8.4961405406834629</v>
      </c>
      <c r="O110" s="219">
        <f t="shared" si="32"/>
        <v>-8.8071917288413495</v>
      </c>
      <c r="P110" s="219">
        <f t="shared" ref="P110" si="33">SUM(P105:P109)</f>
        <v>-8.9963969003665039</v>
      </c>
      <c r="Q110" s="220">
        <f>SUM(Q105:Q109)</f>
        <v>-8.8043890065833761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>L112</f>
        <v>57.23476298668978</v>
      </c>
      <c r="K112" s="284">
        <f>L112</f>
        <v>57.23476298668978</v>
      </c>
      <c r="L112" s="284">
        <f t="shared" ref="L112:O112" si="34">(L31+L37)*L104/L22</f>
        <v>57.23476298668978</v>
      </c>
      <c r="M112" s="284">
        <f t="shared" si="34"/>
        <v>57.234762986717996</v>
      </c>
      <c r="N112" s="284">
        <f t="shared" si="34"/>
        <v>57.234762986701483</v>
      </c>
      <c r="O112" s="284">
        <f t="shared" si="34"/>
        <v>57.23476298670132</v>
      </c>
      <c r="P112" s="284">
        <f t="shared" ref="P112" si="35">(P31+P37)*P104/P22</f>
        <v>57.234762986701362</v>
      </c>
      <c r="Q112" s="285">
        <f>(Q31+Q37)*Q104/Q22</f>
        <v>57.234762986701298</v>
      </c>
    </row>
    <row r="113" spans="8:17" x14ac:dyDescent="0.25">
      <c r="H113" s="286" t="s">
        <v>134</v>
      </c>
      <c r="I113" s="287"/>
      <c r="J113" s="181">
        <f>L113</f>
        <v>81.673489121950993</v>
      </c>
      <c r="K113" s="181">
        <f>L113</f>
        <v>81.673489121950993</v>
      </c>
      <c r="L113" s="181">
        <f t="shared" ref="L113:Q113" si="36">IF(L32&gt;0,(L32+L38)*L104/L23,0)</f>
        <v>81.673489121950993</v>
      </c>
      <c r="M113" s="181">
        <f t="shared" si="36"/>
        <v>81.673489121991224</v>
      </c>
      <c r="N113" s="181">
        <f t="shared" si="36"/>
        <v>81.673489121967648</v>
      </c>
      <c r="O113" s="181">
        <f t="shared" si="36"/>
        <v>81.673489121967549</v>
      </c>
      <c r="P113" s="181">
        <f t="shared" si="36"/>
        <v>81.673489121967634</v>
      </c>
      <c r="Q113" s="182">
        <f t="shared" si="36"/>
        <v>81.673489121967634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 t="shared" ref="J115:O115" si="37">J28</f>
        <v>0</v>
      </c>
      <c r="K115" s="228">
        <f t="shared" si="37"/>
        <v>0</v>
      </c>
      <c r="L115" s="228">
        <f t="shared" si="37"/>
        <v>6.2800609157420695E-10</v>
      </c>
      <c r="M115" s="228">
        <f t="shared" si="37"/>
        <v>9.5678842626512051E-10</v>
      </c>
      <c r="N115" s="228">
        <f t="shared" si="37"/>
        <v>-5.4473048294312321E-10</v>
      </c>
      <c r="O115" s="228">
        <f t="shared" si="37"/>
        <v>6.9178440753603354E-10</v>
      </c>
      <c r="P115" s="228">
        <f t="shared" ref="P115" si="38">P28</f>
        <v>6.6086158767575398E-10</v>
      </c>
      <c r="Q115" s="229">
        <f>Q28</f>
        <v>-4.5019987737759948E-11</v>
      </c>
    </row>
    <row r="116" spans="8:17" ht="18" x14ac:dyDescent="0.25">
      <c r="H116" s="148" t="s">
        <v>89</v>
      </c>
      <c r="I116" s="194" t="s">
        <v>104</v>
      </c>
      <c r="J116" s="195">
        <f t="shared" ref="J116:O116" si="39">IF(J22&gt;0,  $J$88*(J6*1000)/(J22*1000)/$K$88*1000, 0)</f>
        <v>0</v>
      </c>
      <c r="K116" s="195">
        <f t="shared" si="39"/>
        <v>0</v>
      </c>
      <c r="L116" s="195">
        <f t="shared" si="39"/>
        <v>42.172983253358879</v>
      </c>
      <c r="M116" s="195">
        <f t="shared" si="39"/>
        <v>42.172983253359007</v>
      </c>
      <c r="N116" s="195">
        <f t="shared" si="39"/>
        <v>42.172983253358979</v>
      </c>
      <c r="O116" s="195">
        <f t="shared" si="39"/>
        <v>42.172983253358986</v>
      </c>
      <c r="P116" s="195">
        <f t="shared" ref="P116" si="40">IF(P22&gt;0,  $J$88*(P6*1000)/(P22*1000)/$K$88*1000, 0)</f>
        <v>42.172983253358986</v>
      </c>
      <c r="Q116" s="196">
        <f>IF(Q22&gt;0,  $J$88*(Q6*1000)/(Q22*1000)/$K$88*1000, 0)</f>
        <v>42.172983253358922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41">IF(J23&gt;0,$J$89*(J7*1000)/(J23*1000)/$K$89*1000,0)</f>
        <v>0</v>
      </c>
      <c r="K117" s="231">
        <f t="shared" si="41"/>
        <v>0</v>
      </c>
      <c r="L117" s="231">
        <f t="shared" si="41"/>
        <v>10.889798549595664</v>
      </c>
      <c r="M117" s="231">
        <f t="shared" si="41"/>
        <v>10.889798549595691</v>
      </c>
      <c r="N117" s="231">
        <f t="shared" si="41"/>
        <v>10.889798549595685</v>
      </c>
      <c r="O117" s="231">
        <f t="shared" si="41"/>
        <v>10.889798549595708</v>
      </c>
      <c r="P117" s="231">
        <f t="shared" ref="P117" si="42">IF(P23&gt;0,$J$89*(P7*1000)/(P23*1000)/$K$89*1000,0)</f>
        <v>10.889798549595708</v>
      </c>
      <c r="Q117" s="232">
        <f>IF(Q23&gt;0,$J$89*(Q7*1000)/(Q23*1000)/$K$89*1000,0)</f>
        <v>10.889798549595701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43">IF(-J26&gt;0,$J$90*(J8*1000)/(-J26*1000)/$K$90*1000,0)</f>
        <v>0</v>
      </c>
      <c r="K118" s="198">
        <f t="shared" si="43"/>
        <v>0</v>
      </c>
      <c r="L118" s="198">
        <f t="shared" si="43"/>
        <v>0</v>
      </c>
      <c r="M118" s="198">
        <f t="shared" si="43"/>
        <v>0</v>
      </c>
      <c r="N118" s="198">
        <f t="shared" si="43"/>
        <v>44.087672663654793</v>
      </c>
      <c r="O118" s="198">
        <f t="shared" si="43"/>
        <v>50.410578511375412</v>
      </c>
      <c r="P118" s="198">
        <f t="shared" ref="P118" si="44">IF(-P26&gt;0,$J$90*(P8*1000)/(-P26*1000)/$K$90*1000,0)</f>
        <v>70.733264657150187</v>
      </c>
      <c r="Q118" s="199">
        <f>IF(-Q26&gt;0,$J$90*(Q8*1000)/(-Q26*1000)/$K$90*1000,0)</f>
        <v>124.65067661225744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45">J28</f>
        <v>0</v>
      </c>
      <c r="K120" s="9">
        <f t="shared" si="45"/>
        <v>0</v>
      </c>
      <c r="L120" s="9">
        <f t="shared" si="45"/>
        <v>6.2800609157420695E-10</v>
      </c>
      <c r="M120" s="9">
        <f t="shared" si="45"/>
        <v>9.5678842626512051E-10</v>
      </c>
      <c r="N120" s="9">
        <f t="shared" si="45"/>
        <v>-5.4473048294312321E-10</v>
      </c>
      <c r="O120" s="9">
        <f t="shared" si="45"/>
        <v>6.9178440753603354E-10</v>
      </c>
      <c r="P120" s="9">
        <f t="shared" ref="P120" si="46">P28</f>
        <v>6.6086158767575398E-10</v>
      </c>
      <c r="Q120" s="10">
        <f>Q28</f>
        <v>-4.5019987737759948E-11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O121" si="47">$M$88/1000*K24*1000</f>
        <v>0</v>
      </c>
      <c r="L121" s="202">
        <f t="shared" si="47"/>
        <v>1324178.0052462467</v>
      </c>
      <c r="M121" s="202">
        <f t="shared" si="47"/>
        <v>774319.00195024314</v>
      </c>
      <c r="N121" s="202">
        <f t="shared" si="47"/>
        <v>387159.50097527175</v>
      </c>
      <c r="O121" s="202">
        <f t="shared" si="47"/>
        <v>193579.750487568</v>
      </c>
      <c r="P121" s="202">
        <f t="shared" ref="P121" si="48">$M$88/1000*P24*1000</f>
        <v>38715.950097563051</v>
      </c>
      <c r="Q121" s="203">
        <f>$M$88/1000*Q24*1000</f>
        <v>-6.941811534488806E-8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O123" si="49">K116/1000*K22*1000</f>
        <v>0</v>
      </c>
      <c r="L122" s="31">
        <f t="shared" si="49"/>
        <v>141672.60927117444</v>
      </c>
      <c r="M122" s="31">
        <f t="shared" si="49"/>
        <v>154649.10463471455</v>
      </c>
      <c r="N122" s="31">
        <f t="shared" si="49"/>
        <v>195242.18104354804</v>
      </c>
      <c r="O122" s="31">
        <f t="shared" si="49"/>
        <v>233946.27088442081</v>
      </c>
      <c r="P122" s="31">
        <f t="shared" ref="P122" si="50">P116/1000*P22*1000</f>
        <v>326098.51586982055</v>
      </c>
      <c r="Q122" s="62">
        <f>Q116/1000*Q22*1000</f>
        <v>680743.19217939337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49"/>
        <v>0</v>
      </c>
      <c r="L123" s="31">
        <f t="shared" si="49"/>
        <v>42236.095214152345</v>
      </c>
      <c r="M123" s="31">
        <f t="shared" si="49"/>
        <v>73967.592282107973</v>
      </c>
      <c r="N123" s="31">
        <f t="shared" si="49"/>
        <v>86824.907318890357</v>
      </c>
      <c r="O123" s="31">
        <f t="shared" si="49"/>
        <v>82160.049451876752</v>
      </c>
      <c r="P123" s="31">
        <f t="shared" ref="P123" si="51">P117/1000*P23*1000</f>
        <v>95621.246452437263</v>
      </c>
      <c r="Q123" s="62">
        <f>Q117/1000*Q23*1000</f>
        <v>99496.716869828902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52">K118/1000*(-K26)*1000</f>
        <v>0</v>
      </c>
      <c r="L124" s="31">
        <f t="shared" si="52"/>
        <v>0</v>
      </c>
      <c r="M124" s="31">
        <f t="shared" si="52"/>
        <v>0</v>
      </c>
      <c r="N124" s="31">
        <f t="shared" si="52"/>
        <v>13313.977521918318</v>
      </c>
      <c r="O124" s="31">
        <f t="shared" si="52"/>
        <v>43694.639079457651</v>
      </c>
      <c r="P124" s="31">
        <f t="shared" ref="P124" si="53">P118/1000*(-P26)*1000</f>
        <v>75471.257256730998</v>
      </c>
      <c r="Q124" s="62">
        <f>Q118/1000*(-Q26)*1000</f>
        <v>140395.73267152227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54">J121/J127</f>
        <v>0</v>
      </c>
      <c r="K128" s="211">
        <f t="shared" si="54"/>
        <v>0</v>
      </c>
      <c r="L128" s="211">
        <f t="shared" si="54"/>
        <v>2.4415883883286882</v>
      </c>
      <c r="M128" s="211">
        <f t="shared" si="54"/>
        <v>1.4277297134777225</v>
      </c>
      <c r="N128" s="211">
        <f t="shared" si="54"/>
        <v>0.7138648567391922</v>
      </c>
      <c r="O128" s="211">
        <f t="shared" si="54"/>
        <v>0.3569324283694717</v>
      </c>
      <c r="P128" s="211">
        <f t="shared" ref="P128" si="55">P121/P127</f>
        <v>7.138648567398552E-2</v>
      </c>
      <c r="Q128" s="212">
        <f>Q121/Q127</f>
        <v>-1.2799673736780728E-13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56">J122/J127</f>
        <v>0</v>
      </c>
      <c r="K129" s="215">
        <f t="shared" si="56"/>
        <v>0</v>
      </c>
      <c r="L129" s="215">
        <f t="shared" si="56"/>
        <v>0.26122333732344499</v>
      </c>
      <c r="M129" s="215">
        <f t="shared" si="56"/>
        <v>0.2851500754774135</v>
      </c>
      <c r="N129" s="215">
        <f t="shared" si="56"/>
        <v>0.35999770443190537</v>
      </c>
      <c r="O129" s="215">
        <f t="shared" si="56"/>
        <v>0.43136232154675319</v>
      </c>
      <c r="P129" s="215">
        <f t="shared" ref="P129" si="57">P122/P127</f>
        <v>0.60127743146652546</v>
      </c>
      <c r="Q129" s="216">
        <f>Q122/Q127</f>
        <v>1.2551897606468947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58">J123/J127</f>
        <v>0</v>
      </c>
      <c r="K130" s="215">
        <f t="shared" si="58"/>
        <v>0</v>
      </c>
      <c r="L130" s="215">
        <f t="shared" si="58"/>
        <v>7.7877112619796351E-2</v>
      </c>
      <c r="M130" s="215">
        <f t="shared" si="58"/>
        <v>0.13638529994690368</v>
      </c>
      <c r="N130" s="215">
        <f t="shared" si="58"/>
        <v>0.16009228720581523</v>
      </c>
      <c r="O130" s="215">
        <f t="shared" si="58"/>
        <v>0.15149097925765531</v>
      </c>
      <c r="P130" s="215">
        <f t="shared" ref="P130" si="59">P123/P127</f>
        <v>0.17631143554023782</v>
      </c>
      <c r="Q130" s="216">
        <f>Q123/Q127</f>
        <v>0.18345722978612083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60">K124/K127</f>
        <v>0</v>
      </c>
      <c r="L131" s="215">
        <f t="shared" si="60"/>
        <v>0</v>
      </c>
      <c r="M131" s="215">
        <f t="shared" si="60"/>
        <v>0</v>
      </c>
      <c r="N131" s="215">
        <f t="shared" si="60"/>
        <v>2.4549005338551925E-2</v>
      </c>
      <c r="O131" s="215">
        <f t="shared" si="60"/>
        <v>8.0566451780606257E-2</v>
      </c>
      <c r="P131" s="215">
        <f t="shared" ref="P131" si="61">P124/P127</f>
        <v>0.13915783575964533</v>
      </c>
      <c r="Q131" s="216">
        <f>Q124/Q127</f>
        <v>0.25886896573087442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62">-K126/K127</f>
        <v>-9.4245252972192066</v>
      </c>
      <c r="L132" s="215">
        <f t="shared" si="62"/>
        <v>-9.4245252972192066</v>
      </c>
      <c r="M132" s="215">
        <f t="shared" si="62"/>
        <v>-9.4245252972203968</v>
      </c>
      <c r="N132" s="215">
        <f t="shared" si="62"/>
        <v>-9.4245252972200717</v>
      </c>
      <c r="O132" s="215">
        <f t="shared" si="62"/>
        <v>-9.4245252972199971</v>
      </c>
      <c r="P132" s="215">
        <f t="shared" ref="P132" si="63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64">SUM(J128:J132)</f>
        <v>-9.4245252972192066</v>
      </c>
      <c r="K133" s="219">
        <f t="shared" si="64"/>
        <v>-9.4245252972192066</v>
      </c>
      <c r="L133" s="219">
        <f t="shared" si="64"/>
        <v>-6.6438364589472769</v>
      </c>
      <c r="M133" s="219">
        <f t="shared" si="64"/>
        <v>-7.5752602083183573</v>
      </c>
      <c r="N133" s="219">
        <f t="shared" si="64"/>
        <v>-8.1660214435046061</v>
      </c>
      <c r="O133" s="219">
        <f t="shared" si="64"/>
        <v>-8.4041731162655111</v>
      </c>
      <c r="P133" s="219">
        <f t="shared" ref="P133" si="65">SUM(P128:P132)</f>
        <v>-8.4363921087796037</v>
      </c>
      <c r="Q133" s="220">
        <f>SUM(Q128:Q132)</f>
        <v>-7.7270093410568474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O136" si="66">SUM(K106:K108)</f>
        <v>0</v>
      </c>
      <c r="L136" s="366">
        <f t="shared" si="66"/>
        <v>0.12389515934399135</v>
      </c>
      <c r="M136" s="366">
        <f t="shared" si="66"/>
        <v>0.16527796722756771</v>
      </c>
      <c r="N136" s="366">
        <f t="shared" si="66"/>
        <v>0.21451989979741579</v>
      </c>
      <c r="O136" s="366">
        <f t="shared" si="66"/>
        <v>0.26040114000917569</v>
      </c>
      <c r="P136" s="366">
        <f t="shared" ref="P136" si="67">SUM(P106:P108)</f>
        <v>0.35674191117950754</v>
      </c>
      <c r="Q136" s="367">
        <f>SUM(Q106:Q108)</f>
        <v>0.62013629063736175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O137" si="68">SUM(K129:K131)</f>
        <v>0</v>
      </c>
      <c r="L137" s="289">
        <f t="shared" si="68"/>
        <v>0.33910044994324134</v>
      </c>
      <c r="M137" s="289">
        <f t="shared" si="68"/>
        <v>0.42153537542431718</v>
      </c>
      <c r="N137" s="289">
        <f t="shared" si="68"/>
        <v>0.5446389969762726</v>
      </c>
      <c r="O137" s="289">
        <f t="shared" si="68"/>
        <v>0.66341975258501484</v>
      </c>
      <c r="P137" s="289">
        <f t="shared" ref="P137" si="69">SUM(P129:P131)</f>
        <v>0.91674670276640857</v>
      </c>
      <c r="Q137" s="370">
        <f>SUM(Q129:Q131)</f>
        <v>1.6975159561638899</v>
      </c>
    </row>
    <row r="138" spans="8:17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O138" si="70">K128</f>
        <v>0</v>
      </c>
      <c r="L138" s="289">
        <f t="shared" si="70"/>
        <v>2.4415883883286882</v>
      </c>
      <c r="M138" s="289">
        <f t="shared" si="70"/>
        <v>1.4277297134777225</v>
      </c>
      <c r="N138" s="289">
        <f t="shared" si="70"/>
        <v>0.7138648567391922</v>
      </c>
      <c r="O138" s="289">
        <f t="shared" si="70"/>
        <v>0.3569324283694717</v>
      </c>
      <c r="P138" s="289">
        <f t="shared" ref="P138" si="71">P128</f>
        <v>7.138648567398552E-2</v>
      </c>
      <c r="Q138" s="370">
        <f>Q128</f>
        <v>-1.2799673736780728E-13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72">K132</f>
        <v>-9.4245252972192066</v>
      </c>
      <c r="L139" s="289">
        <f t="shared" si="72"/>
        <v>-9.4245252972192066</v>
      </c>
      <c r="M139" s="289">
        <f t="shared" si="72"/>
        <v>-9.4245252972203968</v>
      </c>
      <c r="N139" s="289">
        <f t="shared" si="72"/>
        <v>-9.4245252972200717</v>
      </c>
      <c r="O139" s="289">
        <f t="shared" si="72"/>
        <v>-9.4245252972199971</v>
      </c>
      <c r="P139" s="289">
        <f t="shared" ref="P139" si="73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O140" si="74">K136+K138+K139</f>
        <v>-9.4245252972192066</v>
      </c>
      <c r="L140" s="289">
        <f t="shared" si="74"/>
        <v>-6.8590417495465275</v>
      </c>
      <c r="M140" s="289">
        <f t="shared" si="74"/>
        <v>-7.8315176165151064</v>
      </c>
      <c r="N140" s="289">
        <f t="shared" si="74"/>
        <v>-8.4961405406834629</v>
      </c>
      <c r="O140" s="289">
        <f t="shared" si="74"/>
        <v>-8.8071917288413495</v>
      </c>
      <c r="P140" s="289">
        <f t="shared" ref="P140" si="75">P136+P138+P139</f>
        <v>-8.9963969003665039</v>
      </c>
      <c r="Q140" s="370">
        <f>Q136+Q138+Q139</f>
        <v>-8.8043890065833761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O141" si="76">K137+K138+K139</f>
        <v>-9.4245252972192066</v>
      </c>
      <c r="L141" s="374">
        <f t="shared" si="76"/>
        <v>-6.6438364589472769</v>
      </c>
      <c r="M141" s="374">
        <f t="shared" si="76"/>
        <v>-7.5752602083183573</v>
      </c>
      <c r="N141" s="374">
        <f t="shared" si="76"/>
        <v>-8.1660214435046079</v>
      </c>
      <c r="O141" s="374">
        <f t="shared" si="76"/>
        <v>-8.4041731162655111</v>
      </c>
      <c r="P141" s="374">
        <f t="shared" ref="P141" si="77">P137+P138+P139</f>
        <v>-8.4363921087796037</v>
      </c>
      <c r="Q141" s="375">
        <f>Q137+Q138+Q139</f>
        <v>-7.7270093410568474</v>
      </c>
    </row>
    <row r="142" spans="8:17" x14ac:dyDescent="0.25">
      <c r="H142" s="376" t="s">
        <v>196</v>
      </c>
      <c r="I142" s="377"/>
      <c r="J142" s="378">
        <f>J140-J110</f>
        <v>0</v>
      </c>
      <c r="K142" s="378">
        <f t="shared" ref="K142:O142" si="78">K140-K110</f>
        <v>0</v>
      </c>
      <c r="L142" s="378">
        <f t="shared" si="78"/>
        <v>0</v>
      </c>
      <c r="M142" s="378">
        <f t="shared" si="78"/>
        <v>0</v>
      </c>
      <c r="N142" s="378">
        <f t="shared" si="78"/>
        <v>0</v>
      </c>
      <c r="O142" s="378">
        <f t="shared" si="78"/>
        <v>0</v>
      </c>
      <c r="P142" s="378">
        <f t="shared" ref="P142" si="79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80">K141-K133</f>
        <v>0</v>
      </c>
      <c r="L143" s="382">
        <f t="shared" si="80"/>
        <v>0</v>
      </c>
      <c r="M143" s="382">
        <f t="shared" si="80"/>
        <v>0</v>
      </c>
      <c r="N143" s="382">
        <f t="shared" si="80"/>
        <v>0</v>
      </c>
      <c r="O143" s="382">
        <f t="shared" si="80"/>
        <v>0</v>
      </c>
      <c r="P143" s="382">
        <f t="shared" ref="P143" si="81">P141-P133</f>
        <v>0</v>
      </c>
      <c r="Q143" s="383">
        <f>Q141-Q133</f>
        <v>0</v>
      </c>
    </row>
    <row r="144" spans="8:17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2D92-3BFD-469A-ACB1-D29D15189042}">
  <sheetPr codeName="Foglio19"/>
  <dimension ref="A3:AA151"/>
  <sheetViews>
    <sheetView zoomScale="25" zoomScaleNormal="25" workbookViewId="0">
      <selection activeCell="AN26" sqref="AN26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5" x14ac:dyDescent="0.25">
      <c r="U3" s="1"/>
      <c r="V3" s="1"/>
      <c r="W3" s="2"/>
    </row>
    <row r="4" spans="1:25" x14ac:dyDescent="0.25">
      <c r="A4" s="225" t="s">
        <v>102</v>
      </c>
      <c r="B4" s="225" t="s">
        <v>165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5"/>
      <c r="U4" s="6"/>
      <c r="V4" s="6"/>
    </row>
    <row r="5" spans="1:25" ht="15.75" thickBot="1" x14ac:dyDescent="0.3">
      <c r="H5" s="7" t="s">
        <v>1</v>
      </c>
      <c r="I5" s="8" t="s">
        <v>2</v>
      </c>
      <c r="J5" s="9"/>
      <c r="K5" s="9">
        <v>0.66802830611946218</v>
      </c>
      <c r="L5" s="9">
        <v>0.8000000000000429</v>
      </c>
      <c r="M5" s="9">
        <v>0.90000000000008307</v>
      </c>
      <c r="N5" s="9">
        <v>0.95000000000001505</v>
      </c>
      <c r="O5" s="9">
        <v>0.99000000000015587</v>
      </c>
      <c r="P5" s="10">
        <v>1.0000000000000226</v>
      </c>
      <c r="R5" s="11" t="str">
        <f>H5</f>
        <v>Renewable Energy Share</v>
      </c>
      <c r="S5" s="296"/>
      <c r="T5" s="296">
        <f t="shared" ref="T5:W8" si="0">K5</f>
        <v>0.66802830611946218</v>
      </c>
      <c r="U5" s="296">
        <f t="shared" si="0"/>
        <v>0.8000000000000429</v>
      </c>
      <c r="V5" s="296">
        <f t="shared" si="0"/>
        <v>0.90000000000008307</v>
      </c>
      <c r="W5" s="296">
        <f t="shared" si="0"/>
        <v>0.95000000000001505</v>
      </c>
      <c r="X5" s="296">
        <f t="shared" ref="X5:X13" si="1">P5</f>
        <v>1.0000000000000226</v>
      </c>
    </row>
    <row r="6" spans="1:25" ht="15.75" thickTop="1" x14ac:dyDescent="0.25">
      <c r="C6" s="13"/>
      <c r="H6" s="14" t="s">
        <v>3</v>
      </c>
      <c r="I6" s="15" t="s">
        <v>4</v>
      </c>
      <c r="J6" s="16"/>
      <c r="K6" s="16">
        <v>0</v>
      </c>
      <c r="L6" s="16">
        <v>0.84952318939466298</v>
      </c>
      <c r="M6" s="16">
        <v>1.9309875715502391</v>
      </c>
      <c r="N6" s="16">
        <v>2.7997550125733288</v>
      </c>
      <c r="O6" s="16">
        <v>4.7677683369738588</v>
      </c>
      <c r="P6" s="17">
        <v>0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0</v>
      </c>
      <c r="U6" s="19">
        <f t="shared" si="0"/>
        <v>0.84952318939466298</v>
      </c>
      <c r="V6" s="19">
        <f t="shared" si="0"/>
        <v>1.9309875715502391</v>
      </c>
      <c r="W6" s="19">
        <f t="shared" si="0"/>
        <v>2.7997550125733288</v>
      </c>
      <c r="X6" s="19">
        <f t="shared" si="1"/>
        <v>0</v>
      </c>
    </row>
    <row r="7" spans="1:25" x14ac:dyDescent="0.25">
      <c r="A7" s="13"/>
      <c r="B7" s="20"/>
      <c r="C7" s="13"/>
      <c r="H7" s="21" t="s">
        <v>5</v>
      </c>
      <c r="I7" s="6" t="s">
        <v>4</v>
      </c>
      <c r="J7" s="22"/>
      <c r="K7" s="22">
        <v>1.4437042047872275</v>
      </c>
      <c r="L7" s="22">
        <v>2.0185804981522457</v>
      </c>
      <c r="M7" s="22">
        <v>2.7226172494749261</v>
      </c>
      <c r="N7" s="22">
        <v>2.9944863714255745</v>
      </c>
      <c r="O7" s="22">
        <v>4.1038644303382856</v>
      </c>
      <c r="P7" s="23">
        <v>11.283893772046746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1.4437042047872275</v>
      </c>
      <c r="U7" s="22">
        <f t="shared" si="0"/>
        <v>2.0185804981522457</v>
      </c>
      <c r="V7" s="22">
        <f t="shared" si="0"/>
        <v>2.7226172494749261</v>
      </c>
      <c r="W7" s="22">
        <f t="shared" si="0"/>
        <v>2.9944863714255745</v>
      </c>
      <c r="X7" s="22">
        <f t="shared" si="1"/>
        <v>11.283893772046746</v>
      </c>
    </row>
    <row r="8" spans="1:25" x14ac:dyDescent="0.25">
      <c r="A8" s="13"/>
      <c r="B8" s="20"/>
      <c r="C8" s="13"/>
      <c r="H8" s="21" t="s">
        <v>6</v>
      </c>
      <c r="I8" s="6" t="s">
        <v>7</v>
      </c>
      <c r="J8" s="22"/>
      <c r="K8" s="22">
        <v>0</v>
      </c>
      <c r="L8" s="22">
        <v>0</v>
      </c>
      <c r="M8" s="22">
        <v>2.7035963083150136</v>
      </c>
      <c r="N8" s="22">
        <v>8.4131674288070002</v>
      </c>
      <c r="O8" s="22">
        <v>24.083274287774678</v>
      </c>
      <c r="P8" s="23">
        <v>69.528600572712378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0</v>
      </c>
      <c r="V8" s="22">
        <f t="shared" si="0"/>
        <v>2.7035963083150136</v>
      </c>
      <c r="W8" s="22">
        <f t="shared" si="0"/>
        <v>8.4131674288070002</v>
      </c>
      <c r="X8" s="22">
        <f t="shared" si="1"/>
        <v>69.528600572712378</v>
      </c>
      <c r="Y8" s="22"/>
    </row>
    <row r="9" spans="1:25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>
        <v>0</v>
      </c>
      <c r="L9" s="27">
        <v>0</v>
      </c>
      <c r="M9" s="27">
        <v>105</v>
      </c>
      <c r="N9" s="27">
        <v>72</v>
      </c>
      <c r="O9" s="27">
        <v>27</v>
      </c>
      <c r="P9" s="28">
        <v>7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ref="U9:W13" si="4">L9</f>
        <v>0</v>
      </c>
      <c r="V9" s="29">
        <f t="shared" si="4"/>
        <v>105</v>
      </c>
      <c r="W9" s="29">
        <f t="shared" si="4"/>
        <v>72</v>
      </c>
      <c r="X9" s="29">
        <f t="shared" si="1"/>
        <v>7</v>
      </c>
    </row>
    <row r="10" spans="1:25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>
        <v>0</v>
      </c>
      <c r="L10" s="16">
        <v>1.7465750341543185E-3</v>
      </c>
      <c r="M10" s="16">
        <v>1.7981231234599254E-3</v>
      </c>
      <c r="N10" s="16">
        <v>1.5654659840436125E-3</v>
      </c>
      <c r="O10" s="16">
        <v>1.1284061997167483E-3</v>
      </c>
      <c r="P10" s="17">
        <v>1.0591180997341415E-3</v>
      </c>
      <c r="R10" s="18" t="str">
        <f t="shared" si="3"/>
        <v>Biogas storage size</v>
      </c>
      <c r="S10" s="19" t="str">
        <f>I10</f>
        <v>m3</v>
      </c>
      <c r="T10" s="19">
        <f>K10</f>
        <v>0</v>
      </c>
      <c r="U10" s="30">
        <f t="shared" si="4"/>
        <v>1.7465750341543185E-3</v>
      </c>
      <c r="V10" s="30">
        <f t="shared" si="4"/>
        <v>1.7981231234599254E-3</v>
      </c>
      <c r="W10" s="30">
        <f t="shared" si="4"/>
        <v>1.5654659840436125E-3</v>
      </c>
      <c r="X10" s="30">
        <f t="shared" si="1"/>
        <v>1.0591180997341415E-3</v>
      </c>
    </row>
    <row r="11" spans="1:25" x14ac:dyDescent="0.25">
      <c r="H11" s="21" t="s">
        <v>11</v>
      </c>
      <c r="I11" s="6" t="s">
        <v>12</v>
      </c>
      <c r="J11" s="22"/>
      <c r="K11" s="22">
        <v>0</v>
      </c>
      <c r="L11" s="22">
        <v>3.5290338313577561E-5</v>
      </c>
      <c r="M11" s="22">
        <v>3.6331890766486751E-5</v>
      </c>
      <c r="N11" s="22">
        <v>3.163094806404719E-5</v>
      </c>
      <c r="O11" s="22">
        <v>2.2799957496486215E-5</v>
      </c>
      <c r="P11" s="23">
        <v>2.1399960106351104E-5</v>
      </c>
      <c r="R11" s="24" t="str">
        <f t="shared" si="3"/>
        <v>Biogas storage hours</v>
      </c>
      <c r="S11" s="22" t="str">
        <f t="shared" si="2"/>
        <v>h</v>
      </c>
      <c r="T11" s="22">
        <f>K11</f>
        <v>0</v>
      </c>
      <c r="U11" s="22">
        <f t="shared" si="4"/>
        <v>3.5290338313577561E-5</v>
      </c>
      <c r="V11" s="22">
        <f t="shared" si="4"/>
        <v>3.6331890766486751E-5</v>
      </c>
      <c r="W11" s="22">
        <f t="shared" si="4"/>
        <v>3.163094806404719E-5</v>
      </c>
      <c r="X11" s="22">
        <f t="shared" si="1"/>
        <v>2.1399960106351104E-5</v>
      </c>
    </row>
    <row r="12" spans="1:25" x14ac:dyDescent="0.25">
      <c r="H12" s="21" t="s">
        <v>13</v>
      </c>
      <c r="I12" s="6" t="s">
        <v>18</v>
      </c>
      <c r="J12" s="22"/>
      <c r="K12" s="22">
        <v>0</v>
      </c>
      <c r="L12" s="22">
        <v>1.0921094892637484E-3</v>
      </c>
      <c r="M12" s="22">
        <v>4.3545039545733744E-4</v>
      </c>
      <c r="N12" s="22">
        <v>1.9609974535228503E-4</v>
      </c>
      <c r="O12" s="22">
        <v>3.2276651158172244E-5</v>
      </c>
      <c r="P12" s="23">
        <v>2.1560261870945396E-4</v>
      </c>
      <c r="R12" s="24" t="str">
        <f t="shared" si="3"/>
        <v>Syngas storage size</v>
      </c>
      <c r="S12" s="22" t="str">
        <f t="shared" si="2"/>
        <v>m3</v>
      </c>
      <c r="T12" s="22">
        <f>K12</f>
        <v>0</v>
      </c>
      <c r="U12" s="31">
        <f t="shared" si="4"/>
        <v>1.0921094892637484E-3</v>
      </c>
      <c r="V12" s="31">
        <f t="shared" si="4"/>
        <v>4.3545039545733744E-4</v>
      </c>
      <c r="W12" s="31">
        <f t="shared" si="4"/>
        <v>1.9609974535228503E-4</v>
      </c>
      <c r="X12" s="31">
        <f t="shared" si="1"/>
        <v>2.1560261870945396E-4</v>
      </c>
    </row>
    <row r="13" spans="1:25" x14ac:dyDescent="0.25">
      <c r="H13" s="32" t="s">
        <v>14</v>
      </c>
      <c r="I13" s="26" t="s">
        <v>12</v>
      </c>
      <c r="J13" s="33"/>
      <c r="K13" s="33">
        <v>0</v>
      </c>
      <c r="L13" s="33">
        <v>5.4086846056767738E-6</v>
      </c>
      <c r="M13" s="33">
        <v>2.1565730117716901E-6</v>
      </c>
      <c r="N13" s="33">
        <v>9.7118620824279888E-7</v>
      </c>
      <c r="O13" s="33">
        <v>1.5985048015624861E-7</v>
      </c>
      <c r="P13" s="34">
        <v>1.0677744092706065E-6</v>
      </c>
      <c r="R13" s="24" t="str">
        <f t="shared" si="3"/>
        <v>Syngas storage hours</v>
      </c>
      <c r="S13" s="22" t="str">
        <f t="shared" si="2"/>
        <v>h</v>
      </c>
      <c r="T13" s="22">
        <f>K13</f>
        <v>0</v>
      </c>
      <c r="U13" s="22">
        <f t="shared" si="4"/>
        <v>5.4086846056767738E-6</v>
      </c>
      <c r="V13" s="22">
        <f t="shared" si="4"/>
        <v>2.1565730117716901E-6</v>
      </c>
      <c r="W13" s="22">
        <f t="shared" si="4"/>
        <v>9.7118620824279888E-7</v>
      </c>
      <c r="X13" s="22">
        <f t="shared" si="1"/>
        <v>1.0677744092706065E-6</v>
      </c>
    </row>
    <row r="14" spans="1:25" x14ac:dyDescent="0.25">
      <c r="H14" s="25" t="s">
        <v>15</v>
      </c>
      <c r="I14" s="26" t="s">
        <v>16</v>
      </c>
      <c r="J14" s="35"/>
      <c r="K14" s="35">
        <v>4.2257694835053732</v>
      </c>
      <c r="L14" s="35">
        <v>4.4421156920873512</v>
      </c>
      <c r="M14" s="35">
        <v>5.1991523455523172</v>
      </c>
      <c r="N14" s="35">
        <v>6.0494119543169962</v>
      </c>
      <c r="O14" s="35">
        <v>8.5751124801231953</v>
      </c>
      <c r="P14" s="36">
        <v>16.129182145976653</v>
      </c>
      <c r="R14" s="37" t="s">
        <v>17</v>
      </c>
      <c r="S14" s="6" t="s">
        <v>18</v>
      </c>
      <c r="T14" s="22">
        <f>[7]NoSP!$F$112</f>
        <v>0</v>
      </c>
      <c r="U14" s="31">
        <f>'[7]80SP'!$F$112</f>
        <v>0</v>
      </c>
      <c r="V14" s="31">
        <f>'[7]90SP'!$F$112</f>
        <v>0</v>
      </c>
      <c r="W14" s="31">
        <f>'[7]95SP'!$F$112</f>
        <v>0</v>
      </c>
      <c r="X14" s="31">
        <f>'[7]100SP'!$F$112</f>
        <v>0</v>
      </c>
    </row>
    <row r="15" spans="1:25" ht="15.75" thickBot="1" x14ac:dyDescent="0.3">
      <c r="H15" s="14" t="s">
        <v>19</v>
      </c>
      <c r="I15" s="15" t="s">
        <v>2</v>
      </c>
      <c r="J15" s="38"/>
      <c r="K15" s="38">
        <v>1</v>
      </c>
      <c r="L15" s="38">
        <v>1.0000001990247906</v>
      </c>
      <c r="M15" s="38">
        <v>1.0000001278316366</v>
      </c>
      <c r="N15" s="38">
        <v>1.000000096253354</v>
      </c>
      <c r="O15" s="38">
        <v>1.0000000435387899</v>
      </c>
      <c r="P15" s="39">
        <v>1.0000000227992047</v>
      </c>
      <c r="R15" s="40" t="s">
        <v>20</v>
      </c>
      <c r="S15" s="41" t="s">
        <v>12</v>
      </c>
      <c r="T15" s="41">
        <f>[7]NoSP!$B$169</f>
        <v>0</v>
      </c>
      <c r="U15" s="41">
        <f>'[7]80SP'!$B$169</f>
        <v>0</v>
      </c>
      <c r="V15" s="41">
        <f>'[7]90SP'!$B$169</f>
        <v>0</v>
      </c>
      <c r="W15" s="41">
        <f>'[7]95SP'!$B$169</f>
        <v>0</v>
      </c>
      <c r="X15" s="41">
        <f>'[7]100SP'!$B$169</f>
        <v>0</v>
      </c>
    </row>
    <row r="16" spans="1:25" ht="15.75" thickTop="1" x14ac:dyDescent="0.25">
      <c r="H16" s="25" t="s">
        <v>21</v>
      </c>
      <c r="I16" s="26" t="s">
        <v>2</v>
      </c>
      <c r="J16" s="42"/>
      <c r="K16" s="42">
        <v>0.99999999999999756</v>
      </c>
      <c r="L16" s="42">
        <v>1.0000001058953774</v>
      </c>
      <c r="M16" s="42">
        <v>1.0000000876844257</v>
      </c>
      <c r="N16" s="42">
        <v>1.0000000856558899</v>
      </c>
      <c r="O16" s="42">
        <v>1.0000000417778798</v>
      </c>
      <c r="P16" s="43">
        <v>1.0000000145371901</v>
      </c>
      <c r="R16" s="37" t="str">
        <f>H15</f>
        <v>Syngas generation size</v>
      </c>
      <c r="S16" s="6" t="s">
        <v>2</v>
      </c>
      <c r="T16" s="297">
        <f t="shared" ref="T16:W17" si="5">K15</f>
        <v>1</v>
      </c>
      <c r="U16" s="297">
        <f t="shared" si="5"/>
        <v>1.0000001990247906</v>
      </c>
      <c r="V16" s="297">
        <f t="shared" si="5"/>
        <v>1.0000001278316366</v>
      </c>
      <c r="W16" s="297">
        <f t="shared" si="5"/>
        <v>1.000000096253354</v>
      </c>
      <c r="X16" s="297">
        <f>P15</f>
        <v>1.0000000227992047</v>
      </c>
    </row>
    <row r="17" spans="2:24" ht="15.75" thickBot="1" x14ac:dyDescent="0.3">
      <c r="R17" s="40" t="str">
        <f>H16</f>
        <v>Gas Separation size</v>
      </c>
      <c r="S17" s="45" t="s">
        <v>2</v>
      </c>
      <c r="T17" s="298">
        <f t="shared" si="5"/>
        <v>0.99999999999999756</v>
      </c>
      <c r="U17" s="298">
        <f t="shared" si="5"/>
        <v>1.0000001058953774</v>
      </c>
      <c r="V17" s="298">
        <f t="shared" si="5"/>
        <v>1.0000000876844257</v>
      </c>
      <c r="W17" s="298">
        <f t="shared" si="5"/>
        <v>1.0000000856558899</v>
      </c>
      <c r="X17" s="298">
        <f>P16</f>
        <v>1.0000000145371901</v>
      </c>
    </row>
    <row r="18" spans="2:24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9"/>
    </row>
    <row r="19" spans="2:24" x14ac:dyDescent="0.25">
      <c r="H19" s="50" t="s">
        <v>1</v>
      </c>
      <c r="I19" s="8" t="s">
        <v>2</v>
      </c>
      <c r="J19" s="9"/>
      <c r="K19" s="9">
        <v>0.66802830611946218</v>
      </c>
      <c r="L19" s="9">
        <v>0.8000000000000429</v>
      </c>
      <c r="M19" s="9">
        <v>0.90000000000008307</v>
      </c>
      <c r="N19" s="9">
        <v>0.95000000000001505</v>
      </c>
      <c r="O19" s="9">
        <v>0.99000000000015587</v>
      </c>
      <c r="P19" s="10">
        <v>1.0000000000000226</v>
      </c>
    </row>
    <row r="20" spans="2:24" x14ac:dyDescent="0.25">
      <c r="H20" s="51" t="s">
        <v>23</v>
      </c>
      <c r="I20" s="52" t="s">
        <v>24</v>
      </c>
      <c r="J20" s="53"/>
      <c r="K20" s="53">
        <v>-9678.9875243778388</v>
      </c>
      <c r="L20" s="53">
        <v>-9678.9875243783354</v>
      </c>
      <c r="M20" s="53">
        <v>-9678.9875243781589</v>
      </c>
      <c r="N20" s="53">
        <v>-9678.9875243790466</v>
      </c>
      <c r="O20" s="53">
        <v>-9678.9875243791412</v>
      </c>
      <c r="P20" s="54">
        <v>-9678.9875243783245</v>
      </c>
    </row>
    <row r="21" spans="2:24" x14ac:dyDescent="0.25">
      <c r="B21" s="55"/>
      <c r="H21" s="56" t="s">
        <v>25</v>
      </c>
      <c r="I21" s="57" t="s">
        <v>24</v>
      </c>
      <c r="J21" s="58"/>
      <c r="K21" s="58">
        <v>-1702.5570878064138</v>
      </c>
      <c r="L21" s="58">
        <v>-1702.5570878067188</v>
      </c>
      <c r="M21" s="58">
        <v>-1702.5570878066585</v>
      </c>
      <c r="N21" s="58">
        <v>-1702.5570878063465</v>
      </c>
      <c r="O21" s="58">
        <v>-1702.5570878065</v>
      </c>
      <c r="P21" s="59">
        <v>-1702.5570878066865</v>
      </c>
      <c r="Q21" s="60"/>
    </row>
    <row r="22" spans="2:24" x14ac:dyDescent="0.25">
      <c r="H22" s="61" t="s">
        <v>26</v>
      </c>
      <c r="I22" s="6" t="s">
        <v>24</v>
      </c>
      <c r="J22" s="31"/>
      <c r="K22" s="31">
        <v>0</v>
      </c>
      <c r="L22" s="31">
        <v>735.75044200381114</v>
      </c>
      <c r="M22" s="31">
        <v>1672.3792558085495</v>
      </c>
      <c r="N22" s="31">
        <v>2424.7966550166088</v>
      </c>
      <c r="O22" s="31">
        <v>4129.2429742852355</v>
      </c>
      <c r="P22" s="62">
        <v>0</v>
      </c>
      <c r="Q22" s="60"/>
    </row>
    <row r="23" spans="2:24" x14ac:dyDescent="0.25">
      <c r="H23" s="61" t="s">
        <v>27</v>
      </c>
      <c r="I23" s="6" t="s">
        <v>24</v>
      </c>
      <c r="J23" s="31"/>
      <c r="K23" s="31">
        <v>6968.7053270859296</v>
      </c>
      <c r="L23" s="31">
        <v>9743.6113464105456</v>
      </c>
      <c r="M23" s="31">
        <v>13141.969987424307</v>
      </c>
      <c r="N23" s="31">
        <v>14454.271906422266</v>
      </c>
      <c r="O23" s="31">
        <v>19809.197633771433</v>
      </c>
      <c r="P23" s="62">
        <v>54466.926382002777</v>
      </c>
      <c r="Q23" s="60"/>
    </row>
    <row r="24" spans="2:24" x14ac:dyDescent="0.25">
      <c r="H24" s="61" t="s">
        <v>28</v>
      </c>
      <c r="I24" s="6" t="s">
        <v>24</v>
      </c>
      <c r="J24" s="31"/>
      <c r="K24" s="31">
        <v>3213.1498835171114</v>
      </c>
      <c r="L24" s="31">
        <v>1935.7975048756398</v>
      </c>
      <c r="M24" s="31">
        <v>967.89875243642962</v>
      </c>
      <c r="N24" s="31">
        <v>483.94937621679196</v>
      </c>
      <c r="O24" s="31">
        <v>96.789875241722086</v>
      </c>
      <c r="P24" s="62">
        <v>6.9149876935625795E-11</v>
      </c>
      <c r="Q24" s="60"/>
    </row>
    <row r="25" spans="2:24" x14ac:dyDescent="0.25">
      <c r="H25" s="61" t="s">
        <v>29</v>
      </c>
      <c r="I25" s="6" t="s">
        <v>24</v>
      </c>
      <c r="J25" s="31"/>
      <c r="K25" s="31">
        <v>-502.86768622439524</v>
      </c>
      <c r="L25" s="31">
        <v>-2736.1717689112734</v>
      </c>
      <c r="M25" s="31">
        <v>-6086.5703416942906</v>
      </c>
      <c r="N25" s="31">
        <v>-7648.5596090241215</v>
      </c>
      <c r="O25" s="31">
        <v>-14318.474371966142</v>
      </c>
      <c r="P25" s="62">
        <v>-44761.687993222928</v>
      </c>
      <c r="Q25" s="60"/>
    </row>
    <row r="26" spans="2:24" x14ac:dyDescent="0.25">
      <c r="H26" s="61" t="s">
        <v>30</v>
      </c>
      <c r="I26" s="6" t="s">
        <v>24</v>
      </c>
      <c r="J26" s="31"/>
      <c r="K26" s="31">
        <v>0</v>
      </c>
      <c r="L26" s="31">
        <v>0</v>
      </c>
      <c r="M26" s="31">
        <v>-282.4049001255126</v>
      </c>
      <c r="N26" s="31">
        <v>-600.18281310512145</v>
      </c>
      <c r="O26" s="31">
        <v>-639.06238500284269</v>
      </c>
      <c r="P26" s="62">
        <v>-444.17706262792012</v>
      </c>
      <c r="Q26" s="60"/>
    </row>
    <row r="27" spans="2:24" x14ac:dyDescent="0.25">
      <c r="B27" s="63"/>
      <c r="H27" s="61" t="s">
        <v>31</v>
      </c>
      <c r="I27" s="6" t="s">
        <v>24</v>
      </c>
      <c r="J27" s="31"/>
      <c r="K27" s="31">
        <v>0</v>
      </c>
      <c r="L27" s="31">
        <v>0</v>
      </c>
      <c r="M27" s="31">
        <v>265.71477052809479</v>
      </c>
      <c r="N27" s="31">
        <v>564.71200885061012</v>
      </c>
      <c r="O27" s="31">
        <v>601.29379804917403</v>
      </c>
      <c r="P27" s="62">
        <v>417.92619822661015</v>
      </c>
    </row>
    <row r="28" spans="2:24" x14ac:dyDescent="0.25">
      <c r="H28" s="64" t="s">
        <v>32</v>
      </c>
      <c r="I28" s="65" t="s">
        <v>24</v>
      </c>
      <c r="J28" s="66"/>
      <c r="K28" s="66">
        <v>8.070628609857522E-10</v>
      </c>
      <c r="L28" s="66">
        <v>3.8789949030615389E-10</v>
      </c>
      <c r="M28" s="66">
        <v>-5.8139448810834438E-10</v>
      </c>
      <c r="N28" s="66">
        <v>-2.0123707145103253E-9</v>
      </c>
      <c r="O28" s="66">
        <v>-5.617266651825048E-10</v>
      </c>
      <c r="P28" s="67">
        <v>2.879687599488534E-10</v>
      </c>
    </row>
    <row r="30" spans="2:24" x14ac:dyDescent="0.25">
      <c r="H30" s="68" t="s">
        <v>15</v>
      </c>
    </row>
    <row r="31" spans="2:24" x14ac:dyDescent="0.25">
      <c r="H31" s="69" t="s">
        <v>33</v>
      </c>
      <c r="I31" s="70" t="s">
        <v>103</v>
      </c>
      <c r="J31" s="71"/>
      <c r="K31" s="71">
        <v>0</v>
      </c>
      <c r="L31" s="71">
        <v>0.17982215885814926</v>
      </c>
      <c r="M31" s="71">
        <v>0.40874028888119729</v>
      </c>
      <c r="N31" s="71">
        <v>0.59263595970055882</v>
      </c>
      <c r="O31" s="71">
        <v>1.0092136459523904</v>
      </c>
      <c r="P31" s="72">
        <v>0</v>
      </c>
    </row>
    <row r="32" spans="2:24" x14ac:dyDescent="0.25">
      <c r="H32" s="73" t="s">
        <v>34</v>
      </c>
      <c r="I32" s="74" t="s">
        <v>103</v>
      </c>
      <c r="J32" s="75"/>
      <c r="K32" s="75">
        <v>0.65191817261122498</v>
      </c>
      <c r="L32" s="75">
        <v>0.91150895402304044</v>
      </c>
      <c r="M32" s="75">
        <v>1.2294233514818338</v>
      </c>
      <c r="N32" s="75">
        <v>1.3521884030646683</v>
      </c>
      <c r="O32" s="75">
        <v>1.85313846922321</v>
      </c>
      <c r="P32" s="76">
        <v>5.0953480521979975</v>
      </c>
    </row>
    <row r="33" spans="8:16" x14ac:dyDescent="0.25">
      <c r="H33" s="73" t="s">
        <v>35</v>
      </c>
      <c r="I33" s="74" t="s">
        <v>103</v>
      </c>
      <c r="J33" s="75"/>
      <c r="K33" s="75">
        <v>0</v>
      </c>
      <c r="L33" s="75">
        <v>0</v>
      </c>
      <c r="M33" s="75">
        <v>0.19940126861972202</v>
      </c>
      <c r="N33" s="75">
        <v>0.62050545536488777</v>
      </c>
      <c r="O33" s="75">
        <v>1.7762398294185702</v>
      </c>
      <c r="P33" s="76">
        <v>5.1280182314612839</v>
      </c>
    </row>
    <row r="34" spans="8:16" x14ac:dyDescent="0.25">
      <c r="H34" s="73" t="s">
        <v>36</v>
      </c>
      <c r="I34" s="74" t="s">
        <v>103</v>
      </c>
      <c r="J34" s="75"/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6">
        <v>0</v>
      </c>
    </row>
    <row r="35" spans="8:16" x14ac:dyDescent="0.25">
      <c r="H35" s="73"/>
      <c r="I35" s="74"/>
      <c r="J35" s="75"/>
      <c r="K35" s="75"/>
      <c r="L35" s="75"/>
      <c r="M35" s="75"/>
      <c r="N35" s="75"/>
      <c r="O35" s="75"/>
      <c r="P35" s="76"/>
    </row>
    <row r="36" spans="8:16" x14ac:dyDescent="0.25">
      <c r="H36" s="73" t="s">
        <v>37</v>
      </c>
      <c r="I36" s="74" t="s">
        <v>103</v>
      </c>
      <c r="J36" s="75"/>
      <c r="K36" s="75">
        <v>0.64258536738640082</v>
      </c>
      <c r="L36" s="75">
        <v>0.6425854238871016</v>
      </c>
      <c r="M36" s="75">
        <v>0.64258540863359537</v>
      </c>
      <c r="N36" s="75">
        <v>0.64258540339218639</v>
      </c>
      <c r="O36" s="75">
        <v>0.6425853844374777</v>
      </c>
      <c r="P36" s="76">
        <v>0.64258537446536768</v>
      </c>
    </row>
    <row r="37" spans="8:16" x14ac:dyDescent="0.25">
      <c r="H37" s="77" t="s">
        <v>38</v>
      </c>
      <c r="I37" s="78" t="s">
        <v>103</v>
      </c>
      <c r="J37" s="79"/>
      <c r="K37" s="79">
        <v>0</v>
      </c>
      <c r="L37" s="79">
        <v>2.3495926680071767E-2</v>
      </c>
      <c r="M37" s="79">
        <v>5.3406832170888152E-2</v>
      </c>
      <c r="N37" s="79">
        <v>7.7435012155996366E-2</v>
      </c>
      <c r="O37" s="79">
        <v>0.13186589450597436</v>
      </c>
      <c r="P37" s="80">
        <v>0</v>
      </c>
    </row>
    <row r="38" spans="8:16" x14ac:dyDescent="0.25">
      <c r="H38" s="81" t="s">
        <v>39</v>
      </c>
      <c r="I38" s="82" t="s">
        <v>103</v>
      </c>
      <c r="J38" s="83"/>
      <c r="K38" s="83">
        <v>0.26885967919041942</v>
      </c>
      <c r="L38" s="83">
        <v>0.37591835180207056</v>
      </c>
      <c r="M38" s="83">
        <v>0.50703045528650559</v>
      </c>
      <c r="N38" s="83">
        <v>0.55766038672736418</v>
      </c>
      <c r="O38" s="83">
        <v>0.76425882152529268</v>
      </c>
      <c r="P38" s="84">
        <v>2.101388947619427</v>
      </c>
    </row>
    <row r="39" spans="8:16" x14ac:dyDescent="0.25">
      <c r="H39" s="81" t="s">
        <v>40</v>
      </c>
      <c r="I39" s="82" t="s">
        <v>103</v>
      </c>
      <c r="J39" s="83"/>
      <c r="K39" s="83">
        <v>0</v>
      </c>
      <c r="L39" s="83">
        <v>0</v>
      </c>
      <c r="M39" s="83">
        <v>4.985031715493049E-2</v>
      </c>
      <c r="N39" s="83">
        <v>0.15512636384122194</v>
      </c>
      <c r="O39" s="83">
        <v>0.44405995735464249</v>
      </c>
      <c r="P39" s="84">
        <v>1.2820045578653207</v>
      </c>
    </row>
    <row r="40" spans="8:16" x14ac:dyDescent="0.25">
      <c r="H40" s="81" t="s">
        <v>41</v>
      </c>
      <c r="I40" s="82" t="s">
        <v>103</v>
      </c>
      <c r="J40" s="83"/>
      <c r="K40" s="83">
        <v>0.25703414695456034</v>
      </c>
      <c r="L40" s="83">
        <v>0.2570341695548406</v>
      </c>
      <c r="M40" s="83">
        <v>0.25703416345343816</v>
      </c>
      <c r="N40" s="83">
        <v>0.25703416135687451</v>
      </c>
      <c r="O40" s="83">
        <v>0.25703415377499111</v>
      </c>
      <c r="P40" s="84">
        <v>0.25703414978614708</v>
      </c>
    </row>
    <row r="41" spans="8:16" x14ac:dyDescent="0.25">
      <c r="H41" s="85" t="s">
        <v>42</v>
      </c>
      <c r="I41" s="86" t="s">
        <v>103</v>
      </c>
      <c r="J41" s="87"/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8">
        <v>0</v>
      </c>
    </row>
    <row r="42" spans="8:16" x14ac:dyDescent="0.25">
      <c r="H42" s="89" t="s">
        <v>43</v>
      </c>
      <c r="I42" s="90" t="s">
        <v>103</v>
      </c>
      <c r="J42" s="91"/>
      <c r="K42" s="91">
        <v>0</v>
      </c>
      <c r="L42" s="91">
        <v>0</v>
      </c>
      <c r="M42" s="91">
        <v>6.7692672653405062E-2</v>
      </c>
      <c r="N42" s="91">
        <v>0.14386428380548008</v>
      </c>
      <c r="O42" s="91">
        <v>0.15318374721496489</v>
      </c>
      <c r="P42" s="92">
        <v>0.1064695849372842</v>
      </c>
    </row>
    <row r="43" spans="8:16" x14ac:dyDescent="0.25">
      <c r="H43" s="89" t="s">
        <v>44</v>
      </c>
      <c r="I43" s="90" t="s">
        <v>103</v>
      </c>
      <c r="J43" s="91"/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2">
        <v>0</v>
      </c>
    </row>
    <row r="44" spans="8:16" x14ac:dyDescent="0.25">
      <c r="H44" s="89" t="s">
        <v>45</v>
      </c>
      <c r="I44" s="90" t="s">
        <v>103</v>
      </c>
      <c r="J44" s="91"/>
      <c r="K44" s="91">
        <v>8.4786431781360902E-2</v>
      </c>
      <c r="L44" s="91">
        <v>8.4786442300641848E-2</v>
      </c>
      <c r="M44" s="91">
        <v>8.4786438537795994E-2</v>
      </c>
      <c r="N44" s="91">
        <v>8.4786436868742543E-2</v>
      </c>
      <c r="O44" s="91">
        <v>8.4786434082571666E-2</v>
      </c>
      <c r="P44" s="92">
        <v>8.4786432986404953E-2</v>
      </c>
    </row>
    <row r="45" spans="8:16" x14ac:dyDescent="0.25">
      <c r="H45" s="89" t="s">
        <v>46</v>
      </c>
      <c r="I45" s="90" t="s">
        <v>103</v>
      </c>
      <c r="J45" s="91"/>
      <c r="K45" s="91">
        <v>1.9027730795181828</v>
      </c>
      <c r="L45" s="91">
        <v>1.9027730795184759</v>
      </c>
      <c r="M45" s="91">
        <v>1.9027730795186495</v>
      </c>
      <c r="N45" s="91">
        <v>1.9027730795181921</v>
      </c>
      <c r="O45" s="91">
        <v>1.902773079518306</v>
      </c>
      <c r="P45" s="92">
        <v>1.9027730795183795</v>
      </c>
    </row>
    <row r="46" spans="8:16" x14ac:dyDescent="0.25">
      <c r="H46" s="89" t="s">
        <v>47</v>
      </c>
      <c r="I46" s="90" t="s">
        <v>103</v>
      </c>
      <c r="J46" s="91"/>
      <c r="K46" s="91">
        <v>0.88903887092415879</v>
      </c>
      <c r="L46" s="91">
        <v>0.53541745032393329</v>
      </c>
      <c r="M46" s="91">
        <v>0.2676543340214379</v>
      </c>
      <c r="N46" s="91">
        <v>0.13404327338182828</v>
      </c>
      <c r="O46" s="91">
        <v>2.7199327975751256E-2</v>
      </c>
      <c r="P46" s="92">
        <v>1.9684808621149424E-14</v>
      </c>
    </row>
    <row r="47" spans="8:16" x14ac:dyDescent="0.25">
      <c r="H47" s="93" t="s">
        <v>48</v>
      </c>
      <c r="I47" s="94" t="s">
        <v>103</v>
      </c>
      <c r="J47" s="95"/>
      <c r="K47" s="95">
        <v>-0.47122626486093511</v>
      </c>
      <c r="L47" s="95">
        <v>-0.47122626486097258</v>
      </c>
      <c r="M47" s="95">
        <v>-0.47122626486108127</v>
      </c>
      <c r="N47" s="95">
        <v>-0.47122626486100555</v>
      </c>
      <c r="O47" s="95">
        <v>-0.47122626486094865</v>
      </c>
      <c r="P47" s="96">
        <v>-0.47122626486097613</v>
      </c>
    </row>
    <row r="48" spans="8:16" x14ac:dyDescent="0.25">
      <c r="H48" s="97" t="s">
        <v>49</v>
      </c>
      <c r="I48" s="98" t="s">
        <v>103</v>
      </c>
      <c r="J48" s="99"/>
      <c r="K48" s="99">
        <v>-2.7816409093489383E-2</v>
      </c>
      <c r="L48" s="99">
        <v>-0.15135288140216938</v>
      </c>
      <c r="M48" s="99">
        <v>-0.33668206416699353</v>
      </c>
      <c r="N48" s="99">
        <v>-0.42308437962668599</v>
      </c>
      <c r="O48" s="99">
        <v>-0.79203446877982686</v>
      </c>
      <c r="P48" s="100">
        <v>-2.4760179646523222</v>
      </c>
    </row>
    <row r="49" spans="8:27" x14ac:dyDescent="0.25">
      <c r="H49" s="101" t="s">
        <v>50</v>
      </c>
      <c r="I49" s="102" t="s">
        <v>103</v>
      </c>
      <c r="J49" s="103"/>
      <c r="K49" s="103">
        <v>-5.5632818186978766E-2</v>
      </c>
      <c r="L49" s="103">
        <v>-0.30270576280433875</v>
      </c>
      <c r="M49" s="103">
        <v>-0.67336412833398707</v>
      </c>
      <c r="N49" s="103">
        <v>-0.84616875925337198</v>
      </c>
      <c r="O49" s="103">
        <v>-1.5840689375596537</v>
      </c>
      <c r="P49" s="104">
        <v>-4.9520359293046443</v>
      </c>
    </row>
    <row r="50" spans="8:27" x14ac:dyDescent="0.25">
      <c r="H50" s="105" t="s">
        <v>51</v>
      </c>
      <c r="I50" s="106" t="s">
        <v>103</v>
      </c>
      <c r="J50" s="107"/>
      <c r="K50" s="107">
        <v>4.2257694835053723</v>
      </c>
      <c r="L50" s="107">
        <v>4.442115692087353</v>
      </c>
      <c r="M50" s="107">
        <v>5.199152345552319</v>
      </c>
      <c r="N50" s="107">
        <v>6.0494119543169962</v>
      </c>
      <c r="O50" s="107">
        <v>8.5751124801231935</v>
      </c>
      <c r="P50" s="108">
        <v>16.129182145976657</v>
      </c>
    </row>
    <row r="51" spans="8:27" x14ac:dyDescent="0.25">
      <c r="H51" s="105" t="s">
        <v>52</v>
      </c>
      <c r="I51" s="106" t="s">
        <v>103</v>
      </c>
      <c r="J51" s="107"/>
      <c r="K51" s="107">
        <v>4.1979530744118829</v>
      </c>
      <c r="L51" s="107">
        <v>4.2907628106851838</v>
      </c>
      <c r="M51" s="107">
        <v>4.8624702813853258</v>
      </c>
      <c r="N51" s="107">
        <v>5.6263275746903103</v>
      </c>
      <c r="O51" s="107">
        <v>7.7830780113433669</v>
      </c>
      <c r="P51" s="108">
        <v>13.653164181324335</v>
      </c>
    </row>
    <row r="52" spans="8:27" x14ac:dyDescent="0.25">
      <c r="H52" s="109" t="s">
        <v>53</v>
      </c>
      <c r="I52" s="110" t="s">
        <v>103</v>
      </c>
      <c r="J52" s="111"/>
      <c r="K52" s="111">
        <v>4.1701366653183936</v>
      </c>
      <c r="L52" s="111">
        <v>4.1394099292830147</v>
      </c>
      <c r="M52" s="111">
        <v>4.5257882172183317</v>
      </c>
      <c r="N52" s="111">
        <v>5.2032431950636244</v>
      </c>
      <c r="O52" s="111">
        <v>6.9910435425635402</v>
      </c>
      <c r="P52" s="112">
        <v>11.177146216672012</v>
      </c>
    </row>
    <row r="53" spans="8:27" x14ac:dyDescent="0.25">
      <c r="H53" s="113" t="s">
        <v>54</v>
      </c>
      <c r="I53" s="114" t="s">
        <v>103</v>
      </c>
      <c r="J53" s="115"/>
      <c r="K53" s="115">
        <v>4.2257694835053723</v>
      </c>
      <c r="L53" s="115">
        <v>4.442115692087353</v>
      </c>
      <c r="M53" s="115">
        <v>5.1991523455523181</v>
      </c>
      <c r="N53" s="115">
        <v>6.0494119543169962</v>
      </c>
      <c r="O53" s="115">
        <v>8.5751124801231935</v>
      </c>
      <c r="P53" s="116">
        <v>16.129182145976657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>
        <v>0.66802830611946218</v>
      </c>
      <c r="L56" s="124">
        <v>0.8000000000000429</v>
      </c>
      <c r="M56" s="124">
        <v>0.90000000000008307</v>
      </c>
      <c r="N56" s="124">
        <v>0.95000000000001505</v>
      </c>
      <c r="O56" s="124">
        <v>0.99000000000015587</v>
      </c>
      <c r="P56" s="125">
        <v>1.0000000000000226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>
        <v>0</v>
      </c>
      <c r="L57" s="128">
        <v>975252.62142507313</v>
      </c>
      <c r="M57" s="128">
        <v>2216773.7321396745</v>
      </c>
      <c r="N57" s="128">
        <v>3214118.7544341814</v>
      </c>
      <c r="O57" s="128">
        <v>5473398.05084599</v>
      </c>
      <c r="P57" s="129">
        <v>0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>
        <v>3535631.5975239202</v>
      </c>
      <c r="L58" s="132">
        <v>4943503.6399748502</v>
      </c>
      <c r="M58" s="132">
        <v>6667689.6439640941</v>
      </c>
      <c r="N58" s="132">
        <v>7333497.1236212319</v>
      </c>
      <c r="O58" s="132">
        <v>10050363.989898462</v>
      </c>
      <c r="P58" s="133">
        <v>27634255.847742483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>
        <v>0</v>
      </c>
      <c r="L59" s="132">
        <v>0</v>
      </c>
      <c r="M59" s="132">
        <v>1081438.5233260056</v>
      </c>
      <c r="N59" s="132">
        <v>3365266.9715228002</v>
      </c>
      <c r="O59" s="132">
        <v>9633309.7151098717</v>
      </c>
      <c r="P59" s="133">
        <v>27811440.229084954</v>
      </c>
    </row>
    <row r="60" spans="8:27" x14ac:dyDescent="0.25">
      <c r="H60" s="134" t="s">
        <v>60</v>
      </c>
      <c r="I60" s="74" t="s">
        <v>57</v>
      </c>
      <c r="J60" s="135"/>
      <c r="K60" s="135">
        <v>0</v>
      </c>
      <c r="L60" s="135">
        <v>0</v>
      </c>
      <c r="M60" s="135">
        <v>0</v>
      </c>
      <c r="N60" s="135">
        <v>0</v>
      </c>
      <c r="O60" s="135">
        <v>0</v>
      </c>
      <c r="P60" s="136">
        <v>0</v>
      </c>
    </row>
    <row r="61" spans="8:27" x14ac:dyDescent="0.25">
      <c r="H61" s="134" t="s">
        <v>61</v>
      </c>
      <c r="I61" s="74" t="s">
        <v>57</v>
      </c>
      <c r="J61" s="135"/>
      <c r="K61" s="135">
        <v>0</v>
      </c>
      <c r="L61" s="135">
        <v>0</v>
      </c>
      <c r="M61" s="135">
        <v>0</v>
      </c>
      <c r="N61" s="135">
        <v>0</v>
      </c>
      <c r="O61" s="135">
        <v>0</v>
      </c>
      <c r="P61" s="136">
        <v>0</v>
      </c>
    </row>
    <row r="62" spans="8:27" x14ac:dyDescent="0.25">
      <c r="H62" s="134" t="s">
        <v>62</v>
      </c>
      <c r="I62" s="74"/>
      <c r="J62" s="135"/>
      <c r="K62" s="135">
        <v>0</v>
      </c>
      <c r="L62" s="135">
        <v>0</v>
      </c>
      <c r="M62" s="135">
        <v>0</v>
      </c>
      <c r="N62" s="135">
        <v>0</v>
      </c>
      <c r="O62" s="135">
        <v>0</v>
      </c>
      <c r="P62" s="136">
        <v>0</v>
      </c>
    </row>
    <row r="63" spans="8:27" x14ac:dyDescent="0.25">
      <c r="H63" s="137" t="s">
        <v>63</v>
      </c>
      <c r="I63" s="138" t="s">
        <v>57</v>
      </c>
      <c r="J63" s="139"/>
      <c r="K63" s="139">
        <v>1379675.7</v>
      </c>
      <c r="L63" s="139">
        <v>1379675.8616787228</v>
      </c>
      <c r="M63" s="139">
        <v>1379675.80384463</v>
      </c>
      <c r="N63" s="139">
        <v>1379675.778191864</v>
      </c>
      <c r="O63" s="139">
        <v>1379675.7353689403</v>
      </c>
      <c r="P63" s="140">
        <v>1379675.7185210409</v>
      </c>
    </row>
    <row r="64" spans="8:27" x14ac:dyDescent="0.25">
      <c r="H64" s="141" t="s">
        <v>64</v>
      </c>
      <c r="I64" s="142" t="s">
        <v>57</v>
      </c>
      <c r="J64" s="143"/>
      <c r="K64" s="143">
        <v>2105340.0956752691</v>
      </c>
      <c r="L64" s="143">
        <v>2105340.2404235196</v>
      </c>
      <c r="M64" s="143">
        <v>2105340.2155309943</v>
      </c>
      <c r="N64" s="143">
        <v>2105340.2127581914</v>
      </c>
      <c r="O64" s="143">
        <v>2105340.1527813994</v>
      </c>
      <c r="P64" s="144">
        <v>2105340.1155461376</v>
      </c>
    </row>
    <row r="66" spans="8:16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6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6" x14ac:dyDescent="0.25">
      <c r="H68" s="61" t="s">
        <v>68</v>
      </c>
      <c r="I68" s="151">
        <v>2400.4524320667151</v>
      </c>
      <c r="J68" s="151">
        <v>2400.4524320667151</v>
      </c>
      <c r="K68" s="152" t="s">
        <v>24</v>
      </c>
    </row>
    <row r="69" spans="8:16" x14ac:dyDescent="0.25">
      <c r="H69" s="153" t="s">
        <v>69</v>
      </c>
      <c r="I69" s="154">
        <v>524.17416606671463</v>
      </c>
      <c r="J69" s="154">
        <v>-413.96496693328572</v>
      </c>
      <c r="K69" s="155" t="s">
        <v>24</v>
      </c>
    </row>
    <row r="71" spans="8:16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9"/>
    </row>
    <row r="72" spans="8:16" x14ac:dyDescent="0.25">
      <c r="H72" s="7" t="s">
        <v>1</v>
      </c>
      <c r="I72" s="8" t="s">
        <v>2</v>
      </c>
      <c r="J72" s="9"/>
      <c r="K72" s="9">
        <v>0.66802830611946218</v>
      </c>
      <c r="L72" s="9">
        <v>0.8000000000000429</v>
      </c>
      <c r="M72" s="9">
        <v>0.90000000000008307</v>
      </c>
      <c r="N72" s="9">
        <v>0.95000000000001505</v>
      </c>
      <c r="O72" s="9">
        <v>0.99000000000015587</v>
      </c>
      <c r="P72" s="10">
        <v>1.0000000000000226</v>
      </c>
    </row>
    <row r="73" spans="8:16" x14ac:dyDescent="0.25">
      <c r="H73" s="51" t="s">
        <v>71</v>
      </c>
      <c r="I73" s="52"/>
      <c r="J73" s="157"/>
      <c r="K73" s="157">
        <v>0</v>
      </c>
      <c r="L73" s="157">
        <v>0</v>
      </c>
      <c r="M73" s="157">
        <v>44.163018463033147</v>
      </c>
      <c r="N73" s="157">
        <v>238.26210795963598</v>
      </c>
      <c r="O73" s="157">
        <v>1265.0308319758549</v>
      </c>
      <c r="P73" s="158">
        <v>0</v>
      </c>
    </row>
    <row r="74" spans="8:16" x14ac:dyDescent="0.25">
      <c r="H74" s="130" t="s">
        <v>72</v>
      </c>
      <c r="I74" s="131"/>
      <c r="J74" s="160"/>
      <c r="K74" s="160">
        <v>502.86768622439524</v>
      </c>
      <c r="L74" s="160">
        <v>2736.1717689112734</v>
      </c>
      <c r="M74" s="160">
        <v>6042.4073232312576</v>
      </c>
      <c r="N74" s="160">
        <v>7410.2975010644859</v>
      </c>
      <c r="O74" s="160">
        <v>13053.443539990287</v>
      </c>
      <c r="P74" s="161">
        <v>44761.687993222928</v>
      </c>
    </row>
    <row r="75" spans="8:16" x14ac:dyDescent="0.25">
      <c r="H75" s="130" t="s">
        <v>73</v>
      </c>
      <c r="I75" s="159" t="s">
        <v>2</v>
      </c>
      <c r="J75" s="162"/>
      <c r="K75" s="162" t="e">
        <v>#DIV/0!</v>
      </c>
      <c r="L75" s="162">
        <v>0</v>
      </c>
      <c r="M75" s="162">
        <v>2.6407298649301615E-2</v>
      </c>
      <c r="N75" s="162">
        <v>9.8260655163269345E-2</v>
      </c>
      <c r="O75" s="162">
        <v>0.30635902024991141</v>
      </c>
      <c r="P75" s="163" t="e">
        <v>#DIV/0!</v>
      </c>
    </row>
    <row r="76" spans="8:16" x14ac:dyDescent="0.25">
      <c r="H76" s="130" t="s">
        <v>74</v>
      </c>
      <c r="I76" s="159" t="s">
        <v>2</v>
      </c>
      <c r="J76" s="162"/>
      <c r="K76" s="162">
        <v>7.2160848051624676E-2</v>
      </c>
      <c r="L76" s="162">
        <v>0.28081700630631712</v>
      </c>
      <c r="M76" s="162">
        <v>0.4597794188400447</v>
      </c>
      <c r="N76" s="162">
        <v>0.5126717934351277</v>
      </c>
      <c r="O76" s="162">
        <v>0.65895872116174492</v>
      </c>
      <c r="P76" s="163">
        <v>0.82181409832615959</v>
      </c>
    </row>
    <row r="77" spans="8:16" x14ac:dyDescent="0.25">
      <c r="H77" s="164" t="s">
        <v>75</v>
      </c>
      <c r="I77" s="165" t="s">
        <v>2</v>
      </c>
      <c r="J77" s="166"/>
      <c r="K77" s="166">
        <v>7.2160848051624676E-2</v>
      </c>
      <c r="L77" s="166">
        <v>0.26110099299523148</v>
      </c>
      <c r="M77" s="166">
        <v>0.41085640967149567</v>
      </c>
      <c r="N77" s="166">
        <v>0.45313872511292835</v>
      </c>
      <c r="O77" s="166">
        <v>0.598137305867248</v>
      </c>
      <c r="P77" s="167">
        <v>0.82181409832615959</v>
      </c>
    </row>
    <row r="78" spans="8:16" x14ac:dyDescent="0.25">
      <c r="H78" s="168" t="s">
        <v>76</v>
      </c>
      <c r="I78" s="169"/>
      <c r="J78" s="170"/>
      <c r="K78" s="170">
        <v>77.23319269262737</v>
      </c>
      <c r="L78" s="170">
        <v>104.41369800533114</v>
      </c>
      <c r="M78" s="170">
        <v>156.61508928793208</v>
      </c>
      <c r="N78" s="170">
        <v>206.40296897864116</v>
      </c>
      <c r="O78" s="170">
        <v>347.06285372144123</v>
      </c>
      <c r="P78" s="171">
        <v>768.39358288208371</v>
      </c>
    </row>
    <row r="79" spans="8:16" x14ac:dyDescent="0.25">
      <c r="H79" s="172" t="s">
        <v>77</v>
      </c>
      <c r="I79" s="173"/>
      <c r="J79" s="174"/>
      <c r="K79" s="174">
        <v>74.900002250078344</v>
      </c>
      <c r="L79" s="174">
        <v>93.812750222752257</v>
      </c>
      <c r="M79" s="174">
        <v>135.65363257095046</v>
      </c>
      <c r="N79" s="174">
        <v>181.44855502478129</v>
      </c>
      <c r="O79" s="174">
        <v>302.23449107566785</v>
      </c>
      <c r="P79" s="175">
        <v>629.65483191103033</v>
      </c>
    </row>
    <row r="80" spans="8:16" x14ac:dyDescent="0.25">
      <c r="H80" s="172" t="s">
        <v>78</v>
      </c>
      <c r="I80" s="173"/>
      <c r="J80" s="174"/>
      <c r="K80" s="174">
        <v>72.566811807529319</v>
      </c>
      <c r="L80" s="174">
        <v>83.211802440173358</v>
      </c>
      <c r="M80" s="174">
        <v>114.69217585396888</v>
      </c>
      <c r="N80" s="174">
        <v>156.49414107092142</v>
      </c>
      <c r="O80" s="174">
        <v>257.40612842989447</v>
      </c>
      <c r="P80" s="175">
        <v>490.91608093997684</v>
      </c>
    </row>
    <row r="81" spans="8:16" x14ac:dyDescent="0.25">
      <c r="H81" s="73" t="s">
        <v>79</v>
      </c>
      <c r="I81" s="176"/>
      <c r="J81" s="177"/>
      <c r="K81" s="177">
        <v>71.659980010192839</v>
      </c>
      <c r="L81" s="177">
        <v>77.151177773834959</v>
      </c>
      <c r="M81" s="177">
        <v>92.196200448727041</v>
      </c>
      <c r="N81" s="177">
        <v>112.67682837193313</v>
      </c>
      <c r="O81" s="177">
        <v>139.14357128100735</v>
      </c>
      <c r="P81" s="178">
        <v>136.61241033138245</v>
      </c>
    </row>
    <row r="82" spans="8:16" x14ac:dyDescent="0.25">
      <c r="H82" s="134" t="s">
        <v>80</v>
      </c>
      <c r="I82" s="176"/>
      <c r="J82" s="177"/>
      <c r="K82" s="177">
        <v>69.495154568644097</v>
      </c>
      <c r="L82" s="177">
        <v>69.318147983978022</v>
      </c>
      <c r="M82" s="177">
        <v>79.856606135287763</v>
      </c>
      <c r="N82" s="177">
        <v>99.054038776827028</v>
      </c>
      <c r="O82" s="177">
        <v>121.17109624851825</v>
      </c>
      <c r="P82" s="178">
        <v>111.94609921328247</v>
      </c>
    </row>
    <row r="83" spans="8:16" x14ac:dyDescent="0.25">
      <c r="H83" s="179" t="s">
        <v>81</v>
      </c>
      <c r="I83" s="180"/>
      <c r="J83" s="181"/>
      <c r="K83" s="181">
        <v>67.330329127095354</v>
      </c>
      <c r="L83" s="181">
        <v>61.485118194121071</v>
      </c>
      <c r="M83" s="181">
        <v>67.517011821848484</v>
      </c>
      <c r="N83" s="181">
        <v>85.431249181720915</v>
      </c>
      <c r="O83" s="181">
        <v>103.19862121602918</v>
      </c>
      <c r="P83" s="182">
        <v>87.279788095182454</v>
      </c>
    </row>
    <row r="84" spans="8:16" x14ac:dyDescent="0.25">
      <c r="H84" s="183" t="s">
        <v>82</v>
      </c>
      <c r="I84" s="184" t="s">
        <v>12</v>
      </c>
      <c r="J84" s="185"/>
      <c r="K84" s="185" t="e">
        <v>#DIV/0!</v>
      </c>
      <c r="L84" s="185">
        <v>0</v>
      </c>
      <c r="M84" s="185">
        <v>1.400110672977821</v>
      </c>
      <c r="N84" s="185">
        <v>3.0049655741393728</v>
      </c>
      <c r="O84" s="185">
        <v>5.0512677180662946</v>
      </c>
      <c r="P84" s="186" t="e">
        <v>#DIV/0!</v>
      </c>
    </row>
    <row r="86" spans="8:16" x14ac:dyDescent="0.25">
      <c r="I86" s="443" t="s">
        <v>83</v>
      </c>
      <c r="J86" s="444"/>
      <c r="K86" s="187" t="s">
        <v>84</v>
      </c>
    </row>
    <row r="87" spans="8:16" x14ac:dyDescent="0.25">
      <c r="I87" s="445" t="s">
        <v>111</v>
      </c>
      <c r="J87" s="446"/>
      <c r="K87" s="188" t="s">
        <v>85</v>
      </c>
    </row>
    <row r="88" spans="8:16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6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6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6" x14ac:dyDescent="0.25">
      <c r="H92" s="226" t="s">
        <v>1</v>
      </c>
      <c r="I92" s="227"/>
      <c r="J92" s="228">
        <f t="shared" ref="J92:P92" si="6">J5</f>
        <v>0</v>
      </c>
      <c r="K92" s="228">
        <f t="shared" si="6"/>
        <v>0.66802830611946218</v>
      </c>
      <c r="L92" s="228">
        <f t="shared" si="6"/>
        <v>0.8000000000000429</v>
      </c>
      <c r="M92" s="228">
        <f t="shared" si="6"/>
        <v>0.90000000000008307</v>
      </c>
      <c r="N92" s="228">
        <f t="shared" si="6"/>
        <v>0.95000000000001505</v>
      </c>
      <c r="O92" s="228">
        <f t="shared" si="6"/>
        <v>0.99000000000015587</v>
      </c>
      <c r="P92" s="229">
        <f t="shared" si="6"/>
        <v>1.0000000000000226</v>
      </c>
    </row>
    <row r="93" spans="8:16" ht="18" x14ac:dyDescent="0.25">
      <c r="H93" s="148" t="s">
        <v>89</v>
      </c>
      <c r="I93" s="194" t="s">
        <v>104</v>
      </c>
      <c r="J93" s="195">
        <f t="shared" ref="J93:P93" si="7">IF(J22&gt;0,  $I$88*(J6*1000)/(J22*1000)/$K$88*1000, 0)</f>
        <v>0</v>
      </c>
      <c r="K93" s="195">
        <f t="shared" si="7"/>
        <v>0</v>
      </c>
      <c r="L93" s="195">
        <f t="shared" si="7"/>
        <v>24.247334366121272</v>
      </c>
      <c r="M93" s="195">
        <f t="shared" si="7"/>
        <v>24.247334366121308</v>
      </c>
      <c r="N93" s="195">
        <f t="shared" si="7"/>
        <v>24.24733436612118</v>
      </c>
      <c r="O93" s="195">
        <f t="shared" si="7"/>
        <v>24.24733436612123</v>
      </c>
      <c r="P93" s="196">
        <f t="shared" si="7"/>
        <v>0</v>
      </c>
    </row>
    <row r="94" spans="8:16" ht="18" x14ac:dyDescent="0.25">
      <c r="H94" s="61" t="s">
        <v>90</v>
      </c>
      <c r="I94" s="230" t="s">
        <v>104</v>
      </c>
      <c r="J94" s="231">
        <f t="shared" ref="J94:P94" si="8">IF(J23&gt;0,$I$89*(J7*1000)/(J23*1000)/$K$89*1000,0)</f>
        <v>0</v>
      </c>
      <c r="K94" s="231">
        <f t="shared" si="8"/>
        <v>3.1489785954175513</v>
      </c>
      <c r="L94" s="231">
        <f t="shared" si="8"/>
        <v>3.1489785954175242</v>
      </c>
      <c r="M94" s="231">
        <f t="shared" si="8"/>
        <v>3.1489785954175415</v>
      </c>
      <c r="N94" s="231">
        <f t="shared" si="8"/>
        <v>3.1489785954175353</v>
      </c>
      <c r="O94" s="231">
        <f t="shared" si="8"/>
        <v>3.1489785954175353</v>
      </c>
      <c r="P94" s="232">
        <f t="shared" si="8"/>
        <v>3.1489785954175558</v>
      </c>
    </row>
    <row r="95" spans="8:16" ht="18" x14ac:dyDescent="0.25">
      <c r="H95" s="153" t="s">
        <v>99</v>
      </c>
      <c r="I95" s="197" t="s">
        <v>104</v>
      </c>
      <c r="J95" s="198">
        <f t="shared" ref="J95:P95" si="9">IF(-J26&gt;0,$I$90*(J8*1000)/(-J26*1000)/$K$90*1000,0)</f>
        <v>0</v>
      </c>
      <c r="K95" s="198">
        <f t="shared" si="9"/>
        <v>0</v>
      </c>
      <c r="L95" s="198">
        <f t="shared" si="9"/>
        <v>0</v>
      </c>
      <c r="M95" s="198">
        <f t="shared" si="9"/>
        <v>42.601964649532377</v>
      </c>
      <c r="N95" s="198">
        <f t="shared" si="9"/>
        <v>62.378652371762968</v>
      </c>
      <c r="O95" s="198">
        <f t="shared" si="9"/>
        <v>167.6997005231666</v>
      </c>
      <c r="P95" s="199">
        <f t="shared" si="9"/>
        <v>696.57417859001725</v>
      </c>
    </row>
    <row r="96" spans="8:16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5"/>
    </row>
    <row r="97" spans="8:16" x14ac:dyDescent="0.25">
      <c r="H97" s="7" t="s">
        <v>1</v>
      </c>
      <c r="I97" s="8" t="s">
        <v>2</v>
      </c>
      <c r="J97" s="9">
        <f t="shared" ref="J97:P97" si="10">J5</f>
        <v>0</v>
      </c>
      <c r="K97" s="9">
        <f t="shared" si="10"/>
        <v>0.66802830611946218</v>
      </c>
      <c r="L97" s="9">
        <f t="shared" si="10"/>
        <v>0.8000000000000429</v>
      </c>
      <c r="M97" s="9">
        <f t="shared" si="10"/>
        <v>0.90000000000008307</v>
      </c>
      <c r="N97" s="9">
        <f t="shared" si="10"/>
        <v>0.95000000000001505</v>
      </c>
      <c r="O97" s="9">
        <f t="shared" si="10"/>
        <v>0.99000000000015587</v>
      </c>
      <c r="P97" s="10">
        <f t="shared" si="10"/>
        <v>1.0000000000000226</v>
      </c>
    </row>
    <row r="98" spans="8:16" ht="18" x14ac:dyDescent="0.25">
      <c r="H98" s="200" t="s">
        <v>91</v>
      </c>
      <c r="I98" s="201" t="s">
        <v>106</v>
      </c>
      <c r="J98" s="202">
        <f t="shared" ref="J98:P98" si="11">$M$88/1000*J24*1000</f>
        <v>0</v>
      </c>
      <c r="K98" s="202">
        <f t="shared" si="11"/>
        <v>1285259.9534068448</v>
      </c>
      <c r="L98" s="202">
        <f t="shared" si="11"/>
        <v>774319.00195025594</v>
      </c>
      <c r="M98" s="202">
        <f t="shared" si="11"/>
        <v>387159.50097457186</v>
      </c>
      <c r="N98" s="202">
        <f t="shared" si="11"/>
        <v>193579.7504867168</v>
      </c>
      <c r="O98" s="202">
        <f t="shared" si="11"/>
        <v>38715.950096688837</v>
      </c>
      <c r="P98" s="203">
        <f t="shared" si="11"/>
        <v>2.7659950774250319E-8</v>
      </c>
    </row>
    <row r="99" spans="8:16" ht="18" x14ac:dyDescent="0.25">
      <c r="H99" s="204" t="s">
        <v>92</v>
      </c>
      <c r="I99" s="13" t="s">
        <v>106</v>
      </c>
      <c r="J99" s="31">
        <f t="shared" ref="J99:P100" si="12">J93/1000*J22*1000</f>
        <v>0</v>
      </c>
      <c r="K99" s="31">
        <f t="shared" si="12"/>
        <v>0</v>
      </c>
      <c r="L99" s="31">
        <f t="shared" si="12"/>
        <v>17839.986977287925</v>
      </c>
      <c r="M99" s="31">
        <f t="shared" si="12"/>
        <v>40550.739002555019</v>
      </c>
      <c r="N99" s="31">
        <f t="shared" si="12"/>
        <v>58794.855264039899</v>
      </c>
      <c r="O99" s="31">
        <f t="shared" si="12"/>
        <v>100123.13507645103</v>
      </c>
      <c r="P99" s="62">
        <f t="shared" si="12"/>
        <v>0</v>
      </c>
    </row>
    <row r="100" spans="8:16" ht="18" x14ac:dyDescent="0.25">
      <c r="H100" s="204" t="s">
        <v>93</v>
      </c>
      <c r="I100" s="13" t="s">
        <v>106</v>
      </c>
      <c r="J100" s="31">
        <f t="shared" si="12"/>
        <v>0</v>
      </c>
      <c r="K100" s="31">
        <f t="shared" si="12"/>
        <v>21944.303912765856</v>
      </c>
      <c r="L100" s="31">
        <f t="shared" si="12"/>
        <v>30682.423571914132</v>
      </c>
      <c r="M100" s="31">
        <f t="shared" si="12"/>
        <v>41383.78219201888</v>
      </c>
      <c r="N100" s="31">
        <f t="shared" si="12"/>
        <v>45516.192845668724</v>
      </c>
      <c r="O100" s="31">
        <f t="shared" si="12"/>
        <v>62378.739341141933</v>
      </c>
      <c r="P100" s="62">
        <f t="shared" si="12"/>
        <v>171515.18533511052</v>
      </c>
    </row>
    <row r="101" spans="8:16" ht="18" x14ac:dyDescent="0.25">
      <c r="H101" s="204" t="s">
        <v>94</v>
      </c>
      <c r="I101" s="13" t="s">
        <v>106</v>
      </c>
      <c r="J101" s="31">
        <f t="shared" ref="J101:P101" si="13">J95/1000*(-J26)*1000</f>
        <v>0</v>
      </c>
      <c r="K101" s="31">
        <f t="shared" si="13"/>
        <v>0</v>
      </c>
      <c r="L101" s="31">
        <f t="shared" si="13"/>
        <v>0</v>
      </c>
      <c r="M101" s="31">
        <f t="shared" si="13"/>
        <v>12031.00357200181</v>
      </c>
      <c r="N101" s="31">
        <f t="shared" si="13"/>
        <v>37438.595058191153</v>
      </c>
      <c r="O101" s="31">
        <f t="shared" si="13"/>
        <v>107170.57058059731</v>
      </c>
      <c r="P101" s="62">
        <f t="shared" si="13"/>
        <v>309402.27254857012</v>
      </c>
    </row>
    <row r="102" spans="8:16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62">
        <f>'[3]100SP'!$C$174</f>
        <v>1630310.3764794073</v>
      </c>
    </row>
    <row r="103" spans="8:16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8">
        <f>'[3]100SP'!$C$175</f>
        <v>5111323.9103376018</v>
      </c>
    </row>
    <row r="104" spans="8:16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8">
        <f>'[3]100SP'!$C$176</f>
        <v>542342.85007914237</v>
      </c>
    </row>
    <row r="105" spans="8:16" ht="18" x14ac:dyDescent="0.25">
      <c r="H105" s="209" t="s">
        <v>98</v>
      </c>
      <c r="I105" s="210" t="s">
        <v>108</v>
      </c>
      <c r="J105" s="211">
        <f t="shared" ref="J105:P105" si="14">J98/J104</f>
        <v>0</v>
      </c>
      <c r="K105" s="211">
        <f t="shared" si="14"/>
        <v>2.3698292569347279</v>
      </c>
      <c r="L105" s="211">
        <f t="shared" si="14"/>
        <v>1.4277297134779323</v>
      </c>
      <c r="M105" s="211">
        <f t="shared" si="14"/>
        <v>0.71386485673784761</v>
      </c>
      <c r="N105" s="211">
        <f t="shared" si="14"/>
        <v>0.35693242836790146</v>
      </c>
      <c r="O105" s="211">
        <f t="shared" si="14"/>
        <v>7.1386485672373601E-2</v>
      </c>
      <c r="P105" s="212">
        <f t="shared" si="14"/>
        <v>5.1000858166036465E-14</v>
      </c>
    </row>
    <row r="106" spans="8:16" ht="18" x14ac:dyDescent="0.25">
      <c r="H106" s="213" t="s">
        <v>89</v>
      </c>
      <c r="I106" s="214" t="s">
        <v>109</v>
      </c>
      <c r="J106" s="215">
        <f t="shared" ref="J106:P106" si="15">J99/J104</f>
        <v>0</v>
      </c>
      <c r="K106" s="215">
        <f t="shared" si="15"/>
        <v>0</v>
      </c>
      <c r="L106" s="215">
        <f t="shared" si="15"/>
        <v>3.2894297352100407E-2</v>
      </c>
      <c r="M106" s="215">
        <f t="shared" si="15"/>
        <v>7.476956503922666E-2</v>
      </c>
      <c r="N106" s="215">
        <f t="shared" si="15"/>
        <v>0.1084090170184049</v>
      </c>
      <c r="O106" s="215">
        <f t="shared" si="15"/>
        <v>0.18461225230837044</v>
      </c>
      <c r="P106" s="216">
        <f t="shared" si="15"/>
        <v>0</v>
      </c>
    </row>
    <row r="107" spans="8:16" ht="18" x14ac:dyDescent="0.25">
      <c r="H107" s="213" t="s">
        <v>90</v>
      </c>
      <c r="I107" s="214" t="s">
        <v>109</v>
      </c>
      <c r="J107" s="215">
        <f t="shared" ref="J107:P107" si="16">J100/J104</f>
        <v>0</v>
      </c>
      <c r="K107" s="215">
        <f t="shared" si="16"/>
        <v>4.0462050729653427E-2</v>
      </c>
      <c r="L107" s="215">
        <f t="shared" si="16"/>
        <v>5.6573850964271873E-2</v>
      </c>
      <c r="M107" s="215">
        <f t="shared" si="16"/>
        <v>7.630557346884316E-2</v>
      </c>
      <c r="N107" s="215">
        <f t="shared" si="16"/>
        <v>8.3925127507492245E-2</v>
      </c>
      <c r="O107" s="215">
        <f t="shared" si="16"/>
        <v>0.11501716918004801</v>
      </c>
      <c r="P107" s="216">
        <f t="shared" si="16"/>
        <v>0.31624863370113915</v>
      </c>
    </row>
    <row r="108" spans="8:16" ht="18" x14ac:dyDescent="0.25">
      <c r="H108" s="213" t="s">
        <v>99</v>
      </c>
      <c r="I108" s="214" t="s">
        <v>109</v>
      </c>
      <c r="J108" s="215">
        <f t="shared" ref="J108:P108" si="17">J101/J104</f>
        <v>0</v>
      </c>
      <c r="K108" s="215">
        <f t="shared" si="17"/>
        <v>0</v>
      </c>
      <c r="L108" s="215">
        <f t="shared" si="17"/>
        <v>0</v>
      </c>
      <c r="M108" s="215">
        <f t="shared" si="17"/>
        <v>2.2183391133939103E-2</v>
      </c>
      <c r="N108" s="215">
        <f t="shared" si="17"/>
        <v>6.9031231909350135E-2</v>
      </c>
      <c r="O108" s="215">
        <f t="shared" si="17"/>
        <v>0.19760668102282272</v>
      </c>
      <c r="P108" s="216">
        <f t="shared" si="17"/>
        <v>0.57049202825006362</v>
      </c>
    </row>
    <row r="109" spans="8:16" ht="18" x14ac:dyDescent="0.25">
      <c r="H109" s="213" t="s">
        <v>100</v>
      </c>
      <c r="I109" s="214" t="s">
        <v>108</v>
      </c>
      <c r="J109" s="215">
        <f t="shared" ref="J109:P109" si="18">-J103/J104</f>
        <v>-9.4245252972192066</v>
      </c>
      <c r="K109" s="215">
        <f t="shared" si="18"/>
        <v>-9.4245252972192066</v>
      </c>
      <c r="L109" s="215">
        <f t="shared" si="18"/>
        <v>-9.4245252972192066</v>
      </c>
      <c r="M109" s="215">
        <f t="shared" si="18"/>
        <v>-9.4245252972203968</v>
      </c>
      <c r="N109" s="215">
        <f t="shared" si="18"/>
        <v>-9.4245252972200717</v>
      </c>
      <c r="O109" s="215">
        <f t="shared" si="18"/>
        <v>-9.4245252972199971</v>
      </c>
      <c r="P109" s="216">
        <f t="shared" si="18"/>
        <v>-9.4245252972206099</v>
      </c>
    </row>
    <row r="110" spans="8:16" ht="18" x14ac:dyDescent="0.25">
      <c r="H110" s="217" t="s">
        <v>101</v>
      </c>
      <c r="I110" s="218" t="s">
        <v>108</v>
      </c>
      <c r="J110" s="219">
        <f>SUM(J105:J109)</f>
        <v>-9.4245252972192066</v>
      </c>
      <c r="K110" s="219">
        <f t="shared" ref="K110:P110" si="19">SUM(K105:K109)</f>
        <v>-7.0142339895548247</v>
      </c>
      <c r="L110" s="219">
        <f t="shared" si="19"/>
        <v>-7.9073274354249019</v>
      </c>
      <c r="M110" s="219">
        <f t="shared" si="19"/>
        <v>-8.5374019108405399</v>
      </c>
      <c r="N110" s="219">
        <f t="shared" si="19"/>
        <v>-8.806227492416923</v>
      </c>
      <c r="O110" s="219">
        <f t="shared" si="19"/>
        <v>-8.855902709036382</v>
      </c>
      <c r="P110" s="220">
        <f t="shared" si="19"/>
        <v>-8.5377846352693556</v>
      </c>
    </row>
    <row r="111" spans="8:16" x14ac:dyDescent="0.25">
      <c r="H111" s="221"/>
      <c r="I111" s="6"/>
      <c r="J111" s="22"/>
      <c r="K111" s="222"/>
      <c r="L111" s="222"/>
      <c r="M111" s="222"/>
      <c r="N111" s="222"/>
      <c r="O111" s="222"/>
    </row>
    <row r="112" spans="8:16" x14ac:dyDescent="0.25">
      <c r="H112" s="283" t="s">
        <v>133</v>
      </c>
      <c r="I112" s="70"/>
      <c r="J112" s="284">
        <f>L112</f>
        <v>149.87161908202606</v>
      </c>
      <c r="K112" s="284">
        <f>L112</f>
        <v>149.87161908202606</v>
      </c>
      <c r="L112" s="284">
        <f t="shared" ref="L112:O112" si="20">(L31+L37)*L104/L22</f>
        <v>149.87161908202606</v>
      </c>
      <c r="M112" s="284">
        <f t="shared" si="20"/>
        <v>149.87161908205957</v>
      </c>
      <c r="N112" s="284">
        <f t="shared" si="20"/>
        <v>149.87161908201139</v>
      </c>
      <c r="O112" s="284">
        <f t="shared" si="20"/>
        <v>149.87161908202035</v>
      </c>
      <c r="P112" s="285">
        <f>L112</f>
        <v>149.87161908202606</v>
      </c>
    </row>
    <row r="113" spans="8:16" x14ac:dyDescent="0.25">
      <c r="H113" s="286" t="s">
        <v>134</v>
      </c>
      <c r="I113" s="287"/>
      <c r="J113" s="181">
        <f>K113</f>
        <v>71.65998001018194</v>
      </c>
      <c r="K113" s="181">
        <f t="shared" ref="K113" si="21">IF(K32&gt;0,(K32+K38)*K104/K23,0)</f>
        <v>71.65998001018194</v>
      </c>
      <c r="L113" s="181">
        <f>IF(L32&gt;0,(L32+L38)*L104/L23,0)</f>
        <v>71.659980010192385</v>
      </c>
      <c r="M113" s="181">
        <f>IF(M32&gt;0,(M32+M38)*M104/M23,0)</f>
        <v>71.659980010208656</v>
      </c>
      <c r="N113" s="181">
        <f>IF(N32&gt;0,(N32+N38)*N104/N23,0)</f>
        <v>71.659980010185862</v>
      </c>
      <c r="O113" s="181">
        <f>IF(O32&gt;0,(O32+O38)*O104/O23,0)</f>
        <v>71.659980010189997</v>
      </c>
      <c r="P113" s="182">
        <f>IF(P32&gt;0,(P32+P38)*P104/P23,0)</f>
        <v>71.659980010193479</v>
      </c>
    </row>
    <row r="114" spans="8:16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8:16" x14ac:dyDescent="0.25">
      <c r="H115" s="226" t="s">
        <v>1</v>
      </c>
      <c r="I115" s="227"/>
      <c r="J115" s="228">
        <f t="shared" ref="J115:P115" si="22">J28</f>
        <v>0</v>
      </c>
      <c r="K115" s="228">
        <f t="shared" si="22"/>
        <v>8.070628609857522E-10</v>
      </c>
      <c r="L115" s="228">
        <f t="shared" si="22"/>
        <v>3.8789949030615389E-10</v>
      </c>
      <c r="M115" s="228">
        <f t="shared" si="22"/>
        <v>-5.8139448810834438E-10</v>
      </c>
      <c r="N115" s="228">
        <f t="shared" si="22"/>
        <v>-2.0123707145103253E-9</v>
      </c>
      <c r="O115" s="228">
        <f t="shared" si="22"/>
        <v>-5.617266651825048E-10</v>
      </c>
      <c r="P115" s="229">
        <f t="shared" si="22"/>
        <v>2.879687599488534E-10</v>
      </c>
    </row>
    <row r="116" spans="8:16" ht="18" x14ac:dyDescent="0.25">
      <c r="H116" s="148" t="s">
        <v>89</v>
      </c>
      <c r="I116" s="194" t="s">
        <v>104</v>
      </c>
      <c r="J116" s="195">
        <f t="shared" ref="J116:P116" si="23">IF(J22&gt;0,  $J$88*(J6*1000)/(J22*1000)/$K$88*1000, 0)</f>
        <v>0</v>
      </c>
      <c r="K116" s="195">
        <f t="shared" si="23"/>
        <v>0</v>
      </c>
      <c r="L116" s="195">
        <f t="shared" si="23"/>
        <v>80.824447887070903</v>
      </c>
      <c r="M116" s="195">
        <f t="shared" si="23"/>
        <v>80.824447887071017</v>
      </c>
      <c r="N116" s="195">
        <f t="shared" si="23"/>
        <v>80.82444788707059</v>
      </c>
      <c r="O116" s="195">
        <f t="shared" si="23"/>
        <v>80.824447887070775</v>
      </c>
      <c r="P116" s="196">
        <f t="shared" si="23"/>
        <v>0</v>
      </c>
    </row>
    <row r="117" spans="8:16" ht="18" x14ac:dyDescent="0.25">
      <c r="H117" s="61" t="s">
        <v>90</v>
      </c>
      <c r="I117" s="230" t="s">
        <v>104</v>
      </c>
      <c r="J117" s="231">
        <f t="shared" ref="J117:P117" si="24">IF(J23&gt;0,$J$89*(J7*1000)/(J23*1000)/$K$89*1000,0)</f>
        <v>0</v>
      </c>
      <c r="K117" s="231">
        <f t="shared" si="24"/>
        <v>5.3864107553194964</v>
      </c>
      <c r="L117" s="231">
        <f t="shared" si="24"/>
        <v>5.3864107553194494</v>
      </c>
      <c r="M117" s="231">
        <f t="shared" si="24"/>
        <v>5.3864107553194795</v>
      </c>
      <c r="N117" s="231">
        <f t="shared" si="24"/>
        <v>5.3864107553194698</v>
      </c>
      <c r="O117" s="231">
        <f t="shared" si="24"/>
        <v>5.3864107553194689</v>
      </c>
      <c r="P117" s="232">
        <f t="shared" si="24"/>
        <v>5.3864107553195026</v>
      </c>
    </row>
    <row r="118" spans="8:16" ht="18" x14ac:dyDescent="0.25">
      <c r="H118" s="153" t="s">
        <v>99</v>
      </c>
      <c r="I118" s="197" t="s">
        <v>104</v>
      </c>
      <c r="J118" s="198">
        <f t="shared" ref="J118:P118" si="25">IF(-J26&gt;0,$J$90*(J8*1000)/(-J26*1000)/$K$90*1000,0)</f>
        <v>0</v>
      </c>
      <c r="K118" s="198">
        <f t="shared" si="25"/>
        <v>0</v>
      </c>
      <c r="L118" s="198">
        <f t="shared" si="25"/>
        <v>0</v>
      </c>
      <c r="M118" s="198">
        <f t="shared" si="25"/>
        <v>80.895865458100815</v>
      </c>
      <c r="N118" s="198">
        <f t="shared" si="25"/>
        <v>118.44935113289823</v>
      </c>
      <c r="O118" s="198">
        <f t="shared" si="25"/>
        <v>318.4410043642153</v>
      </c>
      <c r="P118" s="199">
        <f t="shared" si="25"/>
        <v>1322.7082717046396</v>
      </c>
    </row>
    <row r="119" spans="8:16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</row>
    <row r="120" spans="8:16" x14ac:dyDescent="0.25">
      <c r="H120" s="7" t="s">
        <v>1</v>
      </c>
      <c r="I120" s="8" t="s">
        <v>2</v>
      </c>
      <c r="J120" s="9">
        <f t="shared" ref="J120:P120" si="26">J28</f>
        <v>0</v>
      </c>
      <c r="K120" s="9">
        <f t="shared" si="26"/>
        <v>8.070628609857522E-10</v>
      </c>
      <c r="L120" s="9">
        <f t="shared" si="26"/>
        <v>3.8789949030615389E-10</v>
      </c>
      <c r="M120" s="9">
        <f t="shared" si="26"/>
        <v>-5.8139448810834438E-10</v>
      </c>
      <c r="N120" s="9">
        <f t="shared" si="26"/>
        <v>-2.0123707145103253E-9</v>
      </c>
      <c r="O120" s="9">
        <f t="shared" si="26"/>
        <v>-5.617266651825048E-10</v>
      </c>
      <c r="P120" s="10">
        <f t="shared" si="26"/>
        <v>2.879687599488534E-10</v>
      </c>
    </row>
    <row r="121" spans="8:16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P121" si="27">$M$88/1000*K24*1000</f>
        <v>1285259.9534068448</v>
      </c>
      <c r="L121" s="202">
        <f t="shared" si="27"/>
        <v>774319.00195025594</v>
      </c>
      <c r="M121" s="202">
        <f t="shared" si="27"/>
        <v>387159.50097457186</v>
      </c>
      <c r="N121" s="202">
        <f t="shared" si="27"/>
        <v>193579.7504867168</v>
      </c>
      <c r="O121" s="202">
        <f t="shared" si="27"/>
        <v>38715.950096688837</v>
      </c>
      <c r="P121" s="203">
        <f t="shared" si="27"/>
        <v>2.7659950774250319E-8</v>
      </c>
    </row>
    <row r="122" spans="8:16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P123" si="28">K116/1000*K22*1000</f>
        <v>0</v>
      </c>
      <c r="L122" s="31">
        <f t="shared" si="28"/>
        <v>59466.623257626408</v>
      </c>
      <c r="M122" s="31">
        <f t="shared" si="28"/>
        <v>135169.13000851672</v>
      </c>
      <c r="N122" s="31">
        <f t="shared" si="28"/>
        <v>195982.85088013299</v>
      </c>
      <c r="O122" s="31">
        <f t="shared" si="28"/>
        <v>333743.78358817013</v>
      </c>
      <c r="P122" s="62">
        <f t="shared" si="28"/>
        <v>0</v>
      </c>
    </row>
    <row r="123" spans="8:16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28"/>
        <v>37536.309324467918</v>
      </c>
      <c r="L123" s="31">
        <f t="shared" si="28"/>
        <v>52483.092951958388</v>
      </c>
      <c r="M123" s="31">
        <f t="shared" si="28"/>
        <v>70788.048486348096</v>
      </c>
      <c r="N123" s="31">
        <f t="shared" si="28"/>
        <v>77856.645657064946</v>
      </c>
      <c r="O123" s="31">
        <f t="shared" si="28"/>
        <v>106700.47518879542</v>
      </c>
      <c r="P123" s="62">
        <f t="shared" si="28"/>
        <v>293381.23807321535</v>
      </c>
    </row>
    <row r="124" spans="8:16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P124" si="29">K118/1000*(-K26)*1000</f>
        <v>0</v>
      </c>
      <c r="L124" s="31">
        <f t="shared" si="29"/>
        <v>0</v>
      </c>
      <c r="M124" s="31">
        <f t="shared" si="29"/>
        <v>22845.388805261868</v>
      </c>
      <c r="N124" s="31">
        <f t="shared" si="29"/>
        <v>71091.264773419171</v>
      </c>
      <c r="O124" s="31">
        <f t="shared" si="29"/>
        <v>203503.66773169604</v>
      </c>
      <c r="P124" s="62">
        <f t="shared" si="29"/>
        <v>587516.67483941966</v>
      </c>
    </row>
    <row r="125" spans="8:16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62">
        <f>'[3]100SP'!$C$174</f>
        <v>1630310.3764794073</v>
      </c>
    </row>
    <row r="126" spans="8:16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8">
        <f>'[3]100SP'!$C$175</f>
        <v>5111323.9103376018</v>
      </c>
    </row>
    <row r="127" spans="8:16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8">
        <f>'[3]100SP'!$C$176</f>
        <v>542342.85007914237</v>
      </c>
    </row>
    <row r="128" spans="8:16" ht="18" x14ac:dyDescent="0.25">
      <c r="H128" s="209" t="s">
        <v>98</v>
      </c>
      <c r="I128" s="210" t="s">
        <v>108</v>
      </c>
      <c r="J128" s="211">
        <f t="shared" ref="J128:P128" si="30">J121/J127</f>
        <v>0</v>
      </c>
      <c r="K128" s="211">
        <f t="shared" si="30"/>
        <v>2.3698292569347279</v>
      </c>
      <c r="L128" s="211">
        <f t="shared" si="30"/>
        <v>1.4277297134779323</v>
      </c>
      <c r="M128" s="211">
        <f t="shared" si="30"/>
        <v>0.71386485673784761</v>
      </c>
      <c r="N128" s="211">
        <f t="shared" si="30"/>
        <v>0.35693242836790146</v>
      </c>
      <c r="O128" s="211">
        <f t="shared" si="30"/>
        <v>7.1386485672373601E-2</v>
      </c>
      <c r="P128" s="212">
        <f t="shared" si="30"/>
        <v>5.1000858166036465E-14</v>
      </c>
    </row>
    <row r="129" spans="8:16" ht="18" x14ac:dyDescent="0.25">
      <c r="H129" s="213" t="s">
        <v>89</v>
      </c>
      <c r="I129" s="214" t="s">
        <v>109</v>
      </c>
      <c r="J129" s="215">
        <f t="shared" ref="J129:P129" si="31">J122/J127</f>
        <v>0</v>
      </c>
      <c r="K129" s="215">
        <f t="shared" si="31"/>
        <v>0</v>
      </c>
      <c r="L129" s="215">
        <f t="shared" si="31"/>
        <v>0.10964765784033467</v>
      </c>
      <c r="M129" s="215">
        <f t="shared" si="31"/>
        <v>0.24923188346408884</v>
      </c>
      <c r="N129" s="215">
        <f t="shared" si="31"/>
        <v>0.36136339006134965</v>
      </c>
      <c r="O129" s="215">
        <f t="shared" si="31"/>
        <v>0.61537417436123487</v>
      </c>
      <c r="P129" s="216">
        <f t="shared" si="31"/>
        <v>0</v>
      </c>
    </row>
    <row r="130" spans="8:16" ht="18" x14ac:dyDescent="0.25">
      <c r="H130" s="213" t="s">
        <v>90</v>
      </c>
      <c r="I130" s="214" t="s">
        <v>109</v>
      </c>
      <c r="J130" s="215">
        <f t="shared" ref="J130:P130" si="32">J123/J127</f>
        <v>0</v>
      </c>
      <c r="K130" s="215">
        <f t="shared" si="32"/>
        <v>6.9211402563880878E-2</v>
      </c>
      <c r="L130" s="215">
        <f t="shared" si="32"/>
        <v>9.6771060859938737E-2</v>
      </c>
      <c r="M130" s="215">
        <f t="shared" si="32"/>
        <v>0.13052269145986331</v>
      </c>
      <c r="N130" s="215">
        <f t="shared" si="32"/>
        <v>0.14355613915755255</v>
      </c>
      <c r="O130" s="215">
        <f t="shared" si="32"/>
        <v>0.19673989465008215</v>
      </c>
      <c r="P130" s="216">
        <f t="shared" si="32"/>
        <v>0.54095161027826433</v>
      </c>
    </row>
    <row r="131" spans="8:16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P131" si="33">K124/K127</f>
        <v>0</v>
      </c>
      <c r="L131" s="215">
        <f t="shared" si="33"/>
        <v>0</v>
      </c>
      <c r="M131" s="215">
        <f t="shared" si="33"/>
        <v>4.2123517995906842E-2</v>
      </c>
      <c r="N131" s="215">
        <f t="shared" si="33"/>
        <v>0.13108177744584468</v>
      </c>
      <c r="O131" s="215">
        <f t="shared" si="33"/>
        <v>0.37523066396468591</v>
      </c>
      <c r="P131" s="216">
        <f t="shared" si="33"/>
        <v>1.0832938513961883</v>
      </c>
    </row>
    <row r="132" spans="8:16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P132" si="34">-K126/K127</f>
        <v>-9.4245252972192066</v>
      </c>
      <c r="L132" s="215">
        <f t="shared" si="34"/>
        <v>-9.4245252972192066</v>
      </c>
      <c r="M132" s="215">
        <f t="shared" si="34"/>
        <v>-9.4245252972203968</v>
      </c>
      <c r="N132" s="215">
        <f t="shared" si="34"/>
        <v>-9.4245252972200717</v>
      </c>
      <c r="O132" s="215">
        <f t="shared" si="34"/>
        <v>-9.4245252972199971</v>
      </c>
      <c r="P132" s="216">
        <f t="shared" si="34"/>
        <v>-9.4245252972206099</v>
      </c>
    </row>
    <row r="133" spans="8:16" ht="18" x14ac:dyDescent="0.25">
      <c r="H133" s="217" t="s">
        <v>101</v>
      </c>
      <c r="I133" s="218" t="s">
        <v>108</v>
      </c>
      <c r="J133" s="219">
        <f t="shared" ref="J133:P133" si="35">SUM(J128:J132)</f>
        <v>-9.4245252972192066</v>
      </c>
      <c r="K133" s="219">
        <f t="shared" si="35"/>
        <v>-6.9854846377205977</v>
      </c>
      <c r="L133" s="219">
        <f t="shared" si="35"/>
        <v>-7.7903768650410008</v>
      </c>
      <c r="M133" s="219">
        <f t="shared" si="35"/>
        <v>-8.2887823475626909</v>
      </c>
      <c r="N133" s="219">
        <f t="shared" si="35"/>
        <v>-8.4315915621874229</v>
      </c>
      <c r="O133" s="219">
        <f t="shared" si="35"/>
        <v>-8.1657940785716203</v>
      </c>
      <c r="P133" s="220">
        <f t="shared" si="35"/>
        <v>-7.8002798355461067</v>
      </c>
    </row>
    <row r="134" spans="8:16" x14ac:dyDescent="0.25">
      <c r="J134" s="31"/>
      <c r="K134" s="31"/>
      <c r="L134" s="31"/>
      <c r="M134" s="31"/>
      <c r="N134" s="31"/>
    </row>
    <row r="136" spans="8:16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P136" si="36">SUM(K106:K108)</f>
        <v>4.0462050729653427E-2</v>
      </c>
      <c r="L136" s="366">
        <f t="shared" si="36"/>
        <v>8.9468148316372287E-2</v>
      </c>
      <c r="M136" s="366">
        <f t="shared" si="36"/>
        <v>0.17325852964200891</v>
      </c>
      <c r="N136" s="366">
        <f t="shared" si="36"/>
        <v>0.26136537643524727</v>
      </c>
      <c r="O136" s="366">
        <f t="shared" si="36"/>
        <v>0.49723610251124117</v>
      </c>
      <c r="P136" s="367">
        <f t="shared" si="36"/>
        <v>0.88674066195120282</v>
      </c>
    </row>
    <row r="137" spans="8:16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P137" si="37">SUM(K129:K131)</f>
        <v>6.9211402563880878E-2</v>
      </c>
      <c r="L137" s="289">
        <f t="shared" si="37"/>
        <v>0.2064187187002734</v>
      </c>
      <c r="M137" s="289">
        <f t="shared" si="37"/>
        <v>0.421878092919859</v>
      </c>
      <c r="N137" s="289">
        <f t="shared" si="37"/>
        <v>0.63600130666474686</v>
      </c>
      <c r="O137" s="289">
        <f t="shared" si="37"/>
        <v>1.187344732976003</v>
      </c>
      <c r="P137" s="370">
        <f t="shared" si="37"/>
        <v>1.6242454616744526</v>
      </c>
    </row>
    <row r="138" spans="8:16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P138" si="38">K128</f>
        <v>2.3698292569347279</v>
      </c>
      <c r="L138" s="289">
        <f t="shared" si="38"/>
        <v>1.4277297134779323</v>
      </c>
      <c r="M138" s="289">
        <f t="shared" si="38"/>
        <v>0.71386485673784761</v>
      </c>
      <c r="N138" s="289">
        <f t="shared" si="38"/>
        <v>0.35693242836790146</v>
      </c>
      <c r="O138" s="289">
        <f t="shared" si="38"/>
        <v>7.1386485672373601E-2</v>
      </c>
      <c r="P138" s="370">
        <f t="shared" si="38"/>
        <v>5.1000858166036465E-14</v>
      </c>
    </row>
    <row r="139" spans="8:16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P139" si="39">K132</f>
        <v>-9.4245252972192066</v>
      </c>
      <c r="L139" s="289">
        <f t="shared" si="39"/>
        <v>-9.4245252972192066</v>
      </c>
      <c r="M139" s="289">
        <f t="shared" si="39"/>
        <v>-9.4245252972203968</v>
      </c>
      <c r="N139" s="289">
        <f t="shared" si="39"/>
        <v>-9.4245252972200717</v>
      </c>
      <c r="O139" s="289">
        <f t="shared" si="39"/>
        <v>-9.4245252972199971</v>
      </c>
      <c r="P139" s="370">
        <f t="shared" si="39"/>
        <v>-9.4245252972206099</v>
      </c>
    </row>
    <row r="140" spans="8:16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P140" si="40">K136+K138+K139</f>
        <v>-7.0142339895548247</v>
      </c>
      <c r="L140" s="289">
        <f t="shared" si="40"/>
        <v>-7.9073274354249019</v>
      </c>
      <c r="M140" s="289">
        <f t="shared" si="40"/>
        <v>-8.5374019108405399</v>
      </c>
      <c r="N140" s="289">
        <f t="shared" si="40"/>
        <v>-8.806227492416923</v>
      </c>
      <c r="O140" s="289">
        <f t="shared" si="40"/>
        <v>-8.855902709036382</v>
      </c>
      <c r="P140" s="370">
        <f t="shared" si="40"/>
        <v>-8.5377846352693556</v>
      </c>
    </row>
    <row r="141" spans="8:16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P141" si="41">K137+K138+K139</f>
        <v>-6.9854846377205977</v>
      </c>
      <c r="L141" s="374">
        <f t="shared" si="41"/>
        <v>-7.7903768650410008</v>
      </c>
      <c r="M141" s="374">
        <f t="shared" si="41"/>
        <v>-8.2887823475626909</v>
      </c>
      <c r="N141" s="374">
        <f t="shared" si="41"/>
        <v>-8.4315915621874229</v>
      </c>
      <c r="O141" s="374">
        <f t="shared" si="41"/>
        <v>-8.1657940785716203</v>
      </c>
      <c r="P141" s="375">
        <f t="shared" si="41"/>
        <v>-7.8002798355461067</v>
      </c>
    </row>
    <row r="142" spans="8:16" x14ac:dyDescent="0.25">
      <c r="H142" s="376" t="s">
        <v>196</v>
      </c>
      <c r="I142" s="377"/>
      <c r="J142" s="378">
        <f>J140-J110</f>
        <v>0</v>
      </c>
      <c r="K142" s="378">
        <f t="shared" ref="K142:P142" si="42">K140-K110</f>
        <v>0</v>
      </c>
      <c r="L142" s="378">
        <f t="shared" si="42"/>
        <v>0</v>
      </c>
      <c r="M142" s="378">
        <f t="shared" si="42"/>
        <v>0</v>
      </c>
      <c r="N142" s="378">
        <f t="shared" si="42"/>
        <v>0</v>
      </c>
      <c r="O142" s="378">
        <f t="shared" si="42"/>
        <v>0</v>
      </c>
      <c r="P142" s="379">
        <f t="shared" si="42"/>
        <v>0</v>
      </c>
    </row>
    <row r="143" spans="8:16" x14ac:dyDescent="0.25">
      <c r="H143" s="380" t="s">
        <v>197</v>
      </c>
      <c r="I143" s="381"/>
      <c r="J143" s="382">
        <f>J141-J133</f>
        <v>0</v>
      </c>
      <c r="K143" s="382">
        <f t="shared" ref="K143:P143" si="43">K141-K133</f>
        <v>0</v>
      </c>
      <c r="L143" s="382">
        <f t="shared" si="43"/>
        <v>0</v>
      </c>
      <c r="M143" s="382">
        <f t="shared" si="43"/>
        <v>0</v>
      </c>
      <c r="N143" s="382">
        <f t="shared" si="43"/>
        <v>0</v>
      </c>
      <c r="O143" s="382">
        <f t="shared" si="43"/>
        <v>0</v>
      </c>
      <c r="P143" s="383">
        <f t="shared" si="43"/>
        <v>0</v>
      </c>
    </row>
    <row r="144" spans="8:16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B101D-CC90-4CAC-A5C0-A6477E30CA78}">
  <sheetPr codeName="Foglio20"/>
  <dimension ref="A3:AA151"/>
  <sheetViews>
    <sheetView zoomScale="40" zoomScaleNormal="40" workbookViewId="0">
      <selection activeCell="U101" sqref="U101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5" x14ac:dyDescent="0.25">
      <c r="U3" s="1"/>
      <c r="V3" s="1"/>
      <c r="W3" s="2"/>
    </row>
    <row r="4" spans="1:25" x14ac:dyDescent="0.25">
      <c r="A4" s="225" t="s">
        <v>102</v>
      </c>
      <c r="B4" s="225" t="s">
        <v>162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5"/>
      <c r="U4" s="6"/>
      <c r="V4" s="6"/>
    </row>
    <row r="5" spans="1:25" ht="15.75" thickBot="1" x14ac:dyDescent="0.3">
      <c r="H5" s="7" t="s">
        <v>1</v>
      </c>
      <c r="I5" s="8" t="s">
        <v>2</v>
      </c>
      <c r="J5" s="9"/>
      <c r="K5" s="9">
        <v>0.68929433608924784</v>
      </c>
      <c r="L5" s="9">
        <v>0.80000000000006166</v>
      </c>
      <c r="M5" s="9">
        <v>0.90000000000004898</v>
      </c>
      <c r="N5" s="9">
        <v>0.95000000000000062</v>
      </c>
      <c r="O5" s="9">
        <v>0.99000000000013721</v>
      </c>
      <c r="P5" s="10">
        <v>0.99999999999999623</v>
      </c>
      <c r="R5" s="11" t="str">
        <f>H5</f>
        <v>Renewable Energy Share</v>
      </c>
      <c r="S5" s="296"/>
      <c r="T5" s="296">
        <f t="shared" ref="T5:X13" si="0">K5</f>
        <v>0.68929433608924784</v>
      </c>
      <c r="U5" s="296">
        <f t="shared" si="0"/>
        <v>0.80000000000006166</v>
      </c>
      <c r="V5" s="296">
        <f t="shared" si="0"/>
        <v>0.90000000000004898</v>
      </c>
      <c r="W5" s="296">
        <f t="shared" si="0"/>
        <v>0.95000000000000062</v>
      </c>
      <c r="X5" s="296">
        <f t="shared" si="0"/>
        <v>0.99000000000013721</v>
      </c>
      <c r="Y5" s="296">
        <f t="shared" ref="Y5:Y13" si="1">P5</f>
        <v>0.99999999999999623</v>
      </c>
    </row>
    <row r="6" spans="1:25" ht="15.75" thickTop="1" x14ac:dyDescent="0.25">
      <c r="C6" s="13"/>
      <c r="H6" s="14" t="s">
        <v>3</v>
      </c>
      <c r="I6" s="15" t="s">
        <v>4</v>
      </c>
      <c r="J6" s="16"/>
      <c r="K6" s="16">
        <v>0</v>
      </c>
      <c r="L6" s="16">
        <v>0.13826790952145046</v>
      </c>
      <c r="M6" s="16">
        <v>1.2897730326257331</v>
      </c>
      <c r="N6" s="16">
        <v>1.5628655564829423</v>
      </c>
      <c r="O6" s="16">
        <v>3.3242037622456868</v>
      </c>
      <c r="P6" s="17">
        <v>0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0</v>
      </c>
      <c r="U6" s="19">
        <f t="shared" si="0"/>
        <v>0.13826790952145046</v>
      </c>
      <c r="V6" s="19">
        <f t="shared" si="0"/>
        <v>1.2897730326257331</v>
      </c>
      <c r="W6" s="19">
        <f t="shared" si="0"/>
        <v>1.5628655564829423</v>
      </c>
      <c r="X6" s="19">
        <f t="shared" si="0"/>
        <v>3.3242037622456868</v>
      </c>
      <c r="Y6" s="19">
        <f t="shared" si="1"/>
        <v>0</v>
      </c>
    </row>
    <row r="7" spans="1:25" x14ac:dyDescent="0.25">
      <c r="A7" s="13"/>
      <c r="B7" s="20"/>
      <c r="C7" s="13"/>
      <c r="H7" s="21" t="s">
        <v>5</v>
      </c>
      <c r="I7" s="6" t="s">
        <v>4</v>
      </c>
      <c r="J7" s="22"/>
      <c r="K7" s="22">
        <v>1.4866447300838646</v>
      </c>
      <c r="L7" s="22">
        <v>1.8222878044199697</v>
      </c>
      <c r="M7" s="22">
        <v>2.1211008235658917</v>
      </c>
      <c r="N7" s="22">
        <v>2.7086901721828269</v>
      </c>
      <c r="O7" s="22">
        <v>3.8068682661981228</v>
      </c>
      <c r="P7" s="23">
        <v>11.266915940837064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1.4866447300838646</v>
      </c>
      <c r="U7" s="22">
        <f t="shared" si="0"/>
        <v>1.8222878044199697</v>
      </c>
      <c r="V7" s="22">
        <f t="shared" si="0"/>
        <v>2.1211008235658917</v>
      </c>
      <c r="W7" s="22">
        <f t="shared" si="0"/>
        <v>2.7086901721828269</v>
      </c>
      <c r="X7" s="22">
        <f t="shared" si="0"/>
        <v>3.8068682661981228</v>
      </c>
      <c r="Y7" s="22">
        <f t="shared" si="1"/>
        <v>11.266915940837064</v>
      </c>
    </row>
    <row r="8" spans="1:25" x14ac:dyDescent="0.25">
      <c r="A8" s="13"/>
      <c r="B8" s="20"/>
      <c r="C8" s="13"/>
      <c r="H8" s="21" t="s">
        <v>6</v>
      </c>
      <c r="I8" s="6" t="s">
        <v>7</v>
      </c>
      <c r="J8" s="22"/>
      <c r="K8" s="22">
        <v>0</v>
      </c>
      <c r="L8" s="22">
        <v>0</v>
      </c>
      <c r="M8" s="22">
        <v>0</v>
      </c>
      <c r="N8" s="22">
        <v>1.3479600633279154</v>
      </c>
      <c r="O8" s="22">
        <v>10.937964399227713</v>
      </c>
      <c r="P8" s="23">
        <v>60.784772039288846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0</v>
      </c>
      <c r="V8" s="22">
        <f t="shared" si="0"/>
        <v>0</v>
      </c>
      <c r="W8" s="22">
        <f t="shared" si="0"/>
        <v>1.3479600633279154</v>
      </c>
      <c r="X8" s="22">
        <f t="shared" si="0"/>
        <v>10.937964399227713</v>
      </c>
      <c r="Y8" s="22">
        <f t="shared" si="1"/>
        <v>60.784772039288846</v>
      </c>
    </row>
    <row r="9" spans="1:25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>
        <v>0</v>
      </c>
      <c r="L9" s="27">
        <v>0</v>
      </c>
      <c r="M9" s="27">
        <v>0</v>
      </c>
      <c r="N9" s="27">
        <v>73</v>
      </c>
      <c r="O9" s="27">
        <v>24</v>
      </c>
      <c r="P9" s="28">
        <v>5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ref="U9:W13" si="4">L9</f>
        <v>0</v>
      </c>
      <c r="V9" s="29">
        <f t="shared" si="4"/>
        <v>0</v>
      </c>
      <c r="W9" s="29">
        <f t="shared" si="4"/>
        <v>73</v>
      </c>
      <c r="X9" s="29">
        <f t="shared" si="0"/>
        <v>24</v>
      </c>
      <c r="Y9" s="29">
        <f t="shared" si="1"/>
        <v>5</v>
      </c>
    </row>
    <row r="10" spans="1:25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>
        <v>127.89822162019378</v>
      </c>
      <c r="L10" s="16">
        <v>890.17185595856404</v>
      </c>
      <c r="M10" s="16">
        <v>1545.1306808753211</v>
      </c>
      <c r="N10" s="16">
        <v>1780.9618087647443</v>
      </c>
      <c r="O10" s="16">
        <v>1735.7128860582409</v>
      </c>
      <c r="P10" s="17">
        <v>477.7639100445187</v>
      </c>
      <c r="R10" s="18" t="str">
        <f t="shared" si="3"/>
        <v>Biogas storage size</v>
      </c>
      <c r="S10" s="19" t="str">
        <f>I10</f>
        <v>m3</v>
      </c>
      <c r="T10" s="19">
        <f>K10</f>
        <v>127.89822162019378</v>
      </c>
      <c r="U10" s="30">
        <f t="shared" si="4"/>
        <v>890.17185595856404</v>
      </c>
      <c r="V10" s="30">
        <f t="shared" si="4"/>
        <v>1545.1306808753211</v>
      </c>
      <c r="W10" s="30">
        <f t="shared" si="4"/>
        <v>1780.9618087647443</v>
      </c>
      <c r="X10" s="30">
        <f t="shared" si="0"/>
        <v>1735.7128860582409</v>
      </c>
      <c r="Y10" s="30">
        <f t="shared" si="1"/>
        <v>477.7639100445187</v>
      </c>
    </row>
    <row r="11" spans="1:25" x14ac:dyDescent="0.25">
      <c r="H11" s="21" t="s">
        <v>11</v>
      </c>
      <c r="I11" s="6" t="s">
        <v>12</v>
      </c>
      <c r="J11" s="22"/>
      <c r="K11" s="22">
        <v>2.5842413995497218</v>
      </c>
      <c r="L11" s="22">
        <v>17.986324858475754</v>
      </c>
      <c r="M11" s="22">
        <v>31.220064068521832</v>
      </c>
      <c r="N11" s="22">
        <v>35.98513864324233</v>
      </c>
      <c r="O11" s="22">
        <v>35.070863699760949</v>
      </c>
      <c r="P11" s="23">
        <v>9.653435832862705</v>
      </c>
      <c r="R11" s="24" t="str">
        <f t="shared" si="3"/>
        <v>Biogas storage hours</v>
      </c>
      <c r="S11" s="22" t="str">
        <f t="shared" si="2"/>
        <v>h</v>
      </c>
      <c r="T11" s="22">
        <f>K11</f>
        <v>2.5842413995497218</v>
      </c>
      <c r="U11" s="22">
        <f t="shared" si="4"/>
        <v>17.986324858475754</v>
      </c>
      <c r="V11" s="22">
        <f t="shared" si="4"/>
        <v>31.220064068521832</v>
      </c>
      <c r="W11" s="22">
        <f t="shared" si="4"/>
        <v>35.98513864324233</v>
      </c>
      <c r="X11" s="22">
        <f t="shared" si="0"/>
        <v>35.070863699760949</v>
      </c>
      <c r="Y11" s="22">
        <f t="shared" si="1"/>
        <v>9.653435832862705</v>
      </c>
    </row>
    <row r="12" spans="1:25" x14ac:dyDescent="0.25">
      <c r="H12" s="21" t="s">
        <v>13</v>
      </c>
      <c r="I12" s="6" t="s">
        <v>18</v>
      </c>
      <c r="J12" s="22"/>
      <c r="K12" s="22">
        <v>418.89868346910271</v>
      </c>
      <c r="L12" s="22">
        <v>2902.4537990475774</v>
      </c>
      <c r="M12" s="22">
        <v>5406.8862652239332</v>
      </c>
      <c r="N12" s="22">
        <v>5555.0871049368079</v>
      </c>
      <c r="O12" s="22">
        <v>5252.1806286416122</v>
      </c>
      <c r="P12" s="23">
        <v>956.13786371806168</v>
      </c>
      <c r="R12" s="24" t="str">
        <f t="shared" si="3"/>
        <v>Syngas storage size</v>
      </c>
      <c r="S12" s="22" t="str">
        <f t="shared" si="2"/>
        <v>m3</v>
      </c>
      <c r="T12" s="22">
        <f>K12</f>
        <v>418.89868346910271</v>
      </c>
      <c r="U12" s="31">
        <f t="shared" si="4"/>
        <v>2902.4537990475774</v>
      </c>
      <c r="V12" s="31">
        <f t="shared" si="4"/>
        <v>5406.8862652239332</v>
      </c>
      <c r="W12" s="31">
        <f t="shared" si="4"/>
        <v>5555.0871049368079</v>
      </c>
      <c r="X12" s="31">
        <f t="shared" si="0"/>
        <v>5252.1806286416122</v>
      </c>
      <c r="Y12" s="31">
        <f t="shared" si="1"/>
        <v>956.13786371806168</v>
      </c>
    </row>
    <row r="13" spans="1:25" x14ac:dyDescent="0.25">
      <c r="H13" s="32" t="s">
        <v>14</v>
      </c>
      <c r="I13" s="26" t="s">
        <v>12</v>
      </c>
      <c r="J13" s="33"/>
      <c r="K13" s="33">
        <v>2.0746004708237002</v>
      </c>
      <c r="L13" s="33">
        <v>14.374435288699763</v>
      </c>
      <c r="M13" s="33">
        <v>26.777665421694092</v>
      </c>
      <c r="N13" s="33">
        <v>27.511631757655316</v>
      </c>
      <c r="O13" s="33">
        <v>26.011484005618012</v>
      </c>
      <c r="P13" s="34">
        <v>4.7352835912843476</v>
      </c>
      <c r="R13" s="24" t="str">
        <f t="shared" si="3"/>
        <v>Syngas storage hours</v>
      </c>
      <c r="S13" s="22" t="str">
        <f t="shared" si="2"/>
        <v>h</v>
      </c>
      <c r="T13" s="22">
        <f>K13</f>
        <v>2.0746004708237002</v>
      </c>
      <c r="U13" s="22">
        <f t="shared" si="4"/>
        <v>14.374435288699763</v>
      </c>
      <c r="V13" s="22">
        <f t="shared" si="4"/>
        <v>26.777665421694092</v>
      </c>
      <c r="W13" s="22">
        <f t="shared" si="4"/>
        <v>27.511631757655316</v>
      </c>
      <c r="X13" s="22">
        <f t="shared" si="0"/>
        <v>26.011484005618012</v>
      </c>
      <c r="Y13" s="22">
        <f t="shared" si="1"/>
        <v>4.7352835912843476</v>
      </c>
    </row>
    <row r="14" spans="1:25" x14ac:dyDescent="0.25">
      <c r="H14" s="25" t="s">
        <v>15</v>
      </c>
      <c r="I14" s="26" t="s">
        <v>16</v>
      </c>
      <c r="J14" s="35"/>
      <c r="K14" s="35">
        <v>4.2575363167475411</v>
      </c>
      <c r="L14" s="35">
        <v>4.3191996156580235</v>
      </c>
      <c r="M14" s="35">
        <v>4.5899664300859868</v>
      </c>
      <c r="N14" s="35">
        <v>5.0565751011974474</v>
      </c>
      <c r="O14" s="35">
        <v>6.9733825588638148</v>
      </c>
      <c r="P14" s="36">
        <v>15.3494382539263</v>
      </c>
      <c r="R14" s="37" t="s">
        <v>17</v>
      </c>
      <c r="S14" s="6" t="s">
        <v>18</v>
      </c>
      <c r="T14" s="22">
        <f>[5]NoSP!$F$112</f>
        <v>0</v>
      </c>
      <c r="U14" s="31">
        <f>'[5]80SP'!$F$112</f>
        <v>0</v>
      </c>
      <c r="V14" s="31">
        <f>'[5]90SP'!$F$112</f>
        <v>0</v>
      </c>
      <c r="W14" s="31">
        <f>'[5]95SP'!$F$112</f>
        <v>0</v>
      </c>
      <c r="X14" s="31">
        <f>'[8]99SP'!$F$112</f>
        <v>177.39979625677231</v>
      </c>
      <c r="Y14" s="31">
        <f>'[5]100SP'!$F$112</f>
        <v>0</v>
      </c>
    </row>
    <row r="15" spans="1:25" ht="15.75" thickBot="1" x14ac:dyDescent="0.3">
      <c r="H15" s="14" t="s">
        <v>19</v>
      </c>
      <c r="I15" s="15" t="s">
        <v>2</v>
      </c>
      <c r="J15" s="38"/>
      <c r="K15" s="38">
        <v>1.0578286890487996</v>
      </c>
      <c r="L15" s="38">
        <v>1.2516965842718764</v>
      </c>
      <c r="M15" s="38">
        <v>1.3225799707219674</v>
      </c>
      <c r="N15" s="38">
        <v>1.3260487036823363</v>
      </c>
      <c r="O15" s="38">
        <v>1.2145447931151034</v>
      </c>
      <c r="P15" s="39">
        <v>1.0483798610494122</v>
      </c>
      <c r="R15" s="40" t="s">
        <v>20</v>
      </c>
      <c r="S15" s="41" t="s">
        <v>12</v>
      </c>
      <c r="T15" s="41">
        <f>[5]NoSP!$B$169</f>
        <v>0</v>
      </c>
      <c r="U15" s="41">
        <f>'[5]80SP'!$B$169</f>
        <v>0</v>
      </c>
      <c r="V15" s="41">
        <f>'[5]90SP'!$B$169</f>
        <v>0</v>
      </c>
      <c r="W15" s="41">
        <f>'[5]95SP'!$B$169</f>
        <v>0</v>
      </c>
      <c r="X15" s="41">
        <f>'[8]99SP'!$B$169</f>
        <v>6.2221757629617187</v>
      </c>
      <c r="Y15" s="41">
        <f>'[5]100SP'!$B$169</f>
        <v>0</v>
      </c>
    </row>
    <row r="16" spans="1:25" ht="15.75" thickTop="1" x14ac:dyDescent="0.25">
      <c r="H16" s="25" t="s">
        <v>21</v>
      </c>
      <c r="I16" s="26" t="s">
        <v>2</v>
      </c>
      <c r="J16" s="42"/>
      <c r="K16" s="42">
        <v>1.0055948398353141</v>
      </c>
      <c r="L16" s="42">
        <v>1.0175850938561539</v>
      </c>
      <c r="M16" s="42">
        <v>1.0186695098799972</v>
      </c>
      <c r="N16" s="42">
        <v>1.0234209595708801</v>
      </c>
      <c r="O16" s="42">
        <v>1.0175850938561013</v>
      </c>
      <c r="P16" s="43">
        <v>1.0068485142647519</v>
      </c>
      <c r="R16" s="37" t="str">
        <f>H15</f>
        <v>Syngas generation size</v>
      </c>
      <c r="S16" s="6" t="s">
        <v>2</v>
      </c>
      <c r="T16" s="297">
        <f t="shared" ref="T16:X17" si="5">K15</f>
        <v>1.0578286890487996</v>
      </c>
      <c r="U16" s="297">
        <f t="shared" si="5"/>
        <v>1.2516965842718764</v>
      </c>
      <c r="V16" s="297">
        <f t="shared" si="5"/>
        <v>1.3225799707219674</v>
      </c>
      <c r="W16" s="297">
        <f t="shared" si="5"/>
        <v>1.3260487036823363</v>
      </c>
      <c r="X16" s="297">
        <f t="shared" si="5"/>
        <v>1.2145447931151034</v>
      </c>
      <c r="Y16" s="297">
        <f>P15</f>
        <v>1.0483798610494122</v>
      </c>
    </row>
    <row r="17" spans="2:25" ht="15.75" thickBot="1" x14ac:dyDescent="0.3">
      <c r="R17" s="40" t="str">
        <f>H16</f>
        <v>Gas Separation size</v>
      </c>
      <c r="S17" s="45" t="s">
        <v>2</v>
      </c>
      <c r="T17" s="298">
        <f t="shared" si="5"/>
        <v>1.0055948398353141</v>
      </c>
      <c r="U17" s="298">
        <f t="shared" si="5"/>
        <v>1.0175850938561539</v>
      </c>
      <c r="V17" s="298">
        <f t="shared" si="5"/>
        <v>1.0186695098799972</v>
      </c>
      <c r="W17" s="298">
        <f t="shared" si="5"/>
        <v>1.0234209595708801</v>
      </c>
      <c r="X17" s="298">
        <f t="shared" si="5"/>
        <v>1.0175850938561013</v>
      </c>
      <c r="Y17" s="298">
        <f>P16</f>
        <v>1.0068485142647519</v>
      </c>
    </row>
    <row r="18" spans="2:25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9"/>
    </row>
    <row r="19" spans="2:25" x14ac:dyDescent="0.25">
      <c r="H19" s="50" t="s">
        <v>1</v>
      </c>
      <c r="I19" s="8" t="s">
        <v>2</v>
      </c>
      <c r="J19" s="9"/>
      <c r="K19" s="9">
        <v>0.68929433608924784</v>
      </c>
      <c r="L19" s="9">
        <v>0.80000000000006166</v>
      </c>
      <c r="M19" s="9">
        <v>0.90000000000004898</v>
      </c>
      <c r="N19" s="9">
        <v>0.95000000000000062</v>
      </c>
      <c r="O19" s="9">
        <v>0.99000000000013721</v>
      </c>
      <c r="P19" s="10">
        <v>0.99999999999999623</v>
      </c>
    </row>
    <row r="20" spans="2:25" x14ac:dyDescent="0.25">
      <c r="H20" s="51" t="s">
        <v>23</v>
      </c>
      <c r="I20" s="52" t="s">
        <v>24</v>
      </c>
      <c r="J20" s="53"/>
      <c r="K20" s="53">
        <v>-9678.9875243788993</v>
      </c>
      <c r="L20" s="53">
        <v>-9678.987524378399</v>
      </c>
      <c r="M20" s="53">
        <v>-9678.987524378781</v>
      </c>
      <c r="N20" s="53">
        <v>-9678.98752437843</v>
      </c>
      <c r="O20" s="53">
        <v>-9678.9875243774823</v>
      </c>
      <c r="P20" s="54">
        <v>-9678.9875243786228</v>
      </c>
    </row>
    <row r="21" spans="2:25" x14ac:dyDescent="0.25">
      <c r="B21" s="55"/>
      <c r="H21" s="56" t="s">
        <v>25</v>
      </c>
      <c r="I21" s="57" t="s">
        <v>24</v>
      </c>
      <c r="J21" s="58"/>
      <c r="K21" s="58">
        <v>-1702.5570878068495</v>
      </c>
      <c r="L21" s="58">
        <v>-1702.5570878068766</v>
      </c>
      <c r="M21" s="58">
        <v>-1702.5570878068081</v>
      </c>
      <c r="N21" s="58">
        <v>-1702.5570878066317</v>
      </c>
      <c r="O21" s="58">
        <v>-1702.5570878068786</v>
      </c>
      <c r="P21" s="59">
        <v>-1702.5570878068922</v>
      </c>
      <c r="Q21" s="60"/>
    </row>
    <row r="22" spans="2:25" x14ac:dyDescent="0.25">
      <c r="H22" s="61" t="s">
        <v>26</v>
      </c>
      <c r="I22" s="6" t="s">
        <v>24</v>
      </c>
      <c r="J22" s="31"/>
      <c r="K22" s="31">
        <v>0</v>
      </c>
      <c r="L22" s="31">
        <v>119.75032208107197</v>
      </c>
      <c r="M22" s="31">
        <v>1117.0396413959788</v>
      </c>
      <c r="N22" s="31">
        <v>1353.558135116022</v>
      </c>
      <c r="O22" s="31">
        <v>2879.0083871939678</v>
      </c>
      <c r="P22" s="62">
        <v>0</v>
      </c>
      <c r="Q22" s="60"/>
    </row>
    <row r="23" spans="2:25" x14ac:dyDescent="0.25">
      <c r="H23" s="61" t="s">
        <v>27</v>
      </c>
      <c r="I23" s="6" t="s">
        <v>24</v>
      </c>
      <c r="J23" s="31"/>
      <c r="K23" s="31">
        <v>7175.977610695204</v>
      </c>
      <c r="L23" s="31">
        <v>8796.1139740648814</v>
      </c>
      <c r="M23" s="31">
        <v>10238.473060794631</v>
      </c>
      <c r="N23" s="31">
        <v>13074.744514647831</v>
      </c>
      <c r="O23" s="31">
        <v>18375.608437102961</v>
      </c>
      <c r="P23" s="62">
        <v>54384.975036013246</v>
      </c>
      <c r="Q23" s="60"/>
    </row>
    <row r="24" spans="2:25" x14ac:dyDescent="0.25">
      <c r="H24" s="61" t="s">
        <v>28</v>
      </c>
      <c r="I24" s="6" t="s">
        <v>24</v>
      </c>
      <c r="J24" s="31"/>
      <c r="K24" s="31">
        <v>3007.3162447457912</v>
      </c>
      <c r="L24" s="31">
        <v>1935.7975048755484</v>
      </c>
      <c r="M24" s="31">
        <v>967.89875243742938</v>
      </c>
      <c r="N24" s="31">
        <v>483.94937621893439</v>
      </c>
      <c r="O24" s="31">
        <v>96.789875243627463</v>
      </c>
      <c r="P24" s="62">
        <v>-1.165972207672894E-12</v>
      </c>
      <c r="Q24" s="60"/>
    </row>
    <row r="25" spans="2:25" x14ac:dyDescent="0.25">
      <c r="H25" s="61" t="s">
        <v>29</v>
      </c>
      <c r="I25" s="6" t="s">
        <v>24</v>
      </c>
      <c r="J25" s="31"/>
      <c r="K25" s="31">
        <v>-504.30633106233859</v>
      </c>
      <c r="L25" s="31">
        <v>-1172.674276642638</v>
      </c>
      <c r="M25" s="31">
        <v>-2644.4239302492329</v>
      </c>
      <c r="N25" s="31">
        <v>-5227.5070235872099</v>
      </c>
      <c r="O25" s="31">
        <v>-11657.426973452602</v>
      </c>
      <c r="P25" s="62">
        <v>-44690.474581250222</v>
      </c>
      <c r="Q25" s="60"/>
    </row>
    <row r="26" spans="2:25" x14ac:dyDescent="0.25">
      <c r="H26" s="61" t="s">
        <v>30</v>
      </c>
      <c r="I26" s="6" t="s">
        <v>24</v>
      </c>
      <c r="J26" s="31"/>
      <c r="K26" s="31">
        <v>0</v>
      </c>
      <c r="L26" s="31">
        <v>0</v>
      </c>
      <c r="M26" s="31">
        <v>0</v>
      </c>
      <c r="N26" s="31">
        <v>-97.419255788981559</v>
      </c>
      <c r="O26" s="31">
        <v>-253.67515582557004</v>
      </c>
      <c r="P26" s="62">
        <v>-262.48613171634383</v>
      </c>
      <c r="Q26" s="60"/>
    </row>
    <row r="27" spans="2:25" x14ac:dyDescent="0.25">
      <c r="B27" s="63"/>
      <c r="H27" s="61" t="s">
        <v>31</v>
      </c>
      <c r="I27" s="6" t="s">
        <v>24</v>
      </c>
      <c r="J27" s="31"/>
      <c r="K27" s="31">
        <v>0</v>
      </c>
      <c r="L27" s="31">
        <v>0</v>
      </c>
      <c r="M27" s="31">
        <v>0</v>
      </c>
      <c r="N27" s="31">
        <v>91.661777771852726</v>
      </c>
      <c r="O27" s="31">
        <v>238.68295411627884</v>
      </c>
      <c r="P27" s="62">
        <v>246.97320133190797</v>
      </c>
    </row>
    <row r="28" spans="2:25" x14ac:dyDescent="0.25">
      <c r="H28" s="64" t="s">
        <v>32</v>
      </c>
      <c r="I28" s="65" t="s">
        <v>24</v>
      </c>
      <c r="J28" s="66"/>
      <c r="K28" s="66">
        <v>-2.4260771169792861E-10</v>
      </c>
      <c r="L28" s="66">
        <v>4.6497916628140956E-10</v>
      </c>
      <c r="M28" s="66">
        <v>2.5465851649641991E-11</v>
      </c>
      <c r="N28" s="66">
        <v>1.8317791727895383E-11</v>
      </c>
      <c r="O28" s="66">
        <v>1.1796998933277791E-9</v>
      </c>
      <c r="P28" s="67">
        <v>-3.5328184821992181E-11</v>
      </c>
    </row>
    <row r="30" spans="2:25" x14ac:dyDescent="0.25">
      <c r="H30" s="68" t="s">
        <v>15</v>
      </c>
    </row>
    <row r="31" spans="2:25" x14ac:dyDescent="0.25">
      <c r="H31" s="69" t="s">
        <v>33</v>
      </c>
      <c r="I31" s="70" t="s">
        <v>103</v>
      </c>
      <c r="J31" s="71"/>
      <c r="K31" s="71">
        <v>0</v>
      </c>
      <c r="L31" s="71">
        <v>2.9267751959385288E-2</v>
      </c>
      <c r="M31" s="71">
        <v>0.27301170122151863</v>
      </c>
      <c r="N31" s="71">
        <v>0.33081834831612422</v>
      </c>
      <c r="O31" s="71">
        <v>0.70364823994657499</v>
      </c>
      <c r="P31" s="72">
        <v>0</v>
      </c>
    </row>
    <row r="32" spans="2:25" x14ac:dyDescent="0.25">
      <c r="H32" s="73" t="s">
        <v>34</v>
      </c>
      <c r="I32" s="74" t="s">
        <v>103</v>
      </c>
      <c r="J32" s="75"/>
      <c r="K32" s="75">
        <v>0.67130836950166117</v>
      </c>
      <c r="L32" s="75">
        <v>0.82287114735139222</v>
      </c>
      <c r="M32" s="75">
        <v>0.95780296839071888</v>
      </c>
      <c r="N32" s="75">
        <v>1.2231344491234106</v>
      </c>
      <c r="O32" s="75">
        <v>1.7190270661000786</v>
      </c>
      <c r="P32" s="76">
        <v>5.0876815532984976</v>
      </c>
    </row>
    <row r="33" spans="8:16" x14ac:dyDescent="0.25">
      <c r="H33" s="73" t="s">
        <v>35</v>
      </c>
      <c r="I33" s="74" t="s">
        <v>103</v>
      </c>
      <c r="J33" s="75"/>
      <c r="K33" s="75">
        <v>0</v>
      </c>
      <c r="L33" s="75">
        <v>0</v>
      </c>
      <c r="M33" s="75">
        <v>0</v>
      </c>
      <c r="N33" s="75">
        <v>9.9417559437260591E-2</v>
      </c>
      <c r="O33" s="75">
        <v>0.806719542638489</v>
      </c>
      <c r="P33" s="76">
        <v>4.4831251692849605</v>
      </c>
    </row>
    <row r="34" spans="8:16" x14ac:dyDescent="0.25">
      <c r="H34" s="73" t="s">
        <v>36</v>
      </c>
      <c r="I34" s="74" t="s">
        <v>103</v>
      </c>
      <c r="J34" s="75"/>
      <c r="K34" s="75">
        <v>3.070224806370233E-2</v>
      </c>
      <c r="L34" s="75">
        <v>6.7987727367120887E-2</v>
      </c>
      <c r="M34" s="75">
        <v>0.1058037104627238</v>
      </c>
      <c r="N34" s="75">
        <v>0.11385053019929012</v>
      </c>
      <c r="O34" s="75">
        <v>0.12836607153544935</v>
      </c>
      <c r="P34" s="76">
        <v>4.8232709640317839E-2</v>
      </c>
    </row>
    <row r="35" spans="8:16" x14ac:dyDescent="0.25">
      <c r="H35" s="73"/>
      <c r="I35" s="74"/>
      <c r="J35" s="75"/>
      <c r="K35" s="75"/>
      <c r="L35" s="75"/>
      <c r="M35" s="75"/>
      <c r="N35" s="75"/>
      <c r="O35" s="75"/>
      <c r="P35" s="76"/>
    </row>
    <row r="36" spans="8:16" x14ac:dyDescent="0.25">
      <c r="H36" s="73" t="s">
        <v>37</v>
      </c>
      <c r="I36" s="74" t="s">
        <v>103</v>
      </c>
      <c r="J36" s="75"/>
      <c r="K36" s="75">
        <v>0.65354838695403272</v>
      </c>
      <c r="L36" s="75">
        <v>0.68833223419770706</v>
      </c>
      <c r="M36" s="75">
        <v>0.69995326883503584</v>
      </c>
      <c r="N36" s="75">
        <v>0.70170611423063034</v>
      </c>
      <c r="O36" s="75">
        <v>0.68238460314382865</v>
      </c>
      <c r="P36" s="76">
        <v>0.65230347366185981</v>
      </c>
    </row>
    <row r="37" spans="8:16" x14ac:dyDescent="0.25">
      <c r="H37" s="77" t="s">
        <v>38</v>
      </c>
      <c r="I37" s="78" t="s">
        <v>103</v>
      </c>
      <c r="J37" s="79"/>
      <c r="K37" s="79">
        <v>0</v>
      </c>
      <c r="L37" s="79">
        <v>3.8241836183865799E-3</v>
      </c>
      <c r="M37" s="79">
        <v>3.5672260612567765E-2</v>
      </c>
      <c r="N37" s="79">
        <v>4.3225393943744451E-2</v>
      </c>
      <c r="O37" s="79">
        <v>9.1940101038315555E-2</v>
      </c>
      <c r="P37" s="80">
        <v>0</v>
      </c>
    </row>
    <row r="38" spans="8:16" x14ac:dyDescent="0.25">
      <c r="H38" s="81" t="s">
        <v>39</v>
      </c>
      <c r="I38" s="82" t="s">
        <v>103</v>
      </c>
      <c r="J38" s="83"/>
      <c r="K38" s="83">
        <v>0.27685645291820243</v>
      </c>
      <c r="L38" s="83">
        <v>0.33936294766227287</v>
      </c>
      <c r="M38" s="83">
        <v>0.39501061579200741</v>
      </c>
      <c r="N38" s="83">
        <v>0.50443682875240703</v>
      </c>
      <c r="O38" s="83">
        <v>0.7089495045982358</v>
      </c>
      <c r="P38" s="84">
        <v>2.0982271820463385</v>
      </c>
    </row>
    <row r="39" spans="8:16" x14ac:dyDescent="0.25">
      <c r="H39" s="81" t="s">
        <v>40</v>
      </c>
      <c r="I39" s="82" t="s">
        <v>103</v>
      </c>
      <c r="J39" s="83"/>
      <c r="K39" s="83">
        <v>0</v>
      </c>
      <c r="L39" s="83">
        <v>0</v>
      </c>
      <c r="M39" s="83">
        <v>0</v>
      </c>
      <c r="N39" s="83">
        <v>2.4854389859315148E-2</v>
      </c>
      <c r="O39" s="83">
        <v>0.20167988565962225</v>
      </c>
      <c r="P39" s="84">
        <v>1.1207812923212401</v>
      </c>
    </row>
    <row r="40" spans="8:16" x14ac:dyDescent="0.25">
      <c r="H40" s="81" t="s">
        <v>41</v>
      </c>
      <c r="I40" s="82" t="s">
        <v>103</v>
      </c>
      <c r="J40" s="83"/>
      <c r="K40" s="83">
        <v>0.27370025400709397</v>
      </c>
      <c r="L40" s="83">
        <v>0.30252798462593117</v>
      </c>
      <c r="M40" s="83">
        <v>0.32169342050162891</v>
      </c>
      <c r="N40" s="83">
        <v>0.32415913924413242</v>
      </c>
      <c r="O40" s="83">
        <v>0.31483080273184122</v>
      </c>
      <c r="P40" s="84">
        <v>0.27727842859399909</v>
      </c>
    </row>
    <row r="41" spans="8:16" x14ac:dyDescent="0.25">
      <c r="H41" s="85" t="s">
        <v>42</v>
      </c>
      <c r="I41" s="86" t="s">
        <v>103</v>
      </c>
      <c r="J41" s="87"/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8">
        <v>0</v>
      </c>
    </row>
    <row r="42" spans="8:16" x14ac:dyDescent="0.25">
      <c r="H42" s="89" t="s">
        <v>43</v>
      </c>
      <c r="I42" s="90" t="s">
        <v>103</v>
      </c>
      <c r="J42" s="91"/>
      <c r="K42" s="91">
        <v>0</v>
      </c>
      <c r="L42" s="91">
        <v>0</v>
      </c>
      <c r="M42" s="91">
        <v>0</v>
      </c>
      <c r="N42" s="91">
        <v>2.335147084675215E-2</v>
      </c>
      <c r="O42" s="91">
        <v>6.08061307575294E-2</v>
      </c>
      <c r="P42" s="92">
        <v>6.2918128483015964E-2</v>
      </c>
    </row>
    <row r="43" spans="8:16" x14ac:dyDescent="0.25">
      <c r="H43" s="89" t="s">
        <v>44</v>
      </c>
      <c r="I43" s="90" t="s">
        <v>103</v>
      </c>
      <c r="J43" s="91"/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2">
        <v>0</v>
      </c>
    </row>
    <row r="44" spans="8:16" x14ac:dyDescent="0.25">
      <c r="H44" s="89" t="s">
        <v>45</v>
      </c>
      <c r="I44" s="90" t="s">
        <v>103</v>
      </c>
      <c r="J44" s="91"/>
      <c r="K44" s="91">
        <v>8.7842910485457226E-2</v>
      </c>
      <c r="L44" s="91">
        <v>9.8089608152369362E-2</v>
      </c>
      <c r="M44" s="91">
        <v>0.10183608009774026</v>
      </c>
      <c r="N44" s="91">
        <v>0.10201941657998792</v>
      </c>
      <c r="O44" s="91">
        <v>9.6125986628909116E-2</v>
      </c>
      <c r="P44" s="92">
        <v>8.7343501938704382E-2</v>
      </c>
    </row>
    <row r="45" spans="8:16" x14ac:dyDescent="0.25">
      <c r="H45" s="89" t="s">
        <v>46</v>
      </c>
      <c r="I45" s="90" t="s">
        <v>103</v>
      </c>
      <c r="J45" s="91"/>
      <c r="K45" s="91">
        <v>1.9027730795182325</v>
      </c>
      <c r="L45" s="91">
        <v>1.9027730795183546</v>
      </c>
      <c r="M45" s="91">
        <v>1.9027730795183595</v>
      </c>
      <c r="N45" s="91">
        <v>1.9027730795183599</v>
      </c>
      <c r="O45" s="91">
        <v>1.9027730795183302</v>
      </c>
      <c r="P45" s="92">
        <v>1.9027730795183575</v>
      </c>
    </row>
    <row r="46" spans="8:16" x14ac:dyDescent="0.25">
      <c r="H46" s="89" t="s">
        <v>47</v>
      </c>
      <c r="I46" s="90" t="s">
        <v>103</v>
      </c>
      <c r="J46" s="91"/>
      <c r="K46" s="91">
        <v>0.83203088016007465</v>
      </c>
      <c r="L46" s="91">
        <v>0.53538921606611856</v>
      </c>
      <c r="M46" s="91">
        <v>0.26763558951462657</v>
      </c>
      <c r="N46" s="91">
        <v>0.13405464600707942</v>
      </c>
      <c r="O46" s="91">
        <v>2.7357809427531618E-2</v>
      </c>
      <c r="P46" s="92">
        <v>-3.3191584400051154E-16</v>
      </c>
    </row>
    <row r="47" spans="8:16" x14ac:dyDescent="0.25">
      <c r="H47" s="93" t="s">
        <v>48</v>
      </c>
      <c r="I47" s="94" t="s">
        <v>103</v>
      </c>
      <c r="J47" s="95"/>
      <c r="K47" s="95">
        <v>-0.47122626486091646</v>
      </c>
      <c r="L47" s="95">
        <v>-0.47122626486101465</v>
      </c>
      <c r="M47" s="95">
        <v>-0.47122626486094032</v>
      </c>
      <c r="N47" s="95">
        <v>-0.47122626486104713</v>
      </c>
      <c r="O47" s="95">
        <v>-0.47122626486092184</v>
      </c>
      <c r="P47" s="96">
        <v>-0.47122626486098934</v>
      </c>
    </row>
    <row r="48" spans="8:16" x14ac:dyDescent="0.25">
      <c r="H48" s="97" t="s">
        <v>49</v>
      </c>
      <c r="I48" s="98" t="s">
        <v>103</v>
      </c>
      <c r="J48" s="99"/>
      <c r="K48" s="99">
        <v>-2.7895988542416195E-2</v>
      </c>
      <c r="L48" s="99">
        <v>-6.4867137631011818E-2</v>
      </c>
      <c r="M48" s="99">
        <v>-0.14627779806795638</v>
      </c>
      <c r="N48" s="99">
        <v>-0.28916249321758519</v>
      </c>
      <c r="O48" s="99">
        <v>-0.64483713420862387</v>
      </c>
      <c r="P48" s="100">
        <v>-2.4720787546878413</v>
      </c>
    </row>
    <row r="49" spans="8:27" x14ac:dyDescent="0.25">
      <c r="H49" s="101" t="s">
        <v>50</v>
      </c>
      <c r="I49" s="102" t="s">
        <v>103</v>
      </c>
      <c r="J49" s="103"/>
      <c r="K49" s="103">
        <v>-5.5791977084832391E-2</v>
      </c>
      <c r="L49" s="103">
        <v>-0.12973427526202364</v>
      </c>
      <c r="M49" s="103">
        <v>-0.29255559613591275</v>
      </c>
      <c r="N49" s="103">
        <v>-0.57832498643517039</v>
      </c>
      <c r="O49" s="103">
        <v>-1.2896742684172477</v>
      </c>
      <c r="P49" s="104">
        <v>-4.9441575093756827</v>
      </c>
    </row>
    <row r="50" spans="8:27" x14ac:dyDescent="0.25">
      <c r="H50" s="105" t="s">
        <v>51</v>
      </c>
      <c r="I50" s="106" t="s">
        <v>103</v>
      </c>
      <c r="J50" s="107"/>
      <c r="K50" s="107">
        <v>4.2575363167475402</v>
      </c>
      <c r="L50" s="107">
        <v>4.3191996156580235</v>
      </c>
      <c r="M50" s="107">
        <v>4.5899664300859877</v>
      </c>
      <c r="N50" s="107">
        <v>5.0565751011974474</v>
      </c>
      <c r="O50" s="107">
        <v>6.9733825588638148</v>
      </c>
      <c r="P50" s="108">
        <v>15.349438253926301</v>
      </c>
    </row>
    <row r="51" spans="8:27" x14ac:dyDescent="0.25">
      <c r="H51" s="105" t="s">
        <v>52</v>
      </c>
      <c r="I51" s="106" t="s">
        <v>103</v>
      </c>
      <c r="J51" s="107"/>
      <c r="K51" s="107">
        <v>4.2296403282051243</v>
      </c>
      <c r="L51" s="107">
        <v>4.2543324780270115</v>
      </c>
      <c r="M51" s="107">
        <v>4.4436886320180315</v>
      </c>
      <c r="N51" s="107">
        <v>4.7674126079798622</v>
      </c>
      <c r="O51" s="107">
        <v>6.3285454246551911</v>
      </c>
      <c r="P51" s="108">
        <v>12.877359499238461</v>
      </c>
    </row>
    <row r="52" spans="8:27" x14ac:dyDescent="0.25">
      <c r="H52" s="109" t="s">
        <v>53</v>
      </c>
      <c r="I52" s="110" t="s">
        <v>103</v>
      </c>
      <c r="J52" s="111"/>
      <c r="K52" s="111">
        <v>4.2017443396627074</v>
      </c>
      <c r="L52" s="111">
        <v>4.1894653403959996</v>
      </c>
      <c r="M52" s="111">
        <v>4.2974108339500745</v>
      </c>
      <c r="N52" s="111">
        <v>4.4782501147622771</v>
      </c>
      <c r="O52" s="111">
        <v>5.6837082904465674</v>
      </c>
      <c r="P52" s="112">
        <v>10.40528074455062</v>
      </c>
    </row>
    <row r="53" spans="8:27" x14ac:dyDescent="0.25">
      <c r="H53" s="113" t="s">
        <v>54</v>
      </c>
      <c r="I53" s="114" t="s">
        <v>103</v>
      </c>
      <c r="J53" s="115"/>
      <c r="K53" s="115">
        <v>4.2575363167475402</v>
      </c>
      <c r="L53" s="115">
        <v>4.3191996156580235</v>
      </c>
      <c r="M53" s="115">
        <v>4.5899664300859877</v>
      </c>
      <c r="N53" s="115">
        <v>5.0565751011974474</v>
      </c>
      <c r="O53" s="115">
        <v>6.9733825588638148</v>
      </c>
      <c r="P53" s="116">
        <v>15.349438253926303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>
        <v>0.68929433608924784</v>
      </c>
      <c r="L56" s="124">
        <v>0.80000000000006166</v>
      </c>
      <c r="M56" s="124">
        <v>0.90000000000004898</v>
      </c>
      <c r="N56" s="124">
        <v>0.95000000000000062</v>
      </c>
      <c r="O56" s="124">
        <v>0.99000000000013721</v>
      </c>
      <c r="P56" s="125">
        <v>0.99999999999999623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>
        <v>0</v>
      </c>
      <c r="L57" s="128">
        <v>158731.56013062512</v>
      </c>
      <c r="M57" s="128">
        <v>1480659.4414543414</v>
      </c>
      <c r="N57" s="128">
        <v>1794169.6588424179</v>
      </c>
      <c r="O57" s="128">
        <v>3816185.9190580486</v>
      </c>
      <c r="P57" s="129">
        <v>0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>
        <v>3640792.9439753839</v>
      </c>
      <c r="L58" s="132">
        <v>4462782.8330245055</v>
      </c>
      <c r="M58" s="132">
        <v>5194575.9169128686</v>
      </c>
      <c r="N58" s="132">
        <v>6633582.2316757422</v>
      </c>
      <c r="O58" s="132">
        <v>9323020.3839192018</v>
      </c>
      <c r="P58" s="133">
        <v>27592677.139109969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>
        <v>0</v>
      </c>
      <c r="L59" s="132">
        <v>0</v>
      </c>
      <c r="M59" s="132">
        <v>0</v>
      </c>
      <c r="N59" s="132">
        <v>539184.02533116611</v>
      </c>
      <c r="O59" s="132">
        <v>4375185.7596910847</v>
      </c>
      <c r="P59" s="133">
        <v>24313908.815715536</v>
      </c>
    </row>
    <row r="60" spans="8:27" x14ac:dyDescent="0.25">
      <c r="H60" s="134" t="s">
        <v>60</v>
      </c>
      <c r="I60" s="74" t="s">
        <v>57</v>
      </c>
      <c r="J60" s="135"/>
      <c r="K60" s="135">
        <v>74191.059206938065</v>
      </c>
      <c r="L60" s="135">
        <v>121680.70662621854</v>
      </c>
      <c r="M60" s="135">
        <v>162484.6414185325</v>
      </c>
      <c r="N60" s="135">
        <v>177176.92068604354</v>
      </c>
      <c r="O60" s="135">
        <v>174357.91280142841</v>
      </c>
      <c r="P60" s="136">
        <v>95987.691595773518</v>
      </c>
    </row>
    <row r="61" spans="8:27" x14ac:dyDescent="0.25">
      <c r="H61" s="134" t="s">
        <v>61</v>
      </c>
      <c r="I61" s="74" t="s">
        <v>57</v>
      </c>
      <c r="J61" s="135"/>
      <c r="K61" s="135">
        <v>92320.387980125102</v>
      </c>
      <c r="L61" s="135">
        <v>247045.87168066407</v>
      </c>
      <c r="M61" s="135">
        <v>403072.01432345103</v>
      </c>
      <c r="N61" s="135">
        <v>412304.9266375631</v>
      </c>
      <c r="O61" s="135">
        <v>393433.85316437244</v>
      </c>
      <c r="P61" s="136">
        <v>125790.38890963525</v>
      </c>
    </row>
    <row r="62" spans="8:27" x14ac:dyDescent="0.25">
      <c r="H62" s="134" t="s">
        <v>62</v>
      </c>
      <c r="I62" s="74"/>
      <c r="J62" s="135"/>
      <c r="K62" s="135">
        <v>0</v>
      </c>
      <c r="L62" s="135">
        <v>0</v>
      </c>
      <c r="M62" s="135">
        <v>8262.2030710383478</v>
      </c>
      <c r="N62" s="135">
        <v>27978.362989439891</v>
      </c>
      <c r="O62" s="135">
        <v>128392.44493419889</v>
      </c>
      <c r="P62" s="136">
        <v>39808.571628289348</v>
      </c>
    </row>
    <row r="63" spans="8:27" x14ac:dyDescent="0.25">
      <c r="H63" s="137" t="s">
        <v>63</v>
      </c>
      <c r="I63" s="138" t="s">
        <v>57</v>
      </c>
      <c r="J63" s="139"/>
      <c r="K63" s="139">
        <v>1431485.27382003</v>
      </c>
      <c r="L63" s="139">
        <v>1603743.5204229834</v>
      </c>
      <c r="M63" s="139">
        <v>1665287.0840963759</v>
      </c>
      <c r="N63" s="139">
        <v>1668298.7656553932</v>
      </c>
      <c r="O63" s="139">
        <v>1571486.9686533059</v>
      </c>
      <c r="P63" s="140">
        <v>1423019.9297183519</v>
      </c>
    </row>
    <row r="64" spans="8:27" x14ac:dyDescent="0.25">
      <c r="H64" s="141" t="s">
        <v>64</v>
      </c>
      <c r="I64" s="142" t="s">
        <v>57</v>
      </c>
      <c r="J64" s="143"/>
      <c r="K64" s="143">
        <v>2112987.6746329805</v>
      </c>
      <c r="L64" s="143">
        <v>2129377.1365383198</v>
      </c>
      <c r="M64" s="143">
        <v>2130859.4233256914</v>
      </c>
      <c r="N64" s="143">
        <v>2137354.1734426208</v>
      </c>
      <c r="O64" s="143">
        <v>2129377.136538248</v>
      </c>
      <c r="P64" s="144">
        <v>2114701.3205046412</v>
      </c>
    </row>
    <row r="66" spans="8:16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6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6" x14ac:dyDescent="0.25">
      <c r="H68" s="61" t="s">
        <v>68</v>
      </c>
      <c r="I68" s="151">
        <v>2400.4524320669002</v>
      </c>
      <c r="J68" s="151">
        <v>2400.4524320669002</v>
      </c>
      <c r="K68" s="152" t="s">
        <v>24</v>
      </c>
    </row>
    <row r="69" spans="8:16" x14ac:dyDescent="0.25">
      <c r="H69" s="153" t="s">
        <v>69</v>
      </c>
      <c r="I69" s="154">
        <v>524.17416606689972</v>
      </c>
      <c r="J69" s="154">
        <v>-413.96496693310064</v>
      </c>
      <c r="K69" s="155" t="s">
        <v>24</v>
      </c>
    </row>
    <row r="71" spans="8:16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9"/>
    </row>
    <row r="72" spans="8:16" x14ac:dyDescent="0.25">
      <c r="H72" s="7" t="s">
        <v>1</v>
      </c>
      <c r="I72" s="8" t="s">
        <v>2</v>
      </c>
      <c r="J72" s="9"/>
      <c r="K72" s="9">
        <v>0.68929433608924784</v>
      </c>
      <c r="L72" s="9">
        <v>0.80000000000006166</v>
      </c>
      <c r="M72" s="9">
        <v>0.90000000000004898</v>
      </c>
      <c r="N72" s="9">
        <v>0.95000000000000062</v>
      </c>
      <c r="O72" s="9">
        <v>0.99000000000013721</v>
      </c>
      <c r="P72" s="10">
        <v>0.99999999999999623</v>
      </c>
    </row>
    <row r="73" spans="8:16" x14ac:dyDescent="0.25">
      <c r="H73" s="51" t="s">
        <v>71</v>
      </c>
      <c r="I73" s="52"/>
      <c r="J73" s="157"/>
      <c r="K73" s="157">
        <v>0</v>
      </c>
      <c r="L73" s="157">
        <v>0</v>
      </c>
      <c r="M73" s="157">
        <v>1.6418172511260389</v>
      </c>
      <c r="N73" s="157">
        <v>11.40670089644958</v>
      </c>
      <c r="O73" s="157">
        <v>484.6584161543729</v>
      </c>
      <c r="P73" s="158">
        <v>0</v>
      </c>
    </row>
    <row r="74" spans="8:16" x14ac:dyDescent="0.25">
      <c r="H74" s="130" t="s">
        <v>72</v>
      </c>
      <c r="I74" s="131"/>
      <c r="J74" s="160"/>
      <c r="K74" s="160">
        <v>504.30633106233859</v>
      </c>
      <c r="L74" s="160">
        <v>1172.674276642638</v>
      </c>
      <c r="M74" s="160">
        <v>2642.7821129981066</v>
      </c>
      <c r="N74" s="160">
        <v>5216.1003226907605</v>
      </c>
      <c r="O74" s="160">
        <v>11172.76855729823</v>
      </c>
      <c r="P74" s="161">
        <v>44690.474581250222</v>
      </c>
    </row>
    <row r="75" spans="8:16" x14ac:dyDescent="0.25">
      <c r="H75" s="130" t="s">
        <v>73</v>
      </c>
      <c r="I75" s="159" t="s">
        <v>2</v>
      </c>
      <c r="J75" s="162"/>
      <c r="K75" s="162" t="e">
        <v>#DIV/0!</v>
      </c>
      <c r="L75" s="162">
        <v>0</v>
      </c>
      <c r="M75" s="162">
        <v>1.4697931839502479E-3</v>
      </c>
      <c r="N75" s="162">
        <v>8.4271968824389219E-3</v>
      </c>
      <c r="O75" s="162">
        <v>0.16834213415638791</v>
      </c>
      <c r="P75" s="163" t="e">
        <v>#DIV/0!</v>
      </c>
    </row>
    <row r="76" spans="8:16" x14ac:dyDescent="0.25">
      <c r="H76" s="130" t="s">
        <v>74</v>
      </c>
      <c r="I76" s="159" t="s">
        <v>2</v>
      </c>
      <c r="J76" s="162"/>
      <c r="K76" s="162">
        <v>7.0277021253621452E-2</v>
      </c>
      <c r="L76" s="162">
        <v>0.13331731263376512</v>
      </c>
      <c r="M76" s="162">
        <v>0.25812268072647487</v>
      </c>
      <c r="N76" s="162">
        <v>0.39894472254100916</v>
      </c>
      <c r="O76" s="162">
        <v>0.60802169329744882</v>
      </c>
      <c r="P76" s="163">
        <v>0.82174303751461852</v>
      </c>
    </row>
    <row r="77" spans="8:16" x14ac:dyDescent="0.25">
      <c r="H77" s="164" t="s">
        <v>75</v>
      </c>
      <c r="I77" s="165" t="s">
        <v>2</v>
      </c>
      <c r="J77" s="166"/>
      <c r="K77" s="166">
        <v>7.0277021253621452E-2</v>
      </c>
      <c r="L77" s="166">
        <v>0.13152670764062077</v>
      </c>
      <c r="M77" s="166">
        <v>0.23287578461684894</v>
      </c>
      <c r="N77" s="166">
        <v>0.36230921616221906</v>
      </c>
      <c r="O77" s="166">
        <v>0.54846563783387392</v>
      </c>
      <c r="P77" s="167">
        <v>0.82174303751461852</v>
      </c>
    </row>
    <row r="78" spans="8:16" x14ac:dyDescent="0.25">
      <c r="H78" s="168" t="s">
        <v>76</v>
      </c>
      <c r="I78" s="169"/>
      <c r="J78" s="170"/>
      <c r="K78" s="170">
        <v>77.076700961847479</v>
      </c>
      <c r="L78" s="170">
        <v>83.722151280272371</v>
      </c>
      <c r="M78" s="170">
        <v>103.443018214753</v>
      </c>
      <c r="N78" s="170">
        <v>132.66485321245312</v>
      </c>
      <c r="O78" s="170">
        <v>242.96653618351192</v>
      </c>
      <c r="P78" s="171">
        <v>720.17739515276776</v>
      </c>
    </row>
    <row r="79" spans="8:16" x14ac:dyDescent="0.25">
      <c r="H79" s="172" t="s">
        <v>77</v>
      </c>
      <c r="I79" s="173"/>
      <c r="J79" s="174"/>
      <c r="K79" s="174">
        <v>74.809024798296647</v>
      </c>
      <c r="L79" s="174">
        <v>79.178774686043354</v>
      </c>
      <c r="M79" s="174">
        <v>94.335922651336233</v>
      </c>
      <c r="N79" s="174">
        <v>115.60943612981639</v>
      </c>
      <c r="O79" s="174">
        <v>206.46939617355324</v>
      </c>
      <c r="P79" s="175">
        <v>581.65936999149631</v>
      </c>
    </row>
    <row r="80" spans="8:16" x14ac:dyDescent="0.25">
      <c r="H80" s="172" t="s">
        <v>78</v>
      </c>
      <c r="I80" s="173"/>
      <c r="J80" s="174"/>
      <c r="K80" s="174">
        <v>72.541348634745816</v>
      </c>
      <c r="L80" s="174">
        <v>74.635398091814338</v>
      </c>
      <c r="M80" s="174">
        <v>85.228827087919456</v>
      </c>
      <c r="N80" s="174">
        <v>98.554019047179651</v>
      </c>
      <c r="O80" s="174">
        <v>169.97225616359461</v>
      </c>
      <c r="P80" s="175">
        <v>443.14134483022468</v>
      </c>
    </row>
    <row r="81" spans="8:16" x14ac:dyDescent="0.25">
      <c r="H81" s="73" t="s">
        <v>79</v>
      </c>
      <c r="I81" s="176"/>
      <c r="J81" s="177"/>
      <c r="K81" s="177">
        <v>71.659980010192712</v>
      </c>
      <c r="L81" s="177">
        <v>72.710452365788171</v>
      </c>
      <c r="M81" s="177">
        <v>79.353644184857401</v>
      </c>
      <c r="N81" s="177">
        <v>84.579966412457495</v>
      </c>
      <c r="O81" s="177">
        <v>109.61367788770694</v>
      </c>
      <c r="P81" s="178">
        <v>128.20777975475778</v>
      </c>
    </row>
    <row r="82" spans="8:16" x14ac:dyDescent="0.25">
      <c r="H82" s="134" t="s">
        <v>80</v>
      </c>
      <c r="I82" s="176"/>
      <c r="J82" s="177"/>
      <c r="K82" s="177">
        <v>69.551669372584058</v>
      </c>
      <c r="L82" s="177">
        <v>68.76465113656954</v>
      </c>
      <c r="M82" s="177">
        <v>72.36737064635193</v>
      </c>
      <c r="N82" s="177">
        <v>73.706350913937044</v>
      </c>
      <c r="O82" s="177">
        <v>93.148094553825445</v>
      </c>
      <c r="P82" s="178">
        <v>103.54845473085426</v>
      </c>
    </row>
    <row r="83" spans="8:16" x14ac:dyDescent="0.25">
      <c r="H83" s="179" t="s">
        <v>81</v>
      </c>
      <c r="I83" s="180"/>
      <c r="J83" s="181"/>
      <c r="K83" s="181">
        <v>67.443358734975419</v>
      </c>
      <c r="L83" s="181">
        <v>64.818849907350923</v>
      </c>
      <c r="M83" s="181">
        <v>65.381097107846458</v>
      </c>
      <c r="N83" s="181">
        <v>62.832735415416614</v>
      </c>
      <c r="O83" s="181">
        <v>76.682511219943947</v>
      </c>
      <c r="P83" s="182">
        <v>78.889129706950726</v>
      </c>
    </row>
    <row r="84" spans="8:16" x14ac:dyDescent="0.25">
      <c r="H84" s="183" t="s">
        <v>82</v>
      </c>
      <c r="I84" s="184" t="s">
        <v>12</v>
      </c>
      <c r="J84" s="185"/>
      <c r="K84" s="185" t="e">
        <v>#DIV/0!</v>
      </c>
      <c r="L84" s="185">
        <v>0</v>
      </c>
      <c r="M84" s="185">
        <v>0</v>
      </c>
      <c r="N84" s="185">
        <v>0.86249265506967332</v>
      </c>
      <c r="O84" s="185">
        <v>3.2904013055561019</v>
      </c>
      <c r="P84" s="186" t="e">
        <v>#DIV/0!</v>
      </c>
    </row>
    <row r="86" spans="8:16" x14ac:dyDescent="0.25">
      <c r="I86" s="443" t="s">
        <v>83</v>
      </c>
      <c r="J86" s="444"/>
      <c r="K86" s="187" t="s">
        <v>84</v>
      </c>
    </row>
    <row r="87" spans="8:16" x14ac:dyDescent="0.25">
      <c r="I87" s="445" t="s">
        <v>111</v>
      </c>
      <c r="J87" s="446"/>
      <c r="K87" s="188" t="s">
        <v>85</v>
      </c>
    </row>
    <row r="88" spans="8:16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6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6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6" x14ac:dyDescent="0.25">
      <c r="H92" s="226" t="s">
        <v>1</v>
      </c>
      <c r="I92" s="227"/>
      <c r="J92" s="228">
        <f t="shared" ref="J92:P92" si="6">J5</f>
        <v>0</v>
      </c>
      <c r="K92" s="228">
        <f t="shared" si="6"/>
        <v>0.68929433608924784</v>
      </c>
      <c r="L92" s="228">
        <f t="shared" si="6"/>
        <v>0.80000000000006166</v>
      </c>
      <c r="M92" s="228">
        <f t="shared" si="6"/>
        <v>0.90000000000004898</v>
      </c>
      <c r="N92" s="228">
        <f t="shared" si="6"/>
        <v>0.95000000000000062</v>
      </c>
      <c r="O92" s="228">
        <f t="shared" si="6"/>
        <v>0.99000000000013721</v>
      </c>
      <c r="P92" s="229">
        <f t="shared" si="6"/>
        <v>0.99999999999999623</v>
      </c>
    </row>
    <row r="93" spans="8:16" ht="18" x14ac:dyDescent="0.25">
      <c r="H93" s="148" t="s">
        <v>89</v>
      </c>
      <c r="I93" s="194" t="s">
        <v>104</v>
      </c>
      <c r="J93" s="195">
        <f t="shared" ref="J93:P93" si="7">IF(J22&gt;0,  $I$88*(J6*1000)/(J22*1000)/$K$88*1000, 0)</f>
        <v>0</v>
      </c>
      <c r="K93" s="195">
        <f t="shared" si="7"/>
        <v>0</v>
      </c>
      <c r="L93" s="195">
        <f t="shared" si="7"/>
        <v>24.247334366121208</v>
      </c>
      <c r="M93" s="195">
        <f t="shared" si="7"/>
        <v>24.247334366121176</v>
      </c>
      <c r="N93" s="195">
        <f t="shared" si="7"/>
        <v>24.247334366121311</v>
      </c>
      <c r="O93" s="195">
        <f t="shared" si="7"/>
        <v>24.247334366121191</v>
      </c>
      <c r="P93" s="196">
        <f t="shared" si="7"/>
        <v>0</v>
      </c>
    </row>
    <row r="94" spans="8:16" ht="18" x14ac:dyDescent="0.25">
      <c r="H94" s="61" t="s">
        <v>90</v>
      </c>
      <c r="I94" s="230" t="s">
        <v>104</v>
      </c>
      <c r="J94" s="231">
        <f t="shared" ref="J94:P94" si="8">IF(J23&gt;0,$I$89*(J7*1000)/(J23*1000)/$K$89*1000,0)</f>
        <v>0</v>
      </c>
      <c r="K94" s="231">
        <f t="shared" si="8"/>
        <v>3.1489785954175455</v>
      </c>
      <c r="L94" s="231">
        <f t="shared" si="8"/>
        <v>3.1489785954175531</v>
      </c>
      <c r="M94" s="231">
        <f t="shared" si="8"/>
        <v>3.1489785954175558</v>
      </c>
      <c r="N94" s="231">
        <f t="shared" si="8"/>
        <v>3.1489785954175442</v>
      </c>
      <c r="O94" s="231">
        <f t="shared" si="8"/>
        <v>3.1489785954175553</v>
      </c>
      <c r="P94" s="232">
        <f t="shared" si="8"/>
        <v>3.1489785954175473</v>
      </c>
    </row>
    <row r="95" spans="8:16" ht="18" x14ac:dyDescent="0.25">
      <c r="H95" s="153" t="s">
        <v>99</v>
      </c>
      <c r="I95" s="197" t="s">
        <v>104</v>
      </c>
      <c r="J95" s="198">
        <f t="shared" ref="J95:P95" si="9">IF(-J26&gt;0,$I$90*(J8*1000)/(-J26*1000)/$K$90*1000,0)</f>
        <v>0</v>
      </c>
      <c r="K95" s="198">
        <f t="shared" si="9"/>
        <v>0</v>
      </c>
      <c r="L95" s="198">
        <f t="shared" si="9"/>
        <v>0</v>
      </c>
      <c r="M95" s="198">
        <f t="shared" si="9"/>
        <v>0</v>
      </c>
      <c r="N95" s="198">
        <f t="shared" si="9"/>
        <v>61.573271456746888</v>
      </c>
      <c r="O95" s="198">
        <f t="shared" si="9"/>
        <v>191.87508299012174</v>
      </c>
      <c r="P95" s="199">
        <f t="shared" si="9"/>
        <v>1030.5010546886469</v>
      </c>
    </row>
    <row r="96" spans="8:16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5"/>
    </row>
    <row r="97" spans="8:16" x14ac:dyDescent="0.25">
      <c r="H97" s="7" t="s">
        <v>1</v>
      </c>
      <c r="I97" s="8" t="s">
        <v>2</v>
      </c>
      <c r="J97" s="9">
        <f t="shared" ref="J97:P97" si="10">J5</f>
        <v>0</v>
      </c>
      <c r="K97" s="9">
        <f t="shared" si="10"/>
        <v>0.68929433608924784</v>
      </c>
      <c r="L97" s="9">
        <f t="shared" si="10"/>
        <v>0.80000000000006166</v>
      </c>
      <c r="M97" s="9">
        <f t="shared" si="10"/>
        <v>0.90000000000004898</v>
      </c>
      <c r="N97" s="9">
        <f t="shared" si="10"/>
        <v>0.95000000000000062</v>
      </c>
      <c r="O97" s="9">
        <f t="shared" si="10"/>
        <v>0.99000000000013721</v>
      </c>
      <c r="P97" s="10">
        <f t="shared" si="10"/>
        <v>0.99999999999999623</v>
      </c>
    </row>
    <row r="98" spans="8:16" ht="18" x14ac:dyDescent="0.25">
      <c r="H98" s="200" t="s">
        <v>91</v>
      </c>
      <c r="I98" s="201" t="s">
        <v>106</v>
      </c>
      <c r="J98" s="202">
        <f t="shared" ref="J98:P98" si="11">$M$88/1000*J24*1000</f>
        <v>0</v>
      </c>
      <c r="K98" s="202">
        <f t="shared" si="11"/>
        <v>1202926.4978983165</v>
      </c>
      <c r="L98" s="202">
        <f t="shared" si="11"/>
        <v>774319.00195021939</v>
      </c>
      <c r="M98" s="202">
        <f t="shared" si="11"/>
        <v>387159.50097497174</v>
      </c>
      <c r="N98" s="202">
        <f t="shared" si="11"/>
        <v>193579.75048757376</v>
      </c>
      <c r="O98" s="202">
        <f t="shared" si="11"/>
        <v>38715.950097450987</v>
      </c>
      <c r="P98" s="203">
        <f t="shared" si="11"/>
        <v>-4.6638888306915766E-10</v>
      </c>
    </row>
    <row r="99" spans="8:16" ht="18" x14ac:dyDescent="0.25">
      <c r="H99" s="204" t="s">
        <v>92</v>
      </c>
      <c r="I99" s="13" t="s">
        <v>106</v>
      </c>
      <c r="J99" s="31">
        <f t="shared" ref="J99:P100" si="12">J93/1000*J22*1000</f>
        <v>0</v>
      </c>
      <c r="K99" s="31">
        <f t="shared" si="12"/>
        <v>0</v>
      </c>
      <c r="L99" s="31">
        <f t="shared" si="12"/>
        <v>2903.6260999504598</v>
      </c>
      <c r="M99" s="31">
        <f t="shared" si="12"/>
        <v>27085.233685140396</v>
      </c>
      <c r="N99" s="31">
        <f t="shared" si="12"/>
        <v>32820.176686141793</v>
      </c>
      <c r="O99" s="31">
        <f t="shared" si="12"/>
        <v>69808.279007159435</v>
      </c>
      <c r="P99" s="62">
        <f t="shared" si="12"/>
        <v>0</v>
      </c>
    </row>
    <row r="100" spans="8:16" ht="18" x14ac:dyDescent="0.25">
      <c r="H100" s="204" t="s">
        <v>93</v>
      </c>
      <c r="I100" s="13" t="s">
        <v>106</v>
      </c>
      <c r="J100" s="31">
        <f t="shared" si="12"/>
        <v>0</v>
      </c>
      <c r="K100" s="31">
        <f t="shared" si="12"/>
        <v>22596.999897274738</v>
      </c>
      <c r="L100" s="31">
        <f t="shared" si="12"/>
        <v>27698.774627183542</v>
      </c>
      <c r="M100" s="31">
        <f t="shared" si="12"/>
        <v>32240.732518201563</v>
      </c>
      <c r="N100" s="31">
        <f t="shared" si="12"/>
        <v>41172.090617178968</v>
      </c>
      <c r="O100" s="31">
        <f t="shared" si="12"/>
        <v>57864.397646211459</v>
      </c>
      <c r="P100" s="62">
        <f t="shared" si="12"/>
        <v>171257.12230072339</v>
      </c>
    </row>
    <row r="101" spans="8:16" ht="18" x14ac:dyDescent="0.25">
      <c r="H101" s="204" t="s">
        <v>94</v>
      </c>
      <c r="I101" s="13" t="s">
        <v>106</v>
      </c>
      <c r="J101" s="31">
        <f t="shared" ref="J101:P101" si="13">J95/1000*(-J26)*1000</f>
        <v>0</v>
      </c>
      <c r="K101" s="31">
        <f t="shared" si="13"/>
        <v>0</v>
      </c>
      <c r="L101" s="31">
        <f t="shared" si="13"/>
        <v>0</v>
      </c>
      <c r="M101" s="31">
        <f t="shared" si="13"/>
        <v>0</v>
      </c>
      <c r="N101" s="31">
        <f t="shared" si="13"/>
        <v>5998.422281809223</v>
      </c>
      <c r="O101" s="31">
        <f t="shared" si="13"/>
        <v>48673.941576563317</v>
      </c>
      <c r="P101" s="62">
        <f t="shared" si="13"/>
        <v>270492.23557483545</v>
      </c>
    </row>
    <row r="102" spans="8:16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62">
        <f>'[3]100SP'!$C$174</f>
        <v>1630310.3764794073</v>
      </c>
    </row>
    <row r="103" spans="8:16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8">
        <f>'[3]100SP'!$C$175</f>
        <v>5111323.9103376018</v>
      </c>
    </row>
    <row r="104" spans="8:16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8">
        <f>'[3]100SP'!$C$176</f>
        <v>542342.85007914237</v>
      </c>
    </row>
    <row r="105" spans="8:16" ht="18" x14ac:dyDescent="0.25">
      <c r="H105" s="209" t="s">
        <v>98</v>
      </c>
      <c r="I105" s="210" t="s">
        <v>108</v>
      </c>
      <c r="J105" s="211">
        <f t="shared" ref="J105:P105" si="14">J98/J104</f>
        <v>0</v>
      </c>
      <c r="K105" s="211">
        <f t="shared" si="14"/>
        <v>2.2180185425563264</v>
      </c>
      <c r="L105" s="211">
        <f t="shared" si="14"/>
        <v>1.427729713477865</v>
      </c>
      <c r="M105" s="211">
        <f t="shared" si="14"/>
        <v>0.71386485673858491</v>
      </c>
      <c r="N105" s="211">
        <f t="shared" si="14"/>
        <v>0.35693242836948158</v>
      </c>
      <c r="O105" s="211">
        <f t="shared" si="14"/>
        <v>7.1386485673778893E-2</v>
      </c>
      <c r="P105" s="212">
        <f t="shared" si="14"/>
        <v>-8.5995211885083212E-16</v>
      </c>
    </row>
    <row r="106" spans="8:16" ht="18" x14ac:dyDescent="0.25">
      <c r="H106" s="213" t="s">
        <v>89</v>
      </c>
      <c r="I106" s="214" t="s">
        <v>109</v>
      </c>
      <c r="J106" s="215">
        <f t="shared" ref="J106:P106" si="15">J99/J104</f>
        <v>0</v>
      </c>
      <c r="K106" s="215">
        <f t="shared" si="15"/>
        <v>0</v>
      </c>
      <c r="L106" s="215">
        <f t="shared" si="15"/>
        <v>5.3538570657415416E-3</v>
      </c>
      <c r="M106" s="215">
        <f t="shared" si="15"/>
        <v>4.99411648575913E-2</v>
      </c>
      <c r="N106" s="215">
        <f t="shared" si="15"/>
        <v>6.051555152124248E-2</v>
      </c>
      <c r="O106" s="215">
        <f t="shared" si="15"/>
        <v>0.1287161414536446</v>
      </c>
      <c r="P106" s="216">
        <f t="shared" si="15"/>
        <v>0</v>
      </c>
    </row>
    <row r="107" spans="8:16" ht="18" x14ac:dyDescent="0.25">
      <c r="H107" s="213" t="s">
        <v>90</v>
      </c>
      <c r="I107" s="214" t="s">
        <v>109</v>
      </c>
      <c r="J107" s="215">
        <f t="shared" ref="J107:P107" si="16">J100/J104</f>
        <v>0</v>
      </c>
      <c r="K107" s="215">
        <f t="shared" si="16"/>
        <v>4.166552558769511E-2</v>
      </c>
      <c r="L107" s="215">
        <f t="shared" si="16"/>
        <v>5.1072443608582825E-2</v>
      </c>
      <c r="M107" s="215">
        <f t="shared" si="16"/>
        <v>5.9447142178594897E-2</v>
      </c>
      <c r="N107" s="215">
        <f t="shared" si="16"/>
        <v>7.5915245515214044E-2</v>
      </c>
      <c r="O107" s="215">
        <f t="shared" si="16"/>
        <v>0.10669339079102394</v>
      </c>
      <c r="P107" s="216">
        <f t="shared" si="16"/>
        <v>0.31577280363469784</v>
      </c>
    </row>
    <row r="108" spans="8:16" ht="18" x14ac:dyDescent="0.25">
      <c r="H108" s="213" t="s">
        <v>99</v>
      </c>
      <c r="I108" s="214" t="s">
        <v>109</v>
      </c>
      <c r="J108" s="215">
        <f t="shared" ref="J108:P108" si="17">J101/J104</f>
        <v>0</v>
      </c>
      <c r="K108" s="215">
        <f t="shared" si="17"/>
        <v>0</v>
      </c>
      <c r="L108" s="215">
        <f t="shared" si="17"/>
        <v>0</v>
      </c>
      <c r="M108" s="215">
        <f t="shared" si="17"/>
        <v>0</v>
      </c>
      <c r="N108" s="215">
        <f t="shared" si="17"/>
        <v>1.1060203487395287E-2</v>
      </c>
      <c r="O108" s="215">
        <f t="shared" si="17"/>
        <v>8.9747549118533859E-2</v>
      </c>
      <c r="P108" s="216">
        <f t="shared" si="17"/>
        <v>0.4987476750829542</v>
      </c>
    </row>
    <row r="109" spans="8:16" ht="18" x14ac:dyDescent="0.25">
      <c r="H109" s="213" t="s">
        <v>100</v>
      </c>
      <c r="I109" s="214" t="s">
        <v>108</v>
      </c>
      <c r="J109" s="215">
        <f t="shared" ref="J109:P109" si="18">-J103/J104</f>
        <v>-9.4245252972192066</v>
      </c>
      <c r="K109" s="215">
        <f t="shared" si="18"/>
        <v>-9.4245252972192066</v>
      </c>
      <c r="L109" s="215">
        <f t="shared" si="18"/>
        <v>-9.4245252972192066</v>
      </c>
      <c r="M109" s="215">
        <f t="shared" si="18"/>
        <v>-9.4245252972203968</v>
      </c>
      <c r="N109" s="215">
        <f t="shared" si="18"/>
        <v>-9.4245252972200717</v>
      </c>
      <c r="O109" s="215">
        <f t="shared" si="18"/>
        <v>-9.4245252972199971</v>
      </c>
      <c r="P109" s="216">
        <f t="shared" si="18"/>
        <v>-9.4245252972206099</v>
      </c>
    </row>
    <row r="110" spans="8:16" ht="18" x14ac:dyDescent="0.25">
      <c r="H110" s="217" t="s">
        <v>101</v>
      </c>
      <c r="I110" s="218" t="s">
        <v>108</v>
      </c>
      <c r="J110" s="219">
        <f>SUM(J105:J109)</f>
        <v>-9.4245252972192066</v>
      </c>
      <c r="K110" s="219">
        <f t="shared" ref="K110:P110" si="19">SUM(K105:K109)</f>
        <v>-7.1648412290751846</v>
      </c>
      <c r="L110" s="219">
        <f t="shared" si="19"/>
        <v>-7.9403692830670174</v>
      </c>
      <c r="M110" s="219">
        <f t="shared" si="19"/>
        <v>-8.6012721334456259</v>
      </c>
      <c r="N110" s="219">
        <f t="shared" si="19"/>
        <v>-8.9201018683267375</v>
      </c>
      <c r="O110" s="219">
        <f t="shared" si="19"/>
        <v>-9.027981730183015</v>
      </c>
      <c r="P110" s="220">
        <f t="shared" si="19"/>
        <v>-8.6100048185029578</v>
      </c>
    </row>
    <row r="111" spans="8:16" x14ac:dyDescent="0.25">
      <c r="H111" s="221"/>
      <c r="I111" s="6"/>
      <c r="J111" s="22"/>
      <c r="K111" s="222"/>
      <c r="L111" s="222"/>
      <c r="M111" s="222"/>
      <c r="N111" s="222"/>
      <c r="O111" s="222"/>
    </row>
    <row r="112" spans="8:16" x14ac:dyDescent="0.25">
      <c r="H112" s="283" t="s">
        <v>133</v>
      </c>
      <c r="I112" s="70"/>
      <c r="J112" s="284">
        <f>L112</f>
        <v>149.87161908201614</v>
      </c>
      <c r="K112" s="284">
        <f>L112</f>
        <v>149.87161908201614</v>
      </c>
      <c r="L112" s="284">
        <f t="shared" ref="L112:O112" si="20">(L31+L37)*L104/L22</f>
        <v>149.87161908201614</v>
      </c>
      <c r="M112" s="284">
        <f t="shared" si="20"/>
        <v>149.87161908203592</v>
      </c>
      <c r="N112" s="284">
        <f t="shared" si="20"/>
        <v>149.8716190820254</v>
      </c>
      <c r="O112" s="284">
        <f t="shared" si="20"/>
        <v>149.87161908202194</v>
      </c>
      <c r="P112" s="285">
        <f>L112</f>
        <v>149.87161908201614</v>
      </c>
    </row>
    <row r="113" spans="8:16" x14ac:dyDescent="0.25">
      <c r="H113" s="286" t="s">
        <v>134</v>
      </c>
      <c r="I113" s="287"/>
      <c r="J113" s="181">
        <f>K113</f>
        <v>71.659980010183688</v>
      </c>
      <c r="K113" s="181">
        <f t="shared" ref="K113" si="21">IF(K32&gt;0,(K32+K38)*K104/K23,0)</f>
        <v>71.659980010183688</v>
      </c>
      <c r="L113" s="181">
        <f>IF(L32&gt;0,(L32+L38)*L104/L23,0)</f>
        <v>71.659980010188463</v>
      </c>
      <c r="M113" s="181">
        <f>IF(M32&gt;0,(M32+M38)*M104/M23,0)</f>
        <v>71.659980010198041</v>
      </c>
      <c r="N113" s="181">
        <f>IF(N32&gt;0,(N32+N38)*N104/N23,0)</f>
        <v>71.659980010192371</v>
      </c>
      <c r="O113" s="181">
        <f>IF(O32&gt;0,(O32+O38)*O104/O23,0)</f>
        <v>71.659980010191362</v>
      </c>
      <c r="P113" s="182">
        <f>IF(P32&gt;0,(P32+P38)*P104/P23,0)</f>
        <v>71.659980010192442</v>
      </c>
    </row>
    <row r="114" spans="8:16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8:16" x14ac:dyDescent="0.25">
      <c r="H115" s="226" t="s">
        <v>1</v>
      </c>
      <c r="I115" s="227"/>
      <c r="J115" s="228">
        <f t="shared" ref="J115:P115" si="22">J28</f>
        <v>0</v>
      </c>
      <c r="K115" s="228">
        <f t="shared" si="22"/>
        <v>-2.4260771169792861E-10</v>
      </c>
      <c r="L115" s="228">
        <f t="shared" si="22"/>
        <v>4.6497916628140956E-10</v>
      </c>
      <c r="M115" s="228">
        <f t="shared" si="22"/>
        <v>2.5465851649641991E-11</v>
      </c>
      <c r="N115" s="228">
        <f t="shared" si="22"/>
        <v>1.8317791727895383E-11</v>
      </c>
      <c r="O115" s="228">
        <f t="shared" si="22"/>
        <v>1.1796998933277791E-9</v>
      </c>
      <c r="P115" s="229">
        <f t="shared" si="22"/>
        <v>-3.5328184821992181E-11</v>
      </c>
    </row>
    <row r="116" spans="8:16" ht="18" x14ac:dyDescent="0.25">
      <c r="H116" s="148" t="s">
        <v>89</v>
      </c>
      <c r="I116" s="194" t="s">
        <v>104</v>
      </c>
      <c r="J116" s="195">
        <f t="shared" ref="J116:P116" si="23">IF(J22&gt;0,  $J$88*(J6*1000)/(J22*1000)/$K$88*1000, 0)</f>
        <v>0</v>
      </c>
      <c r="K116" s="195">
        <f t="shared" si="23"/>
        <v>0</v>
      </c>
      <c r="L116" s="195">
        <f t="shared" si="23"/>
        <v>80.824447887070704</v>
      </c>
      <c r="M116" s="195">
        <f t="shared" si="23"/>
        <v>80.82444788707059</v>
      </c>
      <c r="N116" s="195">
        <f t="shared" si="23"/>
        <v>80.824447887071031</v>
      </c>
      <c r="O116" s="195">
        <f t="shared" si="23"/>
        <v>80.824447887070633</v>
      </c>
      <c r="P116" s="196">
        <f t="shared" si="23"/>
        <v>0</v>
      </c>
    </row>
    <row r="117" spans="8:16" ht="18" x14ac:dyDescent="0.25">
      <c r="H117" s="61" t="s">
        <v>90</v>
      </c>
      <c r="I117" s="230" t="s">
        <v>104</v>
      </c>
      <c r="J117" s="231">
        <f t="shared" ref="J117:P117" si="24">IF(J23&gt;0,$J$89*(J7*1000)/(J23*1000)/$K$89*1000,0)</f>
        <v>0</v>
      </c>
      <c r="K117" s="231">
        <f t="shared" si="24"/>
        <v>5.3864107553194858</v>
      </c>
      <c r="L117" s="231">
        <f t="shared" si="24"/>
        <v>5.3864107553194982</v>
      </c>
      <c r="M117" s="231">
        <f t="shared" si="24"/>
        <v>5.3864107553195026</v>
      </c>
      <c r="N117" s="231">
        <f t="shared" si="24"/>
        <v>5.386410755319484</v>
      </c>
      <c r="O117" s="231">
        <f t="shared" si="24"/>
        <v>5.3864107553195026</v>
      </c>
      <c r="P117" s="232">
        <f t="shared" si="24"/>
        <v>5.3864107553194893</v>
      </c>
    </row>
    <row r="118" spans="8:16" ht="18" x14ac:dyDescent="0.25">
      <c r="H118" s="153" t="s">
        <v>99</v>
      </c>
      <c r="I118" s="197" t="s">
        <v>104</v>
      </c>
      <c r="J118" s="198">
        <f t="shared" ref="J118:P118" si="25">IF(-J26&gt;0,$J$90*(J8*1000)/(-J26*1000)/$K$90*1000,0)</f>
        <v>0</v>
      </c>
      <c r="K118" s="198">
        <f t="shared" si="25"/>
        <v>0</v>
      </c>
      <c r="L118" s="198">
        <f t="shared" si="25"/>
        <v>0</v>
      </c>
      <c r="M118" s="198">
        <f t="shared" si="25"/>
        <v>0</v>
      </c>
      <c r="N118" s="198">
        <f t="shared" si="25"/>
        <v>116.92003231674411</v>
      </c>
      <c r="O118" s="198">
        <f t="shared" si="25"/>
        <v>364.34706770034359</v>
      </c>
      <c r="P118" s="199">
        <f t="shared" si="25"/>
        <v>1956.7941375548462</v>
      </c>
    </row>
    <row r="119" spans="8:16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</row>
    <row r="120" spans="8:16" x14ac:dyDescent="0.25">
      <c r="H120" s="7" t="s">
        <v>1</v>
      </c>
      <c r="I120" s="8" t="s">
        <v>2</v>
      </c>
      <c r="J120" s="9">
        <f t="shared" ref="J120:P120" si="26">J28</f>
        <v>0</v>
      </c>
      <c r="K120" s="9">
        <f t="shared" si="26"/>
        <v>-2.4260771169792861E-10</v>
      </c>
      <c r="L120" s="9">
        <f t="shared" si="26"/>
        <v>4.6497916628140956E-10</v>
      </c>
      <c r="M120" s="9">
        <f t="shared" si="26"/>
        <v>2.5465851649641991E-11</v>
      </c>
      <c r="N120" s="9">
        <f t="shared" si="26"/>
        <v>1.8317791727895383E-11</v>
      </c>
      <c r="O120" s="9">
        <f t="shared" si="26"/>
        <v>1.1796998933277791E-9</v>
      </c>
      <c r="P120" s="10">
        <f t="shared" si="26"/>
        <v>-3.5328184821992181E-11</v>
      </c>
    </row>
    <row r="121" spans="8:16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P121" si="27">$M$88/1000*K24*1000</f>
        <v>1202926.4978983165</v>
      </c>
      <c r="L121" s="202">
        <f t="shared" si="27"/>
        <v>774319.00195021939</v>
      </c>
      <c r="M121" s="202">
        <f t="shared" si="27"/>
        <v>387159.50097497174</v>
      </c>
      <c r="N121" s="202">
        <f t="shared" si="27"/>
        <v>193579.75048757376</v>
      </c>
      <c r="O121" s="202">
        <f t="shared" si="27"/>
        <v>38715.950097450987</v>
      </c>
      <c r="P121" s="203">
        <f t="shared" si="27"/>
        <v>-4.6638888306915766E-10</v>
      </c>
    </row>
    <row r="122" spans="8:16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P123" si="28">K116/1000*K22*1000</f>
        <v>0</v>
      </c>
      <c r="L122" s="31">
        <f t="shared" si="28"/>
        <v>9678.7536665015341</v>
      </c>
      <c r="M122" s="31">
        <f t="shared" si="28"/>
        <v>90284.112283801311</v>
      </c>
      <c r="N122" s="31">
        <f t="shared" si="28"/>
        <v>109400.58895380597</v>
      </c>
      <c r="O122" s="31">
        <f t="shared" si="28"/>
        <v>232694.2633571981</v>
      </c>
      <c r="P122" s="62">
        <f t="shared" si="28"/>
        <v>0</v>
      </c>
    </row>
    <row r="123" spans="8:16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28"/>
        <v>38652.762982180473</v>
      </c>
      <c r="L123" s="31">
        <f t="shared" si="28"/>
        <v>47379.482914919208</v>
      </c>
      <c r="M123" s="31">
        <f t="shared" si="28"/>
        <v>55148.62141271319</v>
      </c>
      <c r="N123" s="31">
        <f t="shared" si="28"/>
        <v>70425.944476753517</v>
      </c>
      <c r="O123" s="31">
        <f t="shared" si="28"/>
        <v>98978.574921151172</v>
      </c>
      <c r="P123" s="62">
        <f t="shared" si="28"/>
        <v>292939.81446176372</v>
      </c>
    </row>
    <row r="124" spans="8:16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P124" si="29">K118/1000*(-K26)*1000</f>
        <v>0</v>
      </c>
      <c r="L124" s="31">
        <f t="shared" si="29"/>
        <v>0</v>
      </c>
      <c r="M124" s="31">
        <f t="shared" si="29"/>
        <v>0</v>
      </c>
      <c r="N124" s="31">
        <f t="shared" si="29"/>
        <v>11390.262535120884</v>
      </c>
      <c r="O124" s="31">
        <f t="shared" si="29"/>
        <v>92425.799173474181</v>
      </c>
      <c r="P124" s="62">
        <f t="shared" si="29"/>
        <v>513631.32373199071</v>
      </c>
    </row>
    <row r="125" spans="8:16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62">
        <f>'[3]100SP'!$C$174</f>
        <v>1630310.3764794073</v>
      </c>
    </row>
    <row r="126" spans="8:16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8">
        <f>'[3]100SP'!$C$175</f>
        <v>5111323.9103376018</v>
      </c>
    </row>
    <row r="127" spans="8:16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8">
        <f>'[3]100SP'!$C$176</f>
        <v>542342.85007914237</v>
      </c>
    </row>
    <row r="128" spans="8:16" ht="18" x14ac:dyDescent="0.25">
      <c r="H128" s="209" t="s">
        <v>98</v>
      </c>
      <c r="I128" s="210" t="s">
        <v>108</v>
      </c>
      <c r="J128" s="211">
        <f t="shared" ref="J128:P128" si="30">J121/J127</f>
        <v>0</v>
      </c>
      <c r="K128" s="211">
        <f t="shared" si="30"/>
        <v>2.2180185425563264</v>
      </c>
      <c r="L128" s="211">
        <f t="shared" si="30"/>
        <v>1.427729713477865</v>
      </c>
      <c r="M128" s="211">
        <f t="shared" si="30"/>
        <v>0.71386485673858491</v>
      </c>
      <c r="N128" s="211">
        <f t="shared" si="30"/>
        <v>0.35693242836948158</v>
      </c>
      <c r="O128" s="211">
        <f t="shared" si="30"/>
        <v>7.1386485673778893E-2</v>
      </c>
      <c r="P128" s="212">
        <f t="shared" si="30"/>
        <v>-8.5995211885083212E-16</v>
      </c>
    </row>
    <row r="129" spans="8:16" ht="18" x14ac:dyDescent="0.25">
      <c r="H129" s="213" t="s">
        <v>89</v>
      </c>
      <c r="I129" s="214" t="s">
        <v>109</v>
      </c>
      <c r="J129" s="215">
        <f t="shared" ref="J129:P129" si="31">J122/J127</f>
        <v>0</v>
      </c>
      <c r="K129" s="215">
        <f t="shared" si="31"/>
        <v>0</v>
      </c>
      <c r="L129" s="215">
        <f t="shared" si="31"/>
        <v>1.7846190219138473E-2</v>
      </c>
      <c r="M129" s="215">
        <f t="shared" si="31"/>
        <v>0.16647054952530432</v>
      </c>
      <c r="N129" s="215">
        <f t="shared" si="31"/>
        <v>0.20171850507080827</v>
      </c>
      <c r="O129" s="215">
        <f t="shared" si="31"/>
        <v>0.429053804845482</v>
      </c>
      <c r="P129" s="216">
        <f t="shared" si="31"/>
        <v>0</v>
      </c>
    </row>
    <row r="130" spans="8:16" ht="18" x14ac:dyDescent="0.25">
      <c r="H130" s="213" t="s">
        <v>90</v>
      </c>
      <c r="I130" s="214" t="s">
        <v>109</v>
      </c>
      <c r="J130" s="215">
        <f t="shared" ref="J130:P130" si="32">J123/J127</f>
        <v>0</v>
      </c>
      <c r="K130" s="215">
        <f t="shared" si="32"/>
        <v>7.1269977978952168E-2</v>
      </c>
      <c r="L130" s="215">
        <f t="shared" si="32"/>
        <v>8.7360758804154823E-2</v>
      </c>
      <c r="M130" s="215">
        <f t="shared" si="32"/>
        <v>0.10168590109496495</v>
      </c>
      <c r="N130" s="215">
        <f t="shared" si="32"/>
        <v>0.12985502522339246</v>
      </c>
      <c r="O130" s="215">
        <f t="shared" si="32"/>
        <v>0.18250185266885671</v>
      </c>
      <c r="P130" s="216">
        <f t="shared" si="32"/>
        <v>0.5401376904277726</v>
      </c>
    </row>
    <row r="131" spans="8:16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P131" si="33">K124/K127</f>
        <v>0</v>
      </c>
      <c r="L131" s="215">
        <f t="shared" si="33"/>
        <v>0</v>
      </c>
      <c r="M131" s="215">
        <f t="shared" si="33"/>
        <v>0</v>
      </c>
      <c r="N131" s="215">
        <f t="shared" si="33"/>
        <v>2.1001959431121386E-2</v>
      </c>
      <c r="O131" s="215">
        <f t="shared" si="33"/>
        <v>0.17041950338238454</v>
      </c>
      <c r="P131" s="216">
        <f t="shared" si="33"/>
        <v>0.94706019201145197</v>
      </c>
    </row>
    <row r="132" spans="8:16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P132" si="34">-K126/K127</f>
        <v>-9.4245252972192066</v>
      </c>
      <c r="L132" s="215">
        <f t="shared" si="34"/>
        <v>-9.4245252972192066</v>
      </c>
      <c r="M132" s="215">
        <f t="shared" si="34"/>
        <v>-9.4245252972203968</v>
      </c>
      <c r="N132" s="215">
        <f t="shared" si="34"/>
        <v>-9.4245252972200717</v>
      </c>
      <c r="O132" s="215">
        <f t="shared" si="34"/>
        <v>-9.4245252972199971</v>
      </c>
      <c r="P132" s="216">
        <f t="shared" si="34"/>
        <v>-9.4245252972206099</v>
      </c>
    </row>
    <row r="133" spans="8:16" ht="18" x14ac:dyDescent="0.25">
      <c r="H133" s="217" t="s">
        <v>101</v>
      </c>
      <c r="I133" s="218" t="s">
        <v>108</v>
      </c>
      <c r="J133" s="219">
        <f t="shared" ref="J133:P133" si="35">SUM(J128:J132)</f>
        <v>-9.4245252972192066</v>
      </c>
      <c r="K133" s="219">
        <f t="shared" si="35"/>
        <v>-7.1352367766839286</v>
      </c>
      <c r="L133" s="219">
        <f t="shared" si="35"/>
        <v>-7.8915886347180484</v>
      </c>
      <c r="M133" s="219">
        <f t="shared" si="35"/>
        <v>-8.4425039898615424</v>
      </c>
      <c r="N133" s="219">
        <f t="shared" si="35"/>
        <v>-8.7150173791252676</v>
      </c>
      <c r="O133" s="219">
        <f t="shared" si="35"/>
        <v>-8.5711636506494955</v>
      </c>
      <c r="P133" s="220">
        <f t="shared" si="35"/>
        <v>-7.9373274147813859</v>
      </c>
    </row>
    <row r="134" spans="8:16" x14ac:dyDescent="0.25">
      <c r="J134" s="31"/>
      <c r="K134" s="31"/>
      <c r="L134" s="31"/>
      <c r="M134" s="31"/>
      <c r="N134" s="31"/>
    </row>
    <row r="136" spans="8:16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P136" si="36">SUM(K106:K108)</f>
        <v>4.166552558769511E-2</v>
      </c>
      <c r="L136" s="366">
        <f t="shared" si="36"/>
        <v>5.6426300674324366E-2</v>
      </c>
      <c r="M136" s="366">
        <f t="shared" si="36"/>
        <v>0.1093883070361862</v>
      </c>
      <c r="N136" s="366">
        <f t="shared" si="36"/>
        <v>0.14749100052385181</v>
      </c>
      <c r="O136" s="366">
        <f t="shared" si="36"/>
        <v>0.32515708136320243</v>
      </c>
      <c r="P136" s="367">
        <f t="shared" si="36"/>
        <v>0.8145204787176521</v>
      </c>
    </row>
    <row r="137" spans="8:16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P137" si="37">SUM(K129:K131)</f>
        <v>7.1269977978952168E-2</v>
      </c>
      <c r="L137" s="289">
        <f t="shared" si="37"/>
        <v>0.10520694902329329</v>
      </c>
      <c r="M137" s="289">
        <f t="shared" si="37"/>
        <v>0.26815645062026927</v>
      </c>
      <c r="N137" s="289">
        <f t="shared" si="37"/>
        <v>0.3525754897253221</v>
      </c>
      <c r="O137" s="289">
        <f t="shared" si="37"/>
        <v>0.78197516089672325</v>
      </c>
      <c r="P137" s="370">
        <f t="shared" si="37"/>
        <v>1.4871978824392245</v>
      </c>
    </row>
    <row r="138" spans="8:16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P138" si="38">K128</f>
        <v>2.2180185425563264</v>
      </c>
      <c r="L138" s="289">
        <f t="shared" si="38"/>
        <v>1.427729713477865</v>
      </c>
      <c r="M138" s="289">
        <f t="shared" si="38"/>
        <v>0.71386485673858491</v>
      </c>
      <c r="N138" s="289">
        <f t="shared" si="38"/>
        <v>0.35693242836948158</v>
      </c>
      <c r="O138" s="289">
        <f t="shared" si="38"/>
        <v>7.1386485673778893E-2</v>
      </c>
      <c r="P138" s="370">
        <f t="shared" si="38"/>
        <v>-8.5995211885083212E-16</v>
      </c>
    </row>
    <row r="139" spans="8:16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P139" si="39">K132</f>
        <v>-9.4245252972192066</v>
      </c>
      <c r="L139" s="289">
        <f t="shared" si="39"/>
        <v>-9.4245252972192066</v>
      </c>
      <c r="M139" s="289">
        <f t="shared" si="39"/>
        <v>-9.4245252972203968</v>
      </c>
      <c r="N139" s="289">
        <f t="shared" si="39"/>
        <v>-9.4245252972200717</v>
      </c>
      <c r="O139" s="289">
        <f t="shared" si="39"/>
        <v>-9.4245252972199971</v>
      </c>
      <c r="P139" s="370">
        <f t="shared" si="39"/>
        <v>-9.4245252972206099</v>
      </c>
    </row>
    <row r="140" spans="8:16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P140" si="40">K136+K138+K139</f>
        <v>-7.1648412290751846</v>
      </c>
      <c r="L140" s="289">
        <f t="shared" si="40"/>
        <v>-7.9403692830670174</v>
      </c>
      <c r="M140" s="289">
        <f t="shared" si="40"/>
        <v>-8.6012721334456259</v>
      </c>
      <c r="N140" s="289">
        <f t="shared" si="40"/>
        <v>-8.9201018683267392</v>
      </c>
      <c r="O140" s="289">
        <f t="shared" si="40"/>
        <v>-9.027981730183015</v>
      </c>
      <c r="P140" s="370">
        <f t="shared" si="40"/>
        <v>-8.6100048185029578</v>
      </c>
    </row>
    <row r="141" spans="8:16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P141" si="41">K137+K138+K139</f>
        <v>-7.1352367766839286</v>
      </c>
      <c r="L141" s="374">
        <f t="shared" si="41"/>
        <v>-7.8915886347180484</v>
      </c>
      <c r="M141" s="374">
        <f t="shared" si="41"/>
        <v>-8.4425039898615424</v>
      </c>
      <c r="N141" s="374">
        <f t="shared" si="41"/>
        <v>-8.7150173791252676</v>
      </c>
      <c r="O141" s="374">
        <f t="shared" si="41"/>
        <v>-8.5711636506494955</v>
      </c>
      <c r="P141" s="375">
        <f t="shared" si="41"/>
        <v>-7.9373274147813859</v>
      </c>
    </row>
    <row r="142" spans="8:16" x14ac:dyDescent="0.25">
      <c r="H142" s="376" t="s">
        <v>196</v>
      </c>
      <c r="I142" s="377"/>
      <c r="J142" s="378">
        <f>J140-J110</f>
        <v>0</v>
      </c>
      <c r="K142" s="378">
        <f t="shared" ref="K142:P142" si="42">K140-K110</f>
        <v>0</v>
      </c>
      <c r="L142" s="378">
        <f t="shared" si="42"/>
        <v>0</v>
      </c>
      <c r="M142" s="378">
        <f t="shared" si="42"/>
        <v>0</v>
      </c>
      <c r="N142" s="378">
        <f t="shared" si="42"/>
        <v>0</v>
      </c>
      <c r="O142" s="378">
        <f t="shared" si="42"/>
        <v>0</v>
      </c>
      <c r="P142" s="379">
        <f t="shared" si="42"/>
        <v>0</v>
      </c>
    </row>
    <row r="143" spans="8:16" x14ac:dyDescent="0.25">
      <c r="H143" s="380" t="s">
        <v>197</v>
      </c>
      <c r="I143" s="381"/>
      <c r="J143" s="382">
        <f>J141-J133</f>
        <v>0</v>
      </c>
      <c r="K143" s="382">
        <f t="shared" ref="K143:P143" si="43">K141-K133</f>
        <v>0</v>
      </c>
      <c r="L143" s="382">
        <f t="shared" si="43"/>
        <v>0</v>
      </c>
      <c r="M143" s="382">
        <f t="shared" si="43"/>
        <v>0</v>
      </c>
      <c r="N143" s="382">
        <f t="shared" si="43"/>
        <v>0</v>
      </c>
      <c r="O143" s="382">
        <f t="shared" si="43"/>
        <v>0</v>
      </c>
      <c r="P143" s="383">
        <f t="shared" si="43"/>
        <v>0</v>
      </c>
    </row>
    <row r="144" spans="8:16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58792-300C-4EE8-840D-4449A143A567}">
  <sheetPr codeName="Foglio10"/>
  <dimension ref="A3:AA151"/>
  <sheetViews>
    <sheetView topLeftCell="A69" zoomScale="40" zoomScaleNormal="40" workbookViewId="0">
      <selection activeCell="BI92" sqref="BI92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6" x14ac:dyDescent="0.25">
      <c r="U3" s="1"/>
      <c r="V3" s="1"/>
      <c r="W3" s="2"/>
    </row>
    <row r="4" spans="1:26" x14ac:dyDescent="0.25">
      <c r="A4" s="225" t="s">
        <v>102</v>
      </c>
      <c r="B4" s="225" t="s">
        <v>150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6" ht="30.75" thickBot="1" x14ac:dyDescent="0.3">
      <c r="H5" s="7" t="s">
        <v>1</v>
      </c>
      <c r="I5" s="8" t="s">
        <v>2</v>
      </c>
      <c r="J5" s="9">
        <v>0.31091455915221666</v>
      </c>
      <c r="K5" s="9">
        <v>0.40000000000003094</v>
      </c>
      <c r="L5" s="9">
        <v>0.59999999999983189</v>
      </c>
      <c r="M5" s="9">
        <v>0.80000000000017357</v>
      </c>
      <c r="N5" s="9">
        <v>0.89999999999980262</v>
      </c>
      <c r="O5" s="9">
        <v>0.95000000000054419</v>
      </c>
      <c r="P5" s="9">
        <v>0.98999999999959887</v>
      </c>
      <c r="Q5" s="10">
        <v>1.0000000000001812</v>
      </c>
      <c r="R5" s="11" t="str">
        <f>H5</f>
        <v>Renewable Energy Share</v>
      </c>
      <c r="S5" s="296"/>
      <c r="T5" s="296">
        <f>J5</f>
        <v>0.31091455915221666</v>
      </c>
      <c r="U5" s="296">
        <f t="shared" ref="U5:Y13" si="0">K5</f>
        <v>0.40000000000003094</v>
      </c>
      <c r="V5" s="296">
        <f t="shared" si="0"/>
        <v>0.59999999999983189</v>
      </c>
      <c r="W5" s="296">
        <f t="shared" si="0"/>
        <v>0.80000000000017357</v>
      </c>
      <c r="X5" s="296">
        <f t="shared" si="0"/>
        <v>0.89999999999980262</v>
      </c>
      <c r="Y5" s="296">
        <f t="shared" si="0"/>
        <v>0.95000000000054419</v>
      </c>
      <c r="Z5" s="296">
        <f t="shared" ref="Z5:Z13" si="1">Q5</f>
        <v>1.0000000000001812</v>
      </c>
    </row>
    <row r="6" spans="1:26" ht="15.75" thickTop="1" x14ac:dyDescent="0.25">
      <c r="C6" s="13"/>
      <c r="H6" s="14" t="s">
        <v>3</v>
      </c>
      <c r="I6" s="15" t="s">
        <v>4</v>
      </c>
      <c r="J6" s="16">
        <v>2.7612326668534277</v>
      </c>
      <c r="K6" s="16">
        <v>3.2560821368813393</v>
      </c>
      <c r="L6" s="16">
        <v>3.5472677091949487</v>
      </c>
      <c r="M6" s="16">
        <v>5.4162726913011836</v>
      </c>
      <c r="N6" s="16">
        <v>6.3702842099781911</v>
      </c>
      <c r="O6" s="16">
        <v>7.3948787444882615</v>
      </c>
      <c r="P6" s="16">
        <v>9.0997014534004386</v>
      </c>
      <c r="Q6" s="17">
        <v>6.6824098506827614</v>
      </c>
      <c r="R6" s="18" t="str">
        <f>H6</f>
        <v>PV capacity</v>
      </c>
      <c r="S6" s="19" t="str">
        <f t="shared" ref="S6:S13" si="2">I6</f>
        <v>MW</v>
      </c>
      <c r="T6" s="19">
        <f>J6</f>
        <v>2.7612326668534277</v>
      </c>
      <c r="U6" s="19">
        <f t="shared" si="0"/>
        <v>3.2560821368813393</v>
      </c>
      <c r="V6" s="19">
        <f t="shared" si="0"/>
        <v>3.5472677091949487</v>
      </c>
      <c r="W6" s="19">
        <f t="shared" si="0"/>
        <v>5.4162726913011836</v>
      </c>
      <c r="X6" s="19">
        <f t="shared" si="0"/>
        <v>6.3702842099781911</v>
      </c>
      <c r="Y6" s="19">
        <f t="shared" si="0"/>
        <v>7.3948787444882615</v>
      </c>
      <c r="Z6" s="19">
        <f t="shared" si="1"/>
        <v>6.6824098506827614</v>
      </c>
    </row>
    <row r="7" spans="1:26" x14ac:dyDescent="0.25">
      <c r="A7" s="13"/>
      <c r="B7" s="20"/>
      <c r="C7" s="13"/>
      <c r="H7" s="21" t="s">
        <v>5</v>
      </c>
      <c r="I7" s="6" t="s">
        <v>4</v>
      </c>
      <c r="J7" s="22">
        <v>0</v>
      </c>
      <c r="K7" s="22">
        <v>5.7144190146384957E-2</v>
      </c>
      <c r="L7" s="22">
        <v>1.2025245785952841</v>
      </c>
      <c r="M7" s="22">
        <v>1.0376367111436349</v>
      </c>
      <c r="N7" s="22">
        <v>1.9552193992311271</v>
      </c>
      <c r="O7" s="22">
        <v>2.7100891008454706</v>
      </c>
      <c r="P7" s="22">
        <v>4.5509847047757601</v>
      </c>
      <c r="Q7" s="23">
        <v>11.642484190162026</v>
      </c>
      <c r="R7" s="24" t="str">
        <f t="shared" ref="R7:R13" si="3">H7</f>
        <v>Wind capacity</v>
      </c>
      <c r="S7" s="22" t="str">
        <f t="shared" si="2"/>
        <v>MW</v>
      </c>
      <c r="T7" s="22">
        <f>J7</f>
        <v>0</v>
      </c>
      <c r="U7" s="22">
        <f t="shared" si="0"/>
        <v>5.7144190146384957E-2</v>
      </c>
      <c r="V7" s="22">
        <f t="shared" si="0"/>
        <v>1.2025245785952841</v>
      </c>
      <c r="W7" s="22">
        <f t="shared" si="0"/>
        <v>1.0376367111436349</v>
      </c>
      <c r="X7" s="22">
        <f t="shared" si="0"/>
        <v>1.9552193992311271</v>
      </c>
      <c r="Y7" s="22">
        <f t="shared" si="0"/>
        <v>2.7100891008454706</v>
      </c>
      <c r="Z7" s="22">
        <f t="shared" si="1"/>
        <v>11.642484190162026</v>
      </c>
    </row>
    <row r="8" spans="1:26" x14ac:dyDescent="0.25">
      <c r="A8" s="13"/>
      <c r="B8" s="20"/>
      <c r="C8" s="13"/>
      <c r="H8" s="21" t="s">
        <v>6</v>
      </c>
      <c r="I8" s="6" t="s">
        <v>7</v>
      </c>
      <c r="J8" s="22">
        <v>0</v>
      </c>
      <c r="K8" s="22">
        <v>2.9522754534432711</v>
      </c>
      <c r="L8" s="22">
        <v>6.4184199790545655</v>
      </c>
      <c r="M8" s="22">
        <v>14.829986639219863</v>
      </c>
      <c r="N8" s="22">
        <v>16.762624498360662</v>
      </c>
      <c r="O8" s="22">
        <v>18.94010850568187</v>
      </c>
      <c r="P8" s="22">
        <v>30.540552077649032</v>
      </c>
      <c r="Q8" s="23">
        <v>34.135876139654684</v>
      </c>
      <c r="R8" s="24" t="s">
        <v>6</v>
      </c>
      <c r="S8" s="22" t="str">
        <f t="shared" si="2"/>
        <v>MWh</v>
      </c>
      <c r="T8" s="22">
        <f>J8</f>
        <v>0</v>
      </c>
      <c r="U8" s="22">
        <f t="shared" si="0"/>
        <v>2.9522754534432711</v>
      </c>
      <c r="V8" s="22">
        <f t="shared" si="0"/>
        <v>6.4184199790545655</v>
      </c>
      <c r="W8" s="22">
        <f t="shared" si="0"/>
        <v>14.829986639219863</v>
      </c>
      <c r="X8" s="22">
        <f t="shared" si="0"/>
        <v>16.762624498360662</v>
      </c>
      <c r="Y8" s="22">
        <f t="shared" si="0"/>
        <v>18.94010850568187</v>
      </c>
      <c r="Z8" s="22">
        <f t="shared" si="1"/>
        <v>34.135876139654684</v>
      </c>
    </row>
    <row r="9" spans="1:26" ht="15.75" thickBot="1" x14ac:dyDescent="0.3">
      <c r="A9" s="13"/>
      <c r="B9" s="20"/>
      <c r="C9" s="13"/>
      <c r="H9" s="25" t="s">
        <v>8</v>
      </c>
      <c r="I9" s="26" t="s">
        <v>9</v>
      </c>
      <c r="J9" s="27">
        <v>0</v>
      </c>
      <c r="K9" s="27">
        <v>233</v>
      </c>
      <c r="L9" s="27">
        <v>231</v>
      </c>
      <c r="M9" s="27">
        <v>230</v>
      </c>
      <c r="N9" s="27">
        <v>210</v>
      </c>
      <c r="O9" s="27">
        <v>180</v>
      </c>
      <c r="P9" s="27">
        <v>90</v>
      </c>
      <c r="Q9" s="28">
        <v>35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 t="s">
        <v>9</v>
      </c>
      <c r="V9" s="29" t="s">
        <v>9</v>
      </c>
      <c r="W9" s="29">
        <f t="shared" si="0"/>
        <v>230</v>
      </c>
      <c r="X9" s="29">
        <f t="shared" si="0"/>
        <v>210</v>
      </c>
      <c r="Y9" s="29">
        <f t="shared" si="0"/>
        <v>180</v>
      </c>
      <c r="Z9" s="29">
        <f t="shared" si="1"/>
        <v>35</v>
      </c>
    </row>
    <row r="10" spans="1:26" ht="15.75" thickTop="1" x14ac:dyDescent="0.25">
      <c r="A10" s="13"/>
      <c r="B10" s="20"/>
      <c r="C10" s="13"/>
      <c r="H10" s="14" t="s">
        <v>10</v>
      </c>
      <c r="I10" s="15" t="s">
        <v>18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7">
        <v>0</v>
      </c>
      <c r="R10" s="18" t="str">
        <f t="shared" si="3"/>
        <v>Biogas storage size</v>
      </c>
      <c r="S10" s="19" t="str">
        <f>I10</f>
        <v>m3</v>
      </c>
      <c r="T10" s="19">
        <f>J10</f>
        <v>0</v>
      </c>
      <c r="U10" s="30">
        <f t="shared" ref="U10:V13" si="4">K10</f>
        <v>0</v>
      </c>
      <c r="V10" s="30">
        <f t="shared" si="4"/>
        <v>0</v>
      </c>
      <c r="W10" s="30">
        <f t="shared" si="0"/>
        <v>0</v>
      </c>
      <c r="X10" s="30">
        <f t="shared" si="0"/>
        <v>0</v>
      </c>
      <c r="Y10" s="30">
        <f t="shared" si="0"/>
        <v>0</v>
      </c>
      <c r="Z10" s="30">
        <f t="shared" si="1"/>
        <v>0</v>
      </c>
    </row>
    <row r="11" spans="1:26" x14ac:dyDescent="0.25">
      <c r="H11" s="21" t="s">
        <v>11</v>
      </c>
      <c r="I11" s="6" t="s">
        <v>12</v>
      </c>
      <c r="J11" s="22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3">
        <v>0</v>
      </c>
      <c r="R11" s="24" t="str">
        <f t="shared" si="3"/>
        <v>Biogas storage hours</v>
      </c>
      <c r="S11" s="22" t="str">
        <f t="shared" si="2"/>
        <v>h</v>
      </c>
      <c r="T11" s="22">
        <f>J11</f>
        <v>0</v>
      </c>
      <c r="U11" s="22">
        <f t="shared" si="4"/>
        <v>0</v>
      </c>
      <c r="V11" s="22">
        <f t="shared" si="4"/>
        <v>0</v>
      </c>
      <c r="W11" s="22">
        <f t="shared" si="0"/>
        <v>0</v>
      </c>
      <c r="X11" s="22">
        <f t="shared" si="0"/>
        <v>0</v>
      </c>
      <c r="Y11" s="22">
        <f t="shared" si="0"/>
        <v>0</v>
      </c>
      <c r="Z11" s="22">
        <f t="shared" si="1"/>
        <v>0</v>
      </c>
    </row>
    <row r="12" spans="1:26" x14ac:dyDescent="0.25">
      <c r="H12" s="21" t="s">
        <v>13</v>
      </c>
      <c r="I12" s="6" t="s">
        <v>18</v>
      </c>
      <c r="J12" s="22">
        <v>0</v>
      </c>
      <c r="K12" s="22">
        <v>0</v>
      </c>
      <c r="L12" s="22">
        <v>0</v>
      </c>
      <c r="M12" s="22">
        <v>-1.1368683772161603E-13</v>
      </c>
      <c r="N12" s="22">
        <v>0</v>
      </c>
      <c r="O12" s="22">
        <v>0</v>
      </c>
      <c r="P12" s="22">
        <v>0</v>
      </c>
      <c r="Q12" s="23">
        <v>0</v>
      </c>
      <c r="R12" s="24" t="str">
        <f t="shared" si="3"/>
        <v>Syngas storage size</v>
      </c>
      <c r="S12" s="22" t="str">
        <f t="shared" si="2"/>
        <v>m3</v>
      </c>
      <c r="T12" s="22">
        <f>J12</f>
        <v>0</v>
      </c>
      <c r="U12" s="31">
        <f t="shared" si="4"/>
        <v>0</v>
      </c>
      <c r="V12" s="31">
        <f t="shared" si="4"/>
        <v>0</v>
      </c>
      <c r="W12" s="31">
        <f t="shared" si="0"/>
        <v>-1.1368683772161603E-13</v>
      </c>
      <c r="X12" s="31">
        <f t="shared" si="0"/>
        <v>0</v>
      </c>
      <c r="Y12" s="31">
        <f t="shared" si="0"/>
        <v>0</v>
      </c>
      <c r="Z12" s="31">
        <f t="shared" si="1"/>
        <v>0</v>
      </c>
    </row>
    <row r="13" spans="1:26" x14ac:dyDescent="0.25">
      <c r="H13" s="32" t="s">
        <v>14</v>
      </c>
      <c r="I13" s="26" t="s">
        <v>12</v>
      </c>
      <c r="J13" s="33">
        <v>0</v>
      </c>
      <c r="K13" s="33">
        <v>0</v>
      </c>
      <c r="L13" s="33">
        <v>0</v>
      </c>
      <c r="M13" s="33">
        <v>-5.6303535048259111E-16</v>
      </c>
      <c r="N13" s="33">
        <v>0</v>
      </c>
      <c r="O13" s="33">
        <v>0</v>
      </c>
      <c r="P13" s="33">
        <v>0</v>
      </c>
      <c r="Q13" s="34">
        <v>0</v>
      </c>
      <c r="R13" s="24" t="str">
        <f t="shared" si="3"/>
        <v>Syngas storage hours</v>
      </c>
      <c r="S13" s="22" t="str">
        <f t="shared" si="2"/>
        <v>h</v>
      </c>
      <c r="T13" s="22">
        <f>J13</f>
        <v>0</v>
      </c>
      <c r="U13" s="22">
        <f t="shared" si="4"/>
        <v>0</v>
      </c>
      <c r="V13" s="22">
        <f t="shared" si="4"/>
        <v>0</v>
      </c>
      <c r="W13" s="22">
        <f t="shared" si="0"/>
        <v>-5.6303535048259111E-16</v>
      </c>
      <c r="X13" s="22">
        <f t="shared" si="0"/>
        <v>0</v>
      </c>
      <c r="Y13" s="22">
        <f t="shared" si="0"/>
        <v>0</v>
      </c>
      <c r="Z13" s="22">
        <f t="shared" si="1"/>
        <v>0</v>
      </c>
    </row>
    <row r="14" spans="1:26" x14ac:dyDescent="0.25">
      <c r="H14" s="25" t="s">
        <v>15</v>
      </c>
      <c r="I14" s="26" t="s">
        <v>16</v>
      </c>
      <c r="J14" s="35">
        <v>3.8321074142246476</v>
      </c>
      <c r="K14" s="35">
        <v>3.8510543893577016</v>
      </c>
      <c r="L14" s="35">
        <v>3.9204803102926222</v>
      </c>
      <c r="M14" s="35">
        <v>4.0264535050690675</v>
      </c>
      <c r="N14" s="35">
        <v>4.1773457230206557</v>
      </c>
      <c r="O14" s="35">
        <v>4.3756724929727531</v>
      </c>
      <c r="P14" s="35">
        <v>5.0962420388076834</v>
      </c>
      <c r="Q14" s="36">
        <v>6.4673448919778114</v>
      </c>
      <c r="R14" s="37" t="s">
        <v>17</v>
      </c>
      <c r="S14" s="6" t="s">
        <v>18</v>
      </c>
      <c r="T14" s="22">
        <f>[9]NoSP!$F$112</f>
        <v>0</v>
      </c>
      <c r="U14" s="31">
        <f>'[9]40SP'!$F$112</f>
        <v>0</v>
      </c>
      <c r="V14" s="31">
        <f>'[9]60SP'!$F$112</f>
        <v>0</v>
      </c>
      <c r="W14" s="31">
        <f>'[9]80SP'!$F$112</f>
        <v>0</v>
      </c>
      <c r="X14" s="31">
        <f>'[9]90SP'!$F$112</f>
        <v>0</v>
      </c>
      <c r="Y14" s="31">
        <f>'[9]95SP'!$F$112</f>
        <v>0</v>
      </c>
      <c r="Z14" s="31">
        <f>'[9]100SP'!$F$112</f>
        <v>0</v>
      </c>
    </row>
    <row r="15" spans="1:26" ht="15.75" thickBot="1" x14ac:dyDescent="0.3">
      <c r="H15" s="14" t="s">
        <v>19</v>
      </c>
      <c r="I15" s="15" t="s">
        <v>2</v>
      </c>
      <c r="J15" s="38">
        <v>1</v>
      </c>
      <c r="K15" s="38">
        <v>1</v>
      </c>
      <c r="L15" s="38">
        <v>1</v>
      </c>
      <c r="M15" s="38">
        <v>1</v>
      </c>
      <c r="N15" s="38">
        <v>1</v>
      </c>
      <c r="O15" s="38">
        <v>1</v>
      </c>
      <c r="P15" s="38">
        <v>1</v>
      </c>
      <c r="Q15" s="39">
        <v>1</v>
      </c>
      <c r="R15" s="40" t="s">
        <v>20</v>
      </c>
      <c r="S15" s="41" t="s">
        <v>12</v>
      </c>
      <c r="T15" s="41">
        <f>[9]NoSP!$B$169</f>
        <v>0</v>
      </c>
      <c r="U15" s="41">
        <f>'[9]40SP'!$B$169</f>
        <v>0</v>
      </c>
      <c r="V15" s="41">
        <f>'[9]60SP'!$B$169</f>
        <v>0</v>
      </c>
      <c r="W15" s="41">
        <f>'[9]80SP'!$B$169</f>
        <v>0</v>
      </c>
      <c r="X15" s="41">
        <f>'[9]90SP'!$B$169</f>
        <v>0</v>
      </c>
      <c r="Y15" s="41">
        <f>'[9]95SP'!$B$169</f>
        <v>0</v>
      </c>
      <c r="Z15" s="41">
        <f>'[9]100SP'!$B$169</f>
        <v>0</v>
      </c>
    </row>
    <row r="16" spans="1:26" ht="15.75" thickTop="1" x14ac:dyDescent="0.25">
      <c r="H16" s="25" t="s">
        <v>21</v>
      </c>
      <c r="I16" s="26" t="s">
        <v>2</v>
      </c>
      <c r="J16" s="42">
        <v>1</v>
      </c>
      <c r="K16" s="42">
        <v>1</v>
      </c>
      <c r="L16" s="42">
        <v>1</v>
      </c>
      <c r="M16" s="42">
        <v>1.0000000000000007</v>
      </c>
      <c r="N16" s="42">
        <v>1</v>
      </c>
      <c r="O16" s="42">
        <v>1</v>
      </c>
      <c r="P16" s="42">
        <v>1</v>
      </c>
      <c r="Q16" s="43">
        <v>1</v>
      </c>
      <c r="R16" s="37" t="str">
        <f>H15</f>
        <v>Syngas generation size</v>
      </c>
      <c r="S16" s="6" t="s">
        <v>2</v>
      </c>
      <c r="T16" s="297">
        <f>J15</f>
        <v>1</v>
      </c>
      <c r="U16" s="297">
        <f t="shared" ref="U16:Y17" si="5">K15</f>
        <v>1</v>
      </c>
      <c r="V16" s="297">
        <f t="shared" si="5"/>
        <v>1</v>
      </c>
      <c r="W16" s="297">
        <f t="shared" si="5"/>
        <v>1</v>
      </c>
      <c r="X16" s="297">
        <f t="shared" si="5"/>
        <v>1</v>
      </c>
      <c r="Y16" s="297">
        <f t="shared" si="5"/>
        <v>1</v>
      </c>
      <c r="Z16" s="297">
        <f>Q15</f>
        <v>1</v>
      </c>
    </row>
    <row r="17" spans="2:26" ht="15.75" thickBot="1" x14ac:dyDescent="0.3">
      <c r="R17" s="40" t="str">
        <f>H16</f>
        <v>Gas Separation size</v>
      </c>
      <c r="S17" s="45" t="s">
        <v>2</v>
      </c>
      <c r="T17" s="298">
        <f>J16</f>
        <v>1</v>
      </c>
      <c r="U17" s="298">
        <f t="shared" si="5"/>
        <v>1</v>
      </c>
      <c r="V17" s="298">
        <f t="shared" si="5"/>
        <v>1</v>
      </c>
      <c r="W17" s="298">
        <f t="shared" si="5"/>
        <v>1.0000000000000007</v>
      </c>
      <c r="X17" s="298">
        <f t="shared" si="5"/>
        <v>1</v>
      </c>
      <c r="Y17" s="298">
        <f t="shared" si="5"/>
        <v>1</v>
      </c>
      <c r="Z17" s="298">
        <f>Q16</f>
        <v>1</v>
      </c>
    </row>
    <row r="18" spans="2:26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6" x14ac:dyDescent="0.25">
      <c r="H19" s="50" t="s">
        <v>1</v>
      </c>
      <c r="I19" s="8" t="s">
        <v>2</v>
      </c>
      <c r="J19" s="9">
        <v>0.31091455915221666</v>
      </c>
      <c r="K19" s="9">
        <v>0.40000000000003094</v>
      </c>
      <c r="L19" s="9">
        <v>0.59999999999983189</v>
      </c>
      <c r="M19" s="9">
        <v>0.80000000000017357</v>
      </c>
      <c r="N19" s="9">
        <v>0.89999999999980262</v>
      </c>
      <c r="O19" s="9">
        <v>0.95000000000054419</v>
      </c>
      <c r="P19" s="9">
        <v>0.98999999999959887</v>
      </c>
      <c r="Q19" s="10">
        <v>1.0000000000001812</v>
      </c>
    </row>
    <row r="20" spans="2:26" x14ac:dyDescent="0.25">
      <c r="H20" s="51" t="s">
        <v>23</v>
      </c>
      <c r="I20" s="52" t="s">
        <v>24</v>
      </c>
      <c r="J20" s="53">
        <v>-9678.9875243778388</v>
      </c>
      <c r="K20" s="53">
        <v>-9678.9875243778388</v>
      </c>
      <c r="L20" s="53">
        <v>-9678.9875243778388</v>
      </c>
      <c r="M20" s="53">
        <v>-9678.9875243778388</v>
      </c>
      <c r="N20" s="53">
        <v>-9678.9875243778388</v>
      </c>
      <c r="O20" s="53">
        <v>-9678.9875243778388</v>
      </c>
      <c r="P20" s="53">
        <v>-9678.9875243778388</v>
      </c>
      <c r="Q20" s="54">
        <v>-9678.9875243778388</v>
      </c>
    </row>
    <row r="21" spans="2:26" x14ac:dyDescent="0.25">
      <c r="B21" s="55"/>
      <c r="H21" s="56" t="s">
        <v>25</v>
      </c>
      <c r="I21" s="57" t="s">
        <v>24</v>
      </c>
      <c r="J21" s="58">
        <v>-1702.5570878064138</v>
      </c>
      <c r="K21" s="58">
        <v>-1702.5570878064138</v>
      </c>
      <c r="L21" s="58">
        <v>-1702.5570878064138</v>
      </c>
      <c r="M21" s="58">
        <v>-1702.5570878064141</v>
      </c>
      <c r="N21" s="58">
        <v>-1702.5570878064138</v>
      </c>
      <c r="O21" s="58">
        <v>-1702.5570878064138</v>
      </c>
      <c r="P21" s="58">
        <v>-1702.5570878064138</v>
      </c>
      <c r="Q21" s="59">
        <v>-1702.5570878064138</v>
      </c>
    </row>
    <row r="22" spans="2:26" x14ac:dyDescent="0.25">
      <c r="H22" s="61" t="s">
        <v>26</v>
      </c>
      <c r="I22" s="6" t="s">
        <v>24</v>
      </c>
      <c r="J22" s="31">
        <v>4077.2135938436545</v>
      </c>
      <c r="K22" s="31">
        <v>4807.9042778718431</v>
      </c>
      <c r="L22" s="31">
        <v>5237.8665146728044</v>
      </c>
      <c r="M22" s="31">
        <v>7997.6239996111635</v>
      </c>
      <c r="N22" s="31">
        <v>9406.309612861507</v>
      </c>
      <c r="O22" s="31">
        <v>10919.217530557162</v>
      </c>
      <c r="P22" s="31">
        <v>13436.544812430473</v>
      </c>
      <c r="Q22" s="62">
        <v>9867.1917835472832</v>
      </c>
    </row>
    <row r="23" spans="2:26" x14ac:dyDescent="0.25">
      <c r="H23" s="61" t="s">
        <v>27</v>
      </c>
      <c r="I23" s="6" t="s">
        <v>24</v>
      </c>
      <c r="J23" s="31">
        <v>0</v>
      </c>
      <c r="K23" s="31">
        <v>74.711673586237154</v>
      </c>
      <c r="L23" s="31">
        <v>1572.2092406120369</v>
      </c>
      <c r="M23" s="31">
        <v>1356.6309202295076</v>
      </c>
      <c r="N23" s="31">
        <v>2556.3003547802564</v>
      </c>
      <c r="O23" s="31">
        <v>3543.2349600774578</v>
      </c>
      <c r="P23" s="31">
        <v>5950.0656652612079</v>
      </c>
      <c r="Q23" s="62">
        <v>15221.660790363543</v>
      </c>
    </row>
    <row r="24" spans="2:26" x14ac:dyDescent="0.25">
      <c r="H24" s="61" t="s">
        <v>28</v>
      </c>
      <c r="I24" s="6" t="s">
        <v>24</v>
      </c>
      <c r="J24" s="31">
        <v>6669.6493851967252</v>
      </c>
      <c r="K24" s="31">
        <v>5807.3925146268675</v>
      </c>
      <c r="L24" s="31">
        <v>3871.5950097539485</v>
      </c>
      <c r="M24" s="31">
        <v>1935.7975048746309</v>
      </c>
      <c r="N24" s="31">
        <v>967.89875244143354</v>
      </c>
      <c r="O24" s="31">
        <v>483.94937621534984</v>
      </c>
      <c r="P24" s="31">
        <v>96.789875248448695</v>
      </c>
      <c r="Q24" s="62">
        <v>3.942045623261947E-11</v>
      </c>
    </row>
    <row r="25" spans="2:26" x14ac:dyDescent="0.25">
      <c r="H25" s="61" t="s">
        <v>29</v>
      </c>
      <c r="I25" s="6" t="s">
        <v>24</v>
      </c>
      <c r="J25" s="31">
        <v>-1067.8754546619139</v>
      </c>
      <c r="K25" s="31">
        <v>-970.38894295064415</v>
      </c>
      <c r="L25" s="31">
        <v>-915.08258928131579</v>
      </c>
      <c r="M25" s="31">
        <v>-1409.9130457225583</v>
      </c>
      <c r="N25" s="31">
        <v>-3043.5066972726477</v>
      </c>
      <c r="O25" s="31">
        <v>-5066.2512664416945</v>
      </c>
      <c r="P25" s="31">
        <v>-9642.5070820859892</v>
      </c>
      <c r="Q25" s="62">
        <v>-15340.504259141673</v>
      </c>
    </row>
    <row r="26" spans="2:26" x14ac:dyDescent="0.25">
      <c r="H26" s="61" t="s">
        <v>30</v>
      </c>
      <c r="I26" s="6" t="s">
        <v>24</v>
      </c>
      <c r="J26" s="31">
        <v>0</v>
      </c>
      <c r="K26" s="31">
        <v>-687.5126693062698</v>
      </c>
      <c r="L26" s="31">
        <v>-1482.2445241701182</v>
      </c>
      <c r="M26" s="31">
        <v>-3403.5846804427251</v>
      </c>
      <c r="N26" s="31">
        <v>-3519.7038651602229</v>
      </c>
      <c r="O26" s="31">
        <v>-3403.7745520933345</v>
      </c>
      <c r="P26" s="31">
        <v>-2739.5219369799288</v>
      </c>
      <c r="Q26" s="62">
        <v>-1173.6174346795399</v>
      </c>
    </row>
    <row r="27" spans="2:26" x14ac:dyDescent="0.25">
      <c r="B27" s="63"/>
      <c r="H27" s="61" t="s">
        <v>31</v>
      </c>
      <c r="I27" s="6" t="s">
        <v>24</v>
      </c>
      <c r="J27" s="31">
        <v>-1.0097419586828951E-31</v>
      </c>
      <c r="K27" s="31">
        <v>646.88067055026852</v>
      </c>
      <c r="L27" s="31">
        <v>1394.6438727916679</v>
      </c>
      <c r="M27" s="31">
        <v>3202.4328258285632</v>
      </c>
      <c r="N27" s="31">
        <v>3311.6893667292525</v>
      </c>
      <c r="O27" s="31">
        <v>3202.6114760646224</v>
      </c>
      <c r="P27" s="31">
        <v>2577.6161905044164</v>
      </c>
      <c r="Q27" s="62">
        <v>1104.2566442899815</v>
      </c>
    </row>
    <row r="28" spans="2:26" x14ac:dyDescent="0.25">
      <c r="H28" s="64" t="s">
        <v>32</v>
      </c>
      <c r="I28" s="65" t="s">
        <v>24</v>
      </c>
      <c r="J28" s="66">
        <v>6.2755134422332048E-10</v>
      </c>
      <c r="K28" s="66">
        <v>4.6372861106647179E-10</v>
      </c>
      <c r="L28" s="66">
        <v>1.1850715964101255E-9</v>
      </c>
      <c r="M28" s="66">
        <v>7.4305717134848237E-10</v>
      </c>
      <c r="N28" s="66">
        <v>1.7398633644916117E-9</v>
      </c>
      <c r="O28" s="66">
        <v>1.7239472072105855E-9</v>
      </c>
      <c r="P28" s="66">
        <v>7.9035089584067464E-10</v>
      </c>
      <c r="Q28" s="67">
        <v>1.79602466232609E-9</v>
      </c>
    </row>
    <row r="30" spans="2:26" x14ac:dyDescent="0.25">
      <c r="H30" s="68" t="s">
        <v>15</v>
      </c>
    </row>
    <row r="31" spans="2:26" x14ac:dyDescent="0.25">
      <c r="H31" s="69" t="s">
        <v>33</v>
      </c>
      <c r="I31" s="70" t="s">
        <v>103</v>
      </c>
      <c r="J31" s="71">
        <v>0.15579392185842764</v>
      </c>
      <c r="K31" s="71">
        <v>0.18371425634913394</v>
      </c>
      <c r="L31" s="71">
        <v>0.20014349204661822</v>
      </c>
      <c r="M31" s="71">
        <v>0.30559625581791089</v>
      </c>
      <c r="N31" s="71">
        <v>0.35942337360374244</v>
      </c>
      <c r="O31" s="71">
        <v>0.41723291742169816</v>
      </c>
      <c r="P31" s="71">
        <v>0.51342220964726182</v>
      </c>
      <c r="Q31" s="72">
        <v>0.37703408720338738</v>
      </c>
    </row>
    <row r="32" spans="2:26" x14ac:dyDescent="0.25">
      <c r="H32" s="73" t="s">
        <v>34</v>
      </c>
      <c r="I32" s="74" t="s">
        <v>103</v>
      </c>
      <c r="J32" s="75">
        <v>0</v>
      </c>
      <c r="K32" s="75">
        <v>1.0536543468405758E-2</v>
      </c>
      <c r="L32" s="75">
        <v>0.22172774628073166</v>
      </c>
      <c r="M32" s="75">
        <v>0.19132486230658657</v>
      </c>
      <c r="N32" s="75">
        <v>0.36051353842788225</v>
      </c>
      <c r="O32" s="75">
        <v>0.49970034645976025</v>
      </c>
      <c r="P32" s="75">
        <v>0.83913426794715129</v>
      </c>
      <c r="Q32" s="76">
        <v>2.1467018858019364</v>
      </c>
    </row>
    <row r="33" spans="8:17" x14ac:dyDescent="0.25">
      <c r="H33" s="73" t="s">
        <v>35</v>
      </c>
      <c r="I33" s="74" t="s">
        <v>103</v>
      </c>
      <c r="J33" s="75">
        <v>0</v>
      </c>
      <c r="K33" s="75">
        <v>6.7500135048062224E-2</v>
      </c>
      <c r="L33" s="75">
        <v>0.14674925230166663</v>
      </c>
      <c r="M33" s="75">
        <v>0.33906934386518434</v>
      </c>
      <c r="N33" s="75">
        <v>0.38325672358236229</v>
      </c>
      <c r="O33" s="75">
        <v>0.43304220833032248</v>
      </c>
      <c r="P33" s="75">
        <v>0.69827203531409876</v>
      </c>
      <c r="Q33" s="76">
        <v>0.78047468325600511</v>
      </c>
    </row>
    <row r="34" spans="8:17" x14ac:dyDescent="0.25">
      <c r="H34" s="73" t="s">
        <v>36</v>
      </c>
      <c r="I34" s="74" t="s">
        <v>103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6">
        <v>0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>
        <v>0.64258536738640193</v>
      </c>
      <c r="K36" s="75">
        <v>0.64258536738640193</v>
      </c>
      <c r="L36" s="75">
        <v>0.64258536738640193</v>
      </c>
      <c r="M36" s="75">
        <v>0.64258536738640248</v>
      </c>
      <c r="N36" s="75">
        <v>0.64258536738640193</v>
      </c>
      <c r="O36" s="75">
        <v>0.64258536738640193</v>
      </c>
      <c r="P36" s="75">
        <v>0.64258536738640193</v>
      </c>
      <c r="Q36" s="76">
        <v>0.64258536738640193</v>
      </c>
    </row>
    <row r="37" spans="8:17" x14ac:dyDescent="0.25">
      <c r="H37" s="77" t="s">
        <v>38</v>
      </c>
      <c r="I37" s="78" t="s">
        <v>103</v>
      </c>
      <c r="J37" s="79">
        <v>3.0547827815377966E-2</v>
      </c>
      <c r="K37" s="79">
        <v>3.6022403205712539E-2</v>
      </c>
      <c r="L37" s="79">
        <v>3.9243821969925138E-2</v>
      </c>
      <c r="M37" s="79">
        <v>5.9920834474100182E-2</v>
      </c>
      <c r="N37" s="79">
        <v>7.0475171294851452E-2</v>
      </c>
      <c r="O37" s="79">
        <v>8.1810375965038859E-2</v>
      </c>
      <c r="P37" s="79">
        <v>0.1006710214994631</v>
      </c>
      <c r="Q37" s="80">
        <v>7.3928252392821053E-2</v>
      </c>
    </row>
    <row r="38" spans="8:17" x14ac:dyDescent="0.25">
      <c r="H38" s="81" t="s">
        <v>39</v>
      </c>
      <c r="I38" s="82" t="s">
        <v>103</v>
      </c>
      <c r="J38" s="83">
        <v>0</v>
      </c>
      <c r="K38" s="83">
        <v>2.107308693681152E-3</v>
      </c>
      <c r="L38" s="83">
        <v>4.4345549256146324E-2</v>
      </c>
      <c r="M38" s="83">
        <v>3.8264972461317312E-2</v>
      </c>
      <c r="N38" s="83">
        <v>7.2102707685576445E-2</v>
      </c>
      <c r="O38" s="83">
        <v>9.9940069291952038E-2</v>
      </c>
      <c r="P38" s="83">
        <v>0.16782685358943022</v>
      </c>
      <c r="Q38" s="84">
        <v>0.4293403771603872</v>
      </c>
    </row>
    <row r="39" spans="8:17" x14ac:dyDescent="0.25">
      <c r="H39" s="81" t="s">
        <v>40</v>
      </c>
      <c r="I39" s="82" t="s">
        <v>103</v>
      </c>
      <c r="J39" s="83">
        <v>0</v>
      </c>
      <c r="K39" s="83">
        <v>1.3608898195173835E-2</v>
      </c>
      <c r="L39" s="83">
        <v>2.958654280275537E-2</v>
      </c>
      <c r="M39" s="83">
        <v>6.8360754811529104E-2</v>
      </c>
      <c r="N39" s="83">
        <v>7.7269500722250459E-2</v>
      </c>
      <c r="O39" s="83">
        <v>8.7306896840790821E-2</v>
      </c>
      <c r="P39" s="83">
        <v>0.14078065228106831</v>
      </c>
      <c r="Q39" s="84">
        <v>0.15735376678548491</v>
      </c>
    </row>
    <row r="40" spans="8:17" x14ac:dyDescent="0.25">
      <c r="H40" s="81" t="s">
        <v>41</v>
      </c>
      <c r="I40" s="82" t="s">
        <v>103</v>
      </c>
      <c r="J40" s="83">
        <v>0.25703414695456078</v>
      </c>
      <c r="K40" s="83">
        <v>0.25703414695456078</v>
      </c>
      <c r="L40" s="83">
        <v>0.25703414695456078</v>
      </c>
      <c r="M40" s="83">
        <v>0.25703414695456095</v>
      </c>
      <c r="N40" s="83">
        <v>0.25703414695456078</v>
      </c>
      <c r="O40" s="83">
        <v>0.25703414695456078</v>
      </c>
      <c r="P40" s="83">
        <v>0.25703414695456078</v>
      </c>
      <c r="Q40" s="84">
        <v>0.25703414695456078</v>
      </c>
    </row>
    <row r="41" spans="8:17" x14ac:dyDescent="0.25">
      <c r="H41" s="85" t="s">
        <v>42</v>
      </c>
      <c r="I41" s="86" t="s">
        <v>103</v>
      </c>
      <c r="J41" s="87">
        <v>0</v>
      </c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8">
        <v>0</v>
      </c>
    </row>
    <row r="42" spans="8:17" x14ac:dyDescent="0.25">
      <c r="H42" s="89" t="s">
        <v>43</v>
      </c>
      <c r="I42" s="90" t="s">
        <v>103</v>
      </c>
      <c r="J42" s="91">
        <v>0</v>
      </c>
      <c r="K42" s="91">
        <v>5.0706867009005674E-2</v>
      </c>
      <c r="L42" s="91">
        <v>0.1093215868120085</v>
      </c>
      <c r="M42" s="91">
        <v>0.25102826965973485</v>
      </c>
      <c r="N42" s="91">
        <v>0.25959253373737801</v>
      </c>
      <c r="O42" s="91">
        <v>0.25104227346936042</v>
      </c>
      <c r="P42" s="91">
        <v>0.2020509304459272</v>
      </c>
      <c r="Q42" s="92">
        <v>8.6559078598208911E-2</v>
      </c>
    </row>
    <row r="43" spans="8:17" x14ac:dyDescent="0.25">
      <c r="H43" s="89" t="s">
        <v>44</v>
      </c>
      <c r="I43" s="90" t="s">
        <v>103</v>
      </c>
      <c r="J43" s="91">
        <v>0</v>
      </c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>
        <v>8.4786431781360944E-2</v>
      </c>
      <c r="K44" s="91">
        <v>8.4786431781360944E-2</v>
      </c>
      <c r="L44" s="91">
        <v>8.4786431781360944E-2</v>
      </c>
      <c r="M44" s="91">
        <v>8.4786431781360971E-2</v>
      </c>
      <c r="N44" s="91">
        <v>8.4786431781360944E-2</v>
      </c>
      <c r="O44" s="91">
        <v>8.4786431781360944E-2</v>
      </c>
      <c r="P44" s="91">
        <v>8.4786431781360944E-2</v>
      </c>
      <c r="Q44" s="92">
        <v>8.4786431781360944E-2</v>
      </c>
    </row>
    <row r="45" spans="8:17" x14ac:dyDescent="0.25">
      <c r="H45" s="89" t="s">
        <v>46</v>
      </c>
      <c r="I45" s="90" t="s">
        <v>103</v>
      </c>
      <c r="J45" s="91">
        <v>1.9027730795181843</v>
      </c>
      <c r="K45" s="91">
        <v>1.9027730795181843</v>
      </c>
      <c r="L45" s="91">
        <v>1.9027730795181843</v>
      </c>
      <c r="M45" s="91">
        <v>1.9027730795181852</v>
      </c>
      <c r="N45" s="91">
        <v>1.9027730795181843</v>
      </c>
      <c r="O45" s="91">
        <v>1.9027730795181843</v>
      </c>
      <c r="P45" s="91">
        <v>1.9027730795181843</v>
      </c>
      <c r="Q45" s="92">
        <v>1.9027730795181843</v>
      </c>
    </row>
    <row r="46" spans="8:17" x14ac:dyDescent="0.25">
      <c r="H46" s="89" t="s">
        <v>47</v>
      </c>
      <c r="I46" s="90" t="s">
        <v>103</v>
      </c>
      <c r="J46" s="91">
        <v>1.2298129037712684</v>
      </c>
      <c r="K46" s="91">
        <v>1.0709052166089532</v>
      </c>
      <c r="L46" s="91">
        <v>0.7134095580431965</v>
      </c>
      <c r="M46" s="91">
        <v>0.35693545089312989</v>
      </c>
      <c r="N46" s="91">
        <v>0.1787594131870385</v>
      </c>
      <c r="O46" s="91">
        <v>8.9644644414255903E-2</v>
      </c>
      <c r="P46" s="91">
        <v>1.8131307303708943E-2</v>
      </c>
      <c r="Q46" s="92">
        <v>7.631395646151808E-15</v>
      </c>
    </row>
    <row r="47" spans="8:17" x14ac:dyDescent="0.25">
      <c r="H47" s="93" t="s">
        <v>48</v>
      </c>
      <c r="I47" s="94" t="s">
        <v>103</v>
      </c>
      <c r="J47" s="95">
        <v>-0.47122626486093483</v>
      </c>
      <c r="K47" s="95">
        <v>-0.47122626486093483</v>
      </c>
      <c r="L47" s="95">
        <v>-0.47122626486093483</v>
      </c>
      <c r="M47" s="95">
        <v>-0.47122626486093505</v>
      </c>
      <c r="N47" s="95">
        <v>-0.47122626486093483</v>
      </c>
      <c r="O47" s="95">
        <v>-0.47122626486093483</v>
      </c>
      <c r="P47" s="95">
        <v>-0.47122626486093483</v>
      </c>
      <c r="Q47" s="96">
        <v>-0.47122626486093483</v>
      </c>
    </row>
    <row r="48" spans="8:17" x14ac:dyDescent="0.25">
      <c r="H48" s="97" t="s">
        <v>49</v>
      </c>
      <c r="I48" s="98" t="s">
        <v>103</v>
      </c>
      <c r="J48" s="99">
        <v>-5.9070131809019724E-2</v>
      </c>
      <c r="K48" s="99">
        <v>-5.3677610545189963E-2</v>
      </c>
      <c r="L48" s="99">
        <v>-5.061830846378966E-2</v>
      </c>
      <c r="M48" s="99">
        <v>-7.7990133668214515E-2</v>
      </c>
      <c r="N48" s="99">
        <v>-0.1683532859423644</v>
      </c>
      <c r="O48" s="99">
        <v>-0.28024254025116635</v>
      </c>
      <c r="P48" s="99">
        <v>-0.53338070635639256</v>
      </c>
      <c r="Q48" s="100">
        <v>-0.84856862721993764</v>
      </c>
    </row>
    <row r="49" spans="8:27" x14ac:dyDescent="0.25">
      <c r="H49" s="101" t="s">
        <v>50</v>
      </c>
      <c r="I49" s="102" t="s">
        <v>103</v>
      </c>
      <c r="J49" s="103">
        <v>-0.11814026361803945</v>
      </c>
      <c r="K49" s="103">
        <v>-0.10735522109037993</v>
      </c>
      <c r="L49" s="103">
        <v>-0.10123661692757932</v>
      </c>
      <c r="M49" s="103">
        <v>-0.15598026733642903</v>
      </c>
      <c r="N49" s="103">
        <v>-0.3367065718847288</v>
      </c>
      <c r="O49" s="103">
        <v>-0.5604850805023327</v>
      </c>
      <c r="P49" s="103">
        <v>-1.0667614127127851</v>
      </c>
      <c r="Q49" s="104">
        <v>-1.6971372544398753</v>
      </c>
    </row>
    <row r="50" spans="8:27" x14ac:dyDescent="0.25">
      <c r="H50" s="105" t="s">
        <v>51</v>
      </c>
      <c r="I50" s="106" t="s">
        <v>103</v>
      </c>
      <c r="J50" s="107">
        <v>3.8321074142246463</v>
      </c>
      <c r="K50" s="107">
        <v>3.8510543893577012</v>
      </c>
      <c r="L50" s="107">
        <v>3.9204803102926213</v>
      </c>
      <c r="M50" s="107">
        <v>4.0264535050690675</v>
      </c>
      <c r="N50" s="107">
        <v>4.1773457230206548</v>
      </c>
      <c r="O50" s="107">
        <v>4.3756724929727513</v>
      </c>
      <c r="P50" s="107">
        <v>5.0962420388076826</v>
      </c>
      <c r="Q50" s="108">
        <v>6.4673448919778105</v>
      </c>
    </row>
    <row r="51" spans="8:27" x14ac:dyDescent="0.25">
      <c r="H51" s="105" t="s">
        <v>52</v>
      </c>
      <c r="I51" s="106" t="s">
        <v>103</v>
      </c>
      <c r="J51" s="107">
        <v>3.7730372824156264</v>
      </c>
      <c r="K51" s="107">
        <v>3.7973767788125112</v>
      </c>
      <c r="L51" s="107">
        <v>3.8698620018288317</v>
      </c>
      <c r="M51" s="107">
        <v>3.948463371400853</v>
      </c>
      <c r="N51" s="107">
        <v>4.0089924370782901</v>
      </c>
      <c r="O51" s="107">
        <v>4.0954299527215845</v>
      </c>
      <c r="P51" s="107">
        <v>4.5628613324512903</v>
      </c>
      <c r="Q51" s="108">
        <v>5.618776264757873</v>
      </c>
    </row>
    <row r="52" spans="8:27" x14ac:dyDescent="0.25">
      <c r="H52" s="109" t="s">
        <v>53</v>
      </c>
      <c r="I52" s="110" t="s">
        <v>103</v>
      </c>
      <c r="J52" s="111">
        <v>3.713967150606607</v>
      </c>
      <c r="K52" s="111">
        <v>3.7436991682673213</v>
      </c>
      <c r="L52" s="111">
        <v>3.819243693365042</v>
      </c>
      <c r="M52" s="111">
        <v>3.8704732377326385</v>
      </c>
      <c r="N52" s="111">
        <v>3.8406391511359259</v>
      </c>
      <c r="O52" s="111">
        <v>3.8151874124704186</v>
      </c>
      <c r="P52" s="111">
        <v>4.0294806260948972</v>
      </c>
      <c r="Q52" s="112">
        <v>4.7702076375379354</v>
      </c>
    </row>
    <row r="53" spans="8:27" x14ac:dyDescent="0.25">
      <c r="H53" s="113" t="s">
        <v>54</v>
      </c>
      <c r="I53" s="114" t="s">
        <v>103</v>
      </c>
      <c r="J53" s="115">
        <v>3.8321074142246472</v>
      </c>
      <c r="K53" s="115">
        <v>3.8510543893577012</v>
      </c>
      <c r="L53" s="115">
        <v>3.9204803102926213</v>
      </c>
      <c r="M53" s="115">
        <v>4.0264535050690684</v>
      </c>
      <c r="N53" s="115">
        <v>4.1773457230206548</v>
      </c>
      <c r="O53" s="115">
        <v>4.3756724929727531</v>
      </c>
      <c r="P53" s="115">
        <v>5.0962420388076834</v>
      </c>
      <c r="Q53" s="116">
        <v>6.4673448919778123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>
        <v>0.31091455915221666</v>
      </c>
      <c r="K56" s="124">
        <v>0.40000000000003094</v>
      </c>
      <c r="L56" s="124">
        <v>0.59999999999983189</v>
      </c>
      <c r="M56" s="124">
        <v>0.80000000000017357</v>
      </c>
      <c r="N56" s="124">
        <v>0.89999999999980262</v>
      </c>
      <c r="O56" s="124">
        <v>0.95000000000054419</v>
      </c>
      <c r="P56" s="124">
        <v>0.98999999999959887</v>
      </c>
      <c r="Q56" s="125">
        <v>1.0000000000001812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>
        <v>844937.19605714886</v>
      </c>
      <c r="K57" s="128">
        <v>996361.13388568978</v>
      </c>
      <c r="L57" s="128">
        <v>1085463.9190136543</v>
      </c>
      <c r="M57" s="128">
        <v>1657379.4435381622</v>
      </c>
      <c r="N57" s="128">
        <v>1949306.9682533264</v>
      </c>
      <c r="O57" s="128">
        <v>2262832.8958134078</v>
      </c>
      <c r="P57" s="128">
        <v>2784508.644740534</v>
      </c>
      <c r="Q57" s="129">
        <v>2044817.4143089249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>
        <v>0</v>
      </c>
      <c r="K58" s="132">
        <v>57144.19014638495</v>
      </c>
      <c r="L58" s="132">
        <v>1202524.5785952841</v>
      </c>
      <c r="M58" s="132">
        <v>1037636.7111436349</v>
      </c>
      <c r="N58" s="132">
        <v>1955219.399231127</v>
      </c>
      <c r="O58" s="132">
        <v>2710089.1008454706</v>
      </c>
      <c r="P58" s="132">
        <v>4550984.7047757609</v>
      </c>
      <c r="Q58" s="133">
        <v>11642484.190162025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>
        <v>0</v>
      </c>
      <c r="K59" s="132">
        <v>366082.1562269656</v>
      </c>
      <c r="L59" s="132">
        <v>795884.0774027661</v>
      </c>
      <c r="M59" s="132">
        <v>1838918.3432632629</v>
      </c>
      <c r="N59" s="132">
        <v>2078565.4377967222</v>
      </c>
      <c r="O59" s="132">
        <v>2348573.454704552</v>
      </c>
      <c r="P59" s="132">
        <v>3787028.4576284797</v>
      </c>
      <c r="Q59" s="133">
        <v>4232848.6413171804</v>
      </c>
    </row>
    <row r="60" spans="8:27" x14ac:dyDescent="0.25">
      <c r="H60" s="134" t="s">
        <v>60</v>
      </c>
      <c r="I60" s="74" t="s">
        <v>57</v>
      </c>
      <c r="J60" s="135">
        <v>0</v>
      </c>
      <c r="K60" s="135">
        <v>0</v>
      </c>
      <c r="L60" s="135">
        <v>0</v>
      </c>
      <c r="M60" s="135">
        <v>0</v>
      </c>
      <c r="N60" s="135">
        <v>0</v>
      </c>
      <c r="O60" s="135">
        <v>0</v>
      </c>
      <c r="P60" s="135">
        <v>0</v>
      </c>
      <c r="Q60" s="136">
        <v>0</v>
      </c>
    </row>
    <row r="61" spans="8:27" x14ac:dyDescent="0.25">
      <c r="H61" s="134" t="s">
        <v>61</v>
      </c>
      <c r="I61" s="74" t="s">
        <v>57</v>
      </c>
      <c r="J61" s="135">
        <v>0</v>
      </c>
      <c r="K61" s="135">
        <v>0</v>
      </c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6">
        <v>0</v>
      </c>
    </row>
    <row r="62" spans="8:27" x14ac:dyDescent="0.25">
      <c r="H62" s="134" t="s">
        <v>62</v>
      </c>
      <c r="I62" s="74"/>
      <c r="J62" s="135">
        <v>0</v>
      </c>
      <c r="K62" s="135">
        <v>0</v>
      </c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6">
        <v>0</v>
      </c>
    </row>
    <row r="63" spans="8:27" x14ac:dyDescent="0.25">
      <c r="H63" s="137" t="s">
        <v>63</v>
      </c>
      <c r="I63" s="138" t="s">
        <v>57</v>
      </c>
      <c r="J63" s="139">
        <v>1379675.7</v>
      </c>
      <c r="K63" s="139">
        <v>1379675.7</v>
      </c>
      <c r="L63" s="139">
        <v>1379675.7</v>
      </c>
      <c r="M63" s="139">
        <v>1379675.7</v>
      </c>
      <c r="N63" s="139">
        <v>1379675.7</v>
      </c>
      <c r="O63" s="139">
        <v>1379675.7</v>
      </c>
      <c r="P63" s="139">
        <v>1379675.7</v>
      </c>
      <c r="Q63" s="140">
        <v>1379675.7</v>
      </c>
    </row>
    <row r="64" spans="8:27" x14ac:dyDescent="0.25">
      <c r="H64" s="141" t="s">
        <v>64</v>
      </c>
      <c r="I64" s="142" t="s">
        <v>57</v>
      </c>
      <c r="J64" s="143">
        <v>2105340.0956752724</v>
      </c>
      <c r="K64" s="143">
        <v>2105340.0956752724</v>
      </c>
      <c r="L64" s="143">
        <v>2105340.0956752724</v>
      </c>
      <c r="M64" s="143">
        <v>2105340.0956752729</v>
      </c>
      <c r="N64" s="143">
        <v>2105340.0956752724</v>
      </c>
      <c r="O64" s="143">
        <v>2105340.0956752724</v>
      </c>
      <c r="P64" s="143">
        <v>2105340.0956752724</v>
      </c>
      <c r="Q64" s="144">
        <v>2105340.0956752724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2400.4524320667142</v>
      </c>
      <c r="J68" s="151">
        <v>2400.4524320667142</v>
      </c>
      <c r="K68" s="152" t="s">
        <v>24</v>
      </c>
    </row>
    <row r="69" spans="8:17" x14ac:dyDescent="0.25">
      <c r="H69" s="153" t="s">
        <v>69</v>
      </c>
      <c r="I69" s="154">
        <v>524.17416606671372</v>
      </c>
      <c r="J69" s="154">
        <v>-413.96496693328663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>
        <v>0.31091455915221666</v>
      </c>
      <c r="K72" s="9">
        <v>0.40000000000003094</v>
      </c>
      <c r="L72" s="9">
        <v>0.59999999999983189</v>
      </c>
      <c r="M72" s="9">
        <v>0.80000000000017357</v>
      </c>
      <c r="N72" s="9">
        <v>0.89999999999980262</v>
      </c>
      <c r="O72" s="9">
        <v>0.95000000000054419</v>
      </c>
      <c r="P72" s="9">
        <v>0.98999999999959887</v>
      </c>
      <c r="Q72" s="10">
        <v>1.0000000000001812</v>
      </c>
    </row>
    <row r="73" spans="8:17" x14ac:dyDescent="0.25">
      <c r="H73" s="51" t="s">
        <v>71</v>
      </c>
      <c r="I73" s="156"/>
      <c r="J73" s="157">
        <v>1067.8754546619139</v>
      </c>
      <c r="K73" s="157">
        <v>957.89827478135044</v>
      </c>
      <c r="L73" s="157">
        <v>701.45480807703279</v>
      </c>
      <c r="M73" s="157">
        <v>1270.2298037704425</v>
      </c>
      <c r="N73" s="157">
        <v>2549.8436641920071</v>
      </c>
      <c r="O73" s="157">
        <v>4091.6649883133159</v>
      </c>
      <c r="P73" s="157">
        <v>7164.6812253500902</v>
      </c>
      <c r="Q73" s="158">
        <v>5339.3964418314144</v>
      </c>
    </row>
    <row r="74" spans="8:17" x14ac:dyDescent="0.25">
      <c r="H74" s="130" t="s">
        <v>72</v>
      </c>
      <c r="I74" s="159"/>
      <c r="J74" s="160">
        <v>0</v>
      </c>
      <c r="K74" s="160">
        <v>12.490668169293713</v>
      </c>
      <c r="L74" s="160">
        <v>213.627781204283</v>
      </c>
      <c r="M74" s="160">
        <v>139.68324195211585</v>
      </c>
      <c r="N74" s="160">
        <v>493.66303308064062</v>
      </c>
      <c r="O74" s="160">
        <v>974.58627812837858</v>
      </c>
      <c r="P74" s="160">
        <v>2477.8258567358989</v>
      </c>
      <c r="Q74" s="161">
        <v>10001.107817310258</v>
      </c>
    </row>
    <row r="75" spans="8:17" x14ac:dyDescent="0.25">
      <c r="H75" s="130" t="s">
        <v>73</v>
      </c>
      <c r="I75" s="159" t="s">
        <v>2</v>
      </c>
      <c r="J75" s="162">
        <v>0.26191305166703582</v>
      </c>
      <c r="K75" s="162">
        <v>0.1992340569653254</v>
      </c>
      <c r="L75" s="162">
        <v>0.13391994738927607</v>
      </c>
      <c r="M75" s="162">
        <v>0.15882589677036577</v>
      </c>
      <c r="N75" s="162">
        <v>0.2710780071182789</v>
      </c>
      <c r="O75" s="162">
        <v>0.37472144655630241</v>
      </c>
      <c r="P75" s="162">
        <v>0.53322348307296008</v>
      </c>
      <c r="Q75" s="163">
        <v>0.5411262453350113</v>
      </c>
    </row>
    <row r="76" spans="8:17" x14ac:dyDescent="0.25">
      <c r="H76" s="130" t="s">
        <v>74</v>
      </c>
      <c r="I76" s="159" t="s">
        <v>2</v>
      </c>
      <c r="J76" s="162">
        <v>0</v>
      </c>
      <c r="K76" s="162">
        <v>0.16718496012375036</v>
      </c>
      <c r="L76" s="162">
        <v>0.13587744918807435</v>
      </c>
      <c r="M76" s="162">
        <v>0.10296333355610454</v>
      </c>
      <c r="N76" s="162">
        <v>0.19311620880445274</v>
      </c>
      <c r="O76" s="162">
        <v>0.27505550411115648</v>
      </c>
      <c r="P76" s="162">
        <v>0.41643672458984909</v>
      </c>
      <c r="Q76" s="163">
        <v>0.65703131577085938</v>
      </c>
    </row>
    <row r="77" spans="8:17" x14ac:dyDescent="0.25">
      <c r="H77" s="164" t="s">
        <v>75</v>
      </c>
      <c r="I77" s="165" t="s">
        <v>2</v>
      </c>
      <c r="J77" s="166">
        <v>0.26191305166703582</v>
      </c>
      <c r="K77" s="166">
        <v>0.19874365557275908</v>
      </c>
      <c r="L77" s="166">
        <v>0.13437186635863513</v>
      </c>
      <c r="M77" s="166">
        <v>0.15072424878352289</v>
      </c>
      <c r="N77" s="166">
        <v>0.25441828376125064</v>
      </c>
      <c r="O77" s="166">
        <v>0.35030374479863785</v>
      </c>
      <c r="P77" s="166">
        <v>0.49737972984920159</v>
      </c>
      <c r="Q77" s="167">
        <v>0.61144702468752277</v>
      </c>
    </row>
    <row r="78" spans="8:17" x14ac:dyDescent="0.25">
      <c r="H78" s="168" t="s">
        <v>76</v>
      </c>
      <c r="I78" s="169"/>
      <c r="J78" s="170">
        <v>33.582505831104328</v>
      </c>
      <c r="K78" s="170">
        <v>51.017557249269181</v>
      </c>
      <c r="L78" s="170">
        <v>73.881210054627559</v>
      </c>
      <c r="M78" s="170">
        <v>87.801303115185362</v>
      </c>
      <c r="N78" s="170">
        <v>98.533032103855902</v>
      </c>
      <c r="O78" s="170">
        <v>110.30099458267166</v>
      </c>
      <c r="P78" s="170">
        <v>150.67549158044932</v>
      </c>
      <c r="Q78" s="171">
        <v>227.01171477781281</v>
      </c>
    </row>
    <row r="79" spans="8:17" x14ac:dyDescent="0.25">
      <c r="H79" s="172" t="s">
        <v>77</v>
      </c>
      <c r="I79" s="173"/>
      <c r="J79" s="174">
        <v>22.93688803802765</v>
      </c>
      <c r="K79" s="174">
        <v>43.498261399575348</v>
      </c>
      <c r="L79" s="174">
        <v>69.154049352246162</v>
      </c>
      <c r="M79" s="174">
        <v>82.338775233894083</v>
      </c>
      <c r="N79" s="174">
        <v>88.051540833521287</v>
      </c>
      <c r="O79" s="174">
        <v>93.771695242723283</v>
      </c>
      <c r="P79" s="174">
        <v>120.48667445780954</v>
      </c>
      <c r="Q79" s="175">
        <v>179.46385642847071</v>
      </c>
    </row>
    <row r="80" spans="8:17" x14ac:dyDescent="0.25">
      <c r="H80" s="172" t="s">
        <v>78</v>
      </c>
      <c r="I80" s="173"/>
      <c r="J80" s="174">
        <v>12.291270244950962</v>
      </c>
      <c r="K80" s="174">
        <v>35.978965549881515</v>
      </c>
      <c r="L80" s="174">
        <v>64.426888649864779</v>
      </c>
      <c r="M80" s="174">
        <v>76.876247352602789</v>
      </c>
      <c r="N80" s="174">
        <v>77.5700495631867</v>
      </c>
      <c r="O80" s="174">
        <v>77.242395902774916</v>
      </c>
      <c r="P80" s="174">
        <v>90.297857335169766</v>
      </c>
      <c r="Q80" s="175">
        <v>131.9159980791286</v>
      </c>
    </row>
    <row r="81" spans="8:17" x14ac:dyDescent="0.25">
      <c r="H81" s="73" t="s">
        <v>79</v>
      </c>
      <c r="I81" s="176"/>
      <c r="J81" s="177">
        <v>24.786809246253771</v>
      </c>
      <c r="K81" s="177">
        <v>40.793055488288566</v>
      </c>
      <c r="L81" s="177">
        <v>63.824287871793572</v>
      </c>
      <c r="M81" s="177">
        <v>74.276687276012893</v>
      </c>
      <c r="N81" s="177">
        <v>73.020802108687832</v>
      </c>
      <c r="O81" s="177">
        <v>71.117121564715603</v>
      </c>
      <c r="P81" s="177">
        <v>75.101405269405106</v>
      </c>
      <c r="Q81" s="178">
        <v>87.821270481187469</v>
      </c>
    </row>
    <row r="82" spans="8:17" x14ac:dyDescent="0.25">
      <c r="H82" s="134" t="s">
        <v>80</v>
      </c>
      <c r="I82" s="176"/>
      <c r="J82" s="177">
        <v>16.929417696242698</v>
      </c>
      <c r="K82" s="177">
        <v>34.780712495645332</v>
      </c>
      <c r="L82" s="177">
        <v>59.740601840366402</v>
      </c>
      <c r="M82" s="177">
        <v>69.655588718479066</v>
      </c>
      <c r="N82" s="177">
        <v>65.253184655808383</v>
      </c>
      <c r="O82" s="177">
        <v>60.459772598948838</v>
      </c>
      <c r="P82" s="177">
        <v>60.054349072340706</v>
      </c>
      <c r="Q82" s="178">
        <v>69.427006850406428</v>
      </c>
    </row>
    <row r="83" spans="8:17" x14ac:dyDescent="0.25">
      <c r="H83" s="179" t="s">
        <v>81</v>
      </c>
      <c r="I83" s="180"/>
      <c r="J83" s="181">
        <v>9.0720261462316216</v>
      </c>
      <c r="K83" s="181">
        <v>28.768369503002098</v>
      </c>
      <c r="L83" s="181">
        <v>55.656915808939225</v>
      </c>
      <c r="M83" s="181">
        <v>65.034490160945225</v>
      </c>
      <c r="N83" s="181">
        <v>57.485567202928941</v>
      </c>
      <c r="O83" s="181">
        <v>49.802423633182073</v>
      </c>
      <c r="P83" s="181">
        <v>45.007292875276299</v>
      </c>
      <c r="Q83" s="182">
        <v>51.032743219625388</v>
      </c>
    </row>
    <row r="84" spans="8:17" x14ac:dyDescent="0.25">
      <c r="H84" s="183" t="s">
        <v>82</v>
      </c>
      <c r="I84" s="184" t="s">
        <v>12</v>
      </c>
      <c r="J84" s="185">
        <v>0</v>
      </c>
      <c r="K84" s="185">
        <v>0.90669563276771237</v>
      </c>
      <c r="L84" s="185">
        <v>1.809398248239692</v>
      </c>
      <c r="M84" s="185">
        <v>2.7380428358117186</v>
      </c>
      <c r="N84" s="185">
        <v>2.6313778076187355</v>
      </c>
      <c r="O84" s="185">
        <v>2.5612466627392356</v>
      </c>
      <c r="P84" s="185">
        <v>3.3562147323236005</v>
      </c>
      <c r="Q84" s="186">
        <v>5.1083182418341071</v>
      </c>
    </row>
    <row r="86" spans="8:17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>
        <f t="shared" ref="J92:O92" si="6">J5</f>
        <v>0.31091455915221666</v>
      </c>
      <c r="K92" s="228">
        <f t="shared" si="6"/>
        <v>0.40000000000003094</v>
      </c>
      <c r="L92" s="228">
        <f t="shared" si="6"/>
        <v>0.59999999999983189</v>
      </c>
      <c r="M92" s="228">
        <f t="shared" si="6"/>
        <v>0.80000000000017357</v>
      </c>
      <c r="N92" s="228">
        <f t="shared" si="6"/>
        <v>0.89999999999980262</v>
      </c>
      <c r="O92" s="228">
        <f t="shared" si="6"/>
        <v>0.95000000000054419</v>
      </c>
      <c r="P92" s="228">
        <f t="shared" ref="P92" si="7">P5</f>
        <v>0.98999999999959887</v>
      </c>
      <c r="Q92" s="229">
        <f>Q5</f>
        <v>1.0000000000001812</v>
      </c>
    </row>
    <row r="93" spans="8:17" ht="18" x14ac:dyDescent="0.25">
      <c r="H93" s="148" t="s">
        <v>89</v>
      </c>
      <c r="I93" s="194" t="s">
        <v>104</v>
      </c>
      <c r="J93" s="195">
        <f>IF(J22&gt;0,  $I$88*(J6*1000)/(J22*1000)/$K$88*1000, 0)</f>
        <v>14.221939731457082</v>
      </c>
      <c r="K93" s="195">
        <f t="shared" ref="K93:O93" si="8">IF(K22&gt;0,  $I$88*(K6*1000)/(K22*1000)/$K$88*1000, 0)</f>
        <v>14.2219397314571</v>
      </c>
      <c r="L93" s="195">
        <f t="shared" si="8"/>
        <v>14.221939731457105</v>
      </c>
      <c r="M93" s="195">
        <f t="shared" si="8"/>
        <v>14.221939731457102</v>
      </c>
      <c r="N93" s="195">
        <f t="shared" si="8"/>
        <v>14.221939731457111</v>
      </c>
      <c r="O93" s="195">
        <f t="shared" si="8"/>
        <v>14.221939731457075</v>
      </c>
      <c r="P93" s="195">
        <f t="shared" ref="P93" si="9">IF(P22&gt;0,  $I$88*(P6*1000)/(P22*1000)/$K$88*1000, 0)</f>
        <v>14.221939731457137</v>
      </c>
      <c r="Q93" s="196">
        <f>IF(Q22&gt;0,  $I$88*(Q6*1000)/(Q22*1000)/$K$88*1000, 0)</f>
        <v>14.221939731457084</v>
      </c>
    </row>
    <row r="94" spans="8:17" ht="18" x14ac:dyDescent="0.25">
      <c r="H94" s="61" t="s">
        <v>90</v>
      </c>
      <c r="I94" s="230" t="s">
        <v>104</v>
      </c>
      <c r="J94" s="231">
        <f>IF(J23&gt;0,$I$89*(J7*1000)/(J23*1000)/$K$89*1000,0)</f>
        <v>0</v>
      </c>
      <c r="K94" s="231">
        <f t="shared" ref="K94:O94" si="10">IF(K23&gt;0,$I$89*(K7*1000)/(K23*1000)/$K$89*1000,0)</f>
        <v>11.625916654409641</v>
      </c>
      <c r="L94" s="231">
        <f t="shared" si="10"/>
        <v>11.625916654409709</v>
      </c>
      <c r="M94" s="231">
        <f t="shared" si="10"/>
        <v>11.625916654409597</v>
      </c>
      <c r="N94" s="231">
        <f t="shared" si="10"/>
        <v>11.62591665440967</v>
      </c>
      <c r="O94" s="231">
        <f t="shared" si="10"/>
        <v>11.625916654409686</v>
      </c>
      <c r="P94" s="231">
        <f t="shared" ref="P94" si="11">IF(P23&gt;0,$I$89*(P7*1000)/(P23*1000)/$K$89*1000,0)</f>
        <v>11.625916654409691</v>
      </c>
      <c r="Q94" s="232">
        <f>IF(Q23&gt;0,$I$89*(Q7*1000)/(Q23*1000)/$K$89*1000,0)</f>
        <v>11.625916654409712</v>
      </c>
    </row>
    <row r="95" spans="8:17" ht="18" x14ac:dyDescent="0.25">
      <c r="H95" s="153" t="s">
        <v>99</v>
      </c>
      <c r="I95" s="197" t="s">
        <v>104</v>
      </c>
      <c r="J95" s="198">
        <f>IF(-J26&gt;0,$I$90*(J8*1000)/(-J26*1000)/$K$90*1000,0)</f>
        <v>0</v>
      </c>
      <c r="K95" s="198">
        <f t="shared" ref="K95:O95" si="12">IF(-K26&gt;0,$I$90*(K8*1000)/(-K26*1000)/$K$90*1000,0)</f>
        <v>19.108921703332374</v>
      </c>
      <c r="L95" s="198">
        <f t="shared" si="12"/>
        <v>19.269404231926003</v>
      </c>
      <c r="M95" s="198">
        <f t="shared" si="12"/>
        <v>19.389392872676876</v>
      </c>
      <c r="N95" s="198">
        <f t="shared" si="12"/>
        <v>21.193169049268672</v>
      </c>
      <c r="O95" s="198">
        <f t="shared" si="12"/>
        <v>24.761770076237763</v>
      </c>
      <c r="P95" s="198">
        <f t="shared" ref="P95" si="13">IF(-P26&gt;0,$I$90*(P8*1000)/(-P26*1000)/$K$90*1000,0)</f>
        <v>49.609187249422597</v>
      </c>
      <c r="Q95" s="198">
        <f>IF(-Q26&gt;0,$I$90*(Q8*1000)/(-Q26*1000)/$K$90*1000,0)</f>
        <v>129.43284952386671</v>
      </c>
    </row>
    <row r="96" spans="8:17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>
        <f t="shared" ref="J97:O97" si="14">J5</f>
        <v>0.31091455915221666</v>
      </c>
      <c r="K97" s="9">
        <f t="shared" si="14"/>
        <v>0.40000000000003094</v>
      </c>
      <c r="L97" s="9">
        <f t="shared" si="14"/>
        <v>0.59999999999983189</v>
      </c>
      <c r="M97" s="9">
        <f t="shared" si="14"/>
        <v>0.80000000000017357</v>
      </c>
      <c r="N97" s="9">
        <f t="shared" si="14"/>
        <v>0.89999999999980262</v>
      </c>
      <c r="O97" s="9">
        <f t="shared" si="14"/>
        <v>0.95000000000054419</v>
      </c>
      <c r="P97" s="9">
        <f t="shared" ref="P97" si="15">P5</f>
        <v>0.98999999999959887</v>
      </c>
      <c r="Q97" s="10">
        <f>Q5</f>
        <v>1.0000000000001812</v>
      </c>
    </row>
    <row r="98" spans="8:17" ht="18" x14ac:dyDescent="0.25">
      <c r="H98" s="200" t="s">
        <v>91</v>
      </c>
      <c r="I98" s="201" t="s">
        <v>106</v>
      </c>
      <c r="J98" s="202">
        <f t="shared" ref="J98:O98" si="16">$M$88/1000*J24*1000</f>
        <v>2667859.7540786904</v>
      </c>
      <c r="K98" s="202">
        <f t="shared" si="16"/>
        <v>2322957.0058507472</v>
      </c>
      <c r="L98" s="202">
        <f t="shared" si="16"/>
        <v>1548638.0039015794</v>
      </c>
      <c r="M98" s="202">
        <f t="shared" si="16"/>
        <v>774319.00194985245</v>
      </c>
      <c r="N98" s="202">
        <f t="shared" si="16"/>
        <v>387159.50097657344</v>
      </c>
      <c r="O98" s="202">
        <f t="shared" si="16"/>
        <v>193579.75048613994</v>
      </c>
      <c r="P98" s="202">
        <f t="shared" ref="P98" si="17">$M$88/1000*P24*1000</f>
        <v>38715.950099379486</v>
      </c>
      <c r="Q98" s="203">
        <f>$M$88/1000*Q24*1000</f>
        <v>1.5768182493047788E-8</v>
      </c>
    </row>
    <row r="99" spans="8:17" ht="18" x14ac:dyDescent="0.25">
      <c r="H99" s="204" t="s">
        <v>92</v>
      </c>
      <c r="I99" s="13" t="s">
        <v>106</v>
      </c>
      <c r="J99" s="31">
        <f>J93/1000*J22*1000</f>
        <v>57985.886003921987</v>
      </c>
      <c r="K99" s="31">
        <f t="shared" ref="J99:L100" si="18">K93/1000*K22*1000</f>
        <v>68377.724874508131</v>
      </c>
      <c r="L99" s="31">
        <f t="shared" si="18"/>
        <v>74492.621893093907</v>
      </c>
      <c r="M99" s="31">
        <f t="shared" ref="M99:O100" si="19">M93/1000*M22*1000</f>
        <v>113741.72651732486</v>
      </c>
      <c r="N99" s="31">
        <f t="shared" si="19"/>
        <v>133775.96840954202</v>
      </c>
      <c r="O99" s="31">
        <f t="shared" si="19"/>
        <v>155292.45363425353</v>
      </c>
      <c r="P99" s="31">
        <f t="shared" ref="P99" si="20">P93/1000*P22*1000</f>
        <v>191093.73052140925</v>
      </c>
      <c r="Q99" s="62">
        <f>Q93/1000*Q22*1000</f>
        <v>140330.60686433798</v>
      </c>
    </row>
    <row r="100" spans="8:17" ht="18" x14ac:dyDescent="0.25">
      <c r="H100" s="204" t="s">
        <v>93</v>
      </c>
      <c r="I100" s="13" t="s">
        <v>106</v>
      </c>
      <c r="J100" s="31">
        <f t="shared" si="18"/>
        <v>0</v>
      </c>
      <c r="K100" s="31">
        <f t="shared" si="18"/>
        <v>868.59169022505148</v>
      </c>
      <c r="L100" s="31">
        <f t="shared" si="18"/>
        <v>18278.373594648321</v>
      </c>
      <c r="M100" s="31">
        <f t="shared" si="19"/>
        <v>15772.078009383253</v>
      </c>
      <c r="N100" s="31">
        <f t="shared" si="19"/>
        <v>29719.334868313126</v>
      </c>
      <c r="O100" s="31">
        <f t="shared" si="19"/>
        <v>41193.354332851159</v>
      </c>
      <c r="P100" s="31">
        <f t="shared" ref="P100" si="21">P94/1000*P23*1000</f>
        <v>69174.967512591553</v>
      </c>
      <c r="Q100" s="62">
        <f>Q94/1000*Q23*1000</f>
        <v>176965.75969046282</v>
      </c>
    </row>
    <row r="101" spans="8:17" ht="18" x14ac:dyDescent="0.25">
      <c r="H101" s="204" t="s">
        <v>94</v>
      </c>
      <c r="I101" s="13" t="s">
        <v>106</v>
      </c>
      <c r="J101" s="31">
        <f t="shared" ref="J101:O101" si="22">J95/1000*(-J26)*1000</f>
        <v>0</v>
      </c>
      <c r="K101" s="31">
        <f t="shared" si="22"/>
        <v>13137.62576782255</v>
      </c>
      <c r="L101" s="31">
        <f t="shared" si="22"/>
        <v>28561.968906792819</v>
      </c>
      <c r="M101" s="31">
        <f t="shared" si="22"/>
        <v>65993.440544528377</v>
      </c>
      <c r="N101" s="31">
        <f t="shared" si="22"/>
        <v>74593.679017704941</v>
      </c>
      <c r="O101" s="31">
        <f t="shared" si="22"/>
        <v>84283.482850284316</v>
      </c>
      <c r="P101" s="31">
        <f t="shared" ref="P101" si="23">P95/1000*(-P26)*1000</f>
        <v>135905.45674553816</v>
      </c>
      <c r="Q101" s="62">
        <f>Q95/1000*(-Q26)*1000</f>
        <v>151904.64882146334</v>
      </c>
    </row>
    <row r="102" spans="8:17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>
        <f t="shared" ref="J105:O105" si="24">J98/J104</f>
        <v>4.9191387951173819</v>
      </c>
      <c r="K105" s="211">
        <f t="shared" si="24"/>
        <v>4.283189140433759</v>
      </c>
      <c r="L105" s="211">
        <f t="shared" si="24"/>
        <v>2.8554594269578333</v>
      </c>
      <c r="M105" s="211">
        <f t="shared" si="24"/>
        <v>1.4277297134770019</v>
      </c>
      <c r="N105" s="211">
        <f t="shared" si="24"/>
        <v>0.71386485674159228</v>
      </c>
      <c r="O105" s="211">
        <f t="shared" si="24"/>
        <v>0.35693242836683858</v>
      </c>
      <c r="P105" s="211">
        <f t="shared" ref="P105" si="25">P98/P104</f>
        <v>7.1386485677334757E-2</v>
      </c>
      <c r="Q105" s="212">
        <f>Q98/Q104</f>
        <v>2.9074196314650019E-14</v>
      </c>
    </row>
    <row r="106" spans="8:17" ht="18" x14ac:dyDescent="0.25">
      <c r="H106" s="213" t="s">
        <v>89</v>
      </c>
      <c r="I106" s="214" t="s">
        <v>109</v>
      </c>
      <c r="J106" s="215">
        <f>J99/J104</f>
        <v>0.10691739735383905</v>
      </c>
      <c r="K106" s="215">
        <f t="shared" ref="K106:O106" si="26">K99/K104</f>
        <v>0.12607841122001295</v>
      </c>
      <c r="L106" s="215">
        <f t="shared" si="26"/>
        <v>0.13735337689475871</v>
      </c>
      <c r="M106" s="215">
        <f t="shared" si="26"/>
        <v>0.20972292065935486</v>
      </c>
      <c r="N106" s="215">
        <f t="shared" si="26"/>
        <v>0.24666309953200391</v>
      </c>
      <c r="O106" s="215">
        <f t="shared" si="26"/>
        <v>0.28633631587766428</v>
      </c>
      <c r="P106" s="215">
        <f t="shared" ref="P106" si="27">P99/P104</f>
        <v>0.3523485752481556</v>
      </c>
      <c r="Q106" s="216">
        <f>Q99/Q104</f>
        <v>0.25874888337489832</v>
      </c>
    </row>
    <row r="107" spans="8:17" ht="18" x14ac:dyDescent="0.25">
      <c r="H107" s="213" t="s">
        <v>90</v>
      </c>
      <c r="I107" s="214" t="s">
        <v>109</v>
      </c>
      <c r="J107" s="215">
        <f t="shared" ref="J107:O107" si="28">J100/J104</f>
        <v>0</v>
      </c>
      <c r="K107" s="215">
        <f t="shared" si="28"/>
        <v>1.6015546071979176E-3</v>
      </c>
      <c r="L107" s="215">
        <f t="shared" si="28"/>
        <v>3.3702617434676306E-2</v>
      </c>
      <c r="M107" s="215">
        <f t="shared" si="28"/>
        <v>2.9081379070601751E-2</v>
      </c>
      <c r="N107" s="215">
        <f t="shared" si="28"/>
        <v>5.4798057841043371E-2</v>
      </c>
      <c r="O107" s="215">
        <f t="shared" si="28"/>
        <v>7.5954452661891048E-2</v>
      </c>
      <c r="P107" s="215">
        <f t="shared" ref="P107" si="29">P100/P104</f>
        <v>0.12754840872797954</v>
      </c>
      <c r="Q107" s="216">
        <f>Q100/Q104</f>
        <v>0.32629868664192541</v>
      </c>
    </row>
    <row r="108" spans="8:17" ht="18" x14ac:dyDescent="0.25">
      <c r="H108" s="213" t="s">
        <v>99</v>
      </c>
      <c r="I108" s="214" t="s">
        <v>109</v>
      </c>
      <c r="J108" s="215">
        <f t="shared" ref="J108:O108" si="30">J101/J104</f>
        <v>0</v>
      </c>
      <c r="K108" s="215">
        <f t="shared" si="30"/>
        <v>2.4223838787413077E-2</v>
      </c>
      <c r="L108" s="215">
        <f t="shared" si="30"/>
        <v>5.2664046188912524E-2</v>
      </c>
      <c r="M108" s="215">
        <f t="shared" si="30"/>
        <v>0.12168214356452424</v>
      </c>
      <c r="N108" s="215">
        <f t="shared" si="30"/>
        <v>0.13753971128561907</v>
      </c>
      <c r="O108" s="215">
        <f t="shared" si="30"/>
        <v>0.15540627637662296</v>
      </c>
      <c r="P108" s="215">
        <f t="shared" ref="P108" si="31">P101/P104</f>
        <v>0.2505895610603262</v>
      </c>
      <c r="Q108" s="216">
        <f>Q101/Q104</f>
        <v>0.28008970487818985</v>
      </c>
    </row>
    <row r="109" spans="8:17" ht="18" x14ac:dyDescent="0.25">
      <c r="H109" s="213" t="s">
        <v>100</v>
      </c>
      <c r="I109" s="214" t="s">
        <v>108</v>
      </c>
      <c r="J109" s="215">
        <f t="shared" ref="J109:O109" si="32">-J103/J104</f>
        <v>-9.4245252972192066</v>
      </c>
      <c r="K109" s="215">
        <f t="shared" si="32"/>
        <v>-9.4245252972192066</v>
      </c>
      <c r="L109" s="215">
        <f t="shared" si="32"/>
        <v>-9.4245252972192066</v>
      </c>
      <c r="M109" s="215">
        <f t="shared" si="32"/>
        <v>-9.4245252972203968</v>
      </c>
      <c r="N109" s="215">
        <f t="shared" si="32"/>
        <v>-9.4245252972200717</v>
      </c>
      <c r="O109" s="215">
        <f t="shared" si="32"/>
        <v>-9.4245252972199971</v>
      </c>
      <c r="P109" s="215">
        <f t="shared" ref="P109" si="33">-P103/P104</f>
        <v>-9.4245252972199971</v>
      </c>
      <c r="Q109" s="216">
        <f>-Q103/Q104</f>
        <v>-9.4245252972206099</v>
      </c>
    </row>
    <row r="110" spans="8:17" ht="18" x14ac:dyDescent="0.25">
      <c r="H110" s="217" t="s">
        <v>101</v>
      </c>
      <c r="I110" s="218" t="s">
        <v>108</v>
      </c>
      <c r="J110" s="219">
        <f t="shared" ref="J110:O110" si="34">SUM(J105:J109)</f>
        <v>-4.3984691047479858</v>
      </c>
      <c r="K110" s="219">
        <f t="shared" si="34"/>
        <v>-4.989432352170823</v>
      </c>
      <c r="L110" s="219">
        <f t="shared" si="34"/>
        <v>-6.3453458297430263</v>
      </c>
      <c r="M110" s="219">
        <f t="shared" si="34"/>
        <v>-7.6363091404489136</v>
      </c>
      <c r="N110" s="219">
        <f t="shared" si="34"/>
        <v>-8.2716595718198125</v>
      </c>
      <c r="O110" s="219">
        <f t="shared" si="34"/>
        <v>-8.5498958239369802</v>
      </c>
      <c r="P110" s="219">
        <f t="shared" ref="P110" si="35">SUM(P105:P109)</f>
        <v>-8.6226522665062006</v>
      </c>
      <c r="Q110" s="220">
        <f>SUM(Q105:Q109)</f>
        <v>-8.5593880223255674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 t="shared" ref="J112:O112" si="36">(J31+J37)*J104/J22</f>
        <v>24.786809246250023</v>
      </c>
      <c r="K112" s="284">
        <f t="shared" si="36"/>
        <v>24.786809246250055</v>
      </c>
      <c r="L112" s="284">
        <f t="shared" si="36"/>
        <v>24.786809246250073</v>
      </c>
      <c r="M112" s="284">
        <f t="shared" si="36"/>
        <v>24.786809246253306</v>
      </c>
      <c r="N112" s="284">
        <f t="shared" si="36"/>
        <v>24.78680924625143</v>
      </c>
      <c r="O112" s="284">
        <f t="shared" si="36"/>
        <v>24.786809246251316</v>
      </c>
      <c r="P112" s="284">
        <f t="shared" ref="P112" si="37">(P31+P37)*P104/P22</f>
        <v>24.786809246251426</v>
      </c>
      <c r="Q112" s="285">
        <f>(Q31+Q37)*Q104/Q22</f>
        <v>24.786809246251416</v>
      </c>
    </row>
    <row r="113" spans="8:17" x14ac:dyDescent="0.25">
      <c r="H113" s="286" t="s">
        <v>134</v>
      </c>
      <c r="I113" s="287"/>
      <c r="J113" s="181">
        <f>K113</f>
        <v>91.783552534799085</v>
      </c>
      <c r="K113" s="181">
        <f t="shared" ref="K113:O113" si="38">IF(K32&gt;0,(K32+K38)*K104/K23,0)</f>
        <v>91.783552534799085</v>
      </c>
      <c r="L113" s="181">
        <f t="shared" si="38"/>
        <v>91.783552534799625</v>
      </c>
      <c r="M113" s="181">
        <f t="shared" si="38"/>
        <v>91.783552534810752</v>
      </c>
      <c r="N113" s="181">
        <f t="shared" si="38"/>
        <v>91.783552534804357</v>
      </c>
      <c r="O113" s="181">
        <f t="shared" si="38"/>
        <v>91.783552534804286</v>
      </c>
      <c r="P113" s="181">
        <f t="shared" ref="P113" si="39">IF(P32&gt;0,(P32+P38)*P104/P23,0)</f>
        <v>91.783552534804329</v>
      </c>
      <c r="Q113" s="182">
        <f>IF(Q32&gt;0,(Q32+Q38)*Q104/Q23,0)</f>
        <v>91.783552534804755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>J28</f>
        <v>6.2755134422332048E-10</v>
      </c>
      <c r="K115" s="228">
        <f t="shared" ref="K115:O115" si="40">K28</f>
        <v>4.6372861106647179E-10</v>
      </c>
      <c r="L115" s="228">
        <f t="shared" si="40"/>
        <v>1.1850715964101255E-9</v>
      </c>
      <c r="M115" s="228">
        <f t="shared" si="40"/>
        <v>7.4305717134848237E-10</v>
      </c>
      <c r="N115" s="228">
        <f t="shared" si="40"/>
        <v>1.7398633644916117E-9</v>
      </c>
      <c r="O115" s="228">
        <f t="shared" si="40"/>
        <v>1.7239472072105855E-9</v>
      </c>
      <c r="P115" s="228">
        <f t="shared" ref="P115" si="41">P28</f>
        <v>7.9035089584067464E-10</v>
      </c>
      <c r="Q115" s="229">
        <f>Q28</f>
        <v>1.79602466232609E-9</v>
      </c>
    </row>
    <row r="116" spans="8:17" ht="18" x14ac:dyDescent="0.25">
      <c r="H116" s="148" t="s">
        <v>89</v>
      </c>
      <c r="I116" s="194" t="s">
        <v>104</v>
      </c>
      <c r="J116" s="195">
        <f>IF(J22&gt;0,  $J$88*(J6*1000)/(J22*1000)/$K$88*1000, 0)</f>
        <v>47.406465771523607</v>
      </c>
      <c r="K116" s="195">
        <f t="shared" ref="K116:O116" si="42">IF(K22&gt;0,  $J$88*(K6*1000)/(K22*1000)/$K$88*1000, 0)</f>
        <v>47.406465771523671</v>
      </c>
      <c r="L116" s="195">
        <f t="shared" si="42"/>
        <v>47.406465771523692</v>
      </c>
      <c r="M116" s="195">
        <f t="shared" si="42"/>
        <v>47.406465771523671</v>
      </c>
      <c r="N116" s="195">
        <f t="shared" si="42"/>
        <v>47.406465771523699</v>
      </c>
      <c r="O116" s="195">
        <f t="shared" si="42"/>
        <v>47.406465771523585</v>
      </c>
      <c r="P116" s="195">
        <f t="shared" ref="P116" si="43">IF(P22&gt;0,  $J$88*(P6*1000)/(P22*1000)/$K$88*1000, 0)</f>
        <v>47.406465771523784</v>
      </c>
      <c r="Q116" s="196">
        <f>IF(Q22&gt;0,  $J$88*(Q6*1000)/(Q22*1000)/$K$88*1000, 0)</f>
        <v>47.406465771523607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44">IF(J23&gt;0,$J$89*(J7*1000)/(J23*1000)/$K$89*1000,0)</f>
        <v>0</v>
      </c>
      <c r="K117" s="231">
        <f t="shared" si="44"/>
        <v>19.886436382542804</v>
      </c>
      <c r="L117" s="231">
        <f t="shared" si="44"/>
        <v>19.886436382542922</v>
      </c>
      <c r="M117" s="231">
        <f t="shared" si="44"/>
        <v>19.88643638254273</v>
      </c>
      <c r="N117" s="231">
        <f t="shared" si="44"/>
        <v>19.886436382542858</v>
      </c>
      <c r="O117" s="231">
        <f t="shared" si="44"/>
        <v>19.886436382542882</v>
      </c>
      <c r="P117" s="231">
        <f t="shared" ref="P117" si="45">IF(P23&gt;0,$J$89*(P7*1000)/(P23*1000)/$K$89*1000,0)</f>
        <v>19.88643638254289</v>
      </c>
      <c r="Q117" s="232">
        <f>IF(Q23&gt;0,$J$89*(Q7*1000)/(Q23*1000)/$K$89*1000,0)</f>
        <v>19.886436382542929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46">IF(-J26&gt;0,$J$90*(J8*1000)/(-J26*1000)/$K$90*1000,0)</f>
        <v>0</v>
      </c>
      <c r="K118" s="198">
        <f t="shared" si="46"/>
        <v>36.285480537788445</v>
      </c>
      <c r="L118" s="198">
        <f t="shared" si="46"/>
        <v>36.590217024668469</v>
      </c>
      <c r="M118" s="198">
        <f t="shared" si="46"/>
        <v>36.818060623397663</v>
      </c>
      <c r="N118" s="198">
        <f t="shared" si="46"/>
        <v>40.243208644116912</v>
      </c>
      <c r="O118" s="198">
        <f t="shared" si="46"/>
        <v>47.019540931282947</v>
      </c>
      <c r="P118" s="198">
        <f t="shared" ref="P118" si="47">IF(-P26&gt;0,$J$90*(P8*1000)/(-P26*1000)/$K$90*1000,0)</f>
        <v>94.201715114072115</v>
      </c>
      <c r="Q118" s="199">
        <f>IF(-Q26&gt;0,$J$90*(Q8*1000)/(-Q26*1000)/$K$90*1000,0)</f>
        <v>245.7769839273424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48">J28</f>
        <v>6.2755134422332048E-10</v>
      </c>
      <c r="K120" s="9">
        <f t="shared" si="48"/>
        <v>4.6372861106647179E-10</v>
      </c>
      <c r="L120" s="9">
        <f t="shared" si="48"/>
        <v>1.1850715964101255E-9</v>
      </c>
      <c r="M120" s="9">
        <f t="shared" si="48"/>
        <v>7.4305717134848237E-10</v>
      </c>
      <c r="N120" s="9">
        <f t="shared" si="48"/>
        <v>1.7398633644916117E-9</v>
      </c>
      <c r="O120" s="9">
        <f t="shared" si="48"/>
        <v>1.7239472072105855E-9</v>
      </c>
      <c r="P120" s="9">
        <f t="shared" ref="P120" si="49">P28</f>
        <v>7.9035089584067464E-10</v>
      </c>
      <c r="Q120" s="10">
        <f>Q28</f>
        <v>1.79602466232609E-9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2667859.7540786904</v>
      </c>
      <c r="K121" s="202">
        <f t="shared" ref="K121:O121" si="50">$M$88/1000*K24*1000</f>
        <v>2322957.0058507472</v>
      </c>
      <c r="L121" s="202">
        <f t="shared" si="50"/>
        <v>1548638.0039015794</v>
      </c>
      <c r="M121" s="202">
        <f t="shared" si="50"/>
        <v>774319.00194985245</v>
      </c>
      <c r="N121" s="202">
        <f t="shared" si="50"/>
        <v>387159.50097657344</v>
      </c>
      <c r="O121" s="202">
        <f t="shared" si="50"/>
        <v>193579.75048613994</v>
      </c>
      <c r="P121" s="202">
        <f t="shared" ref="P121" si="51">$M$88/1000*P24*1000</f>
        <v>38715.950099379486</v>
      </c>
      <c r="Q121" s="203">
        <f>$M$88/1000*Q24*1000</f>
        <v>1.5768182493047788E-8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193286.28667973995</v>
      </c>
      <c r="K122" s="31">
        <f t="shared" ref="K122:O123" si="52">K116/1000*K22*1000</f>
        <v>227925.74958169376</v>
      </c>
      <c r="L122" s="31">
        <f t="shared" si="52"/>
        <v>248308.73964364643</v>
      </c>
      <c r="M122" s="31">
        <f t="shared" si="52"/>
        <v>379139.08839108289</v>
      </c>
      <c r="N122" s="31">
        <f t="shared" si="52"/>
        <v>445919.89469847339</v>
      </c>
      <c r="O122" s="31">
        <f t="shared" si="52"/>
        <v>517641.51211417833</v>
      </c>
      <c r="P122" s="31">
        <f t="shared" ref="P122" si="53">P116/1000*P22*1000</f>
        <v>636979.10173803067</v>
      </c>
      <c r="Q122" s="62">
        <f>Q116/1000*Q22*1000</f>
        <v>467768.68954779318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52"/>
        <v>1485.7489438060088</v>
      </c>
      <c r="L123" s="31">
        <f t="shared" si="52"/>
        <v>31265.639043477389</v>
      </c>
      <c r="M123" s="31">
        <f t="shared" si="52"/>
        <v>26978.554489734506</v>
      </c>
      <c r="N123" s="31">
        <f t="shared" si="52"/>
        <v>50835.704380009309</v>
      </c>
      <c r="O123" s="31">
        <f t="shared" si="52"/>
        <v>70462.316621982245</v>
      </c>
      <c r="P123" s="31">
        <f t="shared" ref="P123" si="54">P117/1000*P23*1000</f>
        <v>118325.60232416975</v>
      </c>
      <c r="Q123" s="62">
        <f>Q117/1000*Q23*1000</f>
        <v>302704.58894421271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55">K118/1000*(-K26)*1000</f>
        <v>24946.727581595638</v>
      </c>
      <c r="L124" s="31">
        <f t="shared" si="55"/>
        <v>54235.648823011077</v>
      </c>
      <c r="M124" s="31">
        <f t="shared" si="55"/>
        <v>125313.38710140783</v>
      </c>
      <c r="N124" s="31">
        <f t="shared" si="55"/>
        <v>141644.17701114761</v>
      </c>
      <c r="O124" s="31">
        <f t="shared" si="55"/>
        <v>160043.91687301183</v>
      </c>
      <c r="P124" s="31">
        <f t="shared" ref="P124" si="56">P118/1000*(-P26)*1000</f>
        <v>258067.66505613428</v>
      </c>
      <c r="Q124" s="62">
        <f>Q118/1000*(-Q26)*1000</f>
        <v>288448.15338008211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57">J121/J127</f>
        <v>4.9191387951173819</v>
      </c>
      <c r="K128" s="211">
        <f t="shared" si="57"/>
        <v>4.283189140433759</v>
      </c>
      <c r="L128" s="211">
        <f t="shared" si="57"/>
        <v>2.8554594269578333</v>
      </c>
      <c r="M128" s="211">
        <f t="shared" si="57"/>
        <v>1.4277297134770019</v>
      </c>
      <c r="N128" s="211">
        <f t="shared" si="57"/>
        <v>0.71386485674159228</v>
      </c>
      <c r="O128" s="211">
        <f t="shared" si="57"/>
        <v>0.35693242836683858</v>
      </c>
      <c r="P128" s="211">
        <f t="shared" ref="P128" si="58">P121/P127</f>
        <v>7.1386485677334757E-2</v>
      </c>
      <c r="Q128" s="212">
        <f>Q121/Q127</f>
        <v>2.9074196314650019E-14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59">J122/J127</f>
        <v>0.35639132451279681</v>
      </c>
      <c r="K129" s="215">
        <f t="shared" si="59"/>
        <v>0.42026137073337649</v>
      </c>
      <c r="L129" s="215">
        <f t="shared" si="59"/>
        <v>0.45784458964919589</v>
      </c>
      <c r="M129" s="215">
        <f t="shared" si="59"/>
        <v>0.69907640219784961</v>
      </c>
      <c r="N129" s="215">
        <f t="shared" si="59"/>
        <v>0.82221033177334635</v>
      </c>
      <c r="O129" s="215">
        <f t="shared" si="59"/>
        <v>0.95445438625888068</v>
      </c>
      <c r="P129" s="215">
        <f t="shared" ref="P129" si="60">P122/P127</f>
        <v>1.1744952508271851</v>
      </c>
      <c r="Q129" s="216">
        <f>Q122/Q127</f>
        <v>0.86249627791632766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61">J123/J127</f>
        <v>0</v>
      </c>
      <c r="K130" s="215">
        <f t="shared" si="61"/>
        <v>2.739501301785911E-3</v>
      </c>
      <c r="L130" s="215">
        <f t="shared" si="61"/>
        <v>5.7649214032998941E-2</v>
      </c>
      <c r="M130" s="215">
        <f t="shared" si="61"/>
        <v>4.9744464199713512E-2</v>
      </c>
      <c r="N130" s="215">
        <f t="shared" si="61"/>
        <v>9.3733519991258424E-2</v>
      </c>
      <c r="O130" s="215">
        <f t="shared" si="61"/>
        <v>0.12992209007955047</v>
      </c>
      <c r="P130" s="215">
        <f t="shared" ref="P130" si="62">P123/P127</f>
        <v>0.21817490966628075</v>
      </c>
      <c r="Q130" s="216">
        <f>Q123/Q127</f>
        <v>0.55814249030855667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63">K124/K127</f>
        <v>4.5998075899694506E-2</v>
      </c>
      <c r="L131" s="215">
        <f t="shared" si="63"/>
        <v>0.10000251467332825</v>
      </c>
      <c r="M131" s="215">
        <f t="shared" si="63"/>
        <v>0.23105935126297303</v>
      </c>
      <c r="N131" s="215">
        <f t="shared" si="63"/>
        <v>0.26117091244123175</v>
      </c>
      <c r="O131" s="215">
        <f t="shared" si="63"/>
        <v>0.29509731132190209</v>
      </c>
      <c r="P131" s="215">
        <f t="shared" ref="P131" si="64">P124/P127</f>
        <v>0.47583860471005768</v>
      </c>
      <c r="Q131" s="216">
        <f>Q124/Q127</f>
        <v>0.53185573173498979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65">-K126/K127</f>
        <v>-9.4245252972192066</v>
      </c>
      <c r="L132" s="215">
        <f t="shared" si="65"/>
        <v>-9.4245252972192066</v>
      </c>
      <c r="M132" s="215">
        <f t="shared" si="65"/>
        <v>-9.4245252972203968</v>
      </c>
      <c r="N132" s="215">
        <f t="shared" si="65"/>
        <v>-9.4245252972200717</v>
      </c>
      <c r="O132" s="215">
        <f t="shared" si="65"/>
        <v>-9.4245252972199971</v>
      </c>
      <c r="P132" s="215">
        <f t="shared" ref="P132" si="66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67">SUM(J128:J132)</f>
        <v>-4.1489951775890281</v>
      </c>
      <c r="K133" s="219">
        <f t="shared" si="67"/>
        <v>-4.6723372088505908</v>
      </c>
      <c r="L133" s="219">
        <f t="shared" si="67"/>
        <v>-5.9535695519058507</v>
      </c>
      <c r="M133" s="219">
        <f t="shared" si="67"/>
        <v>-7.0169153660828592</v>
      </c>
      <c r="N133" s="219">
        <f t="shared" si="67"/>
        <v>-7.5335456762726434</v>
      </c>
      <c r="O133" s="219">
        <f t="shared" si="67"/>
        <v>-7.6881190811928253</v>
      </c>
      <c r="P133" s="219">
        <f t="shared" ref="P133" si="68">SUM(P128:P132)</f>
        <v>-7.4846300463391389</v>
      </c>
      <c r="Q133" s="220">
        <f>SUM(Q128:Q132)</f>
        <v>-7.4720307972607074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0.10691739735383905</v>
      </c>
      <c r="K136" s="366">
        <f t="shared" ref="K136:O136" si="69">SUM(K106:K108)</f>
        <v>0.15190380461462394</v>
      </c>
      <c r="L136" s="366">
        <f t="shared" si="69"/>
        <v>0.22372004051834754</v>
      </c>
      <c r="M136" s="366">
        <f t="shared" si="69"/>
        <v>0.36048644329448082</v>
      </c>
      <c r="N136" s="366">
        <f t="shared" si="69"/>
        <v>0.43900086865866639</v>
      </c>
      <c r="O136" s="366">
        <f t="shared" si="69"/>
        <v>0.5176970449161783</v>
      </c>
      <c r="P136" s="366">
        <f t="shared" ref="P136" si="70">SUM(P106:P108)</f>
        <v>0.73048654503646127</v>
      </c>
      <c r="Q136" s="367">
        <f>SUM(Q106:Q108)</f>
        <v>0.86513727489501357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0.35639132451279681</v>
      </c>
      <c r="K137" s="289">
        <f t="shared" ref="K137:O137" si="71">SUM(K129:K131)</f>
        <v>0.46899894793485691</v>
      </c>
      <c r="L137" s="289">
        <f t="shared" si="71"/>
        <v>0.61549631835552299</v>
      </c>
      <c r="M137" s="289">
        <f t="shared" si="71"/>
        <v>0.97988021766053612</v>
      </c>
      <c r="N137" s="289">
        <f t="shared" si="71"/>
        <v>1.1771147642058366</v>
      </c>
      <c r="O137" s="289">
        <f t="shared" si="71"/>
        <v>1.3794737876603334</v>
      </c>
      <c r="P137" s="289">
        <f t="shared" ref="P137" si="72">SUM(P129:P131)</f>
        <v>1.8685087652035235</v>
      </c>
      <c r="Q137" s="370">
        <f>SUM(Q129:Q131)</f>
        <v>1.9524944999598741</v>
      </c>
    </row>
    <row r="138" spans="8:17" ht="18" x14ac:dyDescent="0.25">
      <c r="H138" s="368" t="s">
        <v>189</v>
      </c>
      <c r="I138" s="369" t="s">
        <v>190</v>
      </c>
      <c r="J138" s="289">
        <f>J128</f>
        <v>4.9191387951173819</v>
      </c>
      <c r="K138" s="289">
        <f t="shared" ref="K138:O138" si="73">K128</f>
        <v>4.283189140433759</v>
      </c>
      <c r="L138" s="289">
        <f t="shared" si="73"/>
        <v>2.8554594269578333</v>
      </c>
      <c r="M138" s="289">
        <f t="shared" si="73"/>
        <v>1.4277297134770019</v>
      </c>
      <c r="N138" s="289">
        <f t="shared" si="73"/>
        <v>0.71386485674159228</v>
      </c>
      <c r="O138" s="289">
        <f t="shared" si="73"/>
        <v>0.35693242836683858</v>
      </c>
      <c r="P138" s="289">
        <f t="shared" ref="P138" si="74">P128</f>
        <v>7.1386485677334757E-2</v>
      </c>
      <c r="Q138" s="370">
        <f>Q128</f>
        <v>2.9074196314650019E-14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75">K132</f>
        <v>-9.4245252972192066</v>
      </c>
      <c r="L139" s="289">
        <f t="shared" si="75"/>
        <v>-9.4245252972192066</v>
      </c>
      <c r="M139" s="289">
        <f t="shared" si="75"/>
        <v>-9.4245252972203968</v>
      </c>
      <c r="N139" s="289">
        <f t="shared" si="75"/>
        <v>-9.4245252972200717</v>
      </c>
      <c r="O139" s="289">
        <f t="shared" si="75"/>
        <v>-9.4245252972199971</v>
      </c>
      <c r="P139" s="289">
        <f t="shared" ref="P139" si="76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-4.3984691047479858</v>
      </c>
      <c r="K140" s="289">
        <f t="shared" ref="K140:O140" si="77">K136+K138+K139</f>
        <v>-4.9894323521708239</v>
      </c>
      <c r="L140" s="289">
        <f t="shared" si="77"/>
        <v>-6.3453458297430263</v>
      </c>
      <c r="M140" s="289">
        <f t="shared" si="77"/>
        <v>-7.6363091404489136</v>
      </c>
      <c r="N140" s="289">
        <f t="shared" si="77"/>
        <v>-8.2716595718198125</v>
      </c>
      <c r="O140" s="289">
        <f t="shared" si="77"/>
        <v>-8.5498958239369802</v>
      </c>
      <c r="P140" s="289">
        <f t="shared" ref="P140" si="78">P136+P138+P139</f>
        <v>-8.6226522665062006</v>
      </c>
      <c r="Q140" s="370">
        <f>Q136+Q138+Q139</f>
        <v>-8.5593880223255674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-4.1489951775890281</v>
      </c>
      <c r="K141" s="374">
        <f t="shared" ref="K141:O141" si="79">K137+K138+K139</f>
        <v>-4.6723372088505908</v>
      </c>
      <c r="L141" s="374">
        <f t="shared" si="79"/>
        <v>-5.9535695519058507</v>
      </c>
      <c r="M141" s="374">
        <f t="shared" si="79"/>
        <v>-7.0169153660828592</v>
      </c>
      <c r="N141" s="374">
        <f t="shared" si="79"/>
        <v>-7.5335456762726434</v>
      </c>
      <c r="O141" s="374">
        <f t="shared" si="79"/>
        <v>-7.6881190811928253</v>
      </c>
      <c r="P141" s="374">
        <f t="shared" ref="P141" si="80">P137+P138+P139</f>
        <v>-7.4846300463391389</v>
      </c>
      <c r="Q141" s="375">
        <f>Q137+Q138+Q139</f>
        <v>-7.4720307972607065</v>
      </c>
    </row>
    <row r="142" spans="8:17" x14ac:dyDescent="0.25">
      <c r="H142" s="376" t="s">
        <v>196</v>
      </c>
      <c r="I142" s="377"/>
      <c r="J142" s="378">
        <f>J140-J110</f>
        <v>0</v>
      </c>
      <c r="K142" s="378">
        <f t="shared" ref="K142:O142" si="81">K140-K110</f>
        <v>0</v>
      </c>
      <c r="L142" s="378">
        <f t="shared" si="81"/>
        <v>0</v>
      </c>
      <c r="M142" s="378">
        <f t="shared" si="81"/>
        <v>0</v>
      </c>
      <c r="N142" s="378">
        <f t="shared" si="81"/>
        <v>0</v>
      </c>
      <c r="O142" s="378">
        <f t="shared" si="81"/>
        <v>0</v>
      </c>
      <c r="P142" s="378">
        <f t="shared" ref="P142" si="82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83">K141-K133</f>
        <v>0</v>
      </c>
      <c r="L143" s="382">
        <f t="shared" si="83"/>
        <v>0</v>
      </c>
      <c r="M143" s="382">
        <f t="shared" si="83"/>
        <v>0</v>
      </c>
      <c r="N143" s="382">
        <f t="shared" si="83"/>
        <v>0</v>
      </c>
      <c r="O143" s="382">
        <f t="shared" si="83"/>
        <v>0</v>
      </c>
      <c r="P143" s="382">
        <f t="shared" ref="P143" si="84">P141-P133</f>
        <v>0</v>
      </c>
      <c r="Q143" s="383">
        <f>Q141-Q133</f>
        <v>0</v>
      </c>
    </row>
    <row r="144" spans="8:17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F43B-12DF-42B9-B965-0C56EC2AE270}">
  <sheetPr codeName="Foglio13"/>
  <dimension ref="A3:AA163"/>
  <sheetViews>
    <sheetView zoomScale="25" zoomScaleNormal="25" workbookViewId="0">
      <selection activeCell="X9" sqref="X9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7" x14ac:dyDescent="0.25">
      <c r="U3" s="1"/>
      <c r="V3" s="1"/>
      <c r="W3" s="2"/>
    </row>
    <row r="4" spans="1:27" x14ac:dyDescent="0.25">
      <c r="A4" s="225" t="s">
        <v>102</v>
      </c>
      <c r="B4" s="225" t="s">
        <v>140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7" ht="15.75" thickBot="1" x14ac:dyDescent="0.3">
      <c r="H5" s="7" t="s">
        <v>1</v>
      </c>
      <c r="I5" s="8" t="s">
        <v>2</v>
      </c>
      <c r="J5" s="9">
        <v>0.31091455915221666</v>
      </c>
      <c r="K5" s="9">
        <v>0.40000000000001379</v>
      </c>
      <c r="L5" s="9">
        <v>0.60000000000001419</v>
      </c>
      <c r="M5" s="9">
        <v>0.80000000000006211</v>
      </c>
      <c r="N5" s="9">
        <v>0.90000000000004798</v>
      </c>
      <c r="O5" s="9">
        <v>0.95000000000000251</v>
      </c>
      <c r="P5" s="9">
        <v>0.99000000000014476</v>
      </c>
      <c r="Q5" s="10">
        <v>0.99999999999998379</v>
      </c>
      <c r="R5" s="11" t="str">
        <f>H5</f>
        <v>Renewable Energy Share</v>
      </c>
      <c r="S5" s="296"/>
      <c r="T5" s="296">
        <f t="shared" ref="T5:Z13" si="0">J5</f>
        <v>0.31091455915221666</v>
      </c>
      <c r="U5" s="296">
        <f t="shared" si="0"/>
        <v>0.40000000000001379</v>
      </c>
      <c r="V5" s="296">
        <f t="shared" si="0"/>
        <v>0.60000000000001419</v>
      </c>
      <c r="W5" s="296">
        <f t="shared" si="0"/>
        <v>0.80000000000006211</v>
      </c>
      <c r="X5" s="296">
        <f t="shared" si="0"/>
        <v>0.90000000000004798</v>
      </c>
      <c r="Y5" s="296">
        <f t="shared" si="0"/>
        <v>0.95000000000000251</v>
      </c>
      <c r="Z5" s="296">
        <f t="shared" si="0"/>
        <v>0.99000000000014476</v>
      </c>
      <c r="AA5" s="296">
        <f t="shared" ref="AA5:AA13" si="1">Q5</f>
        <v>0.99999999999998379</v>
      </c>
    </row>
    <row r="6" spans="1:27" ht="15.75" thickTop="1" x14ac:dyDescent="0.25">
      <c r="C6" s="13"/>
      <c r="H6" s="14" t="s">
        <v>3</v>
      </c>
      <c r="I6" s="15" t="s">
        <v>4</v>
      </c>
      <c r="J6" s="16">
        <v>2.7612326668534277</v>
      </c>
      <c r="K6" s="16">
        <v>3.5649480856616891</v>
      </c>
      <c r="L6" s="16">
        <v>4.016673439743899</v>
      </c>
      <c r="M6" s="16">
        <v>5.3416101226051387</v>
      </c>
      <c r="N6" s="16">
        <v>5.5919240902600258</v>
      </c>
      <c r="O6" s="16">
        <v>6.0996284753078269</v>
      </c>
      <c r="P6" s="16">
        <v>7.651830279243768</v>
      </c>
      <c r="Q6" s="17">
        <v>6.3000165576652165</v>
      </c>
      <c r="R6" s="18" t="str">
        <f>H6</f>
        <v>PV capacity</v>
      </c>
      <c r="S6" s="19" t="str">
        <f t="shared" ref="S6:Y13" si="2">I6</f>
        <v>MW</v>
      </c>
      <c r="T6" s="19">
        <f t="shared" si="0"/>
        <v>2.7612326668534277</v>
      </c>
      <c r="U6" s="19">
        <f t="shared" si="0"/>
        <v>3.5649480856616891</v>
      </c>
      <c r="V6" s="19">
        <f t="shared" si="0"/>
        <v>4.016673439743899</v>
      </c>
      <c r="W6" s="19">
        <f t="shared" si="0"/>
        <v>5.3416101226051387</v>
      </c>
      <c r="X6" s="19">
        <f t="shared" si="0"/>
        <v>5.5919240902600258</v>
      </c>
      <c r="Y6" s="19">
        <f t="shared" si="0"/>
        <v>6.0996284753078269</v>
      </c>
      <c r="Z6" s="19">
        <f t="shared" si="0"/>
        <v>7.651830279243768</v>
      </c>
      <c r="AA6" s="19">
        <f t="shared" si="1"/>
        <v>6.3000165576652165</v>
      </c>
    </row>
    <row r="7" spans="1:27" x14ac:dyDescent="0.25">
      <c r="A7" s="13"/>
      <c r="B7" s="20"/>
      <c r="C7" s="13"/>
      <c r="H7" s="21" t="s">
        <v>5</v>
      </c>
      <c r="I7" s="6" t="s">
        <v>4</v>
      </c>
      <c r="J7" s="22">
        <v>0</v>
      </c>
      <c r="K7" s="22">
        <v>0</v>
      </c>
      <c r="L7" s="22">
        <v>0.73794459298649895</v>
      </c>
      <c r="M7" s="22">
        <v>1.1083844840025094</v>
      </c>
      <c r="N7" s="22">
        <v>2.0303962494128895</v>
      </c>
      <c r="O7" s="22">
        <v>2.6345908659105852</v>
      </c>
      <c r="P7" s="22">
        <v>4.2836620351046903</v>
      </c>
      <c r="Q7" s="23">
        <v>11.491116424935511</v>
      </c>
      <c r="R7" s="24" t="str">
        <f t="shared" ref="R7:R13" si="3">H7</f>
        <v>Wind capacity</v>
      </c>
      <c r="S7" s="22" t="str">
        <f t="shared" si="2"/>
        <v>MW</v>
      </c>
      <c r="T7" s="22">
        <f>J7</f>
        <v>0</v>
      </c>
      <c r="U7" s="22">
        <f t="shared" si="0"/>
        <v>0</v>
      </c>
      <c r="V7" s="22">
        <f t="shared" si="0"/>
        <v>0.73794459298649895</v>
      </c>
      <c r="W7" s="22">
        <f t="shared" si="0"/>
        <v>1.1083844840025094</v>
      </c>
      <c r="X7" s="22">
        <f t="shared" si="0"/>
        <v>2.0303962494128895</v>
      </c>
      <c r="Y7" s="22">
        <f t="shared" si="0"/>
        <v>2.6345908659105852</v>
      </c>
      <c r="Z7" s="22">
        <f t="shared" si="0"/>
        <v>4.2836620351046903</v>
      </c>
      <c r="AA7" s="22">
        <f t="shared" si="1"/>
        <v>11.491116424935511</v>
      </c>
    </row>
    <row r="8" spans="1:27" x14ac:dyDescent="0.25">
      <c r="A8" s="13"/>
      <c r="B8" s="20"/>
      <c r="C8" s="13"/>
      <c r="H8" s="21" t="s">
        <v>6</v>
      </c>
      <c r="I8" s="6" t="s">
        <v>7</v>
      </c>
      <c r="J8" s="22">
        <v>0</v>
      </c>
      <c r="K8" s="22">
        <v>0.64514152516602474</v>
      </c>
      <c r="L8" s="22">
        <v>5.3102739236182046</v>
      </c>
      <c r="M8" s="22">
        <v>11.468323101869203</v>
      </c>
      <c r="N8" s="22">
        <v>12.394365918357554</v>
      </c>
      <c r="O8" s="22">
        <v>13.34760249501617</v>
      </c>
      <c r="P8" s="22">
        <v>16.845513344533003</v>
      </c>
      <c r="Q8" s="23">
        <v>17.252986503180502</v>
      </c>
      <c r="R8" s="24" t="s">
        <v>6</v>
      </c>
      <c r="S8" s="22" t="str">
        <f t="shared" si="2"/>
        <v>MWh</v>
      </c>
      <c r="T8" s="22">
        <f t="shared" si="2"/>
        <v>0</v>
      </c>
      <c r="U8" s="22">
        <f t="shared" si="2"/>
        <v>0.64514152516602474</v>
      </c>
      <c r="V8" s="22">
        <f t="shared" si="2"/>
        <v>5.3102739236182046</v>
      </c>
      <c r="W8" s="22">
        <f t="shared" si="2"/>
        <v>11.468323101869203</v>
      </c>
      <c r="X8" s="22">
        <f t="shared" si="2"/>
        <v>12.394365918357554</v>
      </c>
      <c r="Y8" s="22">
        <f t="shared" si="2"/>
        <v>13.34760249501617</v>
      </c>
      <c r="Z8" s="22">
        <f t="shared" si="0"/>
        <v>16.845513344533003</v>
      </c>
      <c r="AA8" s="22">
        <f t="shared" si="1"/>
        <v>17.252986503180502</v>
      </c>
    </row>
    <row r="9" spans="1:27" ht="15.75" thickBot="1" x14ac:dyDescent="0.3">
      <c r="A9" s="13"/>
      <c r="B9" s="20"/>
      <c r="C9" s="13"/>
      <c r="H9" s="25" t="s">
        <v>8</v>
      </c>
      <c r="I9" s="26" t="s">
        <v>9</v>
      </c>
      <c r="J9" s="27">
        <v>0</v>
      </c>
      <c r="K9" s="27">
        <v>242</v>
      </c>
      <c r="L9" s="27">
        <v>230</v>
      </c>
      <c r="M9" s="27">
        <v>229</v>
      </c>
      <c r="N9" s="27">
        <v>218</v>
      </c>
      <c r="O9" s="27">
        <v>196</v>
      </c>
      <c r="P9" s="27">
        <v>138</v>
      </c>
      <c r="Q9" s="28">
        <v>63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 t="s">
        <v>9</v>
      </c>
      <c r="V9" s="29" t="s">
        <v>9</v>
      </c>
      <c r="W9" s="29">
        <f t="shared" si="2"/>
        <v>229</v>
      </c>
      <c r="X9" s="29">
        <f t="shared" si="2"/>
        <v>218</v>
      </c>
      <c r="Y9" s="29">
        <f t="shared" si="2"/>
        <v>196</v>
      </c>
      <c r="Z9" s="29">
        <f t="shared" si="0"/>
        <v>138</v>
      </c>
      <c r="AA9" s="29">
        <f t="shared" si="1"/>
        <v>63</v>
      </c>
    </row>
    <row r="10" spans="1:27" ht="15.75" thickTop="1" x14ac:dyDescent="0.25">
      <c r="A10" s="13"/>
      <c r="B10" s="20"/>
      <c r="C10" s="13"/>
      <c r="H10" s="14" t="s">
        <v>10</v>
      </c>
      <c r="I10" s="15" t="s">
        <v>18</v>
      </c>
      <c r="J10" s="16">
        <v>0</v>
      </c>
      <c r="K10" s="16">
        <v>124.3354529414232</v>
      </c>
      <c r="L10" s="16">
        <v>149.97793378155112</v>
      </c>
      <c r="M10" s="16">
        <v>190.01628426329182</v>
      </c>
      <c r="N10" s="16">
        <v>743.24111056743368</v>
      </c>
      <c r="O10" s="16">
        <v>1150.2713564399432</v>
      </c>
      <c r="P10" s="16">
        <v>1334.8372815486798</v>
      </c>
      <c r="Q10" s="17">
        <v>827.59370564362939</v>
      </c>
      <c r="R10" s="18" t="str">
        <f t="shared" si="3"/>
        <v>Biogas storage size</v>
      </c>
      <c r="S10" s="19" t="str">
        <f>I10</f>
        <v>m3</v>
      </c>
      <c r="T10" s="19">
        <f t="shared" ref="T10:V13" si="4">J10</f>
        <v>0</v>
      </c>
      <c r="U10" s="30">
        <f t="shared" si="4"/>
        <v>124.3354529414232</v>
      </c>
      <c r="V10" s="30">
        <f t="shared" si="4"/>
        <v>149.97793378155112</v>
      </c>
      <c r="W10" s="30">
        <f t="shared" si="2"/>
        <v>190.01628426329182</v>
      </c>
      <c r="X10" s="30">
        <f t="shared" si="2"/>
        <v>743.24111056743368</v>
      </c>
      <c r="Y10" s="30">
        <f t="shared" si="2"/>
        <v>1150.2713564399432</v>
      </c>
      <c r="Z10" s="30">
        <f t="shared" si="0"/>
        <v>1334.8372815486798</v>
      </c>
      <c r="AA10" s="30">
        <f t="shared" si="1"/>
        <v>827.59370564362939</v>
      </c>
    </row>
    <row r="11" spans="1:27" x14ac:dyDescent="0.25">
      <c r="H11" s="21" t="s">
        <v>11</v>
      </c>
      <c r="I11" s="6" t="s">
        <v>12</v>
      </c>
      <c r="J11" s="22">
        <v>0</v>
      </c>
      <c r="K11" s="22">
        <v>2.5122540474187494</v>
      </c>
      <c r="L11" s="22">
        <v>3.0303719675490504</v>
      </c>
      <c r="M11" s="22">
        <v>3.8393649431656813</v>
      </c>
      <c r="N11" s="22">
        <v>15.017522710201732</v>
      </c>
      <c r="O11" s="22">
        <v>23.241752874841982</v>
      </c>
      <c r="P11" s="22">
        <v>26.970990846802046</v>
      </c>
      <c r="Q11" s="23">
        <v>16.721905035412586</v>
      </c>
      <c r="R11" s="24" t="str">
        <f t="shared" si="3"/>
        <v>Biogas storage hours</v>
      </c>
      <c r="S11" s="22" t="str">
        <f t="shared" si="2"/>
        <v>h</v>
      </c>
      <c r="T11" s="22">
        <f t="shared" si="4"/>
        <v>0</v>
      </c>
      <c r="U11" s="22">
        <f t="shared" si="4"/>
        <v>2.5122540474187494</v>
      </c>
      <c r="V11" s="22">
        <f t="shared" si="4"/>
        <v>3.0303719675490504</v>
      </c>
      <c r="W11" s="22">
        <f t="shared" si="2"/>
        <v>3.8393649431656813</v>
      </c>
      <c r="X11" s="22">
        <f t="shared" si="2"/>
        <v>15.017522710201732</v>
      </c>
      <c r="Y11" s="22">
        <f t="shared" si="2"/>
        <v>23.241752874841982</v>
      </c>
      <c r="Z11" s="22">
        <f t="shared" si="0"/>
        <v>26.970990846802046</v>
      </c>
      <c r="AA11" s="22">
        <f t="shared" si="1"/>
        <v>16.721905035412586</v>
      </c>
    </row>
    <row r="12" spans="1:27" x14ac:dyDescent="0.25">
      <c r="H12" s="21" t="s">
        <v>13</v>
      </c>
      <c r="I12" s="6" t="s">
        <v>18</v>
      </c>
      <c r="J12" s="22">
        <v>-2.4350479179702236E-12</v>
      </c>
      <c r="K12" s="22">
        <v>498.67535820921216</v>
      </c>
      <c r="L12" s="22">
        <v>599.62690331593683</v>
      </c>
      <c r="M12" s="22">
        <v>666.43489848513127</v>
      </c>
      <c r="N12" s="22">
        <v>1692.7126552758293</v>
      </c>
      <c r="O12" s="22">
        <v>2040.3841220868917</v>
      </c>
      <c r="P12" s="22">
        <v>2410.6762708020988</v>
      </c>
      <c r="Q12" s="23">
        <v>43.173526730270282</v>
      </c>
      <c r="R12" s="24" t="str">
        <f t="shared" si="3"/>
        <v>Syngas storage size</v>
      </c>
      <c r="S12" s="22" t="str">
        <f t="shared" si="2"/>
        <v>m3</v>
      </c>
      <c r="T12" s="22">
        <f t="shared" si="4"/>
        <v>-2.4350479179702236E-12</v>
      </c>
      <c r="U12" s="31">
        <f t="shared" si="4"/>
        <v>498.67535820921216</v>
      </c>
      <c r="V12" s="31">
        <f t="shared" si="4"/>
        <v>599.62690331593683</v>
      </c>
      <c r="W12" s="31">
        <f t="shared" si="2"/>
        <v>666.43489848513127</v>
      </c>
      <c r="X12" s="31">
        <f t="shared" si="2"/>
        <v>1692.7126552758293</v>
      </c>
      <c r="Y12" s="31">
        <f t="shared" si="2"/>
        <v>2040.3841220868917</v>
      </c>
      <c r="Z12" s="31">
        <f t="shared" si="0"/>
        <v>2410.6762708020988</v>
      </c>
      <c r="AA12" s="31">
        <f t="shared" si="1"/>
        <v>43.173526730270282</v>
      </c>
    </row>
    <row r="13" spans="1:27" x14ac:dyDescent="0.25">
      <c r="H13" s="32" t="s">
        <v>14</v>
      </c>
      <c r="I13" s="26" t="s">
        <v>12</v>
      </c>
      <c r="J13" s="33">
        <v>-1.2059602372734375E-14</v>
      </c>
      <c r="K13" s="33">
        <v>2.4696953553574867</v>
      </c>
      <c r="L13" s="33">
        <v>2.9696590250314174</v>
      </c>
      <c r="M13" s="33">
        <v>3.3005263772154478</v>
      </c>
      <c r="N13" s="33">
        <v>8.3831785827598306</v>
      </c>
      <c r="O13" s="33">
        <v>10.105025456960849</v>
      </c>
      <c r="P13" s="33">
        <v>11.938901514304797</v>
      </c>
      <c r="Q13" s="34">
        <v>0.21381737975393927</v>
      </c>
      <c r="R13" s="24" t="str">
        <f t="shared" si="3"/>
        <v>Syngas storage hours</v>
      </c>
      <c r="S13" s="22" t="str">
        <f t="shared" si="2"/>
        <v>h</v>
      </c>
      <c r="T13" s="22">
        <f t="shared" si="4"/>
        <v>-1.2059602372734375E-14</v>
      </c>
      <c r="U13" s="22">
        <f t="shared" si="4"/>
        <v>2.4696953553574867</v>
      </c>
      <c r="V13" s="22">
        <f t="shared" si="4"/>
        <v>2.9696590250314174</v>
      </c>
      <c r="W13" s="22">
        <f t="shared" si="2"/>
        <v>3.3005263772154478</v>
      </c>
      <c r="X13" s="22">
        <f t="shared" si="2"/>
        <v>8.3831785827598306</v>
      </c>
      <c r="Y13" s="22">
        <f t="shared" si="2"/>
        <v>10.105025456960849</v>
      </c>
      <c r="Z13" s="22">
        <f t="shared" si="0"/>
        <v>11.938901514304797</v>
      </c>
      <c r="AA13" s="22">
        <f t="shared" si="1"/>
        <v>0.21381737975393927</v>
      </c>
    </row>
    <row r="14" spans="1:27" x14ac:dyDescent="0.25">
      <c r="H14" s="25" t="s">
        <v>15</v>
      </c>
      <c r="I14" s="26" t="s">
        <v>16</v>
      </c>
      <c r="J14" s="35">
        <v>3.8321074142246725</v>
      </c>
      <c r="K14" s="35">
        <v>3.8812166139838573</v>
      </c>
      <c r="L14" s="35">
        <v>3.9364817937534293</v>
      </c>
      <c r="M14" s="35">
        <v>4.0267177788367485</v>
      </c>
      <c r="N14" s="35">
        <v>4.137439623607321</v>
      </c>
      <c r="O14" s="35">
        <v>4.2598994911465606</v>
      </c>
      <c r="P14" s="35">
        <v>4.6834273299437088</v>
      </c>
      <c r="Q14" s="36">
        <v>6.0015776315185905</v>
      </c>
      <c r="R14" s="37" t="s">
        <v>17</v>
      </c>
      <c r="S14" s="6" t="s">
        <v>18</v>
      </c>
      <c r="T14" s="22">
        <f>[10]NoSP!$F$112</f>
        <v>0</v>
      </c>
      <c r="U14" s="31">
        <f>'[10]40SP'!$F$112</f>
        <v>0.41938486112705109</v>
      </c>
      <c r="V14" s="31">
        <f>'[10]60SP'!$F$112</f>
        <v>0.41938486112704781</v>
      </c>
      <c r="W14" s="31">
        <f>'[10]80SP'!$F$112</f>
        <v>0.41938486112704781</v>
      </c>
      <c r="X14" s="31">
        <f>'[10]90SP'!$F$112</f>
        <v>118.68734332108838</v>
      </c>
      <c r="Y14" s="31">
        <f>'[10]95SP'!$F$112</f>
        <v>253.51710326855462</v>
      </c>
      <c r="Z14" s="31">
        <f>'[10]99SP'!$F$112</f>
        <v>403.62481373681959</v>
      </c>
      <c r="AA14" s="31">
        <f>'[10]100SP'!$F$112</f>
        <v>437.83779501660575</v>
      </c>
    </row>
    <row r="15" spans="1:27" ht="15.75" thickBot="1" x14ac:dyDescent="0.3">
      <c r="H15" s="14" t="s">
        <v>19</v>
      </c>
      <c r="I15" s="15" t="s">
        <v>2</v>
      </c>
      <c r="J15" s="38">
        <v>1</v>
      </c>
      <c r="K15" s="38">
        <v>1.2791596859980698</v>
      </c>
      <c r="L15" s="38">
        <v>1.3134718587477101</v>
      </c>
      <c r="M15" s="38">
        <v>1.315537511440344</v>
      </c>
      <c r="N15" s="38">
        <v>1.3298545428856696</v>
      </c>
      <c r="O15" s="38">
        <v>1.3434951815128298</v>
      </c>
      <c r="P15" s="38">
        <v>1.1667484242007315</v>
      </c>
      <c r="Q15" s="39">
        <v>1.0227836212386938</v>
      </c>
      <c r="R15" s="40" t="s">
        <v>20</v>
      </c>
      <c r="S15" s="41" t="s">
        <v>12</v>
      </c>
      <c r="T15" s="41">
        <f>[10]NoSP!$B$169</f>
        <v>0</v>
      </c>
      <c r="U15" s="41">
        <f>'[10]40SP'!$B$169</f>
        <v>1.4709635373429498E-2</v>
      </c>
      <c r="V15" s="41">
        <f>'[10]60SP'!$B$169</f>
        <v>1.4709635373429383E-2</v>
      </c>
      <c r="W15" s="41">
        <f>'[10]80SP'!$B$169</f>
        <v>1.4709635373429383E-2</v>
      </c>
      <c r="X15" s="41">
        <f>'[10]90SP'!$B$169</f>
        <v>4.162876883544337</v>
      </c>
      <c r="Y15" s="41">
        <f>'[10]95SP'!$B$169</f>
        <v>8.8919379206651428</v>
      </c>
      <c r="Z15" s="41">
        <f>'[10]99SP'!$B$169</f>
        <v>14.156862557655291</v>
      </c>
      <c r="AA15" s="41">
        <f>'[10]100SP'!$B$169</f>
        <v>15.356859329859148</v>
      </c>
    </row>
    <row r="16" spans="1:27" ht="15.75" thickTop="1" x14ac:dyDescent="0.25">
      <c r="H16" s="25" t="s">
        <v>21</v>
      </c>
      <c r="I16" s="26" t="s">
        <v>2</v>
      </c>
      <c r="J16" s="42">
        <v>1.000000000000006</v>
      </c>
      <c r="K16" s="42">
        <v>1.0048407288218657</v>
      </c>
      <c r="L16" s="42">
        <v>1.0061932724990694</v>
      </c>
      <c r="M16" s="42">
        <v>1.0090227912196006</v>
      </c>
      <c r="N16" s="42">
        <v>1.0286341753798898</v>
      </c>
      <c r="O16" s="42">
        <v>1.0473190406978505</v>
      </c>
      <c r="P16" s="42">
        <v>1.0175850938561546</v>
      </c>
      <c r="Q16" s="43">
        <v>1.0175850938561566</v>
      </c>
      <c r="R16" s="37" t="str">
        <f>H15</f>
        <v>Syngas generation size</v>
      </c>
      <c r="S16" s="6" t="s">
        <v>2</v>
      </c>
      <c r="T16" s="297">
        <f>J15</f>
        <v>1</v>
      </c>
      <c r="U16" s="297">
        <f>J15</f>
        <v>1</v>
      </c>
      <c r="V16" s="297">
        <f t="shared" ref="V16:Z17" si="5">L15</f>
        <v>1.3134718587477101</v>
      </c>
      <c r="W16" s="297">
        <f t="shared" si="5"/>
        <v>1.315537511440344</v>
      </c>
      <c r="X16" s="297">
        <f t="shared" si="5"/>
        <v>1.3298545428856696</v>
      </c>
      <c r="Y16" s="297">
        <f t="shared" si="5"/>
        <v>1.3434951815128298</v>
      </c>
      <c r="Z16" s="297">
        <f t="shared" si="5"/>
        <v>1.1667484242007315</v>
      </c>
      <c r="AA16" s="297">
        <f>Q15</f>
        <v>1.0227836212386938</v>
      </c>
    </row>
    <row r="17" spans="2:27" ht="15.75" thickBot="1" x14ac:dyDescent="0.3">
      <c r="R17" s="40" t="str">
        <f>H16</f>
        <v>Gas Separation size</v>
      </c>
      <c r="S17" s="45" t="s">
        <v>2</v>
      </c>
      <c r="T17" s="298">
        <f>J16</f>
        <v>1.000000000000006</v>
      </c>
      <c r="U17" s="298">
        <f>J16</f>
        <v>1.000000000000006</v>
      </c>
      <c r="V17" s="298">
        <f t="shared" si="5"/>
        <v>1.0061932724990694</v>
      </c>
      <c r="W17" s="298">
        <f t="shared" si="5"/>
        <v>1.0090227912196006</v>
      </c>
      <c r="X17" s="298">
        <f t="shared" si="5"/>
        <v>1.0286341753798898</v>
      </c>
      <c r="Y17" s="298">
        <f t="shared" si="5"/>
        <v>1.0473190406978505</v>
      </c>
      <c r="Z17" s="298">
        <f t="shared" si="5"/>
        <v>1.0175850938561546</v>
      </c>
      <c r="AA17" s="298">
        <f>Q16</f>
        <v>1.0175850938561566</v>
      </c>
    </row>
    <row r="18" spans="2:27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7" x14ac:dyDescent="0.25">
      <c r="H19" s="50" t="s">
        <v>1</v>
      </c>
      <c r="I19" s="8" t="s">
        <v>2</v>
      </c>
      <c r="J19" s="9">
        <v>0.31091455915221666</v>
      </c>
      <c r="K19" s="9">
        <v>0.40000000000001379</v>
      </c>
      <c r="L19" s="9">
        <v>0.60000000000001419</v>
      </c>
      <c r="M19" s="9">
        <v>0.80000000000006211</v>
      </c>
      <c r="N19" s="9">
        <v>0.90000000000004798</v>
      </c>
      <c r="O19" s="9">
        <v>0.95000000000000251</v>
      </c>
      <c r="P19" s="9">
        <v>0.99000000000014476</v>
      </c>
      <c r="Q19" s="10">
        <v>0.99999999999998379</v>
      </c>
    </row>
    <row r="20" spans="2:27" x14ac:dyDescent="0.25">
      <c r="H20" s="51" t="s">
        <v>23</v>
      </c>
      <c r="I20" s="52" t="s">
        <v>24</v>
      </c>
      <c r="J20" s="53">
        <v>-9678.9875243778388</v>
      </c>
      <c r="K20" s="53">
        <v>-9678.9875243783445</v>
      </c>
      <c r="L20" s="53">
        <v>-9678.9875243787028</v>
      </c>
      <c r="M20" s="53">
        <v>-9678.9875243779934</v>
      </c>
      <c r="N20" s="53">
        <v>-9678.9875243786846</v>
      </c>
      <c r="O20" s="53">
        <v>-9678.9875243787756</v>
      </c>
      <c r="P20" s="53">
        <v>-9678.9875243770457</v>
      </c>
      <c r="Q20" s="54">
        <v>-9678.9875243788229</v>
      </c>
    </row>
    <row r="21" spans="2:27" x14ac:dyDescent="0.25">
      <c r="B21" s="55"/>
      <c r="H21" s="56" t="s">
        <v>25</v>
      </c>
      <c r="I21" s="57" t="s">
        <v>24</v>
      </c>
      <c r="J21" s="58">
        <v>-1702.5570878064136</v>
      </c>
      <c r="K21" s="58">
        <v>-1702.5570878067899</v>
      </c>
      <c r="L21" s="58">
        <v>-1702.5570878068947</v>
      </c>
      <c r="M21" s="58">
        <v>-1702.5570878065553</v>
      </c>
      <c r="N21" s="58">
        <v>-1702.5570878064805</v>
      </c>
      <c r="O21" s="58">
        <v>-1702.5570878067849</v>
      </c>
      <c r="P21" s="58">
        <v>-1702.5570878069029</v>
      </c>
      <c r="Q21" s="59">
        <v>-1702.557087806895</v>
      </c>
    </row>
    <row r="22" spans="2:27" x14ac:dyDescent="0.25">
      <c r="H22" s="61" t="s">
        <v>26</v>
      </c>
      <c r="I22" s="6" t="s">
        <v>24</v>
      </c>
      <c r="J22" s="31">
        <v>4077.2135938436545</v>
      </c>
      <c r="K22" s="31">
        <v>5263.9732140972501</v>
      </c>
      <c r="L22" s="31">
        <v>5930.9871808871476</v>
      </c>
      <c r="M22" s="31">
        <v>7887.3778607424156</v>
      </c>
      <c r="N22" s="31">
        <v>8256.9894200662184</v>
      </c>
      <c r="O22" s="31">
        <v>9006.6615665753034</v>
      </c>
      <c r="P22" s="31">
        <v>11298.630067226182</v>
      </c>
      <c r="Q22" s="62">
        <v>9302.5529716131678</v>
      </c>
    </row>
    <row r="23" spans="2:27" x14ac:dyDescent="0.25">
      <c r="H23" s="61" t="s">
        <v>27</v>
      </c>
      <c r="I23" s="6" t="s">
        <v>24</v>
      </c>
      <c r="J23" s="31">
        <v>0</v>
      </c>
      <c r="K23" s="31">
        <v>0</v>
      </c>
      <c r="L23" s="31">
        <v>964.80631564998544</v>
      </c>
      <c r="M23" s="31">
        <v>1449.1282414662749</v>
      </c>
      <c r="N23" s="31">
        <v>2654.5883570711862</v>
      </c>
      <c r="O23" s="31">
        <v>3444.5267717149436</v>
      </c>
      <c r="P23" s="31">
        <v>5600.5616476611194</v>
      </c>
      <c r="Q23" s="62">
        <v>15023.758973256545</v>
      </c>
    </row>
    <row r="24" spans="2:27" x14ac:dyDescent="0.25">
      <c r="H24" s="61" t="s">
        <v>28</v>
      </c>
      <c r="I24" s="6" t="s">
        <v>24</v>
      </c>
      <c r="J24" s="31">
        <v>6669.6493851967252</v>
      </c>
      <c r="K24" s="31">
        <v>5807.392514627586</v>
      </c>
      <c r="L24" s="31">
        <v>3871.5950097513123</v>
      </c>
      <c r="M24" s="31">
        <v>1935.7975048757173</v>
      </c>
      <c r="N24" s="31">
        <v>967.89875243784172</v>
      </c>
      <c r="O24" s="31">
        <v>483.94937621882713</v>
      </c>
      <c r="P24" s="31">
        <v>96.789875244082367</v>
      </c>
      <c r="Q24" s="62">
        <v>1.8506227661418961E-12</v>
      </c>
    </row>
    <row r="25" spans="2:27" x14ac:dyDescent="0.25">
      <c r="H25" s="61" t="s">
        <v>29</v>
      </c>
      <c r="I25" s="6" t="s">
        <v>24</v>
      </c>
      <c r="J25" s="31">
        <v>-1067.8754546619139</v>
      </c>
      <c r="K25" s="31">
        <v>-1383.169392757489</v>
      </c>
      <c r="L25" s="31">
        <v>-1016.2758934109223</v>
      </c>
      <c r="M25" s="31">
        <v>-1438.5066009890127</v>
      </c>
      <c r="N25" s="31">
        <v>-2041.3357488094796</v>
      </c>
      <c r="O25" s="31">
        <v>-3102.1225592188785</v>
      </c>
      <c r="P25" s="31">
        <v>-7180.3944003359502</v>
      </c>
      <c r="Q25" s="62">
        <v>-14583.988635324637</v>
      </c>
    </row>
    <row r="26" spans="2:27" x14ac:dyDescent="0.25">
      <c r="H26" s="61" t="s">
        <v>30</v>
      </c>
      <c r="I26" s="6" t="s">
        <v>24</v>
      </c>
      <c r="J26" s="31">
        <v>0</v>
      </c>
      <c r="K26" s="31">
        <v>-155.8174549626107</v>
      </c>
      <c r="L26" s="31">
        <v>-1220.3906683393368</v>
      </c>
      <c r="M26" s="31">
        <v>-2619.4497752398402</v>
      </c>
      <c r="N26" s="31">
        <v>-2692.9485006200662</v>
      </c>
      <c r="O26" s="31">
        <v>-2606.2204891962288</v>
      </c>
      <c r="P26" s="31">
        <v>-2311.33105611979</v>
      </c>
      <c r="Q26" s="62">
        <v>-1071.6714918174266</v>
      </c>
    </row>
    <row r="27" spans="2:27" x14ac:dyDescent="0.25">
      <c r="B27" s="63"/>
      <c r="H27" s="61" t="s">
        <v>31</v>
      </c>
      <c r="I27" s="6" t="s">
        <v>24</v>
      </c>
      <c r="J27" s="31">
        <v>0</v>
      </c>
      <c r="K27" s="31">
        <v>146.60864337432122</v>
      </c>
      <c r="L27" s="31">
        <v>1148.2655798404849</v>
      </c>
      <c r="M27" s="31">
        <v>2464.6402935231572</v>
      </c>
      <c r="N27" s="31">
        <v>2533.7952442334204</v>
      </c>
      <c r="O27" s="31">
        <v>2452.1928582847218</v>
      </c>
      <c r="P27" s="31">
        <v>2174.7313907031121</v>
      </c>
      <c r="Q27" s="62">
        <v>1008.3357066510172</v>
      </c>
    </row>
    <row r="28" spans="2:27" x14ac:dyDescent="0.25">
      <c r="H28" s="64" t="s">
        <v>32</v>
      </c>
      <c r="I28" s="65" t="s">
        <v>24</v>
      </c>
      <c r="J28" s="66">
        <v>6.2755134422332048E-10</v>
      </c>
      <c r="K28" s="66">
        <v>7.1312911131826695E-10</v>
      </c>
      <c r="L28" s="66">
        <v>-3.1377567211166024E-11</v>
      </c>
      <c r="M28" s="66">
        <v>7.1850081440061331E-10</v>
      </c>
      <c r="N28" s="66">
        <v>4.3610270950011909E-10</v>
      </c>
      <c r="O28" s="66">
        <v>-8.6856744019314647E-11</v>
      </c>
      <c r="P28" s="66">
        <v>1.7103047866839916E-9</v>
      </c>
      <c r="Q28" s="67">
        <v>-1.5450041246367618E-10</v>
      </c>
    </row>
    <row r="30" spans="2:27" x14ac:dyDescent="0.25">
      <c r="H30" s="68" t="s">
        <v>15</v>
      </c>
    </row>
    <row r="31" spans="2:27" x14ac:dyDescent="0.25">
      <c r="H31" s="69" t="s">
        <v>33</v>
      </c>
      <c r="I31" s="70" t="s">
        <v>103</v>
      </c>
      <c r="J31" s="71">
        <v>0.15579392185842858</v>
      </c>
      <c r="K31" s="71">
        <v>0.20114105202149213</v>
      </c>
      <c r="L31" s="71">
        <v>0.22662824307212723</v>
      </c>
      <c r="M31" s="71">
        <v>0.30138365376784532</v>
      </c>
      <c r="N31" s="71">
        <v>0.31550683693347681</v>
      </c>
      <c r="O31" s="71">
        <v>0.34415246982085862</v>
      </c>
      <c r="P31" s="71">
        <v>0.43173060456257273</v>
      </c>
      <c r="Q31" s="72">
        <v>0.35545874097247293</v>
      </c>
    </row>
    <row r="32" spans="2:27" x14ac:dyDescent="0.25">
      <c r="H32" s="73" t="s">
        <v>34</v>
      </c>
      <c r="I32" s="74" t="s">
        <v>103</v>
      </c>
      <c r="J32" s="75">
        <v>0</v>
      </c>
      <c r="K32" s="75">
        <v>0</v>
      </c>
      <c r="L32" s="75">
        <v>0.13606606833275853</v>
      </c>
      <c r="M32" s="75">
        <v>0.20436970522258685</v>
      </c>
      <c r="N32" s="75">
        <v>0.37437503769370301</v>
      </c>
      <c r="O32" s="75">
        <v>0.48577958859900927</v>
      </c>
      <c r="P32" s="75">
        <v>0.78984392151192662</v>
      </c>
      <c r="Q32" s="76">
        <v>2.1187919087084097</v>
      </c>
    </row>
    <row r="33" spans="8:17" x14ac:dyDescent="0.25">
      <c r="H33" s="73" t="s">
        <v>35</v>
      </c>
      <c r="I33" s="74" t="s">
        <v>103</v>
      </c>
      <c r="J33" s="75">
        <v>0</v>
      </c>
      <c r="K33" s="75">
        <v>1.4750364849267806E-2</v>
      </c>
      <c r="L33" s="75">
        <v>0.12141286022901997</v>
      </c>
      <c r="M33" s="75">
        <v>0.26220905547556778</v>
      </c>
      <c r="N33" s="75">
        <v>0.28338188171044637</v>
      </c>
      <c r="O33" s="75">
        <v>0.30517645971371982</v>
      </c>
      <c r="P33" s="75">
        <v>0.38515187476284657</v>
      </c>
      <c r="Q33" s="76">
        <v>0.39446824570143768</v>
      </c>
    </row>
    <row r="34" spans="8:17" x14ac:dyDescent="0.25">
      <c r="H34" s="73" t="s">
        <v>36</v>
      </c>
      <c r="I34" s="74" t="s">
        <v>103</v>
      </c>
      <c r="J34" s="75">
        <v>0</v>
      </c>
      <c r="K34" s="75">
        <v>3.1580474674533211E-2</v>
      </c>
      <c r="L34" s="75">
        <v>3.3034685385586869E-2</v>
      </c>
      <c r="M34" s="75">
        <v>3.4262050572217324E-2</v>
      </c>
      <c r="N34" s="75">
        <v>5.317945950304287E-2</v>
      </c>
      <c r="O34" s="75">
        <v>6.273051398852568E-2</v>
      </c>
      <c r="P34" s="75">
        <v>7.0085826784685196E-2</v>
      </c>
      <c r="Q34" s="76">
        <v>3.728676226154265E-2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>
        <v>0.64258536738640737</v>
      </c>
      <c r="K36" s="75">
        <v>0.68951676534218453</v>
      </c>
      <c r="L36" s="75">
        <v>0.6953506913754921</v>
      </c>
      <c r="M36" s="75">
        <v>0.69639452203426999</v>
      </c>
      <c r="N36" s="75">
        <v>0.70362930860741391</v>
      </c>
      <c r="O36" s="75">
        <v>0.71052229543683221</v>
      </c>
      <c r="P36" s="75">
        <v>0.67456318525524051</v>
      </c>
      <c r="Q36" s="76">
        <v>0.65078114659217812</v>
      </c>
    </row>
    <row r="37" spans="8:17" x14ac:dyDescent="0.25">
      <c r="H37" s="77" t="s">
        <v>38</v>
      </c>
      <c r="I37" s="78" t="s">
        <v>103</v>
      </c>
      <c r="J37" s="79">
        <v>3.054782781537815E-2</v>
      </c>
      <c r="K37" s="79">
        <v>3.9439421964998451E-2</v>
      </c>
      <c r="L37" s="79">
        <v>4.4436910406299455E-2</v>
      </c>
      <c r="M37" s="79">
        <v>5.9094834072126526E-2</v>
      </c>
      <c r="N37" s="79">
        <v>6.1864085673230741E-2</v>
      </c>
      <c r="O37" s="79">
        <v>6.7480876435462453E-2</v>
      </c>
      <c r="P37" s="79">
        <v>8.4653059718151513E-2</v>
      </c>
      <c r="Q37" s="80">
        <v>6.9697792347543711E-2</v>
      </c>
    </row>
    <row r="38" spans="8:17" x14ac:dyDescent="0.25">
      <c r="H38" s="81" t="s">
        <v>39</v>
      </c>
      <c r="I38" s="82" t="s">
        <v>103</v>
      </c>
      <c r="J38" s="83">
        <v>0</v>
      </c>
      <c r="K38" s="83">
        <v>0</v>
      </c>
      <c r="L38" s="83">
        <v>2.7213213666551699E-2</v>
      </c>
      <c r="M38" s="83">
        <v>4.0873941044517366E-2</v>
      </c>
      <c r="N38" s="83">
        <v>7.4875007538740601E-2</v>
      </c>
      <c r="O38" s="83">
        <v>9.7155917719801824E-2</v>
      </c>
      <c r="P38" s="83">
        <v>0.15796878430238531</v>
      </c>
      <c r="Q38" s="84">
        <v>0.42375838174168196</v>
      </c>
    </row>
    <row r="39" spans="8:17" x14ac:dyDescent="0.25">
      <c r="H39" s="81" t="s">
        <v>40</v>
      </c>
      <c r="I39" s="82" t="s">
        <v>103</v>
      </c>
      <c r="J39" s="83">
        <v>0</v>
      </c>
      <c r="K39" s="83">
        <v>2.9738638809007675E-3</v>
      </c>
      <c r="L39" s="83">
        <v>2.4478399239721765E-2</v>
      </c>
      <c r="M39" s="83">
        <v>5.2864728926525752E-2</v>
      </c>
      <c r="N39" s="83">
        <v>5.7133443893235152E-2</v>
      </c>
      <c r="O39" s="83">
        <v>6.1527512039056403E-2</v>
      </c>
      <c r="P39" s="83">
        <v>7.7651587653799703E-2</v>
      </c>
      <c r="Q39" s="84">
        <v>7.9529888246257577E-2</v>
      </c>
    </row>
    <row r="40" spans="8:17" x14ac:dyDescent="0.25">
      <c r="H40" s="81" t="s">
        <v>41</v>
      </c>
      <c r="I40" s="82" t="s">
        <v>103</v>
      </c>
      <c r="J40" s="83">
        <v>0.25703414695456289</v>
      </c>
      <c r="K40" s="83">
        <v>0.28843779907077727</v>
      </c>
      <c r="L40" s="83">
        <v>0.29135305376852177</v>
      </c>
      <c r="M40" s="83">
        <v>0.29226153210668504</v>
      </c>
      <c r="N40" s="83">
        <v>0.30241307064763967</v>
      </c>
      <c r="O40" s="83">
        <v>0.30863802874668111</v>
      </c>
      <c r="P40" s="83">
        <v>0.29680389061805629</v>
      </c>
      <c r="Q40" s="84">
        <v>0.27408196245163702</v>
      </c>
    </row>
    <row r="41" spans="8:17" x14ac:dyDescent="0.25">
      <c r="H41" s="85" t="s">
        <v>42</v>
      </c>
      <c r="I41" s="86" t="s">
        <v>103</v>
      </c>
      <c r="J41" s="87">
        <v>0</v>
      </c>
      <c r="K41" s="87">
        <v>1.0969359098193345E-6</v>
      </c>
      <c r="L41" s="87">
        <v>1.0969359098193055E-6</v>
      </c>
      <c r="M41" s="87">
        <v>1.0969359098192898E-6</v>
      </c>
      <c r="N41" s="87">
        <v>3.1043659654302888E-4</v>
      </c>
      <c r="O41" s="87">
        <v>6.6309502346198674E-4</v>
      </c>
      <c r="P41" s="87">
        <v>1.0557141979140371E-3</v>
      </c>
      <c r="Q41" s="88">
        <v>1.1452010898512382E-3</v>
      </c>
    </row>
    <row r="42" spans="8:17" x14ac:dyDescent="0.25">
      <c r="H42" s="89" t="s">
        <v>43</v>
      </c>
      <c r="I42" s="90" t="s">
        <v>103</v>
      </c>
      <c r="J42" s="91">
        <v>0</v>
      </c>
      <c r="K42" s="91">
        <v>1.1492173627061219E-2</v>
      </c>
      <c r="L42" s="91">
        <v>9.0008795592033869E-2</v>
      </c>
      <c r="M42" s="91">
        <v>0.19319511816981566</v>
      </c>
      <c r="N42" s="91">
        <v>0.19861594931892962</v>
      </c>
      <c r="O42" s="91">
        <v>0.19221940429865905</v>
      </c>
      <c r="P42" s="91">
        <v>0.17047010434690754</v>
      </c>
      <c r="Q42" s="92">
        <v>7.9040148987750844E-2</v>
      </c>
    </row>
    <row r="43" spans="8:17" x14ac:dyDescent="0.25">
      <c r="H43" s="89" t="s">
        <v>44</v>
      </c>
      <c r="I43" s="90" t="s">
        <v>103</v>
      </c>
      <c r="J43" s="91">
        <v>0</v>
      </c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>
        <v>8.4786431781361443E-2</v>
      </c>
      <c r="K44" s="91">
        <v>9.9541143488130784E-2</v>
      </c>
      <c r="L44" s="91">
        <v>0.10135467976268582</v>
      </c>
      <c r="M44" s="91">
        <v>0.10146385781200835</v>
      </c>
      <c r="N44" s="91">
        <v>0.10222057048244759</v>
      </c>
      <c r="O44" s="91">
        <v>0.10294153307316345</v>
      </c>
      <c r="P44" s="91">
        <v>9.3599756376716192E-2</v>
      </c>
      <c r="Q44" s="92">
        <v>8.5990637760504432E-2</v>
      </c>
    </row>
    <row r="45" spans="8:17" x14ac:dyDescent="0.25">
      <c r="H45" s="89" t="s">
        <v>46</v>
      </c>
      <c r="I45" s="90" t="s">
        <v>103</v>
      </c>
      <c r="J45" s="91">
        <v>1.9027730795181959</v>
      </c>
      <c r="K45" s="91">
        <v>1.9027730795184596</v>
      </c>
      <c r="L45" s="91">
        <v>1.9027730795184095</v>
      </c>
      <c r="M45" s="91">
        <v>1.9027730795183824</v>
      </c>
      <c r="N45" s="91">
        <v>1.9027730795183682</v>
      </c>
      <c r="O45" s="91">
        <v>1.9027730795183755</v>
      </c>
      <c r="P45" s="91">
        <v>1.9027730795183462</v>
      </c>
      <c r="Q45" s="92">
        <v>1.9027730795183555</v>
      </c>
    </row>
    <row r="46" spans="8:17" x14ac:dyDescent="0.25">
      <c r="H46" s="89" t="s">
        <v>47</v>
      </c>
      <c r="I46" s="90" t="s">
        <v>103</v>
      </c>
      <c r="J46" s="91">
        <v>1.2298129037712757</v>
      </c>
      <c r="K46" s="91">
        <v>1.0707956434710733</v>
      </c>
      <c r="L46" s="91">
        <v>0.71359628132926123</v>
      </c>
      <c r="M46" s="91">
        <v>0.35679686803925448</v>
      </c>
      <c r="N46" s="91">
        <v>0.17838772035111558</v>
      </c>
      <c r="O46" s="91">
        <v>8.9364981593908821E-2</v>
      </c>
      <c r="P46" s="91">
        <v>1.8302205195193842E-2</v>
      </c>
      <c r="Q46" s="92">
        <v>3.5826156949750491E-16</v>
      </c>
    </row>
    <row r="47" spans="8:17" x14ac:dyDescent="0.25">
      <c r="H47" s="93" t="s">
        <v>48</v>
      </c>
      <c r="I47" s="94" t="s">
        <v>103</v>
      </c>
      <c r="J47" s="95">
        <v>-0.47122626486093722</v>
      </c>
      <c r="K47" s="95">
        <v>-0.47122626486093117</v>
      </c>
      <c r="L47" s="95">
        <v>-0.47122626486095082</v>
      </c>
      <c r="M47" s="95">
        <v>-0.47122626486096458</v>
      </c>
      <c r="N47" s="95">
        <v>-0.47122626486101205</v>
      </c>
      <c r="O47" s="95">
        <v>-0.47122626486095531</v>
      </c>
      <c r="P47" s="95">
        <v>-0.47122626486103375</v>
      </c>
      <c r="Q47" s="96">
        <v>-0.47122626486103303</v>
      </c>
    </row>
    <row r="48" spans="8:17" x14ac:dyDescent="0.25">
      <c r="H48" s="97" t="s">
        <v>49</v>
      </c>
      <c r="I48" s="98" t="s">
        <v>103</v>
      </c>
      <c r="J48" s="99">
        <v>-5.9070131809020078E-2</v>
      </c>
      <c r="K48" s="99">
        <v>-7.6510793452281109E-2</v>
      </c>
      <c r="L48" s="99">
        <v>-5.6215873036547473E-2</v>
      </c>
      <c r="M48" s="99">
        <v>-7.9571802271152375E-2</v>
      </c>
      <c r="N48" s="99">
        <v>-0.1129176358743328</v>
      </c>
      <c r="O48" s="99">
        <v>-0.17159565533681573</v>
      </c>
      <c r="P48" s="99">
        <v>-0.39718755760980701</v>
      </c>
      <c r="Q48" s="100">
        <v>-0.80672153969742733</v>
      </c>
    </row>
    <row r="49" spans="8:27" x14ac:dyDescent="0.25">
      <c r="H49" s="101" t="s">
        <v>50</v>
      </c>
      <c r="I49" s="102" t="s">
        <v>103</v>
      </c>
      <c r="J49" s="103">
        <v>-0.11814026361804016</v>
      </c>
      <c r="K49" s="103">
        <v>-0.15302158690456222</v>
      </c>
      <c r="L49" s="103">
        <v>-0.11243174607309495</v>
      </c>
      <c r="M49" s="103">
        <v>-0.15914360454230475</v>
      </c>
      <c r="N49" s="103">
        <v>-0.22583527174866561</v>
      </c>
      <c r="O49" s="103">
        <v>-0.34319131067363146</v>
      </c>
      <c r="P49" s="103">
        <v>-0.79437511521961401</v>
      </c>
      <c r="Q49" s="104">
        <v>-1.6134430793948547</v>
      </c>
    </row>
    <row r="50" spans="8:27" x14ac:dyDescent="0.25">
      <c r="H50" s="105" t="s">
        <v>51</v>
      </c>
      <c r="I50" s="106" t="s">
        <v>103</v>
      </c>
      <c r="J50" s="107">
        <v>3.832107414224672</v>
      </c>
      <c r="K50" s="107">
        <v>3.8812166139838586</v>
      </c>
      <c r="L50" s="107">
        <v>3.9364817937534289</v>
      </c>
      <c r="M50" s="107">
        <v>4.0267177788367485</v>
      </c>
      <c r="N50" s="107">
        <v>4.137439623607321</v>
      </c>
      <c r="O50" s="107">
        <v>4.2598994911465624</v>
      </c>
      <c r="P50" s="107">
        <v>4.6834273299437088</v>
      </c>
      <c r="Q50" s="108">
        <v>6.0015776315185914</v>
      </c>
    </row>
    <row r="51" spans="8:27" x14ac:dyDescent="0.25">
      <c r="H51" s="105" t="s">
        <v>52</v>
      </c>
      <c r="I51" s="106" t="s">
        <v>103</v>
      </c>
      <c r="J51" s="107">
        <v>3.7730372824156522</v>
      </c>
      <c r="K51" s="107">
        <v>3.8047058205315776</v>
      </c>
      <c r="L51" s="107">
        <v>3.8802659207168815</v>
      </c>
      <c r="M51" s="107">
        <v>3.9471459765655963</v>
      </c>
      <c r="N51" s="107">
        <v>4.0245219877329879</v>
      </c>
      <c r="O51" s="107">
        <v>4.0883038358097465</v>
      </c>
      <c r="P51" s="107">
        <v>4.2862397723339019</v>
      </c>
      <c r="Q51" s="108">
        <v>5.1948560918211637</v>
      </c>
    </row>
    <row r="52" spans="8:27" x14ac:dyDescent="0.25">
      <c r="H52" s="109" t="s">
        <v>53</v>
      </c>
      <c r="I52" s="110" t="s">
        <v>103</v>
      </c>
      <c r="J52" s="111">
        <v>3.7139671506066319</v>
      </c>
      <c r="K52" s="111">
        <v>3.7281950270792965</v>
      </c>
      <c r="L52" s="111">
        <v>3.8240500476803341</v>
      </c>
      <c r="M52" s="111">
        <v>3.8675741742944436</v>
      </c>
      <c r="N52" s="111">
        <v>3.9116043518586552</v>
      </c>
      <c r="O52" s="111">
        <v>3.9167081804729311</v>
      </c>
      <c r="P52" s="111">
        <v>3.8890522147240949</v>
      </c>
      <c r="Q52" s="112">
        <v>4.3881345521237369</v>
      </c>
    </row>
    <row r="53" spans="8:27" x14ac:dyDescent="0.25">
      <c r="H53" s="113" t="s">
        <v>54</v>
      </c>
      <c r="I53" s="114" t="s">
        <v>103</v>
      </c>
      <c r="J53" s="115">
        <v>3.832107414224672</v>
      </c>
      <c r="K53" s="115">
        <v>3.8812166139838578</v>
      </c>
      <c r="L53" s="115">
        <v>3.9364817937534289</v>
      </c>
      <c r="M53" s="115">
        <v>4.0267177788367485</v>
      </c>
      <c r="N53" s="115">
        <v>4.137439623607321</v>
      </c>
      <c r="O53" s="115">
        <v>4.2598994911465615</v>
      </c>
      <c r="P53" s="115">
        <v>4.6834273299437079</v>
      </c>
      <c r="Q53" s="116">
        <v>6.0015776315185914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>
        <v>0.31091455915221666</v>
      </c>
      <c r="K56" s="124">
        <v>0.40000000000001379</v>
      </c>
      <c r="L56" s="124">
        <v>0.60000000000001419</v>
      </c>
      <c r="M56" s="124">
        <v>0.80000000000006211</v>
      </c>
      <c r="N56" s="124">
        <v>0.90000000000004798</v>
      </c>
      <c r="O56" s="124">
        <v>0.95000000000000251</v>
      </c>
      <c r="P56" s="124">
        <v>0.99000000000014476</v>
      </c>
      <c r="Q56" s="125">
        <v>0.99999999999998379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>
        <v>844937.19605714886</v>
      </c>
      <c r="K57" s="128">
        <v>1090874.1142124769</v>
      </c>
      <c r="L57" s="128">
        <v>1229102.0725616331</v>
      </c>
      <c r="M57" s="128">
        <v>1634532.6975171724</v>
      </c>
      <c r="N57" s="128">
        <v>1711128.7716195679</v>
      </c>
      <c r="O57" s="128">
        <v>1866486.3134441951</v>
      </c>
      <c r="P57" s="128">
        <v>2341460.0654485929</v>
      </c>
      <c r="Q57" s="129">
        <v>1927805.0666455564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>
        <v>0</v>
      </c>
      <c r="K58" s="132">
        <v>0</v>
      </c>
      <c r="L58" s="132">
        <v>737944.59298649896</v>
      </c>
      <c r="M58" s="132">
        <v>1108384.4840025096</v>
      </c>
      <c r="N58" s="132">
        <v>2030396.2494128898</v>
      </c>
      <c r="O58" s="132">
        <v>2634590.8659105855</v>
      </c>
      <c r="P58" s="132">
        <v>4283662.0351046911</v>
      </c>
      <c r="Q58" s="133">
        <v>11491116.42493551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>
        <v>0</v>
      </c>
      <c r="K59" s="132">
        <v>79997.549120587064</v>
      </c>
      <c r="L59" s="132">
        <v>658473.96652865736</v>
      </c>
      <c r="M59" s="132">
        <v>1422072.0646317811</v>
      </c>
      <c r="N59" s="132">
        <v>1536901.3738763367</v>
      </c>
      <c r="O59" s="132">
        <v>1655102.709382005</v>
      </c>
      <c r="P59" s="132">
        <v>2088843.6547220924</v>
      </c>
      <c r="Q59" s="133">
        <v>2139370.3263943824</v>
      </c>
    </row>
    <row r="60" spans="8:27" x14ac:dyDescent="0.25">
      <c r="H60" s="134" t="s">
        <v>60</v>
      </c>
      <c r="I60" s="74" t="s">
        <v>57</v>
      </c>
      <c r="J60" s="135">
        <v>0</v>
      </c>
      <c r="K60" s="135">
        <v>73969.098718250665</v>
      </c>
      <c r="L60" s="135">
        <v>75566.625274590639</v>
      </c>
      <c r="M60" s="135">
        <v>78061.014509603076</v>
      </c>
      <c r="N60" s="135">
        <v>112526.92118835112</v>
      </c>
      <c r="O60" s="135">
        <v>137884.90550620848</v>
      </c>
      <c r="P60" s="135">
        <v>149383.36264048275</v>
      </c>
      <c r="Q60" s="136">
        <v>117782.08786159812</v>
      </c>
    </row>
    <row r="61" spans="8:27" x14ac:dyDescent="0.25">
      <c r="H61" s="134" t="s">
        <v>61</v>
      </c>
      <c r="I61" s="74" t="s">
        <v>57</v>
      </c>
      <c r="J61" s="135">
        <v>0</v>
      </c>
      <c r="K61" s="135">
        <v>97290.474816433896</v>
      </c>
      <c r="L61" s="135">
        <v>103579.75607658285</v>
      </c>
      <c r="M61" s="135">
        <v>107741.89417562367</v>
      </c>
      <c r="N61" s="135">
        <v>171678.99842368416</v>
      </c>
      <c r="O61" s="135">
        <v>193338.93080601332</v>
      </c>
      <c r="P61" s="135">
        <v>216408.13167097076</v>
      </c>
      <c r="Q61" s="136">
        <v>68912.710715295834</v>
      </c>
    </row>
    <row r="62" spans="8:27" x14ac:dyDescent="0.25">
      <c r="H62" s="134" t="s">
        <v>62</v>
      </c>
      <c r="I62" s="74"/>
      <c r="J62" s="135">
        <v>0</v>
      </c>
      <c r="K62" s="135">
        <v>14.872883692138638</v>
      </c>
      <c r="L62" s="135">
        <v>14.872883692138638</v>
      </c>
      <c r="M62" s="135">
        <v>14.872883692138638</v>
      </c>
      <c r="N62" s="135">
        <v>4209.0767134503722</v>
      </c>
      <c r="O62" s="135">
        <v>8990.6211224416948</v>
      </c>
      <c r="P62" s="135">
        <v>14313.976174143016</v>
      </c>
      <c r="Q62" s="136">
        <v>15527.290574591598</v>
      </c>
    </row>
    <row r="63" spans="8:27" x14ac:dyDescent="0.25">
      <c r="H63" s="137" t="s">
        <v>63</v>
      </c>
      <c r="I63" s="138" t="s">
        <v>57</v>
      </c>
      <c r="J63" s="139">
        <v>1379675.7</v>
      </c>
      <c r="K63" s="139">
        <v>1627587.9956152753</v>
      </c>
      <c r="L63" s="139">
        <v>1657379.0862240284</v>
      </c>
      <c r="M63" s="139">
        <v>1659172.561880073</v>
      </c>
      <c r="N63" s="139">
        <v>1671603.1352555389</v>
      </c>
      <c r="O63" s="139">
        <v>1683446.4395040944</v>
      </c>
      <c r="P63" s="139">
        <v>1529068.0679596332</v>
      </c>
      <c r="Q63" s="140">
        <v>1400087.8816674352</v>
      </c>
    </row>
    <row r="64" spans="8:27" x14ac:dyDescent="0.25">
      <c r="H64" s="141" t="s">
        <v>64</v>
      </c>
      <c r="I64" s="142" t="s">
        <v>57</v>
      </c>
      <c r="J64" s="143">
        <v>2105340.0956752803</v>
      </c>
      <c r="K64" s="143">
        <v>2111956.8813148551</v>
      </c>
      <c r="L64" s="143">
        <v>2113805.6714267503</v>
      </c>
      <c r="M64" s="143">
        <v>2117673.3367155748</v>
      </c>
      <c r="N64" s="143">
        <v>2144480.1110380688</v>
      </c>
      <c r="O64" s="143">
        <v>2170020.4280157452</v>
      </c>
      <c r="P64" s="143">
        <v>2129377.1365383207</v>
      </c>
      <c r="Q64" s="144">
        <v>2129377.1365383235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2400.4524320667124</v>
      </c>
      <c r="J68" s="151">
        <v>2400.4524320667124</v>
      </c>
      <c r="K68" s="152" t="s">
        <v>24</v>
      </c>
    </row>
    <row r="69" spans="8:17" x14ac:dyDescent="0.25">
      <c r="H69" s="153" t="s">
        <v>69</v>
      </c>
      <c r="I69" s="154">
        <v>524.1741660667119</v>
      </c>
      <c r="J69" s="154">
        <v>-413.96496693328845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>
        <v>0.31091455915221666</v>
      </c>
      <c r="K72" s="9">
        <v>0.40000000000001379</v>
      </c>
      <c r="L72" s="9">
        <v>0.60000000000001419</v>
      </c>
      <c r="M72" s="9">
        <v>0.80000000000006211</v>
      </c>
      <c r="N72" s="9">
        <v>0.90000000000004798</v>
      </c>
      <c r="O72" s="9">
        <v>0.95000000000000251</v>
      </c>
      <c r="P72" s="9">
        <v>0.99000000000014476</v>
      </c>
      <c r="Q72" s="10">
        <v>0.99999999999998379</v>
      </c>
    </row>
    <row r="73" spans="8:17" x14ac:dyDescent="0.25">
      <c r="H73" s="51" t="s">
        <v>71</v>
      </c>
      <c r="I73" s="156"/>
      <c r="J73" s="157">
        <v>1067.8754546619139</v>
      </c>
      <c r="K73" s="157">
        <v>1383.169392757489</v>
      </c>
      <c r="L73" s="157">
        <v>875.11220206296844</v>
      </c>
      <c r="M73" s="157">
        <v>1268.812678171746</v>
      </c>
      <c r="N73" s="157">
        <v>1619.3170389415588</v>
      </c>
      <c r="O73" s="157">
        <v>2367.873146833967</v>
      </c>
      <c r="P73" s="157">
        <v>5127.8692004752902</v>
      </c>
      <c r="Q73" s="158">
        <v>4850.3076985892731</v>
      </c>
    </row>
    <row r="74" spans="8:17" x14ac:dyDescent="0.25">
      <c r="H74" s="130" t="s">
        <v>72</v>
      </c>
      <c r="I74" s="159"/>
      <c r="J74" s="160">
        <v>0</v>
      </c>
      <c r="K74" s="160">
        <v>0</v>
      </c>
      <c r="L74" s="160">
        <v>141.16369134795389</v>
      </c>
      <c r="M74" s="160">
        <v>169.69392281726664</v>
      </c>
      <c r="N74" s="160">
        <v>422.01870986792073</v>
      </c>
      <c r="O74" s="160">
        <v>734.24941238491147</v>
      </c>
      <c r="P74" s="160">
        <v>2052.52519986066</v>
      </c>
      <c r="Q74" s="161">
        <v>9733.6809367353635</v>
      </c>
    </row>
    <row r="75" spans="8:17" x14ac:dyDescent="0.25">
      <c r="H75" s="130" t="s">
        <v>73</v>
      </c>
      <c r="I75" s="159" t="s">
        <v>2</v>
      </c>
      <c r="J75" s="162">
        <v>0.26191305166703582</v>
      </c>
      <c r="K75" s="162">
        <v>0.26276148006476835</v>
      </c>
      <c r="L75" s="162">
        <v>0.14754916430827128</v>
      </c>
      <c r="M75" s="162">
        <v>0.1608662220288653</v>
      </c>
      <c r="N75" s="162">
        <v>0.19611470435050798</v>
      </c>
      <c r="O75" s="162">
        <v>0.26290242276021569</v>
      </c>
      <c r="P75" s="162">
        <v>0.45384875599650321</v>
      </c>
      <c r="Q75" s="163">
        <v>0.5213953323770405</v>
      </c>
    </row>
    <row r="76" spans="8:17" x14ac:dyDescent="0.25">
      <c r="H76" s="130" t="s">
        <v>74</v>
      </c>
      <c r="I76" s="159" t="s">
        <v>2</v>
      </c>
      <c r="J76" s="162">
        <v>0</v>
      </c>
      <c r="K76" s="162">
        <v>0</v>
      </c>
      <c r="L76" s="162">
        <v>0.14631298433494663</v>
      </c>
      <c r="M76" s="162">
        <v>0.117100694032134</v>
      </c>
      <c r="N76" s="162">
        <v>0.15897708160429627</v>
      </c>
      <c r="O76" s="162">
        <v>0.21316408930662689</v>
      </c>
      <c r="P76" s="162">
        <v>0.36648560072860298</v>
      </c>
      <c r="Q76" s="163">
        <v>0.647885855601256</v>
      </c>
    </row>
    <row r="77" spans="8:17" x14ac:dyDescent="0.25">
      <c r="H77" s="164" t="s">
        <v>75</v>
      </c>
      <c r="I77" s="165" t="s">
        <v>2</v>
      </c>
      <c r="J77" s="166">
        <v>0.26191305166703582</v>
      </c>
      <c r="K77" s="166">
        <v>0.26276148006476835</v>
      </c>
      <c r="L77" s="166">
        <v>0.1473762075272797</v>
      </c>
      <c r="M77" s="166">
        <v>0.15407333163405873</v>
      </c>
      <c r="N77" s="166">
        <v>0.18707979638715577</v>
      </c>
      <c r="O77" s="166">
        <v>0.24914269023456526</v>
      </c>
      <c r="P77" s="166">
        <v>0.42489573001354841</v>
      </c>
      <c r="Q77" s="167">
        <v>0.59951498888841315</v>
      </c>
    </row>
    <row r="78" spans="8:17" x14ac:dyDescent="0.25">
      <c r="H78" s="168" t="s">
        <v>76</v>
      </c>
      <c r="I78" s="169"/>
      <c r="J78" s="170">
        <v>33.582505831104328</v>
      </c>
      <c r="K78" s="170">
        <v>37.793830834617403</v>
      </c>
      <c r="L78" s="170">
        <v>62.593032300282886</v>
      </c>
      <c r="M78" s="170">
        <v>78.025345145006909</v>
      </c>
      <c r="N78" s="170">
        <v>85.030239414759919</v>
      </c>
      <c r="O78" s="170">
        <v>91.628266166327492</v>
      </c>
      <c r="P78" s="170">
        <v>118.71471087991436</v>
      </c>
      <c r="Q78" s="171">
        <v>197.2779622624289</v>
      </c>
    </row>
    <row r="79" spans="8:17" x14ac:dyDescent="0.25">
      <c r="H79" s="172" t="s">
        <v>77</v>
      </c>
      <c r="I79" s="173"/>
      <c r="J79" s="174">
        <v>22.93688803802765</v>
      </c>
      <c r="K79" s="174">
        <v>27.076004802139806</v>
      </c>
      <c r="L79" s="174">
        <v>57.343124234737921</v>
      </c>
      <c r="M79" s="174">
        <v>72.452035188648594</v>
      </c>
      <c r="N79" s="174">
        <v>78.000111026958294</v>
      </c>
      <c r="O79" s="174">
        <v>81.507190508235695</v>
      </c>
      <c r="P79" s="174">
        <v>96.234290427563195</v>
      </c>
      <c r="Q79" s="175">
        <v>152.07492238271533</v>
      </c>
    </row>
    <row r="80" spans="8:17" x14ac:dyDescent="0.25">
      <c r="H80" s="172" t="s">
        <v>78</v>
      </c>
      <c r="I80" s="173"/>
      <c r="J80" s="174">
        <v>12.291270244950962</v>
      </c>
      <c r="K80" s="174">
        <v>16.35817876966221</v>
      </c>
      <c r="L80" s="174">
        <v>52.093216169192949</v>
      </c>
      <c r="M80" s="174">
        <v>66.878725232290279</v>
      </c>
      <c r="N80" s="174">
        <v>70.969982639156669</v>
      </c>
      <c r="O80" s="174">
        <v>71.386114850143869</v>
      </c>
      <c r="P80" s="174">
        <v>73.753869975212027</v>
      </c>
      <c r="Q80" s="175">
        <v>106.87188250300174</v>
      </c>
    </row>
    <row r="81" spans="8:17" x14ac:dyDescent="0.25">
      <c r="H81" s="73" t="s">
        <v>79</v>
      </c>
      <c r="I81" s="176"/>
      <c r="J81" s="177">
        <v>24.786809246253771</v>
      </c>
      <c r="K81" s="177">
        <v>27.845664553263767</v>
      </c>
      <c r="L81" s="177">
        <v>53.270804721443618</v>
      </c>
      <c r="M81" s="177">
        <v>65.801027714932204</v>
      </c>
      <c r="N81" s="177">
        <v>68.887343725308597</v>
      </c>
      <c r="O81" s="177">
        <v>68.513815741513497</v>
      </c>
      <c r="P81" s="177">
        <v>67.862286462262418</v>
      </c>
      <c r="Q81" s="178">
        <v>78.698133444328633</v>
      </c>
    </row>
    <row r="82" spans="8:17" x14ac:dyDescent="0.25">
      <c r="H82" s="134" t="s">
        <v>80</v>
      </c>
      <c r="I82" s="176"/>
      <c r="J82" s="177">
        <v>16.929417696242698</v>
      </c>
      <c r="K82" s="177">
        <v>19.949005711068622</v>
      </c>
      <c r="L82" s="177">
        <v>48.802786204246551</v>
      </c>
      <c r="M82" s="177">
        <v>61.100894415672983</v>
      </c>
      <c r="N82" s="177">
        <v>63.191877335742305</v>
      </c>
      <c r="O82" s="177">
        <v>60.945916208353403</v>
      </c>
      <c r="P82" s="177">
        <v>55.011539312039837</v>
      </c>
      <c r="Q82" s="178">
        <v>60.66573477320496</v>
      </c>
    </row>
    <row r="83" spans="8:17" x14ac:dyDescent="0.25">
      <c r="H83" s="179" t="s">
        <v>81</v>
      </c>
      <c r="I83" s="180"/>
      <c r="J83" s="181">
        <v>9.0720261462316216</v>
      </c>
      <c r="K83" s="181">
        <v>12.052346868873478</v>
      </c>
      <c r="L83" s="181">
        <v>44.334767687049492</v>
      </c>
      <c r="M83" s="181">
        <v>56.400761116413761</v>
      </c>
      <c r="N83" s="181">
        <v>57.496410946176013</v>
      </c>
      <c r="O83" s="181">
        <v>53.378016675193294</v>
      </c>
      <c r="P83" s="181">
        <v>42.160792161817241</v>
      </c>
      <c r="Q83" s="182">
        <v>42.633336102081294</v>
      </c>
    </row>
    <row r="84" spans="8:17" x14ac:dyDescent="0.25">
      <c r="H84" s="183" t="s">
        <v>82</v>
      </c>
      <c r="I84" s="184" t="s">
        <v>12</v>
      </c>
      <c r="J84" s="185">
        <v>0</v>
      </c>
      <c r="K84" s="185">
        <v>0.18096800000000005</v>
      </c>
      <c r="L84" s="185">
        <v>1.3220576686853549</v>
      </c>
      <c r="M84" s="185">
        <v>2.1469786896906706</v>
      </c>
      <c r="N84" s="185">
        <v>2.2164760676823159</v>
      </c>
      <c r="O84" s="185">
        <v>2.1882648343336295</v>
      </c>
      <c r="P84" s="185">
        <v>2.2015011741998345</v>
      </c>
      <c r="Q84" s="186">
        <v>2.7385620887279782</v>
      </c>
    </row>
    <row r="86" spans="8:17" ht="28.9" customHeight="1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>
        <f t="shared" ref="J92:O92" si="6">J5</f>
        <v>0.31091455915221666</v>
      </c>
      <c r="K92" s="228">
        <f t="shared" si="6"/>
        <v>0.40000000000001379</v>
      </c>
      <c r="L92" s="228">
        <f t="shared" si="6"/>
        <v>0.60000000000001419</v>
      </c>
      <c r="M92" s="228">
        <f t="shared" si="6"/>
        <v>0.80000000000006211</v>
      </c>
      <c r="N92" s="228">
        <f t="shared" si="6"/>
        <v>0.90000000000004798</v>
      </c>
      <c r="O92" s="228">
        <f t="shared" si="6"/>
        <v>0.95000000000000251</v>
      </c>
      <c r="P92" s="228">
        <f t="shared" ref="P92" si="7">P5</f>
        <v>0.99000000000014476</v>
      </c>
      <c r="Q92" s="229">
        <f>Q5</f>
        <v>0.99999999999998379</v>
      </c>
    </row>
    <row r="93" spans="8:17" ht="18" x14ac:dyDescent="0.25">
      <c r="H93" s="148" t="s">
        <v>89</v>
      </c>
      <c r="I93" s="194" t="s">
        <v>104</v>
      </c>
      <c r="J93" s="195">
        <f>IF(J22&gt;0,  $I$88*(J6*1000)/(J22*1000)/$K$88*1000, 0)</f>
        <v>14.221939731457082</v>
      </c>
      <c r="K93" s="195">
        <f t="shared" ref="K93:O93" si="8">IF(K22&gt;0,  $I$88*(K6*1000)/(K22*1000)/$K$88*1000, 0)</f>
        <v>14.221939731457073</v>
      </c>
      <c r="L93" s="195">
        <f t="shared" si="8"/>
        <v>14.221939731457137</v>
      </c>
      <c r="M93" s="195">
        <f t="shared" si="8"/>
        <v>14.22193973145713</v>
      </c>
      <c r="N93" s="195">
        <f t="shared" si="8"/>
        <v>14.221939731457084</v>
      </c>
      <c r="O93" s="195">
        <f t="shared" si="8"/>
        <v>14.221939731457033</v>
      </c>
      <c r="P93" s="195">
        <f t="shared" ref="P93" si="9">IF(P22&gt;0,  $I$88*(P6*1000)/(P22*1000)/$K$88*1000, 0)</f>
        <v>14.221939731457036</v>
      </c>
      <c r="Q93" s="196">
        <f>IF(Q22&gt;0,  $I$88*(Q6*1000)/(Q22*1000)/$K$88*1000, 0)</f>
        <v>14.221939731457093</v>
      </c>
    </row>
    <row r="94" spans="8:17" ht="18" x14ac:dyDescent="0.25">
      <c r="H94" s="61" t="s">
        <v>90</v>
      </c>
      <c r="I94" s="230" t="s">
        <v>104</v>
      </c>
      <c r="J94" s="231">
        <f t="shared" ref="J94:O94" si="10">IF(J23&gt;0,$I$89*(J7*1000)/(J23*1000)/$K$89*1000,0)</f>
        <v>0</v>
      </c>
      <c r="K94" s="231">
        <f t="shared" si="10"/>
        <v>0</v>
      </c>
      <c r="L94" s="231">
        <f t="shared" si="10"/>
        <v>11.625916654409657</v>
      </c>
      <c r="M94" s="231">
        <f t="shared" si="10"/>
        <v>11.625916654409657</v>
      </c>
      <c r="N94" s="231">
        <f t="shared" si="10"/>
        <v>11.625916654409673</v>
      </c>
      <c r="O94" s="231">
        <f t="shared" si="10"/>
        <v>11.625916654409716</v>
      </c>
      <c r="P94" s="231">
        <f t="shared" ref="P94" si="11">IF(P23&gt;0,$I$89*(P7*1000)/(P23*1000)/$K$89*1000,0)</f>
        <v>11.625916654409638</v>
      </c>
      <c r="Q94" s="232">
        <f>IF(Q23&gt;0,$I$89*(Q7*1000)/(Q23*1000)/$K$89*1000,0)</f>
        <v>11.625916654409657</v>
      </c>
    </row>
    <row r="95" spans="8:17" ht="18" x14ac:dyDescent="0.25">
      <c r="H95" s="153" t="s">
        <v>99</v>
      </c>
      <c r="I95" s="197" t="s">
        <v>104</v>
      </c>
      <c r="J95" s="198">
        <f t="shared" ref="J95:O95" si="12">IF(-J26&gt;0,$I$90*(J8*1000)/(-J26*1000)/$K$90*1000,0)</f>
        <v>0</v>
      </c>
      <c r="K95" s="198">
        <f>IF(-K26&gt;0,$I$90*(K8*1000)/(-K26*1000)/$K$90*1000,0)</f>
        <v>18.424635338047938</v>
      </c>
      <c r="L95" s="198">
        <f t="shared" si="12"/>
        <v>19.36324127441652</v>
      </c>
      <c r="M95" s="198">
        <f t="shared" si="12"/>
        <v>19.482731940773789</v>
      </c>
      <c r="N95" s="198">
        <f t="shared" si="12"/>
        <v>20.481241406581447</v>
      </c>
      <c r="O95" s="198">
        <f t="shared" si="12"/>
        <v>22.790409080522661</v>
      </c>
      <c r="P95" s="198">
        <f t="shared" ref="P95" si="13">IF(-P26&gt;0,$I$90*(P8*1000)/(-P26*1000)/$K$90*1000,0)</f>
        <v>32.432625427971914</v>
      </c>
      <c r="Q95" s="199">
        <f>IF(-Q26&gt;0,$I$90*(Q8*1000)/(-Q26*1000)/$K$90*1000,0)</f>
        <v>71.641161051089156</v>
      </c>
    </row>
    <row r="96" spans="8:17" ht="18" x14ac:dyDescent="0.25">
      <c r="H96" s="233" t="s">
        <v>187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>
        <f t="shared" ref="J97:O97" si="14">J5</f>
        <v>0.31091455915221666</v>
      </c>
      <c r="K97" s="9">
        <f t="shared" si="14"/>
        <v>0.40000000000001379</v>
      </c>
      <c r="L97" s="9">
        <f t="shared" si="14"/>
        <v>0.60000000000001419</v>
      </c>
      <c r="M97" s="9">
        <f t="shared" si="14"/>
        <v>0.80000000000006211</v>
      </c>
      <c r="N97" s="9">
        <f t="shared" si="14"/>
        <v>0.90000000000004798</v>
      </c>
      <c r="O97" s="9">
        <f t="shared" si="14"/>
        <v>0.95000000000000251</v>
      </c>
      <c r="P97" s="9">
        <f t="shared" ref="P97" si="15">P5</f>
        <v>0.99000000000014476</v>
      </c>
      <c r="Q97" s="10">
        <f>Q5</f>
        <v>0.99999999999998379</v>
      </c>
    </row>
    <row r="98" spans="8:17" ht="18" x14ac:dyDescent="0.25">
      <c r="H98" s="200" t="s">
        <v>91</v>
      </c>
      <c r="I98" s="201" t="s">
        <v>106</v>
      </c>
      <c r="J98" s="202">
        <f t="shared" ref="J98:O98" si="16">$M$88/1000*J24*1000</f>
        <v>2667859.7540786904</v>
      </c>
      <c r="K98" s="202">
        <f t="shared" si="16"/>
        <v>2322957.0058510345</v>
      </c>
      <c r="L98" s="202">
        <f t="shared" si="16"/>
        <v>1548638.0039005252</v>
      </c>
      <c r="M98" s="202">
        <f t="shared" si="16"/>
        <v>774319.00195028703</v>
      </c>
      <c r="N98" s="202">
        <f t="shared" si="16"/>
        <v>387159.5009751367</v>
      </c>
      <c r="O98" s="202">
        <f t="shared" si="16"/>
        <v>193579.75048753087</v>
      </c>
      <c r="P98" s="202">
        <f t="shared" ref="P98" si="17">$M$88/1000*P24*1000</f>
        <v>38715.950097632951</v>
      </c>
      <c r="Q98" s="203">
        <f>$M$88/1000*Q24*1000</f>
        <v>7.4024910645675848E-10</v>
      </c>
    </row>
    <row r="99" spans="8:17" ht="18" x14ac:dyDescent="0.25">
      <c r="H99" s="204" t="s">
        <v>92</v>
      </c>
      <c r="I99" s="13" t="s">
        <v>106</v>
      </c>
      <c r="J99" s="31">
        <f t="shared" ref="J99:O100" si="18">J93/1000*J22*1000</f>
        <v>57985.886003921987</v>
      </c>
      <c r="K99" s="31">
        <f t="shared" si="18"/>
        <v>74863.909798895475</v>
      </c>
      <c r="L99" s="31">
        <f t="shared" si="18"/>
        <v>84350.14223462189</v>
      </c>
      <c r="M99" s="31">
        <f t="shared" si="18"/>
        <v>112173.8125747079</v>
      </c>
      <c r="N99" s="31">
        <f t="shared" si="18"/>
        <v>117430.40589546054</v>
      </c>
      <c r="O99" s="31">
        <f t="shared" si="18"/>
        <v>128092.19798146436</v>
      </c>
      <c r="P99" s="31">
        <f t="shared" ref="P99" si="19">P93/1000*P22*1000</f>
        <v>160688.43586411912</v>
      </c>
      <c r="Q99" s="62">
        <f>Q93/1000*Q22*1000</f>
        <v>132300.34771096957</v>
      </c>
    </row>
    <row r="100" spans="8:17" ht="18" x14ac:dyDescent="0.25">
      <c r="H100" s="204" t="s">
        <v>93</v>
      </c>
      <c r="I100" s="13" t="s">
        <v>106</v>
      </c>
      <c r="J100" s="31">
        <f t="shared" si="18"/>
        <v>0</v>
      </c>
      <c r="K100" s="31">
        <f t="shared" si="18"/>
        <v>0</v>
      </c>
      <c r="L100" s="31">
        <f t="shared" si="18"/>
        <v>11216.757813394786</v>
      </c>
      <c r="M100" s="31">
        <f t="shared" si="18"/>
        <v>16847.444156838144</v>
      </c>
      <c r="N100" s="31">
        <f t="shared" si="18"/>
        <v>30862.022991075919</v>
      </c>
      <c r="O100" s="31">
        <f t="shared" si="18"/>
        <v>40045.781161840896</v>
      </c>
      <c r="P100" s="31">
        <f t="shared" ref="P100" si="20">P94/1000*P23*1000</f>
        <v>65111.662933591288</v>
      </c>
      <c r="Q100" s="62">
        <f>Q94/1000*Q23*1000</f>
        <v>174664.96965901979</v>
      </c>
    </row>
    <row r="101" spans="8:17" ht="18" x14ac:dyDescent="0.25">
      <c r="H101" s="204" t="s">
        <v>94</v>
      </c>
      <c r="I101" s="13" t="s">
        <v>106</v>
      </c>
      <c r="J101" s="31">
        <f t="shared" ref="J101:O101" si="21">J95/1000*(-J26)*1000</f>
        <v>0</v>
      </c>
      <c r="K101" s="31">
        <f t="shared" si="21"/>
        <v>2870.8797869888099</v>
      </c>
      <c r="L101" s="31">
        <f t="shared" si="21"/>
        <v>23630.71896010101</v>
      </c>
      <c r="M101" s="31">
        <f t="shared" si="21"/>
        <v>51034.037803317959</v>
      </c>
      <c r="N101" s="31">
        <f t="shared" si="21"/>
        <v>55154.928336691119</v>
      </c>
      <c r="O101" s="31">
        <f t="shared" si="21"/>
        <v>59396.831102821947</v>
      </c>
      <c r="P101" s="31">
        <f t="shared" ref="P101" si="22">P95/1000*(-P26)*1000</f>
        <v>74962.534383171878</v>
      </c>
      <c r="Q101" s="62">
        <f>Q95/1000*(-Q26)*1000</f>
        <v>76775.789939153226</v>
      </c>
    </row>
    <row r="102" spans="8:17" ht="18" x14ac:dyDescent="0.25">
      <c r="H102" s="204" t="s">
        <v>95</v>
      </c>
      <c r="I102" s="13" t="s">
        <v>106</v>
      </c>
      <c r="J102" s="31">
        <f>[3]NoSP!$C$174</f>
        <v>1630310.3764790881</v>
      </c>
      <c r="K102" s="31">
        <f>[3]NoSP!$C$174</f>
        <v>1630310.3764790881</v>
      </c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>
        <f>[3]NoSP!$C$175</f>
        <v>5111323.9103365559</v>
      </c>
      <c r="K103" s="27">
        <f>[3]NoSP!$C$175</f>
        <v>5111323.9103365559</v>
      </c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>
        <f>[3]NoSP!$C$176</f>
        <v>542342.8500791121</v>
      </c>
      <c r="K104" s="207">
        <f>[3]NoSP!$C$176</f>
        <v>542342.8500791121</v>
      </c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>
        <f t="shared" ref="J105:O105" si="23">J98/J104</f>
        <v>4.9191387951173819</v>
      </c>
      <c r="K105" s="211">
        <f t="shared" si="23"/>
        <v>4.2831891404342892</v>
      </c>
      <c r="L105" s="211">
        <f t="shared" si="23"/>
        <v>2.8554594269558891</v>
      </c>
      <c r="M105" s="211">
        <f t="shared" si="23"/>
        <v>1.4277297134778033</v>
      </c>
      <c r="N105" s="211">
        <f t="shared" si="23"/>
        <v>0.71386485673894318</v>
      </c>
      <c r="O105" s="211">
        <f t="shared" si="23"/>
        <v>0.35693242836940325</v>
      </c>
      <c r="P105" s="211">
        <f t="shared" ref="P105" si="24">P98/P104</f>
        <v>7.1386485674114403E-2</v>
      </c>
      <c r="Q105" s="212">
        <f>Q98/Q104</f>
        <v>1.3649098653162594E-15</v>
      </c>
    </row>
    <row r="106" spans="8:17" ht="18" x14ac:dyDescent="0.25">
      <c r="H106" s="213" t="s">
        <v>89</v>
      </c>
      <c r="I106" s="214" t="s">
        <v>109</v>
      </c>
      <c r="J106" s="215">
        <f t="shared" ref="J106:O106" si="25">J99/J104</f>
        <v>0.10691739735383905</v>
      </c>
      <c r="K106" s="215">
        <f t="shared" si="25"/>
        <v>0.13803797687749547</v>
      </c>
      <c r="L106" s="215">
        <f t="shared" si="25"/>
        <v>0.15552918642205321</v>
      </c>
      <c r="M106" s="215">
        <f t="shared" si="25"/>
        <v>0.20683191925242558</v>
      </c>
      <c r="N106" s="215">
        <f t="shared" si="25"/>
        <v>0.21652429985630753</v>
      </c>
      <c r="O106" s="215">
        <f t="shared" si="25"/>
        <v>0.23618306752411816</v>
      </c>
      <c r="P106" s="215">
        <f t="shared" ref="P106" si="26">P99/P104</f>
        <v>0.29628570901353429</v>
      </c>
      <c r="Q106" s="216">
        <f>Q99/Q104</f>
        <v>0.24394227321640435</v>
      </c>
    </row>
    <row r="107" spans="8:17" ht="18" x14ac:dyDescent="0.25">
      <c r="H107" s="213" t="s">
        <v>90</v>
      </c>
      <c r="I107" s="214" t="s">
        <v>109</v>
      </c>
      <c r="J107" s="215">
        <f t="shared" ref="J107:O107" si="27">J100/J104</f>
        <v>0</v>
      </c>
      <c r="K107" s="215">
        <f t="shared" si="27"/>
        <v>0</v>
      </c>
      <c r="L107" s="215">
        <f t="shared" si="27"/>
        <v>2.0682042386579978E-2</v>
      </c>
      <c r="M107" s="215">
        <f t="shared" si="27"/>
        <v>3.1064195193830604E-2</v>
      </c>
      <c r="N107" s="215">
        <f t="shared" si="27"/>
        <v>5.6905005729442834E-2</v>
      </c>
      <c r="O107" s="215">
        <f t="shared" si="27"/>
        <v>7.3838497467049249E-2</v>
      </c>
      <c r="P107" s="215">
        <f t="shared" ref="P107" si="28">P100/P104</f>
        <v>0.12005627606981444</v>
      </c>
      <c r="Q107" s="216">
        <f>Q100/Q104</f>
        <v>0.32205637012368005</v>
      </c>
    </row>
    <row r="108" spans="8:17" ht="18" x14ac:dyDescent="0.25">
      <c r="H108" s="213" t="s">
        <v>99</v>
      </c>
      <c r="I108" s="214" t="s">
        <v>109</v>
      </c>
      <c r="J108" s="215">
        <f t="shared" ref="J108:O108" si="29">J101/J104</f>
        <v>0</v>
      </c>
      <c r="K108" s="215">
        <f t="shared" si="29"/>
        <v>5.2934777080034003E-3</v>
      </c>
      <c r="L108" s="215">
        <f t="shared" si="29"/>
        <v>4.3571550646706182E-2</v>
      </c>
      <c r="M108" s="215">
        <f t="shared" si="29"/>
        <v>9.4099217489208006E-2</v>
      </c>
      <c r="N108" s="215">
        <f t="shared" si="29"/>
        <v>0.10169753012995855</v>
      </c>
      <c r="O108" s="215">
        <f t="shared" si="29"/>
        <v>0.10951897142952018</v>
      </c>
      <c r="P108" s="215">
        <f t="shared" ref="P108" si="30">P101/P104</f>
        <v>0.13821982602376537</v>
      </c>
      <c r="Q108" s="216">
        <f>Q101/Q104</f>
        <v>0.14156320107833925</v>
      </c>
    </row>
    <row r="109" spans="8:17" ht="18" x14ac:dyDescent="0.25">
      <c r="H109" s="213" t="s">
        <v>100</v>
      </c>
      <c r="I109" s="214" t="s">
        <v>108</v>
      </c>
      <c r="J109" s="215">
        <f t="shared" ref="J109:O109" si="31">-J103/J104</f>
        <v>-9.4245252972192066</v>
      </c>
      <c r="K109" s="215">
        <f t="shared" si="31"/>
        <v>-9.4245252972192066</v>
      </c>
      <c r="L109" s="215">
        <f t="shared" si="31"/>
        <v>-9.4245252972192066</v>
      </c>
      <c r="M109" s="215">
        <f t="shared" si="31"/>
        <v>-9.4245252972203968</v>
      </c>
      <c r="N109" s="215">
        <f t="shared" si="31"/>
        <v>-9.4245252972200717</v>
      </c>
      <c r="O109" s="215">
        <f t="shared" si="31"/>
        <v>-9.4245252972199971</v>
      </c>
      <c r="P109" s="215">
        <f t="shared" ref="P109" si="32">-P103/P104</f>
        <v>-9.4245252972199971</v>
      </c>
      <c r="Q109" s="216">
        <f>-Q103/Q104</f>
        <v>-9.4245252972206099</v>
      </c>
    </row>
    <row r="110" spans="8:17" ht="18" x14ac:dyDescent="0.25">
      <c r="H110" s="217" t="s">
        <v>101</v>
      </c>
      <c r="I110" s="218" t="s">
        <v>108</v>
      </c>
      <c r="J110" s="219">
        <f>SUM(J105:J109)</f>
        <v>-4.3984691047479858</v>
      </c>
      <c r="K110" s="219">
        <f t="shared" ref="K110:O110" si="33">SUM(K105:K109)</f>
        <v>-4.9980047021994185</v>
      </c>
      <c r="L110" s="219">
        <f t="shared" si="33"/>
        <v>-6.3492830908079778</v>
      </c>
      <c r="M110" s="219">
        <f t="shared" si="33"/>
        <v>-7.6648002518071294</v>
      </c>
      <c r="N110" s="219">
        <f t="shared" si="33"/>
        <v>-8.3355336047654198</v>
      </c>
      <c r="O110" s="219">
        <f t="shared" si="33"/>
        <v>-8.6480523324299057</v>
      </c>
      <c r="P110" s="219">
        <f t="shared" ref="P110" si="34">SUM(P105:P109)</f>
        <v>-8.7985770004387689</v>
      </c>
      <c r="Q110" s="220">
        <f>SUM(Q105:Q109)</f>
        <v>-8.7169634528021849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 t="shared" ref="J112:O112" si="35">(J31+J37)*J104/J22</f>
        <v>24.786809246250176</v>
      </c>
      <c r="K112" s="284">
        <f t="shared" si="35"/>
        <v>24.786809246253597</v>
      </c>
      <c r="L112" s="284">
        <f t="shared" si="35"/>
        <v>24.786809246253053</v>
      </c>
      <c r="M112" s="284">
        <f t="shared" si="35"/>
        <v>24.786809246255924</v>
      </c>
      <c r="N112" s="284">
        <f t="shared" si="35"/>
        <v>24.786809246253785</v>
      </c>
      <c r="O112" s="284">
        <f t="shared" si="35"/>
        <v>24.786809246253739</v>
      </c>
      <c r="P112" s="284">
        <f t="shared" ref="P112" si="36">(P31+P37)*P104/P22</f>
        <v>24.786809246253355</v>
      </c>
      <c r="Q112" s="285">
        <f>(Q31+Q37)*Q104/Q22</f>
        <v>24.786809246253654</v>
      </c>
    </row>
    <row r="113" spans="8:17" x14ac:dyDescent="0.25">
      <c r="H113" s="286" t="s">
        <v>134</v>
      </c>
      <c r="I113" s="287"/>
      <c r="J113" s="181">
        <f>L113</f>
        <v>91.783552534810056</v>
      </c>
      <c r="K113" s="181">
        <f>L113</f>
        <v>91.783552534810056</v>
      </c>
      <c r="L113" s="181">
        <f t="shared" ref="L113:Q113" si="37">IF(L32&gt;0,(L32+L38)*L104/L23,0)</f>
        <v>91.783552534810056</v>
      </c>
      <c r="M113" s="181">
        <f t="shared" si="37"/>
        <v>91.783552534820757</v>
      </c>
      <c r="N113" s="181">
        <f t="shared" si="37"/>
        <v>91.783552534813253</v>
      </c>
      <c r="O113" s="181">
        <f t="shared" si="37"/>
        <v>91.783552534813737</v>
      </c>
      <c r="P113" s="181">
        <f t="shared" si="37"/>
        <v>91.783552534811719</v>
      </c>
      <c r="Q113" s="182">
        <f t="shared" si="37"/>
        <v>91.783552534812586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>J28</f>
        <v>6.2755134422332048E-10</v>
      </c>
      <c r="K115" s="228">
        <f t="shared" ref="K115:O115" si="38">K28</f>
        <v>7.1312911131826695E-10</v>
      </c>
      <c r="L115" s="228">
        <f t="shared" si="38"/>
        <v>-3.1377567211166024E-11</v>
      </c>
      <c r="M115" s="228">
        <f t="shared" si="38"/>
        <v>7.1850081440061331E-10</v>
      </c>
      <c r="N115" s="228">
        <f t="shared" si="38"/>
        <v>4.3610270950011909E-10</v>
      </c>
      <c r="O115" s="228">
        <f t="shared" si="38"/>
        <v>-8.6856744019314647E-11</v>
      </c>
      <c r="P115" s="228">
        <f t="shared" ref="P115" si="39">P28</f>
        <v>1.7103047866839916E-9</v>
      </c>
      <c r="Q115" s="229">
        <f>Q28</f>
        <v>-1.5450041246367618E-10</v>
      </c>
    </row>
    <row r="116" spans="8:17" ht="18" x14ac:dyDescent="0.25">
      <c r="H116" s="148" t="s">
        <v>89</v>
      </c>
      <c r="I116" s="194" t="s">
        <v>104</v>
      </c>
      <c r="J116" s="195">
        <f>IF(J22&gt;0,  $J$88*(J6*1000)/(J22*1000)/$K$88*1000, 0)</f>
        <v>47.406465771523607</v>
      </c>
      <c r="K116" s="195">
        <f t="shared" ref="K116:O116" si="40">IF(K22&gt;0,  $J$88*(K6*1000)/(K22*1000)/$K$88*1000, 0)</f>
        <v>47.406465771523585</v>
      </c>
      <c r="L116" s="195">
        <f t="shared" si="40"/>
        <v>47.406465771523791</v>
      </c>
      <c r="M116" s="195">
        <f t="shared" si="40"/>
        <v>47.40646577152377</v>
      </c>
      <c r="N116" s="195">
        <f t="shared" si="40"/>
        <v>47.406465771523621</v>
      </c>
      <c r="O116" s="195">
        <f t="shared" si="40"/>
        <v>47.40646577152345</v>
      </c>
      <c r="P116" s="195">
        <f t="shared" ref="P116" si="41">IF(P22&gt;0,  $J$88*(P6*1000)/(P22*1000)/$K$88*1000, 0)</f>
        <v>47.40646577152345</v>
      </c>
      <c r="Q116" s="196">
        <f>IF(Q22&gt;0,  $J$88*(Q6*1000)/(Q22*1000)/$K$88*1000, 0)</f>
        <v>47.406465771523635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42">IF(J23&gt;0,$J$89*(J7*1000)/(J23*1000)/$K$89*1000,0)</f>
        <v>0</v>
      </c>
      <c r="K117" s="231">
        <f t="shared" si="42"/>
        <v>0</v>
      </c>
      <c r="L117" s="231">
        <f t="shared" si="42"/>
        <v>19.886436382542829</v>
      </c>
      <c r="M117" s="231">
        <f t="shared" si="42"/>
        <v>19.886436382542833</v>
      </c>
      <c r="N117" s="231">
        <f t="shared" si="42"/>
        <v>19.886436382542865</v>
      </c>
      <c r="O117" s="231">
        <f t="shared" si="42"/>
        <v>19.886436382542936</v>
      </c>
      <c r="P117" s="231">
        <f t="shared" ref="P117" si="43">IF(P23&gt;0,$J$89*(P7*1000)/(P23*1000)/$K$89*1000,0)</f>
        <v>19.886436382542804</v>
      </c>
      <c r="Q117" s="232">
        <f>IF(Q23&gt;0,$J$89*(Q7*1000)/(Q23*1000)/$K$89*1000,0)</f>
        <v>19.886436382542833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44">IF(-J26&gt;0,$J$90*(J8*1000)/(-J26*1000)/$K$90*1000,0)</f>
        <v>0</v>
      </c>
      <c r="K118" s="198">
        <f t="shared" si="44"/>
        <v>34.986105304832599</v>
      </c>
      <c r="L118" s="198">
        <f t="shared" si="44"/>
        <v>36.768401970521261</v>
      </c>
      <c r="M118" s="198">
        <f t="shared" si="44"/>
        <v>36.995299977424388</v>
      </c>
      <c r="N118" s="198">
        <f t="shared" si="44"/>
        <v>38.89134604171084</v>
      </c>
      <c r="O118" s="198">
        <f t="shared" si="44"/>
        <v>43.276170051778983</v>
      </c>
      <c r="P118" s="198">
        <f t="shared" ref="P118" si="45">IF(-P26&gt;0,$J$90*(P8*1000)/(-P26*1000)/$K$90*1000,0)</f>
        <v>61.585547160980376</v>
      </c>
      <c r="Q118" s="199">
        <f>IF(-Q26&gt;0,$J$90*(Q8*1000)/(-Q26*1000)/$K$90*1000,0)</f>
        <v>136.03771031049513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46">J28</f>
        <v>6.2755134422332048E-10</v>
      </c>
      <c r="K120" s="9">
        <f t="shared" si="46"/>
        <v>7.1312911131826695E-10</v>
      </c>
      <c r="L120" s="9">
        <f t="shared" si="46"/>
        <v>-3.1377567211166024E-11</v>
      </c>
      <c r="M120" s="9">
        <f t="shared" si="46"/>
        <v>7.1850081440061331E-10</v>
      </c>
      <c r="N120" s="9">
        <f t="shared" si="46"/>
        <v>4.3610270950011909E-10</v>
      </c>
      <c r="O120" s="9">
        <f t="shared" si="46"/>
        <v>-8.6856744019314647E-11</v>
      </c>
      <c r="P120" s="9">
        <f t="shared" ref="P120" si="47">P28</f>
        <v>1.7103047866839916E-9</v>
      </c>
      <c r="Q120" s="10">
        <f>Q28</f>
        <v>-1.5450041246367618E-10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2667859.7540786904</v>
      </c>
      <c r="K121" s="202">
        <f t="shared" ref="K121:O121" si="48">$M$88/1000*K24*1000</f>
        <v>2322957.0058510345</v>
      </c>
      <c r="L121" s="202">
        <f t="shared" si="48"/>
        <v>1548638.0039005252</v>
      </c>
      <c r="M121" s="202">
        <f t="shared" si="48"/>
        <v>774319.00195028703</v>
      </c>
      <c r="N121" s="202">
        <f t="shared" si="48"/>
        <v>387159.5009751367</v>
      </c>
      <c r="O121" s="202">
        <f t="shared" si="48"/>
        <v>193579.75048753087</v>
      </c>
      <c r="P121" s="202">
        <f t="shared" ref="P121" si="49">$M$88/1000*P24*1000</f>
        <v>38715.950097632951</v>
      </c>
      <c r="Q121" s="203">
        <f>$M$88/1000*Q24*1000</f>
        <v>7.4024910645675848E-10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193286.28667973995</v>
      </c>
      <c r="K122" s="31">
        <f t="shared" ref="K122:O123" si="50">K116/1000*K22*1000</f>
        <v>249546.36599631826</v>
      </c>
      <c r="L122" s="31">
        <f t="shared" si="50"/>
        <v>281167.14078207291</v>
      </c>
      <c r="M122" s="31">
        <f t="shared" si="50"/>
        <v>373912.70858235972</v>
      </c>
      <c r="N122" s="31">
        <f t="shared" si="50"/>
        <v>391434.68631820183</v>
      </c>
      <c r="O122" s="31">
        <f t="shared" si="50"/>
        <v>426973.99327154789</v>
      </c>
      <c r="P122" s="31">
        <f t="shared" ref="P122" si="51">P116/1000*P22*1000</f>
        <v>535628.11954706372</v>
      </c>
      <c r="Q122" s="62">
        <f>Q116/1000*Q22*1000</f>
        <v>441001.15903656511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50"/>
        <v>0</v>
      </c>
      <c r="L123" s="31">
        <f t="shared" si="50"/>
        <v>19186.559417648969</v>
      </c>
      <c r="M123" s="31">
        <f t="shared" si="50"/>
        <v>28817.99658406524</v>
      </c>
      <c r="N123" s="31">
        <f t="shared" si="50"/>
        <v>52790.302484735126</v>
      </c>
      <c r="O123" s="31">
        <f t="shared" si="50"/>
        <v>68499.362513675223</v>
      </c>
      <c r="P123" s="31">
        <f t="shared" ref="P123" si="52">P117/1000*P23*1000</f>
        <v>111375.21291272195</v>
      </c>
      <c r="Q123" s="62">
        <f>Q117/1000*Q23*1000</f>
        <v>298769.02704832325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53">K118/1000*(-K26)*1000</f>
        <v>5451.4458876529088</v>
      </c>
      <c r="L124" s="31">
        <f t="shared" si="53"/>
        <v>44871.814654573827</v>
      </c>
      <c r="M124" s="31">
        <f t="shared" si="53"/>
        <v>96907.330210794767</v>
      </c>
      <c r="N124" s="31">
        <f t="shared" si="53"/>
        <v>104732.39201012134</v>
      </c>
      <c r="O124" s="31">
        <f t="shared" si="53"/>
        <v>112787.24108288661</v>
      </c>
      <c r="P124" s="31">
        <f t="shared" ref="P124" si="54">P118/1000*(-P26)*1000</f>
        <v>142344.5877613039</v>
      </c>
      <c r="Q124" s="62">
        <f>Q118/1000*(-Q26)*1000</f>
        <v>145787.73595187525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55">J121/J127</f>
        <v>4.9191387951173819</v>
      </c>
      <c r="K128" s="211">
        <f t="shared" si="55"/>
        <v>4.2831891404342892</v>
      </c>
      <c r="L128" s="211">
        <f t="shared" si="55"/>
        <v>2.8554594269558891</v>
      </c>
      <c r="M128" s="211">
        <f t="shared" si="55"/>
        <v>1.4277297134778033</v>
      </c>
      <c r="N128" s="211">
        <f t="shared" si="55"/>
        <v>0.71386485673894318</v>
      </c>
      <c r="O128" s="211">
        <f t="shared" si="55"/>
        <v>0.35693242836940325</v>
      </c>
      <c r="P128" s="211">
        <f t="shared" ref="P128" si="56">P121/P127</f>
        <v>7.1386485674114403E-2</v>
      </c>
      <c r="Q128" s="212">
        <f>Q121/Q127</f>
        <v>1.3649098653162594E-15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57">J122/J127</f>
        <v>0.35639132451279681</v>
      </c>
      <c r="K129" s="215">
        <f t="shared" si="57"/>
        <v>0.46012658959165165</v>
      </c>
      <c r="L129" s="215">
        <f t="shared" si="57"/>
        <v>0.51843062140684393</v>
      </c>
      <c r="M129" s="215">
        <f t="shared" si="57"/>
        <v>0.68943973084141863</v>
      </c>
      <c r="N129" s="215">
        <f t="shared" si="57"/>
        <v>0.72174766618769182</v>
      </c>
      <c r="O129" s="215">
        <f t="shared" si="57"/>
        <v>0.78727689174706061</v>
      </c>
      <c r="P129" s="215">
        <f t="shared" ref="P129" si="58">P122/P127</f>
        <v>0.98761903004511431</v>
      </c>
      <c r="Q129" s="216">
        <f>Q122/Q127</f>
        <v>0.81314091072134753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59">J123/J127</f>
        <v>0</v>
      </c>
      <c r="K130" s="215">
        <f t="shared" si="59"/>
        <v>0</v>
      </c>
      <c r="L130" s="215">
        <f t="shared" si="59"/>
        <v>3.5377177766518365E-2</v>
      </c>
      <c r="M130" s="215">
        <f t="shared" si="59"/>
        <v>5.3136123357868124E-2</v>
      </c>
      <c r="N130" s="215">
        <f t="shared" si="59"/>
        <v>9.7337509800362737E-2</v>
      </c>
      <c r="O130" s="215">
        <f t="shared" si="59"/>
        <v>0.12630269303574215</v>
      </c>
      <c r="P130" s="215">
        <f t="shared" ref="P130" si="60">P123/P127</f>
        <v>0.20535941959310366</v>
      </c>
      <c r="Q130" s="216">
        <f>Q123/Q127</f>
        <v>0.55088589626418938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61">K124/K127</f>
        <v>1.0051659917444659E-2</v>
      </c>
      <c r="L131" s="215">
        <f t="shared" si="61"/>
        <v>8.2736989430262295E-2</v>
      </c>
      <c r="M131" s="215">
        <f t="shared" si="61"/>
        <v>0.17868278377164215</v>
      </c>
      <c r="N131" s="215">
        <f t="shared" si="61"/>
        <v>0.19311104035913479</v>
      </c>
      <c r="O131" s="215">
        <f t="shared" si="61"/>
        <v>0.20796299069201021</v>
      </c>
      <c r="P131" s="215">
        <f t="shared" ref="P131" si="62">P124/P127</f>
        <v>0.26246236626984659</v>
      </c>
      <c r="Q131" s="216">
        <f>Q124/Q127</f>
        <v>0.2688110222723521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63">-K126/K127</f>
        <v>-9.4245252972192066</v>
      </c>
      <c r="L132" s="215">
        <f t="shared" si="63"/>
        <v>-9.4245252972192066</v>
      </c>
      <c r="M132" s="215">
        <f t="shared" si="63"/>
        <v>-9.4245252972203968</v>
      </c>
      <c r="N132" s="215">
        <f t="shared" si="63"/>
        <v>-9.4245252972200717</v>
      </c>
      <c r="O132" s="215">
        <f t="shared" si="63"/>
        <v>-9.4245252972199971</v>
      </c>
      <c r="P132" s="215">
        <f t="shared" ref="P132" si="64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65">SUM(J128:J132)</f>
        <v>-4.1489951775890281</v>
      </c>
      <c r="K133" s="219">
        <f t="shared" si="65"/>
        <v>-4.6711579072758207</v>
      </c>
      <c r="L133" s="219">
        <f t="shared" si="65"/>
        <v>-5.9325210816596936</v>
      </c>
      <c r="M133" s="219">
        <f t="shared" si="65"/>
        <v>-7.075536945771665</v>
      </c>
      <c r="N133" s="219">
        <f t="shared" si="65"/>
        <v>-7.6984642241339394</v>
      </c>
      <c r="O133" s="219">
        <f t="shared" si="65"/>
        <v>-7.9460502933757811</v>
      </c>
      <c r="P133" s="219">
        <f t="shared" ref="P133" si="66">SUM(P128:P132)</f>
        <v>-7.8976979956378184</v>
      </c>
      <c r="Q133" s="220">
        <f>SUM(Q128:Q132)</f>
        <v>-7.7916874679627197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0.10691739735383905</v>
      </c>
      <c r="K136" s="366">
        <f t="shared" ref="K136:O136" si="67">SUM(K106:K108)</f>
        <v>0.14333145458549887</v>
      </c>
      <c r="L136" s="366">
        <f t="shared" si="67"/>
        <v>0.21978277945533936</v>
      </c>
      <c r="M136" s="366">
        <f t="shared" si="67"/>
        <v>0.33199533193546421</v>
      </c>
      <c r="N136" s="366">
        <f t="shared" si="67"/>
        <v>0.37512683571570893</v>
      </c>
      <c r="O136" s="366">
        <f t="shared" si="67"/>
        <v>0.41954053642068756</v>
      </c>
      <c r="P136" s="366">
        <f t="shared" ref="P136" si="68">SUM(P106:P108)</f>
        <v>0.55456181110711411</v>
      </c>
      <c r="Q136" s="367">
        <f>SUM(Q106:Q108)</f>
        <v>0.70756184441842374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0.35639132451279681</v>
      </c>
      <c r="K137" s="289">
        <f t="shared" ref="K137:O137" si="69">SUM(K129:K131)</f>
        <v>0.47017824950909631</v>
      </c>
      <c r="L137" s="289">
        <f t="shared" si="69"/>
        <v>0.63654478860362462</v>
      </c>
      <c r="M137" s="289">
        <f t="shared" si="69"/>
        <v>0.92125863797092888</v>
      </c>
      <c r="N137" s="289">
        <f t="shared" si="69"/>
        <v>1.0121962163471894</v>
      </c>
      <c r="O137" s="289">
        <f t="shared" si="69"/>
        <v>1.121542575474813</v>
      </c>
      <c r="P137" s="289">
        <f t="shared" ref="P137" si="70">SUM(P129:P131)</f>
        <v>1.4554408159080645</v>
      </c>
      <c r="Q137" s="370">
        <f>SUM(Q129:Q131)</f>
        <v>1.6328378292578891</v>
      </c>
    </row>
    <row r="138" spans="8:17" ht="18" x14ac:dyDescent="0.25">
      <c r="H138" s="368" t="s">
        <v>189</v>
      </c>
      <c r="I138" s="369" t="s">
        <v>190</v>
      </c>
      <c r="J138" s="289">
        <f>J128</f>
        <v>4.9191387951173819</v>
      </c>
      <c r="K138" s="289">
        <f t="shared" ref="K138:O138" si="71">K128</f>
        <v>4.2831891404342892</v>
      </c>
      <c r="L138" s="289">
        <f t="shared" si="71"/>
        <v>2.8554594269558891</v>
      </c>
      <c r="M138" s="289">
        <f t="shared" si="71"/>
        <v>1.4277297134778033</v>
      </c>
      <c r="N138" s="289">
        <f t="shared" si="71"/>
        <v>0.71386485673894318</v>
      </c>
      <c r="O138" s="289">
        <f t="shared" si="71"/>
        <v>0.35693242836940325</v>
      </c>
      <c r="P138" s="289">
        <f t="shared" ref="P138" si="72">P128</f>
        <v>7.1386485674114403E-2</v>
      </c>
      <c r="Q138" s="370">
        <f>Q128</f>
        <v>1.3649098653162594E-15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73">K132</f>
        <v>-9.4245252972192066</v>
      </c>
      <c r="L139" s="289">
        <f t="shared" si="73"/>
        <v>-9.4245252972192066</v>
      </c>
      <c r="M139" s="289">
        <f t="shared" si="73"/>
        <v>-9.4245252972203968</v>
      </c>
      <c r="N139" s="289">
        <f t="shared" si="73"/>
        <v>-9.4245252972200717</v>
      </c>
      <c r="O139" s="289">
        <f t="shared" si="73"/>
        <v>-9.4245252972199971</v>
      </c>
      <c r="P139" s="289">
        <f t="shared" ref="P139" si="74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-4.3984691047479858</v>
      </c>
      <c r="K140" s="289">
        <f t="shared" ref="K140:O140" si="75">K136+K138+K139</f>
        <v>-4.9980047021994185</v>
      </c>
      <c r="L140" s="289">
        <f t="shared" si="75"/>
        <v>-6.3492830908079778</v>
      </c>
      <c r="M140" s="289">
        <f t="shared" si="75"/>
        <v>-7.6648002518071294</v>
      </c>
      <c r="N140" s="289">
        <f t="shared" si="75"/>
        <v>-8.3355336047654198</v>
      </c>
      <c r="O140" s="289">
        <f t="shared" si="75"/>
        <v>-8.6480523324299057</v>
      </c>
      <c r="P140" s="289">
        <f t="shared" ref="P140" si="76">P136+P138+P139</f>
        <v>-8.7985770004387689</v>
      </c>
      <c r="Q140" s="370">
        <f>Q136+Q138+Q139</f>
        <v>-8.7169634528021849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-4.1489951775890281</v>
      </c>
      <c r="K141" s="374">
        <f t="shared" ref="K141:O141" si="77">K137+K138+K139</f>
        <v>-4.6711579072758207</v>
      </c>
      <c r="L141" s="374">
        <f t="shared" si="77"/>
        <v>-5.9325210816596927</v>
      </c>
      <c r="M141" s="374">
        <f t="shared" si="77"/>
        <v>-7.075536945771665</v>
      </c>
      <c r="N141" s="374">
        <f t="shared" si="77"/>
        <v>-7.6984642241339394</v>
      </c>
      <c r="O141" s="374">
        <f t="shared" si="77"/>
        <v>-7.9460502933757811</v>
      </c>
      <c r="P141" s="374">
        <f t="shared" ref="P141" si="78">P137+P138+P139</f>
        <v>-7.8976979956378184</v>
      </c>
      <c r="Q141" s="375">
        <f>Q137+Q138+Q139</f>
        <v>-7.7916874679627197</v>
      </c>
    </row>
    <row r="142" spans="8:17" x14ac:dyDescent="0.25">
      <c r="H142" s="376" t="s">
        <v>196</v>
      </c>
      <c r="I142" s="377"/>
      <c r="J142" s="378">
        <f>J140-J110</f>
        <v>0</v>
      </c>
      <c r="K142" s="378">
        <f t="shared" ref="K142:O142" si="79">K140-K110</f>
        <v>0</v>
      </c>
      <c r="L142" s="378">
        <f t="shared" si="79"/>
        <v>0</v>
      </c>
      <c r="M142" s="378">
        <f t="shared" si="79"/>
        <v>0</v>
      </c>
      <c r="N142" s="378">
        <f t="shared" si="79"/>
        <v>0</v>
      </c>
      <c r="O142" s="378">
        <f t="shared" si="79"/>
        <v>0</v>
      </c>
      <c r="P142" s="378">
        <f t="shared" ref="P142" si="80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81">K141-K133</f>
        <v>0</v>
      </c>
      <c r="L143" s="382">
        <f t="shared" si="81"/>
        <v>0</v>
      </c>
      <c r="M143" s="382">
        <f t="shared" si="81"/>
        <v>0</v>
      </c>
      <c r="N143" s="382">
        <f t="shared" si="81"/>
        <v>0</v>
      </c>
      <c r="O143" s="382">
        <f t="shared" si="81"/>
        <v>0</v>
      </c>
      <c r="P143" s="382">
        <f t="shared" ref="P143" si="82">P141-P133</f>
        <v>0</v>
      </c>
      <c r="Q143" s="383">
        <f>Q141-Q133</f>
        <v>0</v>
      </c>
    </row>
    <row r="144" spans="8:17" x14ac:dyDescent="0.25">
      <c r="H144" s="13"/>
      <c r="I144" s="13"/>
      <c r="J144" s="31"/>
      <c r="K144" s="31"/>
      <c r="L144" s="31"/>
      <c r="M144" s="31"/>
      <c r="N144" s="31"/>
      <c r="O144" s="31"/>
      <c r="P144" s="31"/>
    </row>
    <row r="145" spans="8:16" x14ac:dyDescent="0.25">
      <c r="H145" s="13"/>
      <c r="I145" s="13"/>
      <c r="J145" s="31"/>
      <c r="K145" s="31"/>
      <c r="L145" s="31"/>
      <c r="M145" s="31"/>
      <c r="N145" s="31"/>
      <c r="O145" s="31"/>
      <c r="P145" s="31"/>
    </row>
    <row r="146" spans="8:16" x14ac:dyDescent="0.25">
      <c r="H146" s="13"/>
      <c r="I146" s="13"/>
      <c r="J146" s="31"/>
      <c r="K146" s="31"/>
      <c r="L146" s="31"/>
      <c r="M146" s="31"/>
      <c r="N146" s="31"/>
      <c r="O146" s="31"/>
      <c r="P146" s="31"/>
    </row>
    <row r="147" spans="8:16" x14ac:dyDescent="0.25">
      <c r="H147" s="13"/>
      <c r="I147" s="13"/>
      <c r="J147" s="31"/>
      <c r="K147" s="31"/>
      <c r="L147" s="31"/>
      <c r="M147" s="31"/>
      <c r="N147" s="31"/>
      <c r="O147" s="31"/>
      <c r="P147" s="31"/>
    </row>
    <row r="148" spans="8:16" x14ac:dyDescent="0.25">
      <c r="H148" s="431"/>
      <c r="I148" s="432"/>
      <c r="J148" s="22"/>
      <c r="K148" s="22"/>
      <c r="L148" s="22"/>
      <c r="M148" s="22"/>
      <c r="N148" s="22"/>
      <c r="O148" s="22"/>
      <c r="P148" s="22"/>
    </row>
    <row r="149" spans="8:16" x14ac:dyDescent="0.25">
      <c r="H149" s="431"/>
      <c r="I149" s="432"/>
      <c r="J149" s="22"/>
      <c r="K149" s="22"/>
      <c r="L149" s="22"/>
      <c r="M149" s="22"/>
      <c r="N149" s="22"/>
      <c r="O149" s="22"/>
      <c r="P149" s="22"/>
    </row>
    <row r="150" spans="8:16" x14ac:dyDescent="0.25">
      <c r="H150" s="431"/>
      <c r="I150" s="432"/>
      <c r="J150" s="22"/>
      <c r="K150" s="22"/>
      <c r="L150" s="22"/>
      <c r="M150" s="22"/>
      <c r="N150" s="22"/>
      <c r="O150" s="22"/>
      <c r="P150" s="22"/>
    </row>
    <row r="151" spans="8:16" x14ac:dyDescent="0.25">
      <c r="H151" s="431"/>
      <c r="I151" s="432"/>
      <c r="J151" s="22"/>
      <c r="K151" s="22"/>
      <c r="L151" s="22"/>
      <c r="M151" s="22"/>
      <c r="N151" s="22"/>
      <c r="O151" s="22"/>
      <c r="P151" s="22"/>
    </row>
    <row r="152" spans="8:16" x14ac:dyDescent="0.25">
      <c r="H152" s="431"/>
      <c r="I152" s="432"/>
      <c r="J152" s="22"/>
      <c r="K152" s="22"/>
      <c r="L152" s="22"/>
      <c r="M152" s="22"/>
      <c r="N152" s="22"/>
      <c r="O152" s="22"/>
      <c r="P152" s="22"/>
    </row>
    <row r="153" spans="8:16" x14ac:dyDescent="0.25">
      <c r="H153" s="431"/>
      <c r="I153" s="432"/>
      <c r="J153" s="22"/>
      <c r="K153" s="22"/>
      <c r="L153" s="22"/>
      <c r="M153" s="22"/>
      <c r="N153" s="22"/>
      <c r="O153" s="22"/>
      <c r="P153" s="22"/>
    </row>
    <row r="154" spans="8:16" x14ac:dyDescent="0.25">
      <c r="J154" s="31"/>
      <c r="K154" s="31"/>
      <c r="L154" s="31"/>
      <c r="M154" s="31"/>
      <c r="N154" s="31"/>
    </row>
    <row r="156" spans="8:16" x14ac:dyDescent="0.25">
      <c r="H156" s="362"/>
      <c r="I156" s="13"/>
      <c r="J156" s="22"/>
      <c r="K156" s="22"/>
      <c r="L156" s="22"/>
      <c r="M156" s="22"/>
      <c r="N156" s="22"/>
      <c r="O156" s="22"/>
      <c r="P156" s="22"/>
    </row>
    <row r="157" spans="8:16" x14ac:dyDescent="0.25">
      <c r="H157" s="362"/>
      <c r="I157" s="13"/>
      <c r="J157" s="22"/>
      <c r="K157" s="22"/>
      <c r="L157" s="22"/>
      <c r="M157" s="22"/>
      <c r="N157" s="22"/>
      <c r="O157" s="22"/>
      <c r="P157" s="22"/>
    </row>
    <row r="158" spans="8:16" x14ac:dyDescent="0.25">
      <c r="H158" s="362"/>
      <c r="I158" s="13"/>
      <c r="J158" s="22"/>
      <c r="K158" s="22"/>
      <c r="L158" s="22"/>
      <c r="M158" s="22"/>
      <c r="N158" s="22"/>
      <c r="O158" s="22"/>
      <c r="P158" s="22"/>
    </row>
    <row r="159" spans="8:16" x14ac:dyDescent="0.25">
      <c r="H159" s="224"/>
      <c r="I159" s="13"/>
      <c r="J159" s="22"/>
      <c r="K159" s="22"/>
      <c r="L159" s="22"/>
      <c r="M159" s="22"/>
      <c r="N159" s="22"/>
      <c r="O159" s="22"/>
      <c r="P159" s="22"/>
    </row>
    <row r="160" spans="8:16" x14ac:dyDescent="0.25">
      <c r="H160" s="224"/>
      <c r="I160" s="13"/>
      <c r="J160" s="22"/>
      <c r="K160" s="22"/>
      <c r="L160" s="22"/>
      <c r="M160" s="22"/>
      <c r="N160" s="22"/>
      <c r="O160" s="22"/>
      <c r="P160" s="22"/>
    </row>
    <row r="161" spans="8:16" x14ac:dyDescent="0.25">
      <c r="H161" s="224"/>
      <c r="I161" s="13"/>
      <c r="J161" s="22"/>
      <c r="K161" s="22"/>
      <c r="L161" s="22"/>
      <c r="M161" s="22"/>
      <c r="N161" s="22"/>
      <c r="O161" s="22"/>
      <c r="P161" s="22"/>
    </row>
    <row r="162" spans="8:16" x14ac:dyDescent="0.25">
      <c r="H162" s="224"/>
      <c r="J162" s="22"/>
      <c r="K162" s="22"/>
      <c r="L162" s="22"/>
      <c r="M162" s="22"/>
      <c r="N162" s="22"/>
      <c r="O162" s="22"/>
      <c r="P162" s="22"/>
    </row>
    <row r="163" spans="8:16" x14ac:dyDescent="0.25">
      <c r="H163" s="224"/>
      <c r="J163" s="22"/>
      <c r="K163" s="22"/>
      <c r="L163" s="22"/>
      <c r="M163" s="22"/>
      <c r="N163" s="22"/>
      <c r="O163" s="22"/>
      <c r="P163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9D10C-B2B2-4989-A5EE-FDAE6A919066}">
  <sheetPr codeName="Foglio14"/>
  <dimension ref="A3:AA151"/>
  <sheetViews>
    <sheetView topLeftCell="A78" zoomScale="40" zoomScaleNormal="40" workbookViewId="0">
      <selection activeCell="AN157" sqref="AN157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4" x14ac:dyDescent="0.25">
      <c r="U3" s="1"/>
      <c r="V3" s="1"/>
      <c r="W3" s="2"/>
    </row>
    <row r="4" spans="1:24" x14ac:dyDescent="0.25">
      <c r="A4" s="225" t="s">
        <v>102</v>
      </c>
      <c r="B4" s="225" t="s">
        <v>163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4"/>
      <c r="Q4" s="5"/>
      <c r="U4" s="6"/>
      <c r="V4" s="6"/>
    </row>
    <row r="5" spans="1:24" ht="30.75" thickBot="1" x14ac:dyDescent="0.3">
      <c r="H5" s="7" t="s">
        <v>1</v>
      </c>
      <c r="I5" s="8" t="s">
        <v>2</v>
      </c>
      <c r="J5" s="9"/>
      <c r="K5" s="9"/>
      <c r="L5" s="9">
        <v>0.59986130887667632</v>
      </c>
      <c r="M5" s="9">
        <v>0.8000000000000651</v>
      </c>
      <c r="N5" s="9">
        <v>0.90000000000011726</v>
      </c>
      <c r="O5" s="9">
        <v>0.94999999999991647</v>
      </c>
      <c r="P5" s="9">
        <v>0.98999999999994415</v>
      </c>
      <c r="Q5" s="10">
        <v>1.0000000000003633</v>
      </c>
      <c r="R5" s="11" t="str">
        <f>H5</f>
        <v>Renewable Energy Share</v>
      </c>
      <c r="S5" s="12"/>
      <c r="T5" s="296">
        <f t="shared" ref="T5:W13" si="0">L5</f>
        <v>0.59986130887667632</v>
      </c>
      <c r="U5" s="296">
        <f t="shared" si="0"/>
        <v>0.8000000000000651</v>
      </c>
      <c r="V5" s="296">
        <f t="shared" si="0"/>
        <v>0.90000000000011726</v>
      </c>
      <c r="W5" s="296">
        <f t="shared" si="0"/>
        <v>0.94999999999991647</v>
      </c>
      <c r="X5" s="296">
        <f t="shared" ref="X5:X13" si="1">Q5</f>
        <v>1.0000000000003633</v>
      </c>
    </row>
    <row r="6" spans="1:24" ht="15.75" thickTop="1" x14ac:dyDescent="0.25">
      <c r="C6" s="13"/>
      <c r="H6" s="14" t="s">
        <v>3</v>
      </c>
      <c r="I6" s="15" t="s">
        <v>4</v>
      </c>
      <c r="J6" s="16"/>
      <c r="K6" s="16"/>
      <c r="L6" s="16">
        <v>1.9253019114504109</v>
      </c>
      <c r="M6" s="16">
        <v>3.038405476665317</v>
      </c>
      <c r="N6" s="16">
        <v>4.1955092537377539</v>
      </c>
      <c r="O6" s="16">
        <v>4.9227823665438963</v>
      </c>
      <c r="P6" s="16">
        <v>6.968464055124425</v>
      </c>
      <c r="Q6" s="17">
        <v>7.9656419217664745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1.9253019114504109</v>
      </c>
      <c r="U6" s="19">
        <f t="shared" si="0"/>
        <v>3.038405476665317</v>
      </c>
      <c r="V6" s="19">
        <f t="shared" si="0"/>
        <v>4.1955092537377539</v>
      </c>
      <c r="W6" s="19">
        <f t="shared" si="0"/>
        <v>4.9227823665438963</v>
      </c>
      <c r="X6" s="19">
        <f t="shared" si="1"/>
        <v>7.9656419217664745</v>
      </c>
    </row>
    <row r="7" spans="1:24" x14ac:dyDescent="0.25">
      <c r="A7" s="13"/>
      <c r="B7" s="20"/>
      <c r="C7" s="13"/>
      <c r="H7" s="21" t="s">
        <v>5</v>
      </c>
      <c r="I7" s="6" t="s">
        <v>4</v>
      </c>
      <c r="J7" s="22"/>
      <c r="K7" s="22"/>
      <c r="L7" s="22">
        <v>1.5979338369559473</v>
      </c>
      <c r="M7" s="22">
        <v>1.8151082667394378</v>
      </c>
      <c r="N7" s="22">
        <v>1.5723793055942237</v>
      </c>
      <c r="O7" s="22">
        <v>1.5153487648021442</v>
      </c>
      <c r="P7" s="22">
        <v>1.7203972365151685</v>
      </c>
      <c r="Q7" s="23">
        <v>3.1855100934289116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1.5979338369559473</v>
      </c>
      <c r="U7" s="22">
        <f t="shared" si="0"/>
        <v>1.8151082667394378</v>
      </c>
      <c r="V7" s="22">
        <f t="shared" si="0"/>
        <v>1.5723793055942237</v>
      </c>
      <c r="W7" s="22">
        <f t="shared" si="0"/>
        <v>1.5153487648021442</v>
      </c>
      <c r="X7" s="22">
        <f t="shared" si="1"/>
        <v>3.1855100934289116</v>
      </c>
    </row>
    <row r="8" spans="1:24" x14ac:dyDescent="0.25">
      <c r="A8" s="13"/>
      <c r="B8" s="20"/>
      <c r="C8" s="13"/>
      <c r="H8" s="21" t="s">
        <v>6</v>
      </c>
      <c r="I8" s="6" t="s">
        <v>7</v>
      </c>
      <c r="J8" s="22"/>
      <c r="K8" s="22"/>
      <c r="L8" s="22">
        <v>0.2514277015709504</v>
      </c>
      <c r="M8" s="22">
        <v>6.78508656032042</v>
      </c>
      <c r="N8" s="22">
        <v>12.109349819052014</v>
      </c>
      <c r="O8" s="22">
        <v>15.269742199367764</v>
      </c>
      <c r="P8" s="22">
        <v>20.082489367569231</v>
      </c>
      <c r="Q8" s="23">
        <v>25.720320125341807</v>
      </c>
      <c r="R8" s="24" t="s">
        <v>6</v>
      </c>
      <c r="S8" s="22" t="str">
        <f t="shared" si="2"/>
        <v>MWh</v>
      </c>
      <c r="T8" s="22">
        <f t="shared" si="0"/>
        <v>0.2514277015709504</v>
      </c>
      <c r="U8" s="22">
        <f t="shared" si="0"/>
        <v>6.78508656032042</v>
      </c>
      <c r="V8" s="22">
        <f t="shared" si="0"/>
        <v>12.109349819052014</v>
      </c>
      <c r="W8" s="22">
        <f t="shared" si="0"/>
        <v>15.269742199367764</v>
      </c>
      <c r="X8" s="22">
        <f t="shared" si="1"/>
        <v>25.720320125341807</v>
      </c>
    </row>
    <row r="9" spans="1:24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/>
      <c r="L9" s="27">
        <v>279</v>
      </c>
      <c r="M9" s="27">
        <v>237</v>
      </c>
      <c r="N9" s="27">
        <v>229</v>
      </c>
      <c r="O9" s="27">
        <v>216</v>
      </c>
      <c r="P9" s="27">
        <v>168</v>
      </c>
      <c r="Q9" s="28">
        <v>93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si="0"/>
        <v>237</v>
      </c>
      <c r="V9" s="29">
        <f t="shared" si="0"/>
        <v>229</v>
      </c>
      <c r="W9" s="29">
        <f t="shared" si="0"/>
        <v>216</v>
      </c>
      <c r="X9" s="29">
        <f t="shared" si="1"/>
        <v>93</v>
      </c>
    </row>
    <row r="10" spans="1:24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/>
      <c r="L10" s="16">
        <v>1.2483360621683933E-3</v>
      </c>
      <c r="M10" s="16">
        <v>2.7542567016354269E-3</v>
      </c>
      <c r="N10" s="16">
        <v>5.5430479998689252E-3</v>
      </c>
      <c r="O10" s="16">
        <v>7.6969738824814726E-3</v>
      </c>
      <c r="P10" s="16">
        <v>1.0190441209605524E-2</v>
      </c>
      <c r="Q10" s="17">
        <v>5.3904203618344582E-3</v>
      </c>
      <c r="R10" s="18" t="str">
        <f t="shared" si="3"/>
        <v>Biogas storage size</v>
      </c>
      <c r="S10" s="19" t="str">
        <f>I10</f>
        <v>m3</v>
      </c>
      <c r="T10" s="19">
        <f>L10</f>
        <v>1.2483360621683933E-3</v>
      </c>
      <c r="U10" s="30">
        <f t="shared" si="0"/>
        <v>2.7542567016354269E-3</v>
      </c>
      <c r="V10" s="30">
        <f t="shared" si="0"/>
        <v>5.5430479998689252E-3</v>
      </c>
      <c r="W10" s="30">
        <f t="shared" si="0"/>
        <v>7.6969738824814726E-3</v>
      </c>
      <c r="X10" s="30">
        <f t="shared" si="1"/>
        <v>5.3904203618344582E-3</v>
      </c>
    </row>
    <row r="11" spans="1:24" x14ac:dyDescent="0.25">
      <c r="H11" s="21" t="s">
        <v>11</v>
      </c>
      <c r="I11" s="6" t="s">
        <v>12</v>
      </c>
      <c r="J11" s="22"/>
      <c r="K11" s="22"/>
      <c r="L11" s="22">
        <v>2.5223194595984009E-5</v>
      </c>
      <c r="M11" s="22">
        <v>5.5651002048254686E-5</v>
      </c>
      <c r="N11" s="22">
        <v>1.1199979123627514E-4</v>
      </c>
      <c r="O11" s="22">
        <v>1.5552083763470422E-4</v>
      </c>
      <c r="P11" s="22">
        <v>2.0590247244987639E-4</v>
      </c>
      <c r="Q11" s="23">
        <v>1.0891588079617968E-4</v>
      </c>
      <c r="R11" s="24" t="str">
        <f t="shared" si="3"/>
        <v>Biogas storage hours</v>
      </c>
      <c r="S11" s="22" t="str">
        <f t="shared" si="2"/>
        <v>h</v>
      </c>
      <c r="T11" s="22">
        <f>L11</f>
        <v>2.5223194595984009E-5</v>
      </c>
      <c r="U11" s="22">
        <f t="shared" si="0"/>
        <v>5.5651002048254686E-5</v>
      </c>
      <c r="V11" s="22">
        <f t="shared" si="0"/>
        <v>1.1199979123627514E-4</v>
      </c>
      <c r="W11" s="22">
        <f t="shared" si="0"/>
        <v>1.5552083763470422E-4</v>
      </c>
      <c r="X11" s="22">
        <f t="shared" si="1"/>
        <v>1.0891588079617968E-4</v>
      </c>
    </row>
    <row r="12" spans="1:24" x14ac:dyDescent="0.25">
      <c r="H12" s="21" t="s">
        <v>13</v>
      </c>
      <c r="I12" s="6" t="s">
        <v>18</v>
      </c>
      <c r="J12" s="22"/>
      <c r="K12" s="22"/>
      <c r="L12" s="22">
        <v>4.7737977427924627E-3</v>
      </c>
      <c r="M12" s="22">
        <v>9.6407600076418021E-3</v>
      </c>
      <c r="N12" s="22">
        <v>1.2048817868233641E-2</v>
      </c>
      <c r="O12" s="22">
        <v>1.1220784225770331E-2</v>
      </c>
      <c r="P12" s="22">
        <v>-1.0095391189679503E-10</v>
      </c>
      <c r="Q12" s="23">
        <v>0</v>
      </c>
      <c r="R12" s="24" t="str">
        <f t="shared" si="3"/>
        <v>Syngas storage size</v>
      </c>
      <c r="S12" s="22" t="str">
        <f t="shared" si="2"/>
        <v>m3</v>
      </c>
      <c r="T12" s="22">
        <f>L12</f>
        <v>4.7737977427924627E-3</v>
      </c>
      <c r="U12" s="31">
        <f t="shared" si="0"/>
        <v>9.6407600076418021E-3</v>
      </c>
      <c r="V12" s="31">
        <f t="shared" si="0"/>
        <v>1.2048817868233641E-2</v>
      </c>
      <c r="W12" s="31">
        <f t="shared" si="0"/>
        <v>1.1220784225770331E-2</v>
      </c>
      <c r="X12" s="31">
        <f t="shared" si="1"/>
        <v>0</v>
      </c>
    </row>
    <row r="13" spans="1:24" x14ac:dyDescent="0.25">
      <c r="H13" s="32" t="s">
        <v>14</v>
      </c>
      <c r="I13" s="26" t="s">
        <v>12</v>
      </c>
      <c r="J13" s="33"/>
      <c r="K13" s="33"/>
      <c r="L13" s="33">
        <v>2.3642287349286558E-5</v>
      </c>
      <c r="M13" s="33">
        <v>4.774597304846198E-5</v>
      </c>
      <c r="N13" s="33">
        <v>5.9671906856566252E-5</v>
      </c>
      <c r="O13" s="33">
        <v>5.5571060870883048E-5</v>
      </c>
      <c r="P13" s="33">
        <v>-4.9997539122854086E-13</v>
      </c>
      <c r="Q13" s="34">
        <v>0</v>
      </c>
      <c r="R13" s="24" t="str">
        <f t="shared" si="3"/>
        <v>Syngas storage hours</v>
      </c>
      <c r="S13" s="22" t="str">
        <f t="shared" si="2"/>
        <v>h</v>
      </c>
      <c r="T13" s="22">
        <f>L13</f>
        <v>2.3642287349286558E-5</v>
      </c>
      <c r="U13" s="22">
        <f t="shared" si="0"/>
        <v>4.774597304846198E-5</v>
      </c>
      <c r="V13" s="22">
        <f t="shared" si="0"/>
        <v>5.9671906856566252E-5</v>
      </c>
      <c r="W13" s="22">
        <f t="shared" si="0"/>
        <v>5.5571060870883048E-5</v>
      </c>
      <c r="X13" s="22">
        <f t="shared" si="1"/>
        <v>0</v>
      </c>
    </row>
    <row r="14" spans="1:24" x14ac:dyDescent="0.25">
      <c r="H14" s="25" t="s">
        <v>15</v>
      </c>
      <c r="I14" s="26" t="s">
        <v>16</v>
      </c>
      <c r="J14" s="35"/>
      <c r="K14" s="35"/>
      <c r="L14" s="35">
        <v>3.646350462542542</v>
      </c>
      <c r="M14" s="35">
        <v>3.6875665449245876</v>
      </c>
      <c r="N14" s="35">
        <v>3.7642412736752373</v>
      </c>
      <c r="O14" s="35">
        <v>3.8359745109136587</v>
      </c>
      <c r="P14" s="35">
        <v>4.0854102883749857</v>
      </c>
      <c r="Q14" s="36">
        <v>4.539720734531616</v>
      </c>
      <c r="R14" s="37" t="s">
        <v>17</v>
      </c>
      <c r="S14" s="6" t="s">
        <v>18</v>
      </c>
      <c r="T14" s="22">
        <f>[11]NoSP!$F$112</f>
        <v>0</v>
      </c>
      <c r="U14" s="31">
        <f>'[11]80SP'!$F$112</f>
        <v>0</v>
      </c>
      <c r="V14" s="31">
        <f>'[11]90SP'!$F$112</f>
        <v>0</v>
      </c>
      <c r="W14" s="31">
        <f>'[11]95SP'!$F$112</f>
        <v>0</v>
      </c>
      <c r="X14" s="31">
        <f>'[11]100SP'!$F$112</f>
        <v>0</v>
      </c>
    </row>
    <row r="15" spans="1:24" ht="15.75" thickBot="1" x14ac:dyDescent="0.3">
      <c r="H15" s="14" t="s">
        <v>19</v>
      </c>
      <c r="I15" s="15" t="s">
        <v>2</v>
      </c>
      <c r="J15" s="38"/>
      <c r="K15" s="38"/>
      <c r="L15" s="38">
        <v>1.0000020000000001</v>
      </c>
      <c r="M15" s="38">
        <v>1.0000020000000001</v>
      </c>
      <c r="N15" s="38">
        <v>1.0000020000000001</v>
      </c>
      <c r="O15" s="38">
        <v>1.0000020000000001</v>
      </c>
      <c r="P15" s="38">
        <v>1.0000007457142952</v>
      </c>
      <c r="Q15" s="39">
        <v>1.0000012237762226</v>
      </c>
      <c r="R15" s="40" t="s">
        <v>20</v>
      </c>
      <c r="S15" s="41" t="s">
        <v>12</v>
      </c>
      <c r="T15" s="41">
        <f>[11]NoSP!$B$169</f>
        <v>0</v>
      </c>
      <c r="U15" s="41">
        <f>'[11]80SP'!$B$169</f>
        <v>0</v>
      </c>
      <c r="V15" s="41">
        <f>'[11]90SP'!$B$169</f>
        <v>0</v>
      </c>
      <c r="W15" s="41">
        <f>'[11]95SP'!$B$169</f>
        <v>0</v>
      </c>
      <c r="X15" s="41">
        <f>'[11]100SP'!$B$169</f>
        <v>0</v>
      </c>
    </row>
    <row r="16" spans="1:24" ht="15.75" thickTop="1" x14ac:dyDescent="0.25">
      <c r="H16" s="25" t="s">
        <v>21</v>
      </c>
      <c r="I16" s="26" t="s">
        <v>2</v>
      </c>
      <c r="J16" s="42"/>
      <c r="K16" s="42"/>
      <c r="L16" s="42">
        <v>1.0000000306062562</v>
      </c>
      <c r="M16" s="42">
        <v>1.0000000614757121</v>
      </c>
      <c r="N16" s="42">
        <v>1.0000001926273234</v>
      </c>
      <c r="O16" s="42">
        <v>1.000000366499139</v>
      </c>
      <c r="P16" s="42">
        <v>1.0000007463291734</v>
      </c>
      <c r="Q16" s="43">
        <v>1.0000012247853047</v>
      </c>
      <c r="R16" s="37" t="str">
        <f>H15</f>
        <v>Syngas generation size</v>
      </c>
      <c r="S16" s="6" t="s">
        <v>2</v>
      </c>
      <c r="T16" s="297">
        <f t="shared" ref="T16:W17" si="4">L15</f>
        <v>1.0000020000000001</v>
      </c>
      <c r="U16" s="297">
        <f t="shared" si="4"/>
        <v>1.0000020000000001</v>
      </c>
      <c r="V16" s="297">
        <f t="shared" si="4"/>
        <v>1.0000020000000001</v>
      </c>
      <c r="W16" s="297">
        <f t="shared" si="4"/>
        <v>1.0000020000000001</v>
      </c>
      <c r="X16" s="297">
        <f>Q15</f>
        <v>1.0000012237762226</v>
      </c>
    </row>
    <row r="17" spans="2:24" ht="15.75" thickBot="1" x14ac:dyDescent="0.3">
      <c r="R17" s="40" t="str">
        <f>H16</f>
        <v>Gas Separation size</v>
      </c>
      <c r="S17" s="45" t="s">
        <v>2</v>
      </c>
      <c r="T17" s="298">
        <f t="shared" si="4"/>
        <v>1.0000000306062562</v>
      </c>
      <c r="U17" s="298">
        <f t="shared" si="4"/>
        <v>1.0000000614757121</v>
      </c>
      <c r="V17" s="298">
        <f t="shared" si="4"/>
        <v>1.0000001926273234</v>
      </c>
      <c r="W17" s="298">
        <f t="shared" si="4"/>
        <v>1.000000366499139</v>
      </c>
      <c r="X17" s="298">
        <f>Q16</f>
        <v>1.0000012247853047</v>
      </c>
    </row>
    <row r="18" spans="2:24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4" x14ac:dyDescent="0.25">
      <c r="H19" s="50" t="s">
        <v>1</v>
      </c>
      <c r="I19" s="8" t="s">
        <v>2</v>
      </c>
      <c r="J19" s="9"/>
      <c r="K19" s="9"/>
      <c r="L19" s="9">
        <v>0.59986130887667632</v>
      </c>
      <c r="M19" s="9">
        <v>0.8000000000000651</v>
      </c>
      <c r="N19" s="9">
        <v>0.90000000000011726</v>
      </c>
      <c r="O19" s="9">
        <v>0.94999999999991647</v>
      </c>
      <c r="P19" s="9">
        <v>0.98999999999994415</v>
      </c>
      <c r="Q19" s="10">
        <v>1.0000000000003633</v>
      </c>
    </row>
    <row r="20" spans="2:24" x14ac:dyDescent="0.25">
      <c r="H20" s="51" t="s">
        <v>23</v>
      </c>
      <c r="I20" s="52" t="s">
        <v>24</v>
      </c>
      <c r="J20" s="53"/>
      <c r="K20" s="53"/>
      <c r="L20" s="53">
        <v>-9678.9875243790957</v>
      </c>
      <c r="M20" s="53">
        <v>-9678.9875243786737</v>
      </c>
      <c r="N20" s="53">
        <v>-9678.9875243788592</v>
      </c>
      <c r="O20" s="53">
        <v>-9678.9875243779279</v>
      </c>
      <c r="P20" s="53">
        <v>-9678.9875243791757</v>
      </c>
      <c r="Q20" s="54">
        <v>-9678.9875243777351</v>
      </c>
    </row>
    <row r="21" spans="2:24" x14ac:dyDescent="0.25">
      <c r="B21" s="55"/>
      <c r="H21" s="56" t="s">
        <v>25</v>
      </c>
      <c r="I21" s="57" t="s">
        <v>24</v>
      </c>
      <c r="J21" s="58"/>
      <c r="K21" s="58"/>
      <c r="L21" s="58">
        <v>-1702.5570878065209</v>
      </c>
      <c r="M21" s="58">
        <v>-1702.5570878069877</v>
      </c>
      <c r="N21" s="58">
        <v>-1702.5570878067977</v>
      </c>
      <c r="O21" s="58">
        <v>-1702.557087806377</v>
      </c>
      <c r="P21" s="58">
        <v>-1702.5570878064107</v>
      </c>
      <c r="Q21" s="59">
        <v>-1702.5570878067335</v>
      </c>
    </row>
    <row r="22" spans="2:24" x14ac:dyDescent="0.25">
      <c r="H22" s="61" t="s">
        <v>26</v>
      </c>
      <c r="I22" s="6" t="s">
        <v>24</v>
      </c>
      <c r="J22" s="31"/>
      <c r="K22" s="31"/>
      <c r="L22" s="31">
        <v>3195.6746572059169</v>
      </c>
      <c r="M22" s="31">
        <v>5043.2378020028009</v>
      </c>
      <c r="N22" s="31">
        <v>6963.8338363993153</v>
      </c>
      <c r="O22" s="31">
        <v>8170.9838639557674</v>
      </c>
      <c r="P22" s="31">
        <v>11566.46853575047</v>
      </c>
      <c r="Q22" s="62">
        <v>13221.614680987555</v>
      </c>
    </row>
    <row r="23" spans="2:24" x14ac:dyDescent="0.25">
      <c r="H23" s="61" t="s">
        <v>27</v>
      </c>
      <c r="I23" s="6" t="s">
        <v>24</v>
      </c>
      <c r="J23" s="31"/>
      <c r="K23" s="31"/>
      <c r="L23" s="31">
        <v>3815.1559527606864</v>
      </c>
      <c r="M23" s="31">
        <v>4333.6719885398998</v>
      </c>
      <c r="N23" s="31">
        <v>3754.14308715267</v>
      </c>
      <c r="O23" s="31">
        <v>3617.9794975471304</v>
      </c>
      <c r="P23" s="31">
        <v>4107.5441336841741</v>
      </c>
      <c r="Q23" s="62">
        <v>7605.5826057706645</v>
      </c>
    </row>
    <row r="24" spans="2:24" x14ac:dyDescent="0.25">
      <c r="H24" s="61" t="s">
        <v>28</v>
      </c>
      <c r="I24" s="6" t="s">
        <v>24</v>
      </c>
      <c r="J24" s="31"/>
      <c r="K24" s="31"/>
      <c r="L24" s="31">
        <v>3872.9373994035946</v>
      </c>
      <c r="M24" s="31">
        <v>1935.7975048744022</v>
      </c>
      <c r="N24" s="31">
        <v>967.8987524372593</v>
      </c>
      <c r="O24" s="31">
        <v>483.94937621892319</v>
      </c>
      <c r="P24" s="31">
        <v>96.789875245471293</v>
      </c>
      <c r="Q24" s="62">
        <v>8.3669976902456259E-10</v>
      </c>
    </row>
    <row r="25" spans="2:24" x14ac:dyDescent="0.25">
      <c r="H25" s="61" t="s">
        <v>29</v>
      </c>
      <c r="I25" s="6" t="s">
        <v>24</v>
      </c>
      <c r="J25" s="31"/>
      <c r="K25" s="31"/>
      <c r="L25" s="31">
        <v>-1200.6427598198127</v>
      </c>
      <c r="M25" s="31">
        <v>-1538.7385081443158</v>
      </c>
      <c r="N25" s="31">
        <v>-1843.4945905722461</v>
      </c>
      <c r="O25" s="31">
        <v>-2399.8728127067297</v>
      </c>
      <c r="P25" s="31">
        <v>-5892.7171216627257</v>
      </c>
      <c r="Q25" s="62">
        <v>-11008.181928340144</v>
      </c>
    </row>
    <row r="26" spans="2:24" x14ac:dyDescent="0.25">
      <c r="H26" s="61" t="s">
        <v>30</v>
      </c>
      <c r="I26" s="6" t="s">
        <v>24</v>
      </c>
      <c r="J26" s="31"/>
      <c r="K26" s="31"/>
      <c r="L26" s="31">
        <v>-70.012270249161119</v>
      </c>
      <c r="M26" s="31">
        <v>-1607.1279677633993</v>
      </c>
      <c r="N26" s="31">
        <v>-2764.6964642577404</v>
      </c>
      <c r="O26" s="31">
        <v>-3283.4585556337888</v>
      </c>
      <c r="P26" s="31">
        <v>-3368.8307722009285</v>
      </c>
      <c r="Q26" s="62">
        <v>-2369.337293347106</v>
      </c>
    </row>
    <row r="27" spans="2:24" x14ac:dyDescent="0.25">
      <c r="B27" s="63"/>
      <c r="H27" s="61" t="s">
        <v>31</v>
      </c>
      <c r="I27" s="6" t="s">
        <v>24</v>
      </c>
      <c r="J27" s="31"/>
      <c r="K27" s="31"/>
      <c r="L27" s="31">
        <v>65.874545077435386</v>
      </c>
      <c r="M27" s="31">
        <v>1512.1467048685831</v>
      </c>
      <c r="N27" s="31">
        <v>2601.3029032201093</v>
      </c>
      <c r="O27" s="31">
        <v>3089.4061549958433</v>
      </c>
      <c r="P27" s="31">
        <v>3169.7328735638548</v>
      </c>
      <c r="Q27" s="62">
        <v>2229.3094593102833</v>
      </c>
    </row>
    <row r="28" spans="2:24" x14ac:dyDescent="0.25">
      <c r="H28" s="64" t="s">
        <v>32</v>
      </c>
      <c r="I28" s="65" t="s">
        <v>24</v>
      </c>
      <c r="J28" s="66"/>
      <c r="K28" s="66"/>
      <c r="L28" s="66">
        <v>-4.3668535454344237E-10</v>
      </c>
      <c r="M28" s="66">
        <v>-7.028120307950303E-10</v>
      </c>
      <c r="N28" s="66">
        <v>5.0795279094018042E-10</v>
      </c>
      <c r="O28" s="66">
        <v>-7.8216544352471828E-10</v>
      </c>
      <c r="P28" s="66">
        <v>1.1395968613214791E-9</v>
      </c>
      <c r="Q28" s="67">
        <v>4.3542058847378939E-9</v>
      </c>
    </row>
    <row r="30" spans="2:24" x14ac:dyDescent="0.25">
      <c r="H30" s="68" t="s">
        <v>15</v>
      </c>
    </row>
    <row r="31" spans="2:24" x14ac:dyDescent="0.25">
      <c r="H31" s="69" t="s">
        <v>33</v>
      </c>
      <c r="I31" s="70" t="s">
        <v>103</v>
      </c>
      <c r="J31" s="71"/>
      <c r="K31" s="71"/>
      <c r="L31" s="71">
        <v>0.10862914203035678</v>
      </c>
      <c r="M31" s="71">
        <v>0.17143253123443553</v>
      </c>
      <c r="N31" s="71">
        <v>0.23671849485177726</v>
      </c>
      <c r="O31" s="71">
        <v>0.27775260685060937</v>
      </c>
      <c r="P31" s="71">
        <v>0.39317380150896908</v>
      </c>
      <c r="Q31" s="72">
        <v>0.44943644554460133</v>
      </c>
    </row>
    <row r="32" spans="2:24" x14ac:dyDescent="0.25">
      <c r="H32" s="73" t="s">
        <v>34</v>
      </c>
      <c r="I32" s="74" t="s">
        <v>103</v>
      </c>
      <c r="J32" s="75"/>
      <c r="K32" s="75"/>
      <c r="L32" s="75">
        <v>0.29463536519806993</v>
      </c>
      <c r="M32" s="75">
        <v>0.33467911791861821</v>
      </c>
      <c r="N32" s="75">
        <v>0.28992348758069841</v>
      </c>
      <c r="O32" s="75">
        <v>0.2794078993723792</v>
      </c>
      <c r="P32" s="75">
        <v>0.31721580477446343</v>
      </c>
      <c r="Q32" s="76">
        <v>0.58736094574947173</v>
      </c>
    </row>
    <row r="33" spans="8:17" x14ac:dyDescent="0.25">
      <c r="H33" s="73" t="s">
        <v>35</v>
      </c>
      <c r="I33" s="74" t="s">
        <v>103</v>
      </c>
      <c r="J33" s="75"/>
      <c r="K33" s="75"/>
      <c r="L33" s="75">
        <v>5.7485841272278604E-3</v>
      </c>
      <c r="M33" s="75">
        <v>0.1551326312049687</v>
      </c>
      <c r="N33" s="75">
        <v>0.27686534031805266</v>
      </c>
      <c r="O33" s="75">
        <v>0.34912381207674203</v>
      </c>
      <c r="P33" s="75">
        <v>0.45916133700580775</v>
      </c>
      <c r="Q33" s="76">
        <v>0.58806338003304681</v>
      </c>
    </row>
    <row r="34" spans="8:17" x14ac:dyDescent="0.25">
      <c r="H34" s="73" t="s">
        <v>36</v>
      </c>
      <c r="I34" s="74" t="s">
        <v>103</v>
      </c>
      <c r="J34" s="75"/>
      <c r="K34" s="75"/>
      <c r="L34" s="75">
        <v>1.2210556064616258E-2</v>
      </c>
      <c r="M34" s="75">
        <v>0</v>
      </c>
      <c r="N34" s="75">
        <v>0</v>
      </c>
      <c r="O34" s="75">
        <v>0</v>
      </c>
      <c r="P34" s="75">
        <v>0</v>
      </c>
      <c r="Q34" s="76">
        <v>0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/>
      <c r="K36" s="75"/>
      <c r="L36" s="75">
        <v>0.64258570548732796</v>
      </c>
      <c r="M36" s="75">
        <v>0.64258571326744207</v>
      </c>
      <c r="N36" s="75">
        <v>0.64258574632222132</v>
      </c>
      <c r="O36" s="75">
        <v>0.64258579014436612</v>
      </c>
      <c r="P36" s="75">
        <v>0.64258566718595944</v>
      </c>
      <c r="Q36" s="76">
        <v>0.64258585938121471</v>
      </c>
    </row>
    <row r="37" spans="8:17" x14ac:dyDescent="0.25">
      <c r="H37" s="77" t="s">
        <v>38</v>
      </c>
      <c r="I37" s="78" t="s">
        <v>103</v>
      </c>
      <c r="J37" s="79"/>
      <c r="K37" s="79"/>
      <c r="L37" s="79">
        <v>2.1299831770658192E-2</v>
      </c>
      <c r="M37" s="79">
        <v>3.3614221810673632E-2</v>
      </c>
      <c r="N37" s="79">
        <v>4.6415391147407309E-2</v>
      </c>
      <c r="O37" s="79">
        <v>5.4461295460903801E-2</v>
      </c>
      <c r="P37" s="79">
        <v>7.7092902256660614E-2</v>
      </c>
      <c r="Q37" s="80">
        <v>8.812479324403949E-2</v>
      </c>
    </row>
    <row r="38" spans="8:17" x14ac:dyDescent="0.25">
      <c r="H38" s="81" t="s">
        <v>39</v>
      </c>
      <c r="I38" s="82" t="s">
        <v>103</v>
      </c>
      <c r="J38" s="83"/>
      <c r="K38" s="83"/>
      <c r="L38" s="83">
        <v>5.8927073039613982E-2</v>
      </c>
      <c r="M38" s="83">
        <v>6.693582358372363E-2</v>
      </c>
      <c r="N38" s="83">
        <v>5.7984697516139681E-2</v>
      </c>
      <c r="O38" s="83">
        <v>5.588157987447584E-2</v>
      </c>
      <c r="P38" s="83">
        <v>6.3443160954892663E-2</v>
      </c>
      <c r="Q38" s="84">
        <v>0.11747218914989434</v>
      </c>
    </row>
    <row r="39" spans="8:17" x14ac:dyDescent="0.25">
      <c r="H39" s="81" t="s">
        <v>40</v>
      </c>
      <c r="I39" s="82" t="s">
        <v>103</v>
      </c>
      <c r="J39" s="83"/>
      <c r="K39" s="83"/>
      <c r="L39" s="83">
        <v>1.1589887353281975E-3</v>
      </c>
      <c r="M39" s="83">
        <v>3.127674016229208E-2</v>
      </c>
      <c r="N39" s="83">
        <v>5.5819625064123517E-2</v>
      </c>
      <c r="O39" s="83">
        <v>7.038786533805283E-2</v>
      </c>
      <c r="P39" s="83">
        <v>9.2572850202783816E-2</v>
      </c>
      <c r="Q39" s="84">
        <v>0.11856116532924327</v>
      </c>
    </row>
    <row r="40" spans="8:17" x14ac:dyDescent="0.25">
      <c r="H40" s="81" t="s">
        <v>41</v>
      </c>
      <c r="I40" s="82" t="s">
        <v>103</v>
      </c>
      <c r="J40" s="83"/>
      <c r="K40" s="83"/>
      <c r="L40" s="83">
        <v>0.26191850462077765</v>
      </c>
      <c r="M40" s="83">
        <v>0.25703428530697681</v>
      </c>
      <c r="N40" s="83">
        <v>0.25703429852888854</v>
      </c>
      <c r="O40" s="83">
        <v>0.25703431605774646</v>
      </c>
      <c r="P40" s="83">
        <v>0.25703426687438374</v>
      </c>
      <c r="Q40" s="84">
        <v>0.25703434375248585</v>
      </c>
    </row>
    <row r="41" spans="8:17" x14ac:dyDescent="0.25">
      <c r="H41" s="85" t="s">
        <v>42</v>
      </c>
      <c r="I41" s="86" t="s">
        <v>103</v>
      </c>
      <c r="J41" s="87"/>
      <c r="K41" s="87"/>
      <c r="L41" s="87">
        <v>0</v>
      </c>
      <c r="M41" s="87">
        <v>0</v>
      </c>
      <c r="N41" s="87">
        <v>0</v>
      </c>
      <c r="O41" s="87">
        <v>0</v>
      </c>
      <c r="P41" s="87">
        <v>0</v>
      </c>
      <c r="Q41" s="88">
        <v>0</v>
      </c>
    </row>
    <row r="42" spans="8:17" x14ac:dyDescent="0.25">
      <c r="H42" s="89" t="s">
        <v>43</v>
      </c>
      <c r="I42" s="90" t="s">
        <v>103</v>
      </c>
      <c r="J42" s="91"/>
      <c r="K42" s="91"/>
      <c r="L42" s="91">
        <v>5.1636908452990559E-3</v>
      </c>
      <c r="M42" s="91">
        <v>0.11853225077302973</v>
      </c>
      <c r="N42" s="91">
        <v>0.203907654639785</v>
      </c>
      <c r="O42" s="91">
        <v>0.2421684773869702</v>
      </c>
      <c r="P42" s="91">
        <v>0.24846502699977396</v>
      </c>
      <c r="Q42" s="92">
        <v>0.17474830122692953</v>
      </c>
    </row>
    <row r="43" spans="8:17" x14ac:dyDescent="0.25">
      <c r="H43" s="89" t="s">
        <v>44</v>
      </c>
      <c r="I43" s="90" t="s">
        <v>103</v>
      </c>
      <c r="J43" s="91"/>
      <c r="K43" s="91"/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/>
      <c r="K44" s="91"/>
      <c r="L44" s="91">
        <v>8.4786537489434752E-2</v>
      </c>
      <c r="M44" s="91">
        <v>8.4786537489413713E-2</v>
      </c>
      <c r="N44" s="91">
        <v>8.4786537489401945E-2</v>
      </c>
      <c r="O44" s="91">
        <v>8.4786537489430033E-2</v>
      </c>
      <c r="P44" s="91">
        <v>8.4786471195379548E-2</v>
      </c>
      <c r="Q44" s="92">
        <v>8.4786496462884386E-2</v>
      </c>
    </row>
    <row r="45" spans="8:17" x14ac:dyDescent="0.25">
      <c r="H45" s="89" t="s">
        <v>46</v>
      </c>
      <c r="I45" s="90" t="s">
        <v>103</v>
      </c>
      <c r="J45" s="91"/>
      <c r="K45" s="91"/>
      <c r="L45" s="91">
        <v>1.902773079518788</v>
      </c>
      <c r="M45" s="91">
        <v>1.9027730795185016</v>
      </c>
      <c r="N45" s="91">
        <v>1.9027730795181046</v>
      </c>
      <c r="O45" s="91">
        <v>1.9027730795187165</v>
      </c>
      <c r="P45" s="91">
        <v>1.9027730795185254</v>
      </c>
      <c r="Q45" s="92">
        <v>1.9027730795187112</v>
      </c>
    </row>
    <row r="46" spans="8:17" x14ac:dyDescent="0.25">
      <c r="H46" s="89" t="s">
        <v>47</v>
      </c>
      <c r="I46" s="90" t="s">
        <v>103</v>
      </c>
      <c r="J46" s="91"/>
      <c r="K46" s="91"/>
      <c r="L46" s="91">
        <v>0.71773966847613535</v>
      </c>
      <c r="M46" s="91">
        <v>0.36000987751555141</v>
      </c>
      <c r="N46" s="91">
        <v>0.18065318555960572</v>
      </c>
      <c r="O46" s="91">
        <v>9.0837516204317167E-2</v>
      </c>
      <c r="P46" s="91">
        <v>1.8332184758355345E-2</v>
      </c>
      <c r="Q46" s="92">
        <v>1.6032787926453704E-13</v>
      </c>
    </row>
    <row r="47" spans="8:17" x14ac:dyDescent="0.25">
      <c r="H47" s="93" t="s">
        <v>48</v>
      </c>
      <c r="I47" s="94" t="s">
        <v>103</v>
      </c>
      <c r="J47" s="95"/>
      <c r="K47" s="95"/>
      <c r="L47" s="95">
        <v>-0.47122626486109281</v>
      </c>
      <c r="M47" s="95">
        <v>-0.47122626486103919</v>
      </c>
      <c r="N47" s="95">
        <v>-0.47122626486096963</v>
      </c>
      <c r="O47" s="95">
        <v>-0.47122626486105129</v>
      </c>
      <c r="P47" s="95">
        <v>-0.47122626486096875</v>
      </c>
      <c r="Q47" s="96">
        <v>-0.47122626486106722</v>
      </c>
    </row>
    <row r="48" spans="8:17" x14ac:dyDescent="0.25">
      <c r="H48" s="97" t="s">
        <v>49</v>
      </c>
      <c r="I48" s="98" t="s">
        <v>103</v>
      </c>
      <c r="J48" s="99"/>
      <c r="K48" s="99"/>
      <c r="L48" s="99">
        <v>-6.6414230019527676E-2</v>
      </c>
      <c r="M48" s="99">
        <v>-8.5116186629170962E-2</v>
      </c>
      <c r="N48" s="99">
        <v>-0.10197394085510547</v>
      </c>
      <c r="O48" s="99">
        <v>-0.13275031535994067</v>
      </c>
      <c r="P48" s="99">
        <v>-0.32595896419414294</v>
      </c>
      <c r="Q48" s="100">
        <v>-0.60892377912251006</v>
      </c>
    </row>
    <row r="49" spans="8:27" x14ac:dyDescent="0.25">
      <c r="H49" s="101" t="s">
        <v>50</v>
      </c>
      <c r="I49" s="102" t="s">
        <v>103</v>
      </c>
      <c r="J49" s="103"/>
      <c r="K49" s="103"/>
      <c r="L49" s="103">
        <v>-0.13282846003905535</v>
      </c>
      <c r="M49" s="103">
        <v>-0.17023237325834192</v>
      </c>
      <c r="N49" s="103">
        <v>-0.20394788171021094</v>
      </c>
      <c r="O49" s="103">
        <v>-0.26550063071988134</v>
      </c>
      <c r="P49" s="103">
        <v>-0.65191792838828588</v>
      </c>
      <c r="Q49" s="104">
        <v>-1.2178475582450201</v>
      </c>
    </row>
    <row r="50" spans="8:27" x14ac:dyDescent="0.25">
      <c r="H50" s="105" t="s">
        <v>51</v>
      </c>
      <c r="I50" s="106" t="s">
        <v>103</v>
      </c>
      <c r="J50" s="107"/>
      <c r="K50" s="107"/>
      <c r="L50" s="107">
        <v>3.6463504625425411</v>
      </c>
      <c r="M50" s="107">
        <v>3.687566544924588</v>
      </c>
      <c r="N50" s="107">
        <v>3.764241273675236</v>
      </c>
      <c r="O50" s="107">
        <v>3.8359745109136578</v>
      </c>
      <c r="P50" s="107">
        <v>4.0854102883749865</v>
      </c>
      <c r="Q50" s="108">
        <v>4.5397207345316168</v>
      </c>
    </row>
    <row r="51" spans="8:27" x14ac:dyDescent="0.25">
      <c r="H51" s="105" t="s">
        <v>52</v>
      </c>
      <c r="I51" s="106" t="s">
        <v>103</v>
      </c>
      <c r="J51" s="107"/>
      <c r="K51" s="107"/>
      <c r="L51" s="107">
        <v>3.5799362325230133</v>
      </c>
      <c r="M51" s="107">
        <v>3.602450358295417</v>
      </c>
      <c r="N51" s="107">
        <v>3.6622673328201305</v>
      </c>
      <c r="O51" s="107">
        <v>3.7032241955537173</v>
      </c>
      <c r="P51" s="107">
        <v>3.7594513241808434</v>
      </c>
      <c r="Q51" s="108">
        <v>3.9307969554091069</v>
      </c>
    </row>
    <row r="52" spans="8:27" x14ac:dyDescent="0.25">
      <c r="H52" s="109" t="s">
        <v>53</v>
      </c>
      <c r="I52" s="110" t="s">
        <v>103</v>
      </c>
      <c r="J52" s="111"/>
      <c r="K52" s="111"/>
      <c r="L52" s="111">
        <v>3.5135220025034859</v>
      </c>
      <c r="M52" s="111">
        <v>3.5173341716662461</v>
      </c>
      <c r="N52" s="111">
        <v>3.560293391965025</v>
      </c>
      <c r="O52" s="111">
        <v>3.5704738801937763</v>
      </c>
      <c r="P52" s="111">
        <v>3.4334923599867007</v>
      </c>
      <c r="Q52" s="112">
        <v>3.321873176286597</v>
      </c>
    </row>
    <row r="53" spans="8:27" x14ac:dyDescent="0.25">
      <c r="H53" s="113" t="s">
        <v>54</v>
      </c>
      <c r="I53" s="114" t="s">
        <v>103</v>
      </c>
      <c r="J53" s="115"/>
      <c r="K53" s="115"/>
      <c r="L53" s="115">
        <v>3.6463504625425411</v>
      </c>
      <c r="M53" s="115">
        <v>3.687566544924588</v>
      </c>
      <c r="N53" s="115">
        <v>3.764241273675236</v>
      </c>
      <c r="O53" s="115">
        <v>3.8359745109136578</v>
      </c>
      <c r="P53" s="115">
        <v>4.0854102883749857</v>
      </c>
      <c r="Q53" s="116">
        <v>4.5397207345316168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/>
      <c r="L56" s="124">
        <v>0.59986130887667632</v>
      </c>
      <c r="M56" s="124">
        <v>0.8000000000000651</v>
      </c>
      <c r="N56" s="124">
        <v>0.90000000000011726</v>
      </c>
      <c r="O56" s="124">
        <v>0.94999999999991647</v>
      </c>
      <c r="P56" s="124">
        <v>0.98999999999994415</v>
      </c>
      <c r="Q56" s="125">
        <v>1.0000000000003633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/>
      <c r="L57" s="128">
        <v>589142.3849038257</v>
      </c>
      <c r="M57" s="128">
        <v>929752.07585958694</v>
      </c>
      <c r="N57" s="128">
        <v>1283825.8316437528</v>
      </c>
      <c r="O57" s="128">
        <v>1506371.4041624323</v>
      </c>
      <c r="P57" s="128">
        <v>2132350.0008680741</v>
      </c>
      <c r="Q57" s="129">
        <v>2437486.4280605409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/>
      <c r="L58" s="132">
        <v>1597933.8369559471</v>
      </c>
      <c r="M58" s="132">
        <v>1815108.2667394378</v>
      </c>
      <c r="N58" s="132">
        <v>1572379.3055942238</v>
      </c>
      <c r="O58" s="132">
        <v>1515348.7648021441</v>
      </c>
      <c r="P58" s="132">
        <v>1720397.2365151686</v>
      </c>
      <c r="Q58" s="133">
        <v>3185510.0934289116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/>
      <c r="L59" s="132">
        <v>31177.034994797847</v>
      </c>
      <c r="M59" s="132">
        <v>841350.73347973207</v>
      </c>
      <c r="N59" s="132">
        <v>1501559.3775624495</v>
      </c>
      <c r="O59" s="132">
        <v>1893448.0327216026</v>
      </c>
      <c r="P59" s="132">
        <v>2490228.6815785845</v>
      </c>
      <c r="Q59" s="133">
        <v>3189319.6955423844</v>
      </c>
    </row>
    <row r="60" spans="8:27" x14ac:dyDescent="0.25">
      <c r="H60" s="134" t="s">
        <v>60</v>
      </c>
      <c r="I60" s="74" t="s">
        <v>57</v>
      </c>
      <c r="J60" s="135"/>
      <c r="K60" s="135"/>
      <c r="L60" s="135">
        <v>66223.07777133667</v>
      </c>
      <c r="M60" s="135">
        <v>0</v>
      </c>
      <c r="N60" s="135">
        <v>0</v>
      </c>
      <c r="O60" s="135">
        <v>0</v>
      </c>
      <c r="P60" s="135">
        <v>0</v>
      </c>
      <c r="Q60" s="136">
        <v>0</v>
      </c>
    </row>
    <row r="61" spans="8:27" x14ac:dyDescent="0.25">
      <c r="H61" s="134" t="s">
        <v>61</v>
      </c>
      <c r="I61" s="74" t="s">
        <v>57</v>
      </c>
      <c r="J61" s="135"/>
      <c r="K61" s="135"/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6">
        <v>0</v>
      </c>
    </row>
    <row r="62" spans="8:27" x14ac:dyDescent="0.25">
      <c r="H62" s="134" t="s">
        <v>62</v>
      </c>
      <c r="I62" s="74"/>
      <c r="J62" s="135"/>
      <c r="K62" s="135"/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6">
        <v>0</v>
      </c>
    </row>
    <row r="63" spans="8:27" x14ac:dyDescent="0.25">
      <c r="H63" s="137" t="s">
        <v>63</v>
      </c>
      <c r="I63" s="138" t="s">
        <v>57</v>
      </c>
      <c r="J63" s="139"/>
      <c r="K63" s="139"/>
      <c r="L63" s="139">
        <v>1379677.4918294421</v>
      </c>
      <c r="M63" s="139">
        <v>1379677.4918294421</v>
      </c>
      <c r="N63" s="139">
        <v>1379677.4918294421</v>
      </c>
      <c r="O63" s="139">
        <v>1379677.4918294421</v>
      </c>
      <c r="P63" s="139">
        <v>1379676.3057845081</v>
      </c>
      <c r="Q63" s="140">
        <v>1379676.6941403588</v>
      </c>
    </row>
    <row r="64" spans="8:27" x14ac:dyDescent="0.25">
      <c r="H64" s="141" t="s">
        <v>64</v>
      </c>
      <c r="I64" s="142" t="s">
        <v>57</v>
      </c>
      <c r="J64" s="143"/>
      <c r="K64" s="143"/>
      <c r="L64" s="143">
        <v>2105340.1375109223</v>
      </c>
      <c r="M64" s="143">
        <v>2105340.1797063397</v>
      </c>
      <c r="N64" s="143">
        <v>2105340.3589772987</v>
      </c>
      <c r="O64" s="143">
        <v>2105340.5966424472</v>
      </c>
      <c r="P64" s="143">
        <v>2105341.1158316038</v>
      </c>
      <c r="Q64" s="144">
        <v>2105341.7698326386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2400.4524320668215</v>
      </c>
      <c r="J68" s="151">
        <v>2400.4524320668215</v>
      </c>
      <c r="K68" s="152" t="s">
        <v>24</v>
      </c>
    </row>
    <row r="69" spans="8:17" x14ac:dyDescent="0.25">
      <c r="H69" s="153" t="s">
        <v>69</v>
      </c>
      <c r="I69" s="154">
        <v>524.17416606682104</v>
      </c>
      <c r="J69" s="154">
        <v>-413.96496693317931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/>
      <c r="K72" s="9"/>
      <c r="L72" s="9">
        <v>0.59986130887667632</v>
      </c>
      <c r="M72" s="9">
        <v>0.8000000000000651</v>
      </c>
      <c r="N72" s="9">
        <v>0.90000000000011726</v>
      </c>
      <c r="O72" s="9">
        <v>0.94999999999991647</v>
      </c>
      <c r="P72" s="9">
        <v>0.98999999999994415</v>
      </c>
      <c r="Q72" s="10">
        <v>1.0000000000003633</v>
      </c>
    </row>
    <row r="73" spans="8:17" x14ac:dyDescent="0.25">
      <c r="H73" s="51" t="s">
        <v>71</v>
      </c>
      <c r="I73" s="156"/>
      <c r="J73" s="157"/>
      <c r="K73" s="157"/>
      <c r="L73" s="157">
        <v>218.97829722069028</v>
      </c>
      <c r="M73" s="157">
        <v>515.3348137234924</v>
      </c>
      <c r="N73" s="157">
        <v>1069.6216815077862</v>
      </c>
      <c r="O73" s="157">
        <v>1599.9682097819289</v>
      </c>
      <c r="P73" s="157">
        <v>4579.4170400799885</v>
      </c>
      <c r="Q73" s="158">
        <v>7096.9342944561204</v>
      </c>
    </row>
    <row r="74" spans="8:17" x14ac:dyDescent="0.25">
      <c r="H74" s="130" t="s">
        <v>72</v>
      </c>
      <c r="I74" s="159"/>
      <c r="J74" s="160"/>
      <c r="K74" s="160"/>
      <c r="L74" s="160">
        <v>981.66446259912243</v>
      </c>
      <c r="M74" s="160">
        <v>1023.4036944208234</v>
      </c>
      <c r="N74" s="160">
        <v>773.87290906445992</v>
      </c>
      <c r="O74" s="160">
        <v>799.90460292480088</v>
      </c>
      <c r="P74" s="160">
        <v>1313.3000815827372</v>
      </c>
      <c r="Q74" s="161">
        <v>3911.2476338840233</v>
      </c>
    </row>
    <row r="75" spans="8:17" x14ac:dyDescent="0.25">
      <c r="H75" s="130" t="s">
        <v>73</v>
      </c>
      <c r="I75" s="159" t="s">
        <v>2</v>
      </c>
      <c r="J75" s="162"/>
      <c r="K75" s="162"/>
      <c r="L75" s="162">
        <v>6.8523338796994487E-2</v>
      </c>
      <c r="M75" s="162">
        <v>0.10218332625894412</v>
      </c>
      <c r="N75" s="162">
        <v>0.15359666911019224</v>
      </c>
      <c r="O75" s="162">
        <v>0.19581096186467639</v>
      </c>
      <c r="P75" s="162">
        <v>0.39592179980653547</v>
      </c>
      <c r="Q75" s="163">
        <v>0.53676759349683545</v>
      </c>
    </row>
    <row r="76" spans="8:17" x14ac:dyDescent="0.25">
      <c r="H76" s="130" t="s">
        <v>74</v>
      </c>
      <c r="I76" s="159" t="s">
        <v>2</v>
      </c>
      <c r="J76" s="162"/>
      <c r="K76" s="162"/>
      <c r="L76" s="162">
        <v>0.25730650981351888</v>
      </c>
      <c r="M76" s="162">
        <v>0.23615162779443039</v>
      </c>
      <c r="N76" s="162">
        <v>0.20613836263002003</v>
      </c>
      <c r="O76" s="162">
        <v>0.22109152455593226</v>
      </c>
      <c r="P76" s="162">
        <v>0.3197287816856153</v>
      </c>
      <c r="Q76" s="163">
        <v>0.51426009506706305</v>
      </c>
    </row>
    <row r="77" spans="8:17" x14ac:dyDescent="0.25">
      <c r="H77" s="164" t="s">
        <v>75</v>
      </c>
      <c r="I77" s="165" t="s">
        <v>2</v>
      </c>
      <c r="J77" s="166"/>
      <c r="K77" s="166"/>
      <c r="L77" s="166">
        <v>0.17125542273307501</v>
      </c>
      <c r="M77" s="166">
        <v>0.16409867883087093</v>
      </c>
      <c r="N77" s="166">
        <v>0.17200023882504348</v>
      </c>
      <c r="O77" s="166">
        <v>0.20356945213211569</v>
      </c>
      <c r="P77" s="166">
        <v>0.37595459732873077</v>
      </c>
      <c r="Q77" s="167">
        <v>0.5285484060468888</v>
      </c>
    </row>
    <row r="78" spans="8:17" x14ac:dyDescent="0.25">
      <c r="H78" s="168" t="s">
        <v>76</v>
      </c>
      <c r="I78" s="169"/>
      <c r="J78" s="170"/>
      <c r="K78" s="170"/>
      <c r="L78" s="170">
        <v>46.290484610366086</v>
      </c>
      <c r="M78" s="170">
        <v>63.849852537351332</v>
      </c>
      <c r="N78" s="170">
        <v>72.695657547651237</v>
      </c>
      <c r="O78" s="170">
        <v>78.398063800538651</v>
      </c>
      <c r="P78" s="170">
        <v>93.452025104600452</v>
      </c>
      <c r="Q78" s="171">
        <v>119.00107983900219</v>
      </c>
    </row>
    <row r="79" spans="8:17" x14ac:dyDescent="0.25">
      <c r="H79" s="172" t="s">
        <v>77</v>
      </c>
      <c r="I79" s="173"/>
      <c r="J79" s="174"/>
      <c r="K79" s="174"/>
      <c r="L79" s="174">
        <v>40.086734725456317</v>
      </c>
      <c r="M79" s="174">
        <v>57.888206868311038</v>
      </c>
      <c r="N79" s="174">
        <v>66.346871630636954</v>
      </c>
      <c r="O79" s="174">
        <v>70.568168674369673</v>
      </c>
      <c r="P79" s="174">
        <v>75.00307214798481</v>
      </c>
      <c r="Q79" s="175">
        <v>84.881244782048142</v>
      </c>
    </row>
    <row r="80" spans="8:17" x14ac:dyDescent="0.25">
      <c r="H80" s="172" t="s">
        <v>78</v>
      </c>
      <c r="I80" s="173"/>
      <c r="J80" s="174"/>
      <c r="K80" s="174"/>
      <c r="L80" s="174">
        <v>33.882984840546555</v>
      </c>
      <c r="M80" s="174">
        <v>51.926561199270743</v>
      </c>
      <c r="N80" s="174">
        <v>59.99808571362265</v>
      </c>
      <c r="O80" s="174">
        <v>62.738273548200695</v>
      </c>
      <c r="P80" s="174">
        <v>56.554119191369161</v>
      </c>
      <c r="Q80" s="175">
        <v>50.76140972509409</v>
      </c>
    </row>
    <row r="81" spans="8:17" x14ac:dyDescent="0.25">
      <c r="H81" s="73" t="s">
        <v>79</v>
      </c>
      <c r="I81" s="176"/>
      <c r="J81" s="177"/>
      <c r="K81" s="177"/>
      <c r="L81" s="177">
        <v>38.358306604306158</v>
      </c>
      <c r="M81" s="177">
        <v>53.264958832782433</v>
      </c>
      <c r="N81" s="177">
        <v>59.998420068514768</v>
      </c>
      <c r="O81" s="177">
        <v>62.171515574442985</v>
      </c>
      <c r="P81" s="177">
        <v>57.866281561306494</v>
      </c>
      <c r="Q81" s="178">
        <v>55.677504347898065</v>
      </c>
    </row>
    <row r="82" spans="8:17" x14ac:dyDescent="0.25">
      <c r="H82" s="134" t="s">
        <v>80</v>
      </c>
      <c r="I82" s="176"/>
      <c r="J82" s="177"/>
      <c r="K82" s="177"/>
      <c r="L82" s="177">
        <v>33.217609932305692</v>
      </c>
      <c r="M82" s="177">
        <v>48.291622191929491</v>
      </c>
      <c r="N82" s="177">
        <v>54.758531783242617</v>
      </c>
      <c r="O82" s="177">
        <v>55.962223875334402</v>
      </c>
      <c r="P82" s="177">
        <v>46.442534402227921</v>
      </c>
      <c r="Q82" s="178">
        <v>39.713722613284752</v>
      </c>
    </row>
    <row r="83" spans="8:17" x14ac:dyDescent="0.25">
      <c r="H83" s="179" t="s">
        <v>81</v>
      </c>
      <c r="I83" s="180"/>
      <c r="J83" s="181"/>
      <c r="K83" s="181"/>
      <c r="L83" s="181">
        <v>28.076913260305222</v>
      </c>
      <c r="M83" s="181">
        <v>43.318285551076542</v>
      </c>
      <c r="N83" s="181">
        <v>49.518643497970452</v>
      </c>
      <c r="O83" s="181">
        <v>49.752932176225819</v>
      </c>
      <c r="P83" s="181">
        <v>35.018787243149347</v>
      </c>
      <c r="Q83" s="182">
        <v>23.749940878671435</v>
      </c>
    </row>
    <row r="84" spans="8:17" x14ac:dyDescent="0.25">
      <c r="H84" s="183" t="s">
        <v>82</v>
      </c>
      <c r="I84" s="184" t="s">
        <v>12</v>
      </c>
      <c r="J84" s="185"/>
      <c r="K84" s="185"/>
      <c r="L84" s="185">
        <v>0.13059131145906325</v>
      </c>
      <c r="M84" s="185">
        <v>2.2331076653294892</v>
      </c>
      <c r="N84" s="185">
        <v>2.8862645954752373</v>
      </c>
      <c r="O84" s="185">
        <v>3.1018519736203749</v>
      </c>
      <c r="P84" s="185">
        <v>2.8819104480851983</v>
      </c>
      <c r="Q84" s="186">
        <v>3.2289073972883311</v>
      </c>
    </row>
    <row r="86" spans="8:17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/>
      <c r="K92" s="228"/>
      <c r="L92" s="228">
        <f t="shared" ref="L92:Q92" si="5">L5</f>
        <v>0.59986130887667632</v>
      </c>
      <c r="M92" s="228">
        <f t="shared" si="5"/>
        <v>0.8000000000000651</v>
      </c>
      <c r="N92" s="228">
        <f t="shared" si="5"/>
        <v>0.90000000000011726</v>
      </c>
      <c r="O92" s="228">
        <f t="shared" si="5"/>
        <v>0.94999999999991647</v>
      </c>
      <c r="P92" s="228">
        <f t="shared" si="5"/>
        <v>0.98999999999994415</v>
      </c>
      <c r="Q92" s="229">
        <f t="shared" si="5"/>
        <v>1.0000000000003633</v>
      </c>
    </row>
    <row r="93" spans="8:17" ht="18" x14ac:dyDescent="0.25">
      <c r="H93" s="148" t="s">
        <v>89</v>
      </c>
      <c r="I93" s="194" t="s">
        <v>104</v>
      </c>
      <c r="J93" s="195"/>
      <c r="K93" s="195"/>
      <c r="L93" s="195">
        <f>IF(L22&gt;0,  $I$88*(L6*1000)/(L22*1000)/$K$88*1000, 0)</f>
        <v>12.651894976007684</v>
      </c>
      <c r="M93" s="195">
        <f t="shared" ref="M93:O93" si="6">IF(M22&gt;0,  $I$88*(M6*1000)/(M22*1000)/$K$88*1000, 0)</f>
        <v>12.651894976007762</v>
      </c>
      <c r="N93" s="195">
        <f t="shared" si="6"/>
        <v>12.651894976007688</v>
      </c>
      <c r="O93" s="195">
        <f t="shared" si="6"/>
        <v>12.651894976007682</v>
      </c>
      <c r="P93" s="195">
        <f t="shared" ref="P93" si="7">IF(P22&gt;0,  $I$88*(P6*1000)/(P22*1000)/$K$88*1000, 0)</f>
        <v>12.651894976007739</v>
      </c>
      <c r="Q93" s="195">
        <f>IF(Q22&gt;0,  $I$88*(Q6*1000)/(Q22*1000)/$K$88*1000, 0)</f>
        <v>12.651894976007691</v>
      </c>
    </row>
    <row r="94" spans="8:17" ht="18" x14ac:dyDescent="0.25">
      <c r="H94" s="61" t="s">
        <v>90</v>
      </c>
      <c r="I94" s="230" t="s">
        <v>104</v>
      </c>
      <c r="J94" s="231"/>
      <c r="K94" s="231"/>
      <c r="L94" s="231">
        <f>IF(L23&gt;0,$I$89*(L7*1000)/(L23*1000)/$K$89*1000,0)</f>
        <v>6.3663437674559331</v>
      </c>
      <c r="M94" s="231">
        <f t="shared" ref="M94:O94" si="8">IF(M23&gt;0,$I$89*(M7*1000)/(M23*1000)/$K$89*1000,0)</f>
        <v>6.3663437674559571</v>
      </c>
      <c r="N94" s="231">
        <f t="shared" si="8"/>
        <v>6.3663437674559393</v>
      </c>
      <c r="O94" s="231">
        <f t="shared" si="8"/>
        <v>6.3663437674559518</v>
      </c>
      <c r="P94" s="231">
        <f t="shared" ref="P94" si="9">IF(P23&gt;0,$I$89*(P7*1000)/(P23*1000)/$K$89*1000,0)</f>
        <v>6.3663437674559678</v>
      </c>
      <c r="Q94" s="231">
        <f>IF(Q23&gt;0,$I$89*(Q7*1000)/(Q23*1000)/$K$89*1000,0)</f>
        <v>6.3663437674559491</v>
      </c>
    </row>
    <row r="95" spans="8:17" ht="18" x14ac:dyDescent="0.25">
      <c r="H95" s="153" t="s">
        <v>99</v>
      </c>
      <c r="I95" s="197" t="s">
        <v>104</v>
      </c>
      <c r="J95" s="198"/>
      <c r="K95" s="198"/>
      <c r="L95" s="198">
        <f>IF(-L26&gt;0,$I$90*(L8*1000)/(-L26*1000)/$K$90*1000,0)</f>
        <v>15.980816905507151</v>
      </c>
      <c r="M95" s="198">
        <f t="shared" ref="M95:O95" si="10">IF(-M26&gt;0,$I$90*(M8*1000)/(-M26*1000)/$K$90*1000,0)</f>
        <v>18.787324842243656</v>
      </c>
      <c r="N95" s="198">
        <f t="shared" si="10"/>
        <v>19.490966690713663</v>
      </c>
      <c r="O95" s="198">
        <f t="shared" si="10"/>
        <v>20.694749647622835</v>
      </c>
      <c r="P95" s="198">
        <f t="shared" ref="P95" si="11">IF(-P26&gt;0,$I$90*(P8*1000)/(-P26*1000)/$K$90*1000,0)</f>
        <v>26.527624487144443</v>
      </c>
      <c r="Q95" s="198">
        <f>IF(-Q26&gt;0,$I$90*(Q8*1000)/(-Q26*1000)/$K$90*1000,0)</f>
        <v>48.306935816674127</v>
      </c>
    </row>
    <row r="96" spans="8:17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/>
      <c r="K97" s="9"/>
      <c r="L97" s="9">
        <f t="shared" ref="L97:Q97" si="12">L5</f>
        <v>0.59986130887667632</v>
      </c>
      <c r="M97" s="9">
        <f t="shared" si="12"/>
        <v>0.8000000000000651</v>
      </c>
      <c r="N97" s="9">
        <f t="shared" si="12"/>
        <v>0.90000000000011726</v>
      </c>
      <c r="O97" s="9">
        <f t="shared" si="12"/>
        <v>0.94999999999991647</v>
      </c>
      <c r="P97" s="9">
        <f t="shared" si="12"/>
        <v>0.98999999999994415</v>
      </c>
      <c r="Q97" s="10">
        <f t="shared" si="12"/>
        <v>1.0000000000003633</v>
      </c>
    </row>
    <row r="98" spans="8:17" ht="18" x14ac:dyDescent="0.25">
      <c r="H98" s="200" t="s">
        <v>91</v>
      </c>
      <c r="I98" s="201" t="s">
        <v>106</v>
      </c>
      <c r="J98" s="202"/>
      <c r="K98" s="202"/>
      <c r="L98" s="202">
        <f t="shared" ref="L98:Q98" si="13">$M$88/1000*L24*1000</f>
        <v>1549174.959761438</v>
      </c>
      <c r="M98" s="202">
        <f t="shared" si="13"/>
        <v>774319.00194976095</v>
      </c>
      <c r="N98" s="202">
        <f t="shared" si="13"/>
        <v>387159.5009749037</v>
      </c>
      <c r="O98" s="202">
        <f t="shared" si="13"/>
        <v>193579.75048756931</v>
      </c>
      <c r="P98" s="202">
        <f t="shared" si="13"/>
        <v>38715.950098188521</v>
      </c>
      <c r="Q98" s="203">
        <f t="shared" si="13"/>
        <v>3.3467990760982503E-7</v>
      </c>
    </row>
    <row r="99" spans="8:17" ht="18" x14ac:dyDescent="0.25">
      <c r="H99" s="204" t="s">
        <v>92</v>
      </c>
      <c r="I99" s="13" t="s">
        <v>106</v>
      </c>
      <c r="J99" s="31"/>
      <c r="K99" s="31"/>
      <c r="L99" s="31">
        <f>L93/1000*L22*1000</f>
        <v>40431.340140458626</v>
      </c>
      <c r="M99" s="31">
        <f t="shared" ref="M99:O100" si="14">M93/1000*M22*1000</f>
        <v>63806.51500997167</v>
      </c>
      <c r="N99" s="31">
        <f t="shared" si="14"/>
        <v>88105.694328492842</v>
      </c>
      <c r="O99" s="31">
        <f t="shared" si="14"/>
        <v>103378.42969742182</v>
      </c>
      <c r="P99" s="31">
        <f t="shared" ref="P99" si="15">P93/1000*P22*1000</f>
        <v>146337.74515761295</v>
      </c>
      <c r="Q99" s="62">
        <f>Q93/1000*Q22*1000</f>
        <v>167278.48035709598</v>
      </c>
    </row>
    <row r="100" spans="8:17" ht="18" x14ac:dyDescent="0.25">
      <c r="H100" s="204" t="s">
        <v>93</v>
      </c>
      <c r="I100" s="13" t="s">
        <v>106</v>
      </c>
      <c r="J100" s="31"/>
      <c r="K100" s="31"/>
      <c r="L100" s="31">
        <f>L94/1000*L23*1000</f>
        <v>24288.594321730397</v>
      </c>
      <c r="M100" s="31">
        <f t="shared" si="14"/>
        <v>27589.645654439453</v>
      </c>
      <c r="N100" s="31">
        <f t="shared" si="14"/>
        <v>23900.165445032198</v>
      </c>
      <c r="O100" s="31">
        <f t="shared" si="14"/>
        <v>23033.301224992592</v>
      </c>
      <c r="P100" s="31">
        <f t="shared" ref="P100" si="16">P94/1000*P23*1000</f>
        <v>26150.037995030561</v>
      </c>
      <c r="Q100" s="62">
        <f>Q94/1000*Q23*1000</f>
        <v>48419.75342011945</v>
      </c>
    </row>
    <row r="101" spans="8:17" ht="18" x14ac:dyDescent="0.25">
      <c r="H101" s="204" t="s">
        <v>94</v>
      </c>
      <c r="I101" s="13" t="s">
        <v>106</v>
      </c>
      <c r="J101" s="31"/>
      <c r="K101" s="31"/>
      <c r="L101" s="31">
        <f t="shared" ref="L101:Q101" si="17">L95/1000*(-L26)*1000</f>
        <v>1118.8532719907294</v>
      </c>
      <c r="M101" s="31">
        <f t="shared" si="17"/>
        <v>30193.635193425871</v>
      </c>
      <c r="N101" s="31">
        <f t="shared" si="17"/>
        <v>53886.606694781454</v>
      </c>
      <c r="O101" s="31">
        <f t="shared" si="17"/>
        <v>67950.352787186537</v>
      </c>
      <c r="P101" s="31">
        <f t="shared" si="17"/>
        <v>89367.077685683078</v>
      </c>
      <c r="Q101" s="62">
        <f t="shared" si="17"/>
        <v>114455.42455777104</v>
      </c>
    </row>
    <row r="102" spans="8:17" ht="18" x14ac:dyDescent="0.25">
      <c r="H102" s="204" t="s">
        <v>95</v>
      </c>
      <c r="I102" s="13" t="s">
        <v>106</v>
      </c>
      <c r="J102" s="31"/>
      <c r="K102" s="31"/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/>
      <c r="K103" s="27"/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/>
      <c r="K104" s="207"/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/>
      <c r="K105" s="211"/>
      <c r="L105" s="211">
        <f t="shared" ref="L105:Q105" si="18">L98/L104</f>
        <v>2.8564494941446323</v>
      </c>
      <c r="M105" s="211">
        <f t="shared" si="18"/>
        <v>1.4277297134768334</v>
      </c>
      <c r="N105" s="211">
        <f t="shared" si="18"/>
        <v>0.71386485673851352</v>
      </c>
      <c r="O105" s="211">
        <f t="shared" si="18"/>
        <v>0.35693242836947414</v>
      </c>
      <c r="P105" s="211">
        <f t="shared" si="18"/>
        <v>7.1386485675138792E-2</v>
      </c>
      <c r="Q105" s="212">
        <f t="shared" si="18"/>
        <v>6.1710024859917721E-13</v>
      </c>
    </row>
    <row r="106" spans="8:17" ht="18" x14ac:dyDescent="0.25">
      <c r="H106" s="213" t="s">
        <v>89</v>
      </c>
      <c r="I106" s="214" t="s">
        <v>109</v>
      </c>
      <c r="J106" s="215"/>
      <c r="K106" s="215"/>
      <c r="L106" s="215">
        <f t="shared" ref="L106:Q106" si="19">L99/L104</f>
        <v>7.4549411197291277E-2</v>
      </c>
      <c r="M106" s="215">
        <f t="shared" si="19"/>
        <v>0.11764977633734053</v>
      </c>
      <c r="N106" s="215">
        <f t="shared" si="19"/>
        <v>0.16245386901594802</v>
      </c>
      <c r="O106" s="215">
        <f t="shared" si="19"/>
        <v>0.19061453411312873</v>
      </c>
      <c r="P106" s="215">
        <f t="shared" si="19"/>
        <v>0.26982515789829037</v>
      </c>
      <c r="Q106" s="216">
        <f t="shared" si="19"/>
        <v>0.30843677635408223</v>
      </c>
    </row>
    <row r="107" spans="8:17" ht="18" x14ac:dyDescent="0.25">
      <c r="H107" s="213" t="s">
        <v>90</v>
      </c>
      <c r="I107" s="214" t="s">
        <v>109</v>
      </c>
      <c r="J107" s="215"/>
      <c r="K107" s="215"/>
      <c r="L107" s="215">
        <f t="shared" ref="L107:Q107" si="20">L100/L104</f>
        <v>4.4784575510099185E-2</v>
      </c>
      <c r="M107" s="215">
        <f t="shared" si="20"/>
        <v>5.0871225923622525E-2</v>
      </c>
      <c r="N107" s="215">
        <f t="shared" si="20"/>
        <v>4.4068370112272243E-2</v>
      </c>
      <c r="O107" s="215">
        <f t="shared" si="20"/>
        <v>4.2470000704593946E-2</v>
      </c>
      <c r="P107" s="215">
        <f t="shared" si="20"/>
        <v>4.8216802325714542E-2</v>
      </c>
      <c r="Q107" s="216">
        <f t="shared" si="20"/>
        <v>8.9278863753903481E-2</v>
      </c>
    </row>
    <row r="108" spans="8:17" ht="18" x14ac:dyDescent="0.25">
      <c r="H108" s="213" t="s">
        <v>99</v>
      </c>
      <c r="I108" s="214" t="s">
        <v>109</v>
      </c>
      <c r="J108" s="215"/>
      <c r="K108" s="215"/>
      <c r="L108" s="215">
        <f t="shared" ref="L108:Q108" si="21">L101/L104</f>
        <v>2.0629999488838494E-3</v>
      </c>
      <c r="M108" s="215">
        <f t="shared" si="21"/>
        <v>5.567259748887176E-2</v>
      </c>
      <c r="N108" s="215">
        <f t="shared" si="21"/>
        <v>9.93589326141536E-2</v>
      </c>
      <c r="O108" s="215">
        <f t="shared" si="21"/>
        <v>0.12529040030171132</v>
      </c>
      <c r="P108" s="215">
        <f t="shared" si="21"/>
        <v>0.1647796733609419</v>
      </c>
      <c r="Q108" s="216">
        <f t="shared" si="21"/>
        <v>0.2110388742860147</v>
      </c>
    </row>
    <row r="109" spans="8:17" ht="18" x14ac:dyDescent="0.25">
      <c r="H109" s="213" t="s">
        <v>100</v>
      </c>
      <c r="I109" s="214" t="s">
        <v>108</v>
      </c>
      <c r="J109" s="215"/>
      <c r="K109" s="215"/>
      <c r="L109" s="215">
        <f t="shared" ref="L109:Q109" si="22">-L103/L104</f>
        <v>-9.4245252972192066</v>
      </c>
      <c r="M109" s="215">
        <f t="shared" si="22"/>
        <v>-9.4245252972203968</v>
      </c>
      <c r="N109" s="215">
        <f t="shared" si="22"/>
        <v>-9.4245252972200717</v>
      </c>
      <c r="O109" s="215">
        <f t="shared" si="22"/>
        <v>-9.4245252972199971</v>
      </c>
      <c r="P109" s="215">
        <f t="shared" si="22"/>
        <v>-9.4245252972199971</v>
      </c>
      <c r="Q109" s="216">
        <f t="shared" si="22"/>
        <v>-9.4245252972206099</v>
      </c>
    </row>
    <row r="110" spans="8:17" ht="18" x14ac:dyDescent="0.25">
      <c r="H110" s="217" t="s">
        <v>101</v>
      </c>
      <c r="I110" s="218" t="s">
        <v>108</v>
      </c>
      <c r="J110" s="219"/>
      <c r="K110" s="219"/>
      <c r="L110" s="219">
        <f t="shared" ref="L110:Q110" si="23">SUM(L105:L109)</f>
        <v>-6.4466788164183004</v>
      </c>
      <c r="M110" s="219">
        <f t="shared" si="23"/>
        <v>-7.772601983993729</v>
      </c>
      <c r="N110" s="219">
        <f t="shared" si="23"/>
        <v>-8.4047792687391834</v>
      </c>
      <c r="O110" s="219">
        <f t="shared" si="23"/>
        <v>-8.7092179337310895</v>
      </c>
      <c r="P110" s="219">
        <f t="shared" si="23"/>
        <v>-8.8703171779599117</v>
      </c>
      <c r="Q110" s="220">
        <f t="shared" si="23"/>
        <v>-8.815770782825993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>L112</f>
        <v>22.050445529617065</v>
      </c>
      <c r="K112" s="284">
        <f>L112</f>
        <v>22.050445529617065</v>
      </c>
      <c r="L112" s="284">
        <f t="shared" ref="L112:Q112" si="24">(L31+L37)*L104/L22</f>
        <v>22.050445529617065</v>
      </c>
      <c r="M112" s="284">
        <f t="shared" si="24"/>
        <v>22.050445529616752</v>
      </c>
      <c r="N112" s="284">
        <f t="shared" si="24"/>
        <v>22.050445529610347</v>
      </c>
      <c r="O112" s="284">
        <f t="shared" si="24"/>
        <v>22.050445529617384</v>
      </c>
      <c r="P112" s="284">
        <f t="shared" si="24"/>
        <v>22.050445529615263</v>
      </c>
      <c r="Q112" s="285">
        <f t="shared" si="24"/>
        <v>22.050445529617406</v>
      </c>
    </row>
    <row r="113" spans="8:17" x14ac:dyDescent="0.25">
      <c r="H113" s="286" t="s">
        <v>134</v>
      </c>
      <c r="I113" s="287"/>
      <c r="J113" s="181">
        <f>L113</f>
        <v>50.260608690449928</v>
      </c>
      <c r="K113" s="181">
        <f>L113</f>
        <v>50.260608690449928</v>
      </c>
      <c r="L113" s="181">
        <f t="shared" ref="L113:Q113" si="25">IF(L32&gt;0,(L32+L38)*L104/L23,0)</f>
        <v>50.260608690449928</v>
      </c>
      <c r="M113" s="181">
        <f t="shared" si="25"/>
        <v>50.260608690449118</v>
      </c>
      <c r="N113" s="181">
        <f t="shared" si="25"/>
        <v>50.26060869043468</v>
      </c>
      <c r="O113" s="181">
        <f t="shared" si="25"/>
        <v>50.260608690450837</v>
      </c>
      <c r="P113" s="181">
        <f t="shared" si="25"/>
        <v>50.260608690445906</v>
      </c>
      <c r="Q113" s="182">
        <f t="shared" si="25"/>
        <v>50.260608690450844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>J28</f>
        <v>0</v>
      </c>
      <c r="K115" s="228">
        <f t="shared" ref="K115:O115" si="26">K28</f>
        <v>0</v>
      </c>
      <c r="L115" s="228">
        <f t="shared" si="26"/>
        <v>-4.3668535454344237E-10</v>
      </c>
      <c r="M115" s="228">
        <f t="shared" si="26"/>
        <v>-7.028120307950303E-10</v>
      </c>
      <c r="N115" s="228">
        <f t="shared" si="26"/>
        <v>5.0795279094018042E-10</v>
      </c>
      <c r="O115" s="228">
        <f t="shared" si="26"/>
        <v>-7.8216544352471828E-10</v>
      </c>
      <c r="P115" s="228">
        <f t="shared" ref="P115" si="27">P28</f>
        <v>1.1395968613214791E-9</v>
      </c>
      <c r="Q115" s="229">
        <f>Q28</f>
        <v>4.3542058847378939E-9</v>
      </c>
    </row>
    <row r="116" spans="8:17" ht="18" x14ac:dyDescent="0.25">
      <c r="H116" s="148" t="s">
        <v>89</v>
      </c>
      <c r="I116" s="194" t="s">
        <v>104</v>
      </c>
      <c r="J116" s="195">
        <f>IF(J22&gt;0,  $J$88*(J6*1000)/(J22*1000)/$K$88*1000, 0)</f>
        <v>0</v>
      </c>
      <c r="K116" s="195">
        <f t="shared" ref="K116:O116" si="28">IF(K22&gt;0,  $J$88*(K6*1000)/(K22*1000)/$K$88*1000, 0)</f>
        <v>0</v>
      </c>
      <c r="L116" s="195">
        <f t="shared" si="28"/>
        <v>42.172983253358957</v>
      </c>
      <c r="M116" s="195">
        <f t="shared" si="28"/>
        <v>42.172983253359206</v>
      </c>
      <c r="N116" s="195">
        <f t="shared" si="28"/>
        <v>42.172983253358957</v>
      </c>
      <c r="O116" s="195">
        <f t="shared" si="28"/>
        <v>42.172983253358943</v>
      </c>
      <c r="P116" s="195">
        <f t="shared" ref="P116" si="29">IF(P22&gt;0,  $J$88*(P6*1000)/(P22*1000)/$K$88*1000, 0)</f>
        <v>42.172983253359121</v>
      </c>
      <c r="Q116" s="196">
        <f>IF(Q22&gt;0,  $J$88*(Q6*1000)/(Q22*1000)/$K$88*1000, 0)</f>
        <v>42.172983253358964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30">IF(J23&gt;0,$J$89*(J7*1000)/(J23*1000)/$K$89*1000,0)</f>
        <v>0</v>
      </c>
      <c r="K117" s="231">
        <f t="shared" si="30"/>
        <v>0</v>
      </c>
      <c r="L117" s="231">
        <f t="shared" si="30"/>
        <v>10.889798549595675</v>
      </c>
      <c r="M117" s="231">
        <f t="shared" si="30"/>
        <v>10.889798549595715</v>
      </c>
      <c r="N117" s="231">
        <f t="shared" si="30"/>
        <v>10.889798549595685</v>
      </c>
      <c r="O117" s="231">
        <f t="shared" si="30"/>
        <v>10.889798549595708</v>
      </c>
      <c r="P117" s="231">
        <f t="shared" ref="P117" si="31">IF(P23&gt;0,$J$89*(P7*1000)/(P23*1000)/$K$89*1000,0)</f>
        <v>10.889798549595733</v>
      </c>
      <c r="Q117" s="232">
        <f>IF(Q23&gt;0,$J$89*(Q7*1000)/(Q23*1000)/$K$89*1000,0)</f>
        <v>10.889798549595703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32">IF(-J26&gt;0,$J$90*(J8*1000)/(-J26*1000)/$K$90*1000,0)</f>
        <v>0</v>
      </c>
      <c r="K118" s="198">
        <f t="shared" si="32"/>
        <v>0</v>
      </c>
      <c r="L118" s="198">
        <f t="shared" si="32"/>
        <v>30.345596146412458</v>
      </c>
      <c r="M118" s="198">
        <f t="shared" si="32"/>
        <v>35.674807846507619</v>
      </c>
      <c r="N118" s="198">
        <f t="shared" si="32"/>
        <v>37.010936749782125</v>
      </c>
      <c r="O118" s="198">
        <f t="shared" si="32"/>
        <v>39.296771802789443</v>
      </c>
      <c r="P118" s="198">
        <f t="shared" ref="P118" si="33">IF(-P26&gt;0,$J$90*(P8*1000)/(-P26*1000)/$K$90*1000,0)</f>
        <v>50.37268020592596</v>
      </c>
      <c r="Q118" s="199">
        <f>IF(-Q26&gt;0,$J$90*(Q8*1000)/(-Q26*1000)/$K$90*1000,0)</f>
        <v>91.72890059570706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34">J28</f>
        <v>0</v>
      </c>
      <c r="K120" s="9">
        <f t="shared" si="34"/>
        <v>0</v>
      </c>
      <c r="L120" s="9">
        <f t="shared" si="34"/>
        <v>-4.3668535454344237E-10</v>
      </c>
      <c r="M120" s="9">
        <f t="shared" si="34"/>
        <v>-7.028120307950303E-10</v>
      </c>
      <c r="N120" s="9">
        <f t="shared" si="34"/>
        <v>5.0795279094018042E-10</v>
      </c>
      <c r="O120" s="9">
        <f t="shared" si="34"/>
        <v>-7.8216544352471828E-10</v>
      </c>
      <c r="P120" s="9">
        <f t="shared" ref="P120" si="35">P28</f>
        <v>1.1395968613214791E-9</v>
      </c>
      <c r="Q120" s="10">
        <f>Q28</f>
        <v>4.3542058847378939E-9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O121" si="36">$M$88/1000*K24*1000</f>
        <v>0</v>
      </c>
      <c r="L121" s="202">
        <f t="shared" si="36"/>
        <v>1549174.959761438</v>
      </c>
      <c r="M121" s="202">
        <f t="shared" si="36"/>
        <v>774319.00194976095</v>
      </c>
      <c r="N121" s="202">
        <f t="shared" si="36"/>
        <v>387159.5009749037</v>
      </c>
      <c r="O121" s="202">
        <f t="shared" si="36"/>
        <v>193579.75048756931</v>
      </c>
      <c r="P121" s="202">
        <f t="shared" ref="P121" si="37">$M$88/1000*P24*1000</f>
        <v>38715.950098188521</v>
      </c>
      <c r="Q121" s="203">
        <f>$M$88/1000*Q24*1000</f>
        <v>3.3467990760982503E-7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O123" si="38">K116/1000*K22*1000</f>
        <v>0</v>
      </c>
      <c r="L122" s="31">
        <f t="shared" si="38"/>
        <v>134771.13380152875</v>
      </c>
      <c r="M122" s="31">
        <f t="shared" si="38"/>
        <v>212688.38336657223</v>
      </c>
      <c r="N122" s="31">
        <f t="shared" si="38"/>
        <v>293685.64776164276</v>
      </c>
      <c r="O122" s="31">
        <f t="shared" si="38"/>
        <v>344594.76565807272</v>
      </c>
      <c r="P122" s="31">
        <f t="shared" ref="P122" si="39">P116/1000*P22*1000</f>
        <v>487792.48385870975</v>
      </c>
      <c r="Q122" s="62">
        <f>Q116/1000*Q22*1000</f>
        <v>557594.93452365312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38"/>
        <v>0</v>
      </c>
      <c r="L123" s="31">
        <f t="shared" si="38"/>
        <v>41546.279760854632</v>
      </c>
      <c r="M123" s="31">
        <f t="shared" si="38"/>
        <v>47192.814935225375</v>
      </c>
      <c r="N123" s="31">
        <f t="shared" si="38"/>
        <v>40881.861945449811</v>
      </c>
      <c r="O123" s="31">
        <f t="shared" si="38"/>
        <v>39399.067884855751</v>
      </c>
      <c r="P123" s="31">
        <f t="shared" ref="P123" si="40">P117/1000*P23*1000</f>
        <v>44730.32814939438</v>
      </c>
      <c r="Q123" s="62">
        <f>Q117/1000*Q23*1000</f>
        <v>82823.262429151699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41">K118/1000*(-K26)*1000</f>
        <v>0</v>
      </c>
      <c r="L124" s="31">
        <f t="shared" si="41"/>
        <v>2124.5640782745313</v>
      </c>
      <c r="M124" s="31">
        <f t="shared" si="41"/>
        <v>57333.981434707559</v>
      </c>
      <c r="N124" s="31">
        <f t="shared" si="41"/>
        <v>102324.00597098951</v>
      </c>
      <c r="O124" s="31">
        <f t="shared" si="41"/>
        <v>129029.32158465762</v>
      </c>
      <c r="P124" s="31">
        <f t="shared" ref="P124" si="42">P118/1000*(-P26)*1000</f>
        <v>169697.03515595998</v>
      </c>
      <c r="Q124" s="62">
        <f>Q118/1000*(-Q26)*1000</f>
        <v>217336.7050591383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43">J121/J127</f>
        <v>0</v>
      </c>
      <c r="K128" s="211">
        <f t="shared" si="43"/>
        <v>0</v>
      </c>
      <c r="L128" s="211">
        <f t="shared" si="43"/>
        <v>2.8564494941446323</v>
      </c>
      <c r="M128" s="211">
        <f t="shared" si="43"/>
        <v>1.4277297134768334</v>
      </c>
      <c r="N128" s="211">
        <f t="shared" si="43"/>
        <v>0.71386485673851352</v>
      </c>
      <c r="O128" s="211">
        <f t="shared" si="43"/>
        <v>0.35693242836947414</v>
      </c>
      <c r="P128" s="211">
        <f t="shared" ref="P128" si="44">P121/P127</f>
        <v>7.1386485675138792E-2</v>
      </c>
      <c r="Q128" s="212">
        <f>Q121/Q127</f>
        <v>6.1710024859917721E-13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45">J122/J127</f>
        <v>0</v>
      </c>
      <c r="K129" s="215">
        <f t="shared" si="45"/>
        <v>0</v>
      </c>
      <c r="L129" s="215">
        <f t="shared" si="45"/>
        <v>0.24849803732430426</v>
      </c>
      <c r="M129" s="215">
        <f t="shared" si="45"/>
        <v>0.39216592112446841</v>
      </c>
      <c r="N129" s="215">
        <f t="shared" si="45"/>
        <v>0.54151289671982672</v>
      </c>
      <c r="O129" s="215">
        <f t="shared" si="45"/>
        <v>0.63538178037709581</v>
      </c>
      <c r="P129" s="215">
        <f t="shared" ref="P129" si="46">P122/P127</f>
        <v>0.89941719299430112</v>
      </c>
      <c r="Q129" s="216">
        <f>Q122/Q127</f>
        <v>1.0281225878469404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47">J123/J127</f>
        <v>0</v>
      </c>
      <c r="K130" s="215">
        <f t="shared" si="47"/>
        <v>0</v>
      </c>
      <c r="L130" s="215">
        <f t="shared" si="47"/>
        <v>7.6605194951485461E-2</v>
      </c>
      <c r="M130" s="215">
        <f t="shared" si="47"/>
        <v>8.7016570658827994E-2</v>
      </c>
      <c r="N130" s="215">
        <f t="shared" si="47"/>
        <v>7.5380106770991995E-2</v>
      </c>
      <c r="O130" s="215">
        <f t="shared" si="47"/>
        <v>7.2646053836805433E-2</v>
      </c>
      <c r="P130" s="215">
        <f t="shared" ref="P130" si="48">P123/P127</f>
        <v>8.2476109241353818E-2</v>
      </c>
      <c r="Q130" s="216">
        <f>Q123/Q127</f>
        <v>0.15271384589483492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49">K124/K127</f>
        <v>0</v>
      </c>
      <c r="L131" s="215">
        <f t="shared" si="49"/>
        <v>3.9173819254086579E-3</v>
      </c>
      <c r="M131" s="215">
        <f t="shared" si="49"/>
        <v>0.10571538174853178</v>
      </c>
      <c r="N131" s="215">
        <f t="shared" si="49"/>
        <v>0.18867033271676359</v>
      </c>
      <c r="O131" s="215">
        <f t="shared" si="49"/>
        <v>0.2379109848425755</v>
      </c>
      <c r="P131" s="215">
        <f t="shared" ref="P131" si="50">P124/P127</f>
        <v>0.31289623368538405</v>
      </c>
      <c r="Q131" s="216">
        <f>Q124/Q127</f>
        <v>0.40073673881276956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51">-K126/K127</f>
        <v>-9.4245252972192066</v>
      </c>
      <c r="L132" s="215">
        <f t="shared" si="51"/>
        <v>-9.4245252972192066</v>
      </c>
      <c r="M132" s="215">
        <f t="shared" si="51"/>
        <v>-9.4245252972203968</v>
      </c>
      <c r="N132" s="215">
        <f t="shared" si="51"/>
        <v>-9.4245252972200717</v>
      </c>
      <c r="O132" s="215">
        <f t="shared" si="51"/>
        <v>-9.4245252972199971</v>
      </c>
      <c r="P132" s="215">
        <f t="shared" ref="P132" si="52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53">SUM(J128:J132)</f>
        <v>-9.4245252972192066</v>
      </c>
      <c r="K133" s="219">
        <f t="shared" si="53"/>
        <v>-9.4245252972192066</v>
      </c>
      <c r="L133" s="219">
        <f t="shared" si="53"/>
        <v>-6.2390551888733761</v>
      </c>
      <c r="M133" s="219">
        <f t="shared" si="53"/>
        <v>-7.4118977102117354</v>
      </c>
      <c r="N133" s="219">
        <f t="shared" si="53"/>
        <v>-7.9050971042739757</v>
      </c>
      <c r="O133" s="219">
        <f t="shared" si="53"/>
        <v>-8.1216540497940457</v>
      </c>
      <c r="P133" s="219">
        <f t="shared" ref="P133" si="54">SUM(P128:P132)</f>
        <v>-8.0583492756238186</v>
      </c>
      <c r="Q133" s="220">
        <f>SUM(Q128:Q132)</f>
        <v>-7.8429521246654481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O136" si="55">SUM(K106:K108)</f>
        <v>0</v>
      </c>
      <c r="L136" s="366">
        <f t="shared" si="55"/>
        <v>0.1213969866562743</v>
      </c>
      <c r="M136" s="366">
        <f t="shared" si="55"/>
        <v>0.22419359974983483</v>
      </c>
      <c r="N136" s="366">
        <f t="shared" si="55"/>
        <v>0.30588117174237384</v>
      </c>
      <c r="O136" s="366">
        <f t="shared" si="55"/>
        <v>0.35837493511943397</v>
      </c>
      <c r="P136" s="366">
        <f t="shared" ref="P136" si="56">SUM(P106:P108)</f>
        <v>0.48282163358494679</v>
      </c>
      <c r="Q136" s="367">
        <f>SUM(Q106:Q108)</f>
        <v>0.60875451439400041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O137" si="57">SUM(K129:K131)</f>
        <v>0</v>
      </c>
      <c r="L137" s="289">
        <f t="shared" si="57"/>
        <v>0.32902061420119838</v>
      </c>
      <c r="M137" s="289">
        <f t="shared" si="57"/>
        <v>0.58489787353182821</v>
      </c>
      <c r="N137" s="289">
        <f t="shared" si="57"/>
        <v>0.80556333620758225</v>
      </c>
      <c r="O137" s="289">
        <f t="shared" si="57"/>
        <v>0.94593881905647681</v>
      </c>
      <c r="P137" s="289">
        <f t="shared" ref="P137" si="58">SUM(P129:P131)</f>
        <v>1.2947895359210391</v>
      </c>
      <c r="Q137" s="370">
        <f>SUM(Q129:Q131)</f>
        <v>1.581573172554545</v>
      </c>
    </row>
    <row r="138" spans="8:17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O138" si="59">K128</f>
        <v>0</v>
      </c>
      <c r="L138" s="289">
        <f t="shared" si="59"/>
        <v>2.8564494941446323</v>
      </c>
      <c r="M138" s="289">
        <f t="shared" si="59"/>
        <v>1.4277297134768334</v>
      </c>
      <c r="N138" s="289">
        <f t="shared" si="59"/>
        <v>0.71386485673851352</v>
      </c>
      <c r="O138" s="289">
        <f t="shared" si="59"/>
        <v>0.35693242836947414</v>
      </c>
      <c r="P138" s="289">
        <f t="shared" ref="P138" si="60">P128</f>
        <v>7.1386485675138792E-2</v>
      </c>
      <c r="Q138" s="370">
        <f>Q128</f>
        <v>6.1710024859917721E-13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61">K132</f>
        <v>-9.4245252972192066</v>
      </c>
      <c r="L139" s="289">
        <f t="shared" si="61"/>
        <v>-9.4245252972192066</v>
      </c>
      <c r="M139" s="289">
        <f t="shared" si="61"/>
        <v>-9.4245252972203968</v>
      </c>
      <c r="N139" s="289">
        <f t="shared" si="61"/>
        <v>-9.4245252972200717</v>
      </c>
      <c r="O139" s="289">
        <f t="shared" si="61"/>
        <v>-9.4245252972199971</v>
      </c>
      <c r="P139" s="289">
        <f t="shared" ref="P139" si="62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O140" si="63">K136+K138+K139</f>
        <v>-9.4245252972192066</v>
      </c>
      <c r="L140" s="289">
        <f t="shared" si="63"/>
        <v>-6.4466788164183004</v>
      </c>
      <c r="M140" s="289">
        <f t="shared" si="63"/>
        <v>-7.772601983993729</v>
      </c>
      <c r="N140" s="289">
        <f t="shared" si="63"/>
        <v>-8.4047792687391834</v>
      </c>
      <c r="O140" s="289">
        <f t="shared" si="63"/>
        <v>-8.7092179337310895</v>
      </c>
      <c r="P140" s="289">
        <f t="shared" ref="P140" si="64">P136+P138+P139</f>
        <v>-8.8703171779599117</v>
      </c>
      <c r="Q140" s="370">
        <f>Q136+Q138+Q139</f>
        <v>-8.815770782825993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O141" si="65">K137+K138+K139</f>
        <v>-9.4245252972192066</v>
      </c>
      <c r="L141" s="374">
        <f t="shared" si="65"/>
        <v>-6.2390551888733761</v>
      </c>
      <c r="M141" s="374">
        <f t="shared" si="65"/>
        <v>-7.4118977102117354</v>
      </c>
      <c r="N141" s="374">
        <f t="shared" si="65"/>
        <v>-7.9050971042739757</v>
      </c>
      <c r="O141" s="374">
        <f t="shared" si="65"/>
        <v>-8.1216540497940457</v>
      </c>
      <c r="P141" s="374">
        <f t="shared" ref="P141" si="66">P137+P138+P139</f>
        <v>-8.0583492756238186</v>
      </c>
      <c r="Q141" s="375">
        <f>Q137+Q138+Q139</f>
        <v>-7.8429521246654481</v>
      </c>
    </row>
    <row r="142" spans="8:17" x14ac:dyDescent="0.25">
      <c r="H142" s="376" t="s">
        <v>196</v>
      </c>
      <c r="I142" s="377"/>
      <c r="J142" s="378">
        <f>J140-J110</f>
        <v>-9.4245252972192066</v>
      </c>
      <c r="K142" s="378">
        <f t="shared" ref="K142:O142" si="67">K140-K110</f>
        <v>-9.4245252972192066</v>
      </c>
      <c r="L142" s="378">
        <f t="shared" si="67"/>
        <v>0</v>
      </c>
      <c r="M142" s="378">
        <f t="shared" si="67"/>
        <v>0</v>
      </c>
      <c r="N142" s="378">
        <f t="shared" si="67"/>
        <v>0</v>
      </c>
      <c r="O142" s="378">
        <f t="shared" si="67"/>
        <v>0</v>
      </c>
      <c r="P142" s="378">
        <f t="shared" ref="P142" si="68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69">K141-K133</f>
        <v>0</v>
      </c>
      <c r="L143" s="382">
        <f t="shared" si="69"/>
        <v>0</v>
      </c>
      <c r="M143" s="382">
        <f t="shared" si="69"/>
        <v>0</v>
      </c>
      <c r="N143" s="382">
        <f t="shared" si="69"/>
        <v>0</v>
      </c>
      <c r="O143" s="382">
        <f t="shared" si="69"/>
        <v>0</v>
      </c>
      <c r="P143" s="382">
        <f t="shared" ref="P143" si="70">P141-P133</f>
        <v>0</v>
      </c>
      <c r="Q143" s="383">
        <f>Q141-Q133</f>
        <v>0</v>
      </c>
    </row>
    <row r="144" spans="8:17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5A0C3-04C3-49EC-BCF9-A8DC2B1D869F}">
  <sheetPr codeName="Foglio15"/>
  <dimension ref="A3:AA151"/>
  <sheetViews>
    <sheetView zoomScale="25" zoomScaleNormal="25" workbookViewId="0">
      <selection activeCell="M51" sqref="M51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6" x14ac:dyDescent="0.25">
      <c r="U3" s="1"/>
      <c r="V3" s="1"/>
      <c r="W3" s="2"/>
    </row>
    <row r="4" spans="1:26" x14ac:dyDescent="0.25">
      <c r="A4" s="225" t="s">
        <v>102</v>
      </c>
      <c r="B4" s="225" t="s">
        <v>139</v>
      </c>
      <c r="C4" s="225"/>
      <c r="H4" s="3" t="s">
        <v>0</v>
      </c>
      <c r="I4" s="4"/>
      <c r="J4" s="4" t="s">
        <v>141</v>
      </c>
      <c r="K4" s="4" t="s">
        <v>142</v>
      </c>
      <c r="L4" s="4"/>
      <c r="M4" s="4"/>
      <c r="N4" s="4"/>
      <c r="O4" s="4"/>
      <c r="P4" s="4"/>
      <c r="Q4" s="5"/>
      <c r="U4" s="6"/>
      <c r="V4" s="6"/>
    </row>
    <row r="5" spans="1:26" ht="15.75" thickBot="1" x14ac:dyDescent="0.3">
      <c r="H5" s="7" t="s">
        <v>1</v>
      </c>
      <c r="I5" s="8" t="s">
        <v>2</v>
      </c>
      <c r="J5" s="9"/>
      <c r="K5" s="9"/>
      <c r="L5" s="9">
        <v>0.68166775324629936</v>
      </c>
      <c r="M5" s="9">
        <v>0.80000000000001348</v>
      </c>
      <c r="N5" s="9">
        <v>0.9000000000000794</v>
      </c>
      <c r="O5" s="9">
        <v>0.9499999999999964</v>
      </c>
      <c r="P5" s="9">
        <v>0.98999999999996491</v>
      </c>
      <c r="Q5" s="10">
        <v>1.0000000000000109</v>
      </c>
      <c r="R5" s="11" t="str">
        <f>H5</f>
        <v>Renewable Energy Share</v>
      </c>
      <c r="S5" s="296"/>
      <c r="T5" s="296">
        <f t="shared" ref="T5:X13" si="0">L5</f>
        <v>0.68166775324629936</v>
      </c>
      <c r="U5" s="296">
        <f t="shared" si="0"/>
        <v>0.80000000000001348</v>
      </c>
      <c r="V5" s="296">
        <f t="shared" si="0"/>
        <v>0.9000000000000794</v>
      </c>
      <c r="W5" s="296">
        <f t="shared" si="0"/>
        <v>0.9499999999999964</v>
      </c>
      <c r="X5" s="296">
        <f t="shared" si="0"/>
        <v>0.98999999999996491</v>
      </c>
      <c r="Y5" s="296">
        <f t="shared" ref="Y5:Y13" si="1">Q5</f>
        <v>1.0000000000000109</v>
      </c>
      <c r="Z5" s="12"/>
    </row>
    <row r="6" spans="1:26" ht="15.75" thickTop="1" x14ac:dyDescent="0.25">
      <c r="C6" s="13"/>
      <c r="H6" s="14" t="s">
        <v>3</v>
      </c>
      <c r="I6" s="15" t="s">
        <v>4</v>
      </c>
      <c r="J6" s="16"/>
      <c r="K6" s="16"/>
      <c r="L6" s="16">
        <v>2.9402774475561806</v>
      </c>
      <c r="M6" s="16">
        <v>3.2111578372562875</v>
      </c>
      <c r="N6" s="16">
        <v>3.9538899930821363</v>
      </c>
      <c r="O6" s="16">
        <v>4.7073893505803088</v>
      </c>
      <c r="P6" s="16">
        <v>6.2707179585748936</v>
      </c>
      <c r="Q6" s="17">
        <v>10.190603649583565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2.9402774475561806</v>
      </c>
      <c r="U6" s="19">
        <f t="shared" si="0"/>
        <v>3.2111578372562875</v>
      </c>
      <c r="V6" s="19">
        <f t="shared" si="0"/>
        <v>3.9538899930821363</v>
      </c>
      <c r="W6" s="19">
        <f t="shared" si="0"/>
        <v>4.7073893505803088</v>
      </c>
      <c r="X6" s="19">
        <f t="shared" si="0"/>
        <v>6.2707179585748936</v>
      </c>
      <c r="Y6" s="19">
        <f t="shared" si="1"/>
        <v>10.190603649583565</v>
      </c>
      <c r="Z6" s="19"/>
    </row>
    <row r="7" spans="1:26" x14ac:dyDescent="0.25">
      <c r="A7" s="13"/>
      <c r="B7" s="20"/>
      <c r="C7" s="13"/>
      <c r="H7" s="21" t="s">
        <v>5</v>
      </c>
      <c r="I7" s="6" t="s">
        <v>4</v>
      </c>
      <c r="J7" s="22"/>
      <c r="K7" s="22"/>
      <c r="L7" s="22">
        <v>1.5882121075639011</v>
      </c>
      <c r="M7" s="22">
        <v>1.9229987765593561</v>
      </c>
      <c r="N7" s="22">
        <v>1.8633896902515996</v>
      </c>
      <c r="O7" s="22">
        <v>1.7445443901822792</v>
      </c>
      <c r="P7" s="22">
        <v>1.8009524803740207</v>
      </c>
      <c r="Q7" s="23">
        <v>3.3120706864481351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1.5882121075639011</v>
      </c>
      <c r="U7" s="22">
        <f t="shared" si="0"/>
        <v>1.9229987765593561</v>
      </c>
      <c r="V7" s="22">
        <f t="shared" si="0"/>
        <v>1.8633896902515996</v>
      </c>
      <c r="W7" s="22">
        <f t="shared" si="0"/>
        <v>1.7445443901822792</v>
      </c>
      <c r="X7" s="22">
        <f t="shared" si="0"/>
        <v>1.8009524803740207</v>
      </c>
      <c r="Y7" s="22">
        <f t="shared" si="1"/>
        <v>3.3120706864481351</v>
      </c>
      <c r="Z7" s="22"/>
    </row>
    <row r="8" spans="1:26" x14ac:dyDescent="0.25">
      <c r="A8" s="13"/>
      <c r="B8" s="20"/>
      <c r="C8" s="13"/>
      <c r="H8" s="21" t="s">
        <v>6</v>
      </c>
      <c r="I8" s="6" t="s">
        <v>7</v>
      </c>
      <c r="J8" s="22"/>
      <c r="K8" s="22"/>
      <c r="L8" s="22">
        <v>0</v>
      </c>
      <c r="M8" s="22">
        <v>2.7226405578741142</v>
      </c>
      <c r="N8" s="22">
        <v>7.0711855611631043</v>
      </c>
      <c r="O8" s="22">
        <v>9.7974010028826726</v>
      </c>
      <c r="P8" s="22">
        <v>13.695442494174733</v>
      </c>
      <c r="Q8" s="23">
        <v>19.441592703924883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2.7226405578741142</v>
      </c>
      <c r="V8" s="22">
        <f t="shared" si="0"/>
        <v>7.0711855611631043</v>
      </c>
      <c r="W8" s="22">
        <f t="shared" si="0"/>
        <v>9.7974010028826726</v>
      </c>
      <c r="X8" s="22">
        <f t="shared" si="0"/>
        <v>13.695442494174733</v>
      </c>
      <c r="Y8" s="22">
        <f t="shared" si="1"/>
        <v>19.441592703924883</v>
      </c>
      <c r="Z8" s="22"/>
    </row>
    <row r="9" spans="1:26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/>
      <c r="L9" s="27">
        <v>0</v>
      </c>
      <c r="M9" s="27">
        <v>240</v>
      </c>
      <c r="N9" s="27">
        <v>223</v>
      </c>
      <c r="O9" s="27">
        <v>214</v>
      </c>
      <c r="P9" s="27">
        <v>165</v>
      </c>
      <c r="Q9" s="28">
        <v>113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si="0"/>
        <v>240</v>
      </c>
      <c r="V9" s="29">
        <f t="shared" si="0"/>
        <v>223</v>
      </c>
      <c r="W9" s="29">
        <f t="shared" si="0"/>
        <v>214</v>
      </c>
      <c r="X9" s="29">
        <f t="shared" si="0"/>
        <v>165</v>
      </c>
      <c r="Y9" s="29">
        <f t="shared" si="1"/>
        <v>113</v>
      </c>
      <c r="Z9" s="29"/>
    </row>
    <row r="10" spans="1:26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/>
      <c r="L10" s="16">
        <v>168.65064623858632</v>
      </c>
      <c r="M10" s="16">
        <v>339.84326589156558</v>
      </c>
      <c r="N10" s="16">
        <v>468.82450750381918</v>
      </c>
      <c r="O10" s="16">
        <v>606.96501347319906</v>
      </c>
      <c r="P10" s="16">
        <v>786.98404904090762</v>
      </c>
      <c r="Q10" s="17">
        <v>127.4295159163467</v>
      </c>
      <c r="R10" s="18" t="str">
        <f t="shared" si="3"/>
        <v>Biogas storage size</v>
      </c>
      <c r="S10" s="19" t="str">
        <f>I10</f>
        <v>m3</v>
      </c>
      <c r="T10" s="19">
        <f>L10</f>
        <v>168.65064623858632</v>
      </c>
      <c r="U10" s="30">
        <f t="shared" si="0"/>
        <v>339.84326589156558</v>
      </c>
      <c r="V10" s="30">
        <f t="shared" si="0"/>
        <v>468.82450750381918</v>
      </c>
      <c r="W10" s="30">
        <f t="shared" si="0"/>
        <v>606.96501347319906</v>
      </c>
      <c r="X10" s="30">
        <f t="shared" si="0"/>
        <v>786.98404904090762</v>
      </c>
      <c r="Y10" s="30">
        <f t="shared" si="1"/>
        <v>127.4295159163467</v>
      </c>
      <c r="Z10" s="30"/>
    </row>
    <row r="11" spans="1:26" x14ac:dyDescent="0.25">
      <c r="H11" s="21" t="s">
        <v>11</v>
      </c>
      <c r="I11" s="6" t="s">
        <v>12</v>
      </c>
      <c r="J11" s="22"/>
      <c r="K11" s="22"/>
      <c r="L11" s="22">
        <v>3.4076625659801647</v>
      </c>
      <c r="M11" s="22">
        <v>6.866686854201757</v>
      </c>
      <c r="N11" s="22">
        <v>9.4728111623999833</v>
      </c>
      <c r="O11" s="22">
        <v>12.264002548476709</v>
      </c>
      <c r="P11" s="22">
        <v>15.901368561294156</v>
      </c>
      <c r="Q11" s="23">
        <v>2.5747709888689254</v>
      </c>
      <c r="R11" s="24" t="str">
        <f t="shared" si="3"/>
        <v>Biogas storage hours</v>
      </c>
      <c r="S11" s="22" t="str">
        <f t="shared" si="2"/>
        <v>h</v>
      </c>
      <c r="T11" s="22">
        <f>L11</f>
        <v>3.4076625659801647</v>
      </c>
      <c r="U11" s="22">
        <f t="shared" si="0"/>
        <v>6.866686854201757</v>
      </c>
      <c r="V11" s="22">
        <f t="shared" si="0"/>
        <v>9.4728111623999833</v>
      </c>
      <c r="W11" s="22">
        <f t="shared" si="0"/>
        <v>12.264002548476709</v>
      </c>
      <c r="X11" s="22">
        <f t="shared" si="0"/>
        <v>15.901368561294156</v>
      </c>
      <c r="Y11" s="22">
        <f t="shared" si="1"/>
        <v>2.5747709888689254</v>
      </c>
      <c r="Z11" s="22"/>
    </row>
    <row r="12" spans="1:26" x14ac:dyDescent="0.25">
      <c r="H12" s="21" t="s">
        <v>13</v>
      </c>
      <c r="I12" s="6" t="s">
        <v>18</v>
      </c>
      <c r="J12" s="22"/>
      <c r="K12" s="22"/>
      <c r="L12" s="22">
        <v>626.36558437775045</v>
      </c>
      <c r="M12" s="22">
        <v>1235.5582377824801</v>
      </c>
      <c r="N12" s="22">
        <v>1458.6293786641318</v>
      </c>
      <c r="O12" s="22">
        <v>1393.3804409477923</v>
      </c>
      <c r="P12" s="22">
        <v>1494.6198124398122</v>
      </c>
      <c r="Q12" s="23">
        <v>0</v>
      </c>
      <c r="R12" s="24" t="str">
        <f t="shared" si="3"/>
        <v>Syngas storage size</v>
      </c>
      <c r="S12" s="22" t="str">
        <f t="shared" si="2"/>
        <v>m3</v>
      </c>
      <c r="T12" s="22">
        <f>L12</f>
        <v>626.36558437775045</v>
      </c>
      <c r="U12" s="31">
        <f t="shared" si="0"/>
        <v>1235.5582377824801</v>
      </c>
      <c r="V12" s="31">
        <f t="shared" si="0"/>
        <v>1458.6293786641318</v>
      </c>
      <c r="W12" s="31">
        <f t="shared" si="0"/>
        <v>1393.3804409477923</v>
      </c>
      <c r="X12" s="31">
        <f t="shared" si="0"/>
        <v>1494.6198124398122</v>
      </c>
      <c r="Y12" s="31">
        <f t="shared" si="1"/>
        <v>0</v>
      </c>
      <c r="Z12" s="31"/>
    </row>
    <row r="13" spans="1:26" x14ac:dyDescent="0.25">
      <c r="H13" s="32" t="s">
        <v>14</v>
      </c>
      <c r="I13" s="26" t="s">
        <v>12</v>
      </c>
      <c r="J13" s="33"/>
      <c r="K13" s="33"/>
      <c r="L13" s="33">
        <v>3.1020826456087183</v>
      </c>
      <c r="M13" s="33">
        <v>6.1191161562165632</v>
      </c>
      <c r="N13" s="33">
        <v>7.2238785060709976</v>
      </c>
      <c r="O13" s="33">
        <v>6.9007324035670763</v>
      </c>
      <c r="P13" s="33">
        <v>7.4021215366716966</v>
      </c>
      <c r="Q13" s="34">
        <v>0</v>
      </c>
      <c r="R13" s="24" t="str">
        <f t="shared" si="3"/>
        <v>Syngas storage hours</v>
      </c>
      <c r="S13" s="22" t="str">
        <f t="shared" si="2"/>
        <v>h</v>
      </c>
      <c r="T13" s="22">
        <f>L13</f>
        <v>3.1020826456087183</v>
      </c>
      <c r="U13" s="22">
        <f t="shared" si="0"/>
        <v>6.1191161562165632</v>
      </c>
      <c r="V13" s="22">
        <f t="shared" si="0"/>
        <v>7.2238785060709976</v>
      </c>
      <c r="W13" s="22">
        <f t="shared" si="0"/>
        <v>6.9007324035670763</v>
      </c>
      <c r="X13" s="22">
        <f t="shared" si="0"/>
        <v>7.4021215366716966</v>
      </c>
      <c r="Y13" s="22">
        <f t="shared" si="1"/>
        <v>0</v>
      </c>
      <c r="Z13" s="22"/>
    </row>
    <row r="14" spans="1:26" x14ac:dyDescent="0.25">
      <c r="H14" s="25" t="s">
        <v>15</v>
      </c>
      <c r="I14" s="26" t="s">
        <v>16</v>
      </c>
      <c r="J14" s="35"/>
      <c r="K14" s="35"/>
      <c r="L14" s="35">
        <v>3.6590080390552484</v>
      </c>
      <c r="M14" s="35">
        <v>3.6865003337889193</v>
      </c>
      <c r="N14" s="35">
        <v>3.7424672810611135</v>
      </c>
      <c r="O14" s="35">
        <v>3.7978660664832979</v>
      </c>
      <c r="P14" s="35">
        <v>3.9798276157286376</v>
      </c>
      <c r="Q14" s="36">
        <v>4.5626843863821884</v>
      </c>
      <c r="R14" s="37" t="s">
        <v>17</v>
      </c>
      <c r="S14" s="6" t="s">
        <v>18</v>
      </c>
      <c r="T14" s="22">
        <f>[12]NoSP!$F$112</f>
        <v>0.41938486112704781</v>
      </c>
      <c r="U14" s="31">
        <f>'[12]80SP'!$F$112</f>
        <v>4.8306859391505146</v>
      </c>
      <c r="V14" s="31">
        <f>'[12]90SP'!$F$112</f>
        <v>44.157231410575029</v>
      </c>
      <c r="W14" s="31">
        <f>'[12]95SP'!$F$112</f>
        <v>92.868096621548489</v>
      </c>
      <c r="X14" s="31">
        <f>'[12]99SP'!$F$112</f>
        <v>164.44137021638451</v>
      </c>
      <c r="Y14" s="31">
        <f>'[12]100SP'!$F$112</f>
        <v>57.065966404013238</v>
      </c>
      <c r="Z14" s="31"/>
    </row>
    <row r="15" spans="1:26" ht="15.75" thickBot="1" x14ac:dyDescent="0.3">
      <c r="H15" s="14" t="s">
        <v>19</v>
      </c>
      <c r="I15" s="15" t="s">
        <v>2</v>
      </c>
      <c r="J15" s="38"/>
      <c r="K15" s="38"/>
      <c r="L15" s="38">
        <v>1.2826290267680687</v>
      </c>
      <c r="M15" s="38">
        <v>1.3158868020195018</v>
      </c>
      <c r="N15" s="38">
        <v>1.3204851255078338</v>
      </c>
      <c r="O15" s="38">
        <v>1.3264419124741644</v>
      </c>
      <c r="P15" s="38">
        <v>1.3400106367049676</v>
      </c>
      <c r="Q15" s="39">
        <v>1.0175706057464247</v>
      </c>
      <c r="R15" s="40" t="s">
        <v>20</v>
      </c>
      <c r="S15" s="41" t="s">
        <v>12</v>
      </c>
      <c r="T15" s="41">
        <f>[12]NoSP!$B$169</f>
        <v>1.4709635373429383E-2</v>
      </c>
      <c r="U15" s="41">
        <f>'[12]80SP'!$B$169</f>
        <v>0.16943298472314255</v>
      </c>
      <c r="V15" s="41">
        <f>'[12]90SP'!$B$169</f>
        <v>1.5487845016726338</v>
      </c>
      <c r="W15" s="41">
        <f>'[12]95SP'!$B$169</f>
        <v>3.2572845749755297</v>
      </c>
      <c r="X15" s="41">
        <f>'[12]99SP'!$B$169</f>
        <v>5.7676678878910632</v>
      </c>
      <c r="Y15" s="41">
        <f>'[12]100SP'!$B$169</f>
        <v>2.0015494974700898</v>
      </c>
      <c r="Z15" s="41"/>
    </row>
    <row r="16" spans="1:26" ht="15.75" thickTop="1" x14ac:dyDescent="0.25">
      <c r="H16" s="25" t="s">
        <v>21</v>
      </c>
      <c r="I16" s="26" t="s">
        <v>2</v>
      </c>
      <c r="J16" s="42"/>
      <c r="K16" s="42"/>
      <c r="L16" s="42">
        <v>1.0055828040688759</v>
      </c>
      <c r="M16" s="42">
        <v>1.0095012473686695</v>
      </c>
      <c r="N16" s="42">
        <v>1.0158000034178785</v>
      </c>
      <c r="O16" s="42">
        <v>1.0239595746253483</v>
      </c>
      <c r="P16" s="42">
        <v>1.0425459320327133</v>
      </c>
      <c r="Q16" s="43">
        <v>1.0175850938561553</v>
      </c>
      <c r="R16" s="37" t="str">
        <f>H15</f>
        <v>Syngas generation size</v>
      </c>
      <c r="S16" s="6" t="s">
        <v>2</v>
      </c>
      <c r="T16" s="297">
        <f t="shared" ref="T16:X17" si="4">L15</f>
        <v>1.2826290267680687</v>
      </c>
      <c r="U16" s="297">
        <f t="shared" si="4"/>
        <v>1.3158868020195018</v>
      </c>
      <c r="V16" s="297">
        <f t="shared" si="4"/>
        <v>1.3204851255078338</v>
      </c>
      <c r="W16" s="297">
        <f t="shared" si="4"/>
        <v>1.3264419124741644</v>
      </c>
      <c r="X16" s="297">
        <f t="shared" si="4"/>
        <v>1.3400106367049676</v>
      </c>
      <c r="Y16" s="297">
        <f>Q15</f>
        <v>1.0175706057464247</v>
      </c>
      <c r="Z16" s="44"/>
    </row>
    <row r="17" spans="2:26" ht="15.75" thickBot="1" x14ac:dyDescent="0.3">
      <c r="R17" s="40" t="str">
        <f>H16</f>
        <v>Gas Separation size</v>
      </c>
      <c r="S17" s="45" t="s">
        <v>2</v>
      </c>
      <c r="T17" s="298">
        <f t="shared" si="4"/>
        <v>1.0055828040688759</v>
      </c>
      <c r="U17" s="298">
        <f t="shared" si="4"/>
        <v>1.0095012473686695</v>
      </c>
      <c r="V17" s="298">
        <f t="shared" si="4"/>
        <v>1.0158000034178785</v>
      </c>
      <c r="W17" s="298">
        <f t="shared" si="4"/>
        <v>1.0239595746253483</v>
      </c>
      <c r="X17" s="298">
        <f t="shared" si="4"/>
        <v>1.0425459320327133</v>
      </c>
      <c r="Y17" s="298">
        <f>Q16</f>
        <v>1.0175850938561553</v>
      </c>
      <c r="Z17" s="46"/>
    </row>
    <row r="18" spans="2:26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8"/>
      <c r="Q18" s="49"/>
    </row>
    <row r="19" spans="2:26" x14ac:dyDescent="0.25">
      <c r="H19" s="50" t="s">
        <v>1</v>
      </c>
      <c r="I19" s="8" t="s">
        <v>2</v>
      </c>
      <c r="J19" s="9"/>
      <c r="K19" s="9"/>
      <c r="L19" s="9">
        <v>0.68166775324629936</v>
      </c>
      <c r="M19" s="9">
        <v>0.80000000000001348</v>
      </c>
      <c r="N19" s="9">
        <v>0.9000000000000794</v>
      </c>
      <c r="O19" s="9">
        <v>0.9499999999999964</v>
      </c>
      <c r="P19" s="9">
        <v>0.98999999999996491</v>
      </c>
      <c r="Q19" s="10">
        <v>1.0000000000000109</v>
      </c>
    </row>
    <row r="20" spans="2:26" x14ac:dyDescent="0.25">
      <c r="H20" s="51" t="s">
        <v>23</v>
      </c>
      <c r="I20" s="52" t="s">
        <v>24</v>
      </c>
      <c r="J20" s="53"/>
      <c r="K20" s="53"/>
      <c r="L20" s="53">
        <v>-9678.9875243781353</v>
      </c>
      <c r="M20" s="53">
        <v>-9678.9875243786155</v>
      </c>
      <c r="N20" s="53">
        <v>-9678.9875243783044</v>
      </c>
      <c r="O20" s="53">
        <v>-9678.9875243788938</v>
      </c>
      <c r="P20" s="53">
        <v>-9678.9875243789211</v>
      </c>
      <c r="Q20" s="54">
        <v>-9678.9875243785737</v>
      </c>
    </row>
    <row r="21" spans="2:26" x14ac:dyDescent="0.25">
      <c r="B21" s="55"/>
      <c r="H21" s="56" t="s">
        <v>25</v>
      </c>
      <c r="I21" s="57" t="s">
        <v>24</v>
      </c>
      <c r="J21" s="58"/>
      <c r="K21" s="58"/>
      <c r="L21" s="58">
        <v>-1702.5570878068011</v>
      </c>
      <c r="M21" s="58">
        <v>-1702.5570878065255</v>
      </c>
      <c r="N21" s="58">
        <v>-1702.5570878068092</v>
      </c>
      <c r="O21" s="58">
        <v>-1702.5570878063866</v>
      </c>
      <c r="P21" s="58">
        <v>-1702.5570878064784</v>
      </c>
      <c r="Q21" s="59">
        <v>-1702.5570878068788</v>
      </c>
    </row>
    <row r="22" spans="2:26" x14ac:dyDescent="0.25">
      <c r="H22" s="61" t="s">
        <v>26</v>
      </c>
      <c r="I22" s="6" t="s">
        <v>24</v>
      </c>
      <c r="J22" s="31"/>
      <c r="K22" s="31"/>
      <c r="L22" s="31">
        <v>4880.3619154103826</v>
      </c>
      <c r="M22" s="31">
        <v>5329.9774231655019</v>
      </c>
      <c r="N22" s="31">
        <v>6562.786840404654</v>
      </c>
      <c r="O22" s="31">
        <v>7813.4679863885794</v>
      </c>
      <c r="P22" s="31">
        <v>10408.328347634282</v>
      </c>
      <c r="Q22" s="62">
        <v>16914.673813454596</v>
      </c>
    </row>
    <row r="23" spans="2:26" x14ac:dyDescent="0.25">
      <c r="H23" s="61" t="s">
        <v>27</v>
      </c>
      <c r="I23" s="6" t="s">
        <v>24</v>
      </c>
      <c r="J23" s="31"/>
      <c r="K23" s="31"/>
      <c r="L23" s="31">
        <v>3791.9447828715456</v>
      </c>
      <c r="M23" s="31">
        <v>4591.2665843023724</v>
      </c>
      <c r="N23" s="31">
        <v>4448.9465737950013</v>
      </c>
      <c r="O23" s="31">
        <v>4165.1968067328044</v>
      </c>
      <c r="P23" s="31">
        <v>4299.8742608937637</v>
      </c>
      <c r="Q23" s="62">
        <v>7907.7530640682962</v>
      </c>
    </row>
    <row r="24" spans="2:26" x14ac:dyDescent="0.25">
      <c r="H24" s="61" t="s">
        <v>28</v>
      </c>
      <c r="I24" s="6" t="s">
        <v>24</v>
      </c>
      <c r="J24" s="31"/>
      <c r="K24" s="31"/>
      <c r="L24" s="31">
        <v>3081.133844936865</v>
      </c>
      <c r="M24" s="31">
        <v>1935.7975048755939</v>
      </c>
      <c r="N24" s="31">
        <v>967.89875243796257</v>
      </c>
      <c r="O24" s="31">
        <v>483.94937621892331</v>
      </c>
      <c r="P24" s="31">
        <v>96.789875243620941</v>
      </c>
      <c r="Q24" s="62">
        <v>-6.5858785092132168E-13</v>
      </c>
    </row>
    <row r="25" spans="2:26" x14ac:dyDescent="0.25">
      <c r="H25" s="61" t="s">
        <v>29</v>
      </c>
      <c r="I25" s="6" t="s">
        <v>24</v>
      </c>
      <c r="J25" s="31"/>
      <c r="K25" s="31"/>
      <c r="L25" s="31">
        <v>-2074.453018840125</v>
      </c>
      <c r="M25" s="31">
        <v>-2139.4493473092225</v>
      </c>
      <c r="N25" s="31">
        <v>-2207.7444588135368</v>
      </c>
      <c r="O25" s="31">
        <v>-2659.931269778207</v>
      </c>
      <c r="P25" s="31">
        <v>-4993.2086977340396</v>
      </c>
      <c r="Q25" s="62">
        <v>-15014.273998577746</v>
      </c>
    </row>
    <row r="26" spans="2:26" x14ac:dyDescent="0.25">
      <c r="H26" s="61" t="s">
        <v>30</v>
      </c>
      <c r="I26" s="6" t="s">
        <v>24</v>
      </c>
      <c r="J26" s="31"/>
      <c r="K26" s="31"/>
      <c r="L26" s="31">
        <v>0</v>
      </c>
      <c r="M26" s="31">
        <v>-653.20880973985504</v>
      </c>
      <c r="N26" s="31">
        <v>-1571.9151175105635</v>
      </c>
      <c r="O26" s="31">
        <v>-2092.9843516626238</v>
      </c>
      <c r="P26" s="31">
        <v>-2246.9756625923465</v>
      </c>
      <c r="Q26" s="62">
        <v>-2185.5389943564132</v>
      </c>
    </row>
    <row r="27" spans="2:26" x14ac:dyDescent="0.25">
      <c r="B27" s="63"/>
      <c r="H27" s="61" t="s">
        <v>31</v>
      </c>
      <c r="I27" s="6" t="s">
        <v>24</v>
      </c>
      <c r="J27" s="31"/>
      <c r="K27" s="31"/>
      <c r="L27" s="31">
        <v>0</v>
      </c>
      <c r="M27" s="31">
        <v>614.60416908422712</v>
      </c>
      <c r="N27" s="31">
        <v>1479.0149340656874</v>
      </c>
      <c r="O27" s="31">
        <v>1969.2889764793595</v>
      </c>
      <c r="P27" s="31">
        <v>2114.1794009331356</v>
      </c>
      <c r="Q27" s="62">
        <v>2056.3736397899461</v>
      </c>
    </row>
    <row r="28" spans="2:26" x14ac:dyDescent="0.25">
      <c r="H28" s="64" t="s">
        <v>32</v>
      </c>
      <c r="I28" s="65" t="s">
        <v>24</v>
      </c>
      <c r="J28" s="66"/>
      <c r="K28" s="66"/>
      <c r="L28" s="66">
        <v>5.3296389523893595E-10</v>
      </c>
      <c r="M28" s="66">
        <v>2.2737367544323206E-12</v>
      </c>
      <c r="N28" s="66">
        <v>9.0062712843064219E-10</v>
      </c>
      <c r="O28" s="66">
        <v>-5.8207660913467407E-11</v>
      </c>
      <c r="P28" s="66">
        <v>-5.0431481213308871E-10</v>
      </c>
      <c r="Q28" s="67">
        <v>1.0504663805477321E-10</v>
      </c>
    </row>
    <row r="30" spans="2:26" x14ac:dyDescent="0.25">
      <c r="H30" s="68" t="s">
        <v>15</v>
      </c>
    </row>
    <row r="31" spans="2:26" x14ac:dyDescent="0.25">
      <c r="H31" s="69" t="s">
        <v>33</v>
      </c>
      <c r="I31" s="70" t="s">
        <v>103</v>
      </c>
      <c r="J31" s="71"/>
      <c r="K31" s="71"/>
      <c r="L31" s="71">
        <v>0.16589596393146194</v>
      </c>
      <c r="M31" s="71">
        <v>0.18117954317218704</v>
      </c>
      <c r="N31" s="71">
        <v>0.22308588334972512</v>
      </c>
      <c r="O31" s="71">
        <v>0.26559972922430419</v>
      </c>
      <c r="P31" s="71">
        <v>0.35380565910362888</v>
      </c>
      <c r="Q31" s="72">
        <v>0.57497295600329401</v>
      </c>
    </row>
    <row r="32" spans="2:26" x14ac:dyDescent="0.25">
      <c r="H32" s="73" t="s">
        <v>34</v>
      </c>
      <c r="I32" s="74" t="s">
        <v>103</v>
      </c>
      <c r="J32" s="75"/>
      <c r="K32" s="75"/>
      <c r="L32" s="75">
        <v>0.29284282208792417</v>
      </c>
      <c r="M32" s="75">
        <v>0.35457253216829726</v>
      </c>
      <c r="N32" s="75">
        <v>0.34358149830493306</v>
      </c>
      <c r="O32" s="75">
        <v>0.32166818276072151</v>
      </c>
      <c r="P32" s="75">
        <v>0.33206900028482189</v>
      </c>
      <c r="Q32" s="76">
        <v>0.61069684720003248</v>
      </c>
    </row>
    <row r="33" spans="8:17" x14ac:dyDescent="0.25">
      <c r="H33" s="73" t="s">
        <v>35</v>
      </c>
      <c r="I33" s="74" t="s">
        <v>103</v>
      </c>
      <c r="J33" s="75"/>
      <c r="K33" s="75"/>
      <c r="L33" s="75">
        <v>0</v>
      </c>
      <c r="M33" s="75">
        <v>6.2249816537107337E-2</v>
      </c>
      <c r="N33" s="75">
        <v>0.16167393180462686</v>
      </c>
      <c r="O33" s="75">
        <v>0.22400548364935011</v>
      </c>
      <c r="P33" s="75">
        <v>0.31312939204966878</v>
      </c>
      <c r="Q33" s="76">
        <v>0.44450802567690928</v>
      </c>
    </row>
    <row r="34" spans="8:17" x14ac:dyDescent="0.25">
      <c r="H34" s="73" t="s">
        <v>36</v>
      </c>
      <c r="I34" s="74" t="s">
        <v>103</v>
      </c>
      <c r="J34" s="75"/>
      <c r="K34" s="75"/>
      <c r="L34" s="75">
        <v>3.3556335079281616E-2</v>
      </c>
      <c r="M34" s="75">
        <v>4.2549620965086625E-2</v>
      </c>
      <c r="N34" s="75">
        <v>4.6850871190787194E-2</v>
      </c>
      <c r="O34" s="75">
        <v>4.8006709384207182E-2</v>
      </c>
      <c r="P34" s="75">
        <v>5.1705595142144734E-2</v>
      </c>
      <c r="Q34" s="76">
        <v>1.4047501802803265E-2</v>
      </c>
    </row>
    <row r="35" spans="8:17" x14ac:dyDescent="0.25">
      <c r="H35" s="73"/>
      <c r="I35" s="74"/>
      <c r="J35" s="75"/>
      <c r="K35" s="75"/>
      <c r="L35" s="75"/>
      <c r="M35" s="75"/>
      <c r="N35" s="75"/>
      <c r="O35" s="75"/>
      <c r="P35" s="75"/>
      <c r="Q35" s="76"/>
    </row>
    <row r="36" spans="8:17" x14ac:dyDescent="0.25">
      <c r="H36" s="73" t="s">
        <v>37</v>
      </c>
      <c r="I36" s="74" t="s">
        <v>103</v>
      </c>
      <c r="J36" s="75"/>
      <c r="K36" s="75"/>
      <c r="L36" s="75">
        <v>0.69025920177812905</v>
      </c>
      <c r="M36" s="75">
        <v>0.69657102809292004</v>
      </c>
      <c r="N36" s="75">
        <v>0.69889468639873165</v>
      </c>
      <c r="O36" s="75">
        <v>0.70190481336029742</v>
      </c>
      <c r="P36" s="75">
        <v>0.70876145988333117</v>
      </c>
      <c r="Q36" s="76">
        <v>0.6499199907163149</v>
      </c>
    </row>
    <row r="37" spans="8:17" x14ac:dyDescent="0.25">
      <c r="H37" s="77" t="s">
        <v>38</v>
      </c>
      <c r="I37" s="78" t="s">
        <v>103</v>
      </c>
      <c r="J37" s="79"/>
      <c r="K37" s="79"/>
      <c r="L37" s="79">
        <v>3.2528620378718023E-2</v>
      </c>
      <c r="M37" s="79">
        <v>3.5525400621997466E-2</v>
      </c>
      <c r="N37" s="79">
        <v>4.3742330068573552E-2</v>
      </c>
      <c r="O37" s="79">
        <v>5.2078378279275327E-2</v>
      </c>
      <c r="P37" s="79">
        <v>6.937365864777037E-2</v>
      </c>
      <c r="Q37" s="80">
        <v>0.11273979529476354</v>
      </c>
    </row>
    <row r="38" spans="8:17" x14ac:dyDescent="0.25">
      <c r="H38" s="81" t="s">
        <v>39</v>
      </c>
      <c r="I38" s="82" t="s">
        <v>103</v>
      </c>
      <c r="J38" s="83"/>
      <c r="K38" s="83"/>
      <c r="L38" s="83">
        <v>5.8568564417584824E-2</v>
      </c>
      <c r="M38" s="83">
        <v>7.0914506433659472E-2</v>
      </c>
      <c r="N38" s="83">
        <v>6.8716299660986607E-2</v>
      </c>
      <c r="O38" s="83">
        <v>6.4333636552144288E-2</v>
      </c>
      <c r="P38" s="83">
        <v>6.64138000569644E-2</v>
      </c>
      <c r="Q38" s="84">
        <v>0.1221393694400065</v>
      </c>
    </row>
    <row r="39" spans="8:17" x14ac:dyDescent="0.25">
      <c r="H39" s="81" t="s">
        <v>40</v>
      </c>
      <c r="I39" s="82" t="s">
        <v>103</v>
      </c>
      <c r="J39" s="83"/>
      <c r="K39" s="83"/>
      <c r="L39" s="83">
        <v>0</v>
      </c>
      <c r="M39" s="83">
        <v>1.2550366237320025E-2</v>
      </c>
      <c r="N39" s="83">
        <v>3.2595550767061866E-2</v>
      </c>
      <c r="O39" s="83">
        <v>4.5162395897046397E-2</v>
      </c>
      <c r="P39" s="83">
        <v>6.3130925816465483E-2</v>
      </c>
      <c r="Q39" s="84">
        <v>8.9618553563892991E-2</v>
      </c>
    </row>
    <row r="40" spans="8:17" x14ac:dyDescent="0.25">
      <c r="H40" s="81" t="s">
        <v>41</v>
      </c>
      <c r="I40" s="82" t="s">
        <v>103</v>
      </c>
      <c r="J40" s="83"/>
      <c r="K40" s="83"/>
      <c r="L40" s="83">
        <v>0.28952511780705442</v>
      </c>
      <c r="M40" s="83">
        <v>0.29563562456322101</v>
      </c>
      <c r="N40" s="83">
        <v>0.29818272613236113</v>
      </c>
      <c r="O40" s="83">
        <v>0.29972170488378946</v>
      </c>
      <c r="P40" s="83">
        <v>0.3037567119590896</v>
      </c>
      <c r="Q40" s="84">
        <v>0.26543773623650524</v>
      </c>
    </row>
    <row r="41" spans="8:17" x14ac:dyDescent="0.25">
      <c r="H41" s="85" t="s">
        <v>42</v>
      </c>
      <c r="I41" s="86" t="s">
        <v>103</v>
      </c>
      <c r="J41" s="87"/>
      <c r="K41" s="87"/>
      <c r="L41" s="87">
        <v>1.0969359098192382E-6</v>
      </c>
      <c r="M41" s="87">
        <v>1.2635059981595066E-5</v>
      </c>
      <c r="N41" s="87">
        <v>1.1549690344636891E-4</v>
      </c>
      <c r="O41" s="87">
        <v>2.4290421401234786E-4</v>
      </c>
      <c r="P41" s="87">
        <v>4.3011005110075751E-4</v>
      </c>
      <c r="Q41" s="88">
        <v>1.4926077114199701E-4</v>
      </c>
    </row>
    <row r="42" spans="8:17" x14ac:dyDescent="0.25">
      <c r="H42" s="89" t="s">
        <v>43</v>
      </c>
      <c r="I42" s="90" t="s">
        <v>103</v>
      </c>
      <c r="J42" s="91"/>
      <c r="K42" s="91"/>
      <c r="L42" s="91">
        <v>0</v>
      </c>
      <c r="M42" s="91">
        <v>4.817681727671156E-2</v>
      </c>
      <c r="N42" s="91">
        <v>0.11593515926548487</v>
      </c>
      <c r="O42" s="91">
        <v>0.15436614321418296</v>
      </c>
      <c r="P42" s="91">
        <v>0.16572363126125475</v>
      </c>
      <c r="Q42" s="92">
        <v>0.16119242608526879</v>
      </c>
    </row>
    <row r="43" spans="8:17" x14ac:dyDescent="0.25">
      <c r="H43" s="89" t="s">
        <v>44</v>
      </c>
      <c r="I43" s="90" t="s">
        <v>103</v>
      </c>
      <c r="J43" s="91"/>
      <c r="K43" s="91"/>
      <c r="L43" s="91">
        <v>0</v>
      </c>
      <c r="M43" s="91">
        <v>0</v>
      </c>
      <c r="N43" s="91">
        <v>0</v>
      </c>
      <c r="O43" s="91">
        <v>0</v>
      </c>
      <c r="P43" s="91">
        <v>0</v>
      </c>
      <c r="Q43" s="92">
        <v>0</v>
      </c>
    </row>
    <row r="44" spans="8:17" x14ac:dyDescent="0.25">
      <c r="H44" s="89" t="s">
        <v>45</v>
      </c>
      <c r="I44" s="90" t="s">
        <v>103</v>
      </c>
      <c r="J44" s="91"/>
      <c r="K44" s="91"/>
      <c r="L44" s="91">
        <v>9.9724512095551304E-2</v>
      </c>
      <c r="M44" s="91">
        <v>0.10148231922335718</v>
      </c>
      <c r="N44" s="91">
        <v>0.10172535910629685</v>
      </c>
      <c r="O44" s="91">
        <v>0.10204019924545374</v>
      </c>
      <c r="P44" s="91">
        <v>0.10275736087120096</v>
      </c>
      <c r="Q44" s="92">
        <v>8.5715108933925782E-2</v>
      </c>
    </row>
    <row r="45" spans="8:17" x14ac:dyDescent="0.25">
      <c r="H45" s="89" t="s">
        <v>46</v>
      </c>
      <c r="I45" s="90" t="s">
        <v>103</v>
      </c>
      <c r="J45" s="91"/>
      <c r="K45" s="91"/>
      <c r="L45" s="91">
        <v>1.9027730795182927</v>
      </c>
      <c r="M45" s="91">
        <v>1.9027730795183375</v>
      </c>
      <c r="N45" s="91">
        <v>1.9027730795183599</v>
      </c>
      <c r="O45" s="91">
        <v>1.9027730795183677</v>
      </c>
      <c r="P45" s="91">
        <v>1.9027730795183637</v>
      </c>
      <c r="Q45" s="92">
        <v>1.9027730795183579</v>
      </c>
    </row>
    <row r="46" spans="8:17" x14ac:dyDescent="0.25">
      <c r="H46" s="89" t="s">
        <v>47</v>
      </c>
      <c r="I46" s="90" t="s">
        <v>103</v>
      </c>
      <c r="J46" s="91"/>
      <c r="K46" s="91"/>
      <c r="L46" s="91">
        <v>0.56455898988635744</v>
      </c>
      <c r="M46" s="91">
        <v>0.35353330877966266</v>
      </c>
      <c r="N46" s="91">
        <v>0.17582067345067703</v>
      </c>
      <c r="O46" s="91">
        <v>8.7188971161105328E-2</v>
      </c>
      <c r="P46" s="91">
        <v>1.7223495943842499E-2</v>
      </c>
      <c r="Q46" s="92">
        <v>-1.1548555455334174E-16</v>
      </c>
    </row>
    <row r="47" spans="8:17" x14ac:dyDescent="0.25">
      <c r="H47" s="93" t="s">
        <v>48</v>
      </c>
      <c r="I47" s="94" t="s">
        <v>103</v>
      </c>
      <c r="J47" s="95"/>
      <c r="K47" s="95"/>
      <c r="L47" s="95">
        <v>-0.47122626486101654</v>
      </c>
      <c r="M47" s="95">
        <v>-0.47122626486092817</v>
      </c>
      <c r="N47" s="95">
        <v>-0.47122626486093949</v>
      </c>
      <c r="O47" s="95">
        <v>-0.47122626486095925</v>
      </c>
      <c r="P47" s="95">
        <v>-0.47122626486101016</v>
      </c>
      <c r="Q47" s="96">
        <v>-0.47122626486102825</v>
      </c>
    </row>
    <row r="48" spans="8:17" x14ac:dyDescent="0.25">
      <c r="H48" s="97" t="s">
        <v>49</v>
      </c>
      <c r="I48" s="98" t="s">
        <v>103</v>
      </c>
      <c r="J48" s="99"/>
      <c r="K48" s="99"/>
      <c r="L48" s="99">
        <v>-0.11474953630553036</v>
      </c>
      <c r="M48" s="99">
        <v>-0.11834484479681005</v>
      </c>
      <c r="N48" s="99">
        <v>-0.12212262732834188</v>
      </c>
      <c r="O48" s="99">
        <v>-0.14713559528202802</v>
      </c>
      <c r="P48" s="99">
        <v>-0.27620214945243904</v>
      </c>
      <c r="Q48" s="100">
        <v>-0.83052301674411488</v>
      </c>
    </row>
    <row r="49" spans="8:27" x14ac:dyDescent="0.25">
      <c r="H49" s="101" t="s">
        <v>50</v>
      </c>
      <c r="I49" s="102" t="s">
        <v>103</v>
      </c>
      <c r="J49" s="103"/>
      <c r="K49" s="103"/>
      <c r="L49" s="103">
        <v>-0.22949907261106073</v>
      </c>
      <c r="M49" s="103">
        <v>-0.23668968959362011</v>
      </c>
      <c r="N49" s="103">
        <v>-0.24424525465668376</v>
      </c>
      <c r="O49" s="103">
        <v>-0.29427119056405604</v>
      </c>
      <c r="P49" s="103">
        <v>-0.55240429890487808</v>
      </c>
      <c r="Q49" s="104">
        <v>-1.6610460334882298</v>
      </c>
    </row>
    <row r="50" spans="8:27" x14ac:dyDescent="0.25">
      <c r="H50" s="105" t="s">
        <v>51</v>
      </c>
      <c r="I50" s="106" t="s">
        <v>103</v>
      </c>
      <c r="J50" s="107"/>
      <c r="K50" s="107"/>
      <c r="L50" s="107">
        <v>3.6590080390552489</v>
      </c>
      <c r="M50" s="107">
        <v>3.6865003337889184</v>
      </c>
      <c r="N50" s="107">
        <v>3.742467281061113</v>
      </c>
      <c r="O50" s="107">
        <v>3.7978660664833002</v>
      </c>
      <c r="P50" s="107">
        <v>3.9798276157286381</v>
      </c>
      <c r="Q50" s="108">
        <v>4.5626843863821884</v>
      </c>
    </row>
    <row r="51" spans="8:27" x14ac:dyDescent="0.25">
      <c r="H51" s="105" t="s">
        <v>52</v>
      </c>
      <c r="I51" s="106" t="s">
        <v>103</v>
      </c>
      <c r="J51" s="107"/>
      <c r="K51" s="107"/>
      <c r="L51" s="107">
        <v>3.5442585027497184</v>
      </c>
      <c r="M51" s="107">
        <v>3.5681554889921085</v>
      </c>
      <c r="N51" s="107">
        <v>3.6203446537327713</v>
      </c>
      <c r="O51" s="107">
        <v>3.650730471201272</v>
      </c>
      <c r="P51" s="107">
        <v>3.7036254662761992</v>
      </c>
      <c r="Q51" s="108">
        <v>3.7321613696380735</v>
      </c>
    </row>
    <row r="52" spans="8:27" x14ac:dyDescent="0.25">
      <c r="H52" s="109" t="s">
        <v>53</v>
      </c>
      <c r="I52" s="110" t="s">
        <v>103</v>
      </c>
      <c r="J52" s="111"/>
      <c r="K52" s="111"/>
      <c r="L52" s="111">
        <v>3.429508966444188</v>
      </c>
      <c r="M52" s="111">
        <v>3.4498106441952983</v>
      </c>
      <c r="N52" s="111">
        <v>3.4982220264044295</v>
      </c>
      <c r="O52" s="111">
        <v>3.5035948759192443</v>
      </c>
      <c r="P52" s="111">
        <v>3.4274233168237602</v>
      </c>
      <c r="Q52" s="112">
        <v>2.9016383528939587</v>
      </c>
    </row>
    <row r="53" spans="8:27" x14ac:dyDescent="0.25">
      <c r="H53" s="113" t="s">
        <v>54</v>
      </c>
      <c r="I53" s="114" t="s">
        <v>103</v>
      </c>
      <c r="J53" s="115"/>
      <c r="K53" s="115"/>
      <c r="L53" s="115">
        <v>3.6590080390552489</v>
      </c>
      <c r="M53" s="115">
        <v>3.6865003337889193</v>
      </c>
      <c r="N53" s="115">
        <v>3.742467281061113</v>
      </c>
      <c r="O53" s="115">
        <v>3.7978660664832993</v>
      </c>
      <c r="P53" s="115">
        <v>3.9798276157286381</v>
      </c>
      <c r="Q53" s="116">
        <v>4.5626843863821884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  <c r="P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8"/>
      <c r="Q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/>
      <c r="L56" s="124">
        <v>0.68166775324629936</v>
      </c>
      <c r="M56" s="124">
        <v>0.80000000000001348</v>
      </c>
      <c r="N56" s="124">
        <v>0.9000000000000794</v>
      </c>
      <c r="O56" s="124">
        <v>0.9499999999999964</v>
      </c>
      <c r="P56" s="124">
        <v>0.98999999999996491</v>
      </c>
      <c r="Q56" s="125">
        <v>1.0000000000000109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/>
      <c r="L57" s="128">
        <v>899724.89895219123</v>
      </c>
      <c r="M57" s="128">
        <v>982614.29820042395</v>
      </c>
      <c r="N57" s="128">
        <v>1209890.3378831337</v>
      </c>
      <c r="O57" s="128">
        <v>1440461.1412775747</v>
      </c>
      <c r="P57" s="128">
        <v>1918839.6953239173</v>
      </c>
      <c r="Q57" s="129">
        <v>3118324.7167725707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/>
      <c r="L58" s="132">
        <v>1588212.107563901</v>
      </c>
      <c r="M58" s="132">
        <v>1922998.7765593559</v>
      </c>
      <c r="N58" s="132">
        <v>1863389.6902515998</v>
      </c>
      <c r="O58" s="132">
        <v>1744544.3901822795</v>
      </c>
      <c r="P58" s="132">
        <v>1800952.4803740205</v>
      </c>
      <c r="Q58" s="133">
        <v>3312070.6864481349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/>
      <c r="L59" s="132">
        <v>0</v>
      </c>
      <c r="M59" s="132">
        <v>337607.42917639017</v>
      </c>
      <c r="N59" s="132">
        <v>876827.0095842249</v>
      </c>
      <c r="O59" s="132">
        <v>1214877.7243574513</v>
      </c>
      <c r="P59" s="132">
        <v>1698234.8692776668</v>
      </c>
      <c r="Q59" s="133">
        <v>2410757.4952866854</v>
      </c>
    </row>
    <row r="60" spans="8:27" x14ac:dyDescent="0.25">
      <c r="H60" s="134" t="s">
        <v>60</v>
      </c>
      <c r="I60" s="74" t="s">
        <v>57</v>
      </c>
      <c r="J60" s="135"/>
      <c r="K60" s="135"/>
      <c r="L60" s="135">
        <v>76729.93526066393</v>
      </c>
      <c r="M60" s="135">
        <v>87395.235465044534</v>
      </c>
      <c r="N60" s="135">
        <v>95430.766817487936</v>
      </c>
      <c r="O60" s="135">
        <v>104036.9203393803</v>
      </c>
      <c r="P60" s="135">
        <v>115252.10625524854</v>
      </c>
      <c r="Q60" s="136">
        <v>74161.858841588401</v>
      </c>
    </row>
    <row r="61" spans="8:27" x14ac:dyDescent="0.25">
      <c r="H61" s="134" t="s">
        <v>61</v>
      </c>
      <c r="I61" s="74" t="s">
        <v>57</v>
      </c>
      <c r="J61" s="135"/>
      <c r="K61" s="135"/>
      <c r="L61" s="135">
        <v>105245.57590673387</v>
      </c>
      <c r="M61" s="135">
        <v>143198.27821384851</v>
      </c>
      <c r="N61" s="135">
        <v>157095.61029077542</v>
      </c>
      <c r="O61" s="135">
        <v>153030.60147104744</v>
      </c>
      <c r="P61" s="135">
        <v>159337.81431500032</v>
      </c>
      <c r="Q61" s="136">
        <v>0</v>
      </c>
    </row>
    <row r="62" spans="8:27" x14ac:dyDescent="0.25">
      <c r="H62" s="134" t="s">
        <v>62</v>
      </c>
      <c r="I62" s="74"/>
      <c r="J62" s="135"/>
      <c r="K62" s="135"/>
      <c r="L62" s="135">
        <v>14.872883692138638</v>
      </c>
      <c r="M62" s="135">
        <v>171.31336103348215</v>
      </c>
      <c r="N62" s="135">
        <v>1565.9729947604856</v>
      </c>
      <c r="O62" s="135">
        <v>3293.434093092264</v>
      </c>
      <c r="P62" s="135">
        <v>5831.6777740417665</v>
      </c>
      <c r="Q62" s="136">
        <v>2023.7628006540399</v>
      </c>
    </row>
    <row r="63" spans="8:27" x14ac:dyDescent="0.25">
      <c r="H63" s="137" t="s">
        <v>63</v>
      </c>
      <c r="I63" s="138" t="s">
        <v>57</v>
      </c>
      <c r="J63" s="139"/>
      <c r="K63" s="139"/>
      <c r="L63" s="139">
        <v>1630600.204896973</v>
      </c>
      <c r="M63" s="139">
        <v>1659475.8288101037</v>
      </c>
      <c r="N63" s="139">
        <v>1663468.2624192722</v>
      </c>
      <c r="O63" s="139">
        <v>1668640.1639932657</v>
      </c>
      <c r="P63" s="139">
        <v>1680421.0295174192</v>
      </c>
      <c r="Q63" s="140">
        <v>1395417.4643466524</v>
      </c>
    </row>
    <row r="64" spans="8:27" x14ac:dyDescent="0.25">
      <c r="H64" s="141" t="s">
        <v>64</v>
      </c>
      <c r="I64" s="142" t="s">
        <v>57</v>
      </c>
      <c r="J64" s="143"/>
      <c r="K64" s="143"/>
      <c r="L64" s="143">
        <v>2112971.2229602141</v>
      </c>
      <c r="M64" s="143">
        <v>2118327.3377746772</v>
      </c>
      <c r="N64" s="143">
        <v>2126937.098847304</v>
      </c>
      <c r="O64" s="143">
        <v>2138090.4056276521</v>
      </c>
      <c r="P64" s="143">
        <v>2163496.0722763804</v>
      </c>
      <c r="Q64" s="144">
        <v>2129377.1365383216</v>
      </c>
    </row>
    <row r="66" spans="8:17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7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7" x14ac:dyDescent="0.25">
      <c r="H68" s="61" t="s">
        <v>68</v>
      </c>
      <c r="I68" s="151">
        <v>2400.452432066912</v>
      </c>
      <c r="J68" s="151">
        <v>2400.452432066912</v>
      </c>
      <c r="K68" s="152" t="s">
        <v>24</v>
      </c>
    </row>
    <row r="69" spans="8:17" x14ac:dyDescent="0.25">
      <c r="H69" s="153" t="s">
        <v>69</v>
      </c>
      <c r="I69" s="154">
        <v>524.17416606691154</v>
      </c>
      <c r="J69" s="154">
        <v>-413.96496693308882</v>
      </c>
      <c r="K69" s="155" t="s">
        <v>24</v>
      </c>
    </row>
    <row r="71" spans="8:17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8"/>
      <c r="Q71" s="119"/>
    </row>
    <row r="72" spans="8:17" x14ac:dyDescent="0.25">
      <c r="H72" s="7" t="s">
        <v>1</v>
      </c>
      <c r="I72" s="8" t="s">
        <v>2</v>
      </c>
      <c r="J72" s="9"/>
      <c r="K72" s="9"/>
      <c r="L72" s="9">
        <v>0.68166775324629936</v>
      </c>
      <c r="M72" s="9">
        <v>0.80000000000001348</v>
      </c>
      <c r="N72" s="9">
        <v>0.9000000000000794</v>
      </c>
      <c r="O72" s="9">
        <v>0.9499999999999964</v>
      </c>
      <c r="P72" s="9">
        <v>0.98999999999996491</v>
      </c>
      <c r="Q72" s="10">
        <v>1.0000000000000109</v>
      </c>
    </row>
    <row r="73" spans="8:17" x14ac:dyDescent="0.25">
      <c r="H73" s="51" t="s">
        <v>71</v>
      </c>
      <c r="I73" s="156"/>
      <c r="J73" s="157"/>
      <c r="K73" s="157"/>
      <c r="L73" s="157">
        <v>978.9709710366493</v>
      </c>
      <c r="M73" s="157">
        <v>820.46750613631491</v>
      </c>
      <c r="N73" s="157">
        <v>1102.6108235911515</v>
      </c>
      <c r="O73" s="157">
        <v>1642.6537095010956</v>
      </c>
      <c r="P73" s="157">
        <v>3684.5619335379893</v>
      </c>
      <c r="Q73" s="158">
        <v>10844.763314410071</v>
      </c>
    </row>
    <row r="74" spans="8:17" x14ac:dyDescent="0.25">
      <c r="H74" s="130" t="s">
        <v>72</v>
      </c>
      <c r="I74" s="159"/>
      <c r="J74" s="160"/>
      <c r="K74" s="160"/>
      <c r="L74" s="160">
        <v>1095.4820478034758</v>
      </c>
      <c r="M74" s="160">
        <v>1318.9818411729075</v>
      </c>
      <c r="N74" s="160">
        <v>1105.1336352223852</v>
      </c>
      <c r="O74" s="160">
        <v>1017.2775602771114</v>
      </c>
      <c r="P74" s="160">
        <v>1308.6467641960503</v>
      </c>
      <c r="Q74" s="161">
        <v>4169.5106841676752</v>
      </c>
    </row>
    <row r="75" spans="8:17" x14ac:dyDescent="0.25">
      <c r="H75" s="130" t="s">
        <v>73</v>
      </c>
      <c r="I75" s="159" t="s">
        <v>2</v>
      </c>
      <c r="J75" s="162"/>
      <c r="K75" s="162"/>
      <c r="L75" s="162">
        <v>0.20059392889396585</v>
      </c>
      <c r="M75" s="162">
        <v>0.1539345181032746</v>
      </c>
      <c r="N75" s="162">
        <v>0.16800954387285352</v>
      </c>
      <c r="O75" s="162">
        <v>0.2102336263951774</v>
      </c>
      <c r="P75" s="162">
        <v>0.35400131610715918</v>
      </c>
      <c r="Q75" s="163">
        <v>0.64114528213861977</v>
      </c>
    </row>
    <row r="76" spans="8:17" x14ac:dyDescent="0.25">
      <c r="H76" s="130" t="s">
        <v>74</v>
      </c>
      <c r="I76" s="159" t="s">
        <v>2</v>
      </c>
      <c r="J76" s="162"/>
      <c r="K76" s="162"/>
      <c r="L76" s="162">
        <v>0.28889715186566994</v>
      </c>
      <c r="M76" s="162">
        <v>0.28728060480794809</v>
      </c>
      <c r="N76" s="162">
        <v>0.24840344043054979</v>
      </c>
      <c r="O76" s="162">
        <v>0.24423277157822171</v>
      </c>
      <c r="P76" s="162">
        <v>0.30434535635096399</v>
      </c>
      <c r="Q76" s="163">
        <v>0.5272687007783966</v>
      </c>
    </row>
    <row r="77" spans="8:17" x14ac:dyDescent="0.25">
      <c r="H77" s="164" t="s">
        <v>75</v>
      </c>
      <c r="I77" s="165" t="s">
        <v>2</v>
      </c>
      <c r="J77" s="166"/>
      <c r="K77" s="166"/>
      <c r="L77" s="166">
        <v>0.23920429604399196</v>
      </c>
      <c r="M77" s="166">
        <v>0.21564325458569769</v>
      </c>
      <c r="N77" s="166">
        <v>0.20049018404011174</v>
      </c>
      <c r="O77" s="166">
        <v>0.2220557395767217</v>
      </c>
      <c r="P77" s="166">
        <v>0.33948462845071903</v>
      </c>
      <c r="Q77" s="167">
        <v>0.6048672868555578</v>
      </c>
    </row>
    <row r="78" spans="8:17" x14ac:dyDescent="0.25">
      <c r="H78" s="168" t="s">
        <v>76</v>
      </c>
      <c r="I78" s="169"/>
      <c r="J78" s="170"/>
      <c r="K78" s="170"/>
      <c r="L78" s="170">
        <v>45.196456601846435</v>
      </c>
      <c r="M78" s="170">
        <v>53.593406036451114</v>
      </c>
      <c r="N78" s="170">
        <v>61.594643354688351</v>
      </c>
      <c r="O78" s="170">
        <v>66.485469251142661</v>
      </c>
      <c r="P78" s="170">
        <v>77.181010210366381</v>
      </c>
      <c r="Q78" s="171">
        <v>118.55846121518118</v>
      </c>
    </row>
    <row r="79" spans="8:17" x14ac:dyDescent="0.25">
      <c r="H79" s="172" t="s">
        <v>77</v>
      </c>
      <c r="I79" s="173"/>
      <c r="J79" s="174"/>
      <c r="K79" s="174"/>
      <c r="L79" s="174">
        <v>35.764057280970796</v>
      </c>
      <c r="M79" s="174">
        <v>45.304383003616365</v>
      </c>
      <c r="N79" s="174">
        <v>53.991422276544476</v>
      </c>
      <c r="O79" s="174">
        <v>57.807099808019125</v>
      </c>
      <c r="P79" s="174">
        <v>61.548243446726637</v>
      </c>
      <c r="Q79" s="175">
        <v>72.021752822611305</v>
      </c>
    </row>
    <row r="80" spans="8:17" x14ac:dyDescent="0.25">
      <c r="H80" s="172" t="s">
        <v>78</v>
      </c>
      <c r="I80" s="173"/>
      <c r="J80" s="174"/>
      <c r="K80" s="174"/>
      <c r="L80" s="174">
        <v>26.33165796009515</v>
      </c>
      <c r="M80" s="174">
        <v>37.015359970781631</v>
      </c>
      <c r="N80" s="174">
        <v>46.388201198400601</v>
      </c>
      <c r="O80" s="174">
        <v>49.128730364895596</v>
      </c>
      <c r="P80" s="174">
        <v>45.915476683086901</v>
      </c>
      <c r="Q80" s="175">
        <v>25.485044430041434</v>
      </c>
    </row>
    <row r="81" spans="8:17" x14ac:dyDescent="0.25">
      <c r="H81" s="73" t="s">
        <v>79</v>
      </c>
      <c r="I81" s="176"/>
      <c r="J81" s="177"/>
      <c r="K81" s="177"/>
      <c r="L81" s="177">
        <v>34.385270016718927</v>
      </c>
      <c r="M81" s="177">
        <v>41.991204103451871</v>
      </c>
      <c r="N81" s="177">
        <v>49.140452537313898</v>
      </c>
      <c r="O81" s="177">
        <v>51.567946277241134</v>
      </c>
      <c r="P81" s="177">
        <v>50.740519817788694</v>
      </c>
      <c r="Q81" s="178">
        <v>46.471215069927446</v>
      </c>
    </row>
    <row r="82" spans="8:17" x14ac:dyDescent="0.25">
      <c r="H82" s="134" t="s">
        <v>80</v>
      </c>
      <c r="I82" s="176"/>
      <c r="J82" s="177"/>
      <c r="K82" s="177"/>
      <c r="L82" s="177">
        <v>27.209141135399168</v>
      </c>
      <c r="M82" s="177">
        <v>35.496635391897257</v>
      </c>
      <c r="N82" s="177">
        <v>43.074572386507008</v>
      </c>
      <c r="O82" s="177">
        <v>44.836765851537002</v>
      </c>
      <c r="P82" s="177">
        <v>40.463189816337227</v>
      </c>
      <c r="Q82" s="178">
        <v>28.230278386104381</v>
      </c>
    </row>
    <row r="83" spans="8:17" x14ac:dyDescent="0.25">
      <c r="H83" s="179" t="s">
        <v>81</v>
      </c>
      <c r="I83" s="180"/>
      <c r="J83" s="181"/>
      <c r="K83" s="181"/>
      <c r="L83" s="181">
        <v>20.033012254079413</v>
      </c>
      <c r="M83" s="181">
        <v>29.002066680342651</v>
      </c>
      <c r="N83" s="181">
        <v>37.00869223570011</v>
      </c>
      <c r="O83" s="181">
        <v>38.105585425832871</v>
      </c>
      <c r="P83" s="181">
        <v>30.185859814885756</v>
      </c>
      <c r="Q83" s="182">
        <v>9.9893417022813207</v>
      </c>
    </row>
    <row r="84" spans="8:17" x14ac:dyDescent="0.25">
      <c r="H84" s="183" t="s">
        <v>82</v>
      </c>
      <c r="I84" s="184" t="s">
        <v>12</v>
      </c>
      <c r="J84" s="185"/>
      <c r="K84" s="185"/>
      <c r="L84" s="185">
        <v>0</v>
      </c>
      <c r="M84" s="185">
        <v>0.84786880491692751</v>
      </c>
      <c r="N84" s="185">
        <v>1.7884123163606214</v>
      </c>
      <c r="O84" s="185">
        <v>2.0812812098652698</v>
      </c>
      <c r="P84" s="185">
        <v>2.1840310128199754</v>
      </c>
      <c r="Q84" s="186">
        <v>1.9077959826962121</v>
      </c>
    </row>
    <row r="86" spans="8:17" x14ac:dyDescent="0.25">
      <c r="I86" s="443" t="s">
        <v>83</v>
      </c>
      <c r="J86" s="444"/>
      <c r="K86" s="187" t="s">
        <v>84</v>
      </c>
    </row>
    <row r="87" spans="8:17" x14ac:dyDescent="0.25">
      <c r="I87" s="445" t="s">
        <v>111</v>
      </c>
      <c r="J87" s="446"/>
      <c r="K87" s="188" t="s">
        <v>85</v>
      </c>
    </row>
    <row r="88" spans="8:17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7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7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7" x14ac:dyDescent="0.25">
      <c r="H92" s="226" t="s">
        <v>1</v>
      </c>
      <c r="I92" s="227"/>
      <c r="J92" s="228"/>
      <c r="K92" s="228"/>
      <c r="L92" s="228">
        <f t="shared" ref="L92:Q92" si="5">L5</f>
        <v>0.68166775324629936</v>
      </c>
      <c r="M92" s="228">
        <f t="shared" si="5"/>
        <v>0.80000000000001348</v>
      </c>
      <c r="N92" s="228">
        <f t="shared" si="5"/>
        <v>0.9000000000000794</v>
      </c>
      <c r="O92" s="228">
        <f t="shared" si="5"/>
        <v>0.9499999999999964</v>
      </c>
      <c r="P92" s="228">
        <f t="shared" si="5"/>
        <v>0.98999999999996491</v>
      </c>
      <c r="Q92" s="229">
        <f t="shared" si="5"/>
        <v>1.0000000000000109</v>
      </c>
    </row>
    <row r="93" spans="8:17" ht="18" x14ac:dyDescent="0.25">
      <c r="H93" s="148" t="s">
        <v>89</v>
      </c>
      <c r="I93" s="194" t="s">
        <v>104</v>
      </c>
      <c r="J93" s="195"/>
      <c r="K93" s="195"/>
      <c r="L93" s="195">
        <f>IF(L22&gt;0,  $I$88*(L6*1000)/(L22*1000)/$K$88*1000, 0)</f>
        <v>12.65189497600767</v>
      </c>
      <c r="M93" s="195">
        <f t="shared" ref="M93:O93" si="6">IF(M22&gt;0,  $I$88*(M6*1000)/(M22*1000)/$K$88*1000, 0)</f>
        <v>12.651894976007691</v>
      </c>
      <c r="N93" s="195">
        <f t="shared" si="6"/>
        <v>12.651894976007666</v>
      </c>
      <c r="O93" s="195">
        <f t="shared" si="6"/>
        <v>12.651894976007679</v>
      </c>
      <c r="P93" s="195">
        <f t="shared" ref="P93" si="7">IF(P22&gt;0,  $I$88*(P6*1000)/(P22*1000)/$K$88*1000, 0)</f>
        <v>12.651894976007707</v>
      </c>
      <c r="Q93" s="195">
        <f>IF(Q22&gt;0,  $I$88*(Q6*1000)/(Q22*1000)/$K$88*1000, 0)</f>
        <v>12.651894976007682</v>
      </c>
    </row>
    <row r="94" spans="8:17" ht="18" x14ac:dyDescent="0.25">
      <c r="H94" s="61" t="s">
        <v>90</v>
      </c>
      <c r="I94" s="230" t="s">
        <v>104</v>
      </c>
      <c r="J94" s="231"/>
      <c r="K94" s="231"/>
      <c r="L94" s="231">
        <f>IF(L23&gt;0,$I$89*(L7*1000)/(L23*1000)/$K$89*1000,0)</f>
        <v>6.3663437674559313</v>
      </c>
      <c r="M94" s="231">
        <f t="shared" ref="M94:O94" si="8">IF(M23&gt;0,$I$89*(M7*1000)/(M23*1000)/$K$89*1000,0)</f>
        <v>6.3663437674559589</v>
      </c>
      <c r="N94" s="231">
        <f t="shared" si="8"/>
        <v>6.3663437674559518</v>
      </c>
      <c r="O94" s="231">
        <f t="shared" si="8"/>
        <v>6.36634376745591</v>
      </c>
      <c r="P94" s="231">
        <f t="shared" ref="P94" si="9">IF(P23&gt;0,$I$89*(P7*1000)/(P23*1000)/$K$89*1000,0)</f>
        <v>6.3663437674559127</v>
      </c>
      <c r="Q94" s="231">
        <f>IF(Q23&gt;0,$I$89*(Q7*1000)/(Q23*1000)/$K$89*1000,0)</f>
        <v>6.3663437674559198</v>
      </c>
    </row>
    <row r="95" spans="8:17" ht="18" x14ac:dyDescent="0.25">
      <c r="H95" s="153" t="s">
        <v>99</v>
      </c>
      <c r="I95" s="197" t="s">
        <v>104</v>
      </c>
      <c r="J95" s="198"/>
      <c r="K95" s="198"/>
      <c r="L95" s="198">
        <f>IF(-L26&gt;0,$I$90*(L8*1000)/(-L26*1000)/$K$90*1000,0)</f>
        <v>0</v>
      </c>
      <c r="M95" s="198">
        <f t="shared" ref="M95:O95" si="10">IF(-M26&gt;0,$I$90*(M8*1000)/(-M26*1000)/$K$90*1000,0)</f>
        <v>18.548051253878512</v>
      </c>
      <c r="N95" s="198">
        <f t="shared" si="10"/>
        <v>20.018113826024933</v>
      </c>
      <c r="O95" s="198">
        <f t="shared" si="10"/>
        <v>20.830750324623398</v>
      </c>
      <c r="P95" s="198">
        <f t="shared" ref="P95" si="11">IF(-P26&gt;0,$I$90*(P8*1000)/(-P26*1000)/$K$90*1000,0)</f>
        <v>27.122999200073821</v>
      </c>
      <c r="Q95" s="198">
        <f>IF(-Q26&gt;0,$I$90*(Q8*1000)/(-Q26*1000)/$K$90*1000,0)</f>
        <v>39.585240874616495</v>
      </c>
    </row>
    <row r="96" spans="8:17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4"/>
      <c r="Q96" s="235"/>
    </row>
    <row r="97" spans="8:17" x14ac:dyDescent="0.25">
      <c r="H97" s="7" t="s">
        <v>1</v>
      </c>
      <c r="I97" s="8" t="s">
        <v>2</v>
      </c>
      <c r="J97" s="9"/>
      <c r="K97" s="9"/>
      <c r="L97" s="9">
        <f t="shared" ref="L97:Q97" si="12">L5</f>
        <v>0.68166775324629936</v>
      </c>
      <c r="M97" s="9">
        <f t="shared" si="12"/>
        <v>0.80000000000001348</v>
      </c>
      <c r="N97" s="9">
        <f t="shared" si="12"/>
        <v>0.9000000000000794</v>
      </c>
      <c r="O97" s="9">
        <f t="shared" si="12"/>
        <v>0.9499999999999964</v>
      </c>
      <c r="P97" s="9">
        <f t="shared" si="12"/>
        <v>0.98999999999996491</v>
      </c>
      <c r="Q97" s="10">
        <f t="shared" si="12"/>
        <v>1.0000000000000109</v>
      </c>
    </row>
    <row r="98" spans="8:17" ht="18" x14ac:dyDescent="0.25">
      <c r="H98" s="200" t="s">
        <v>91</v>
      </c>
      <c r="I98" s="201" t="s">
        <v>106</v>
      </c>
      <c r="J98" s="202"/>
      <c r="K98" s="202"/>
      <c r="L98" s="202">
        <f t="shared" ref="L98:Q98" si="13">$M$88/1000*L24*1000</f>
        <v>1232453.537974746</v>
      </c>
      <c r="M98" s="202">
        <f t="shared" si="13"/>
        <v>774319.00195023767</v>
      </c>
      <c r="N98" s="202">
        <f t="shared" si="13"/>
        <v>387159.50097518502</v>
      </c>
      <c r="O98" s="202">
        <f t="shared" si="13"/>
        <v>193579.75048756934</v>
      </c>
      <c r="P98" s="202">
        <f t="shared" si="13"/>
        <v>38715.950097448374</v>
      </c>
      <c r="Q98" s="203">
        <f t="shared" si="13"/>
        <v>-2.634351403685287E-10</v>
      </c>
    </row>
    <row r="99" spans="8:17" ht="18" x14ac:dyDescent="0.25">
      <c r="H99" s="204" t="s">
        <v>92</v>
      </c>
      <c r="I99" s="13" t="s">
        <v>106</v>
      </c>
      <c r="J99" s="31"/>
      <c r="K99" s="31"/>
      <c r="L99" s="31">
        <f>L93/1000*L22*1000</f>
        <v>61745.826398679783</v>
      </c>
      <c r="M99" s="31">
        <f t="shared" ref="M99:O100" si="14">M93/1000*M22*1000</f>
        <v>67434.314582382023</v>
      </c>
      <c r="N99" s="31">
        <f t="shared" si="14"/>
        <v>83031.689854724857</v>
      </c>
      <c r="O99" s="31">
        <f t="shared" si="14"/>
        <v>98855.176362186496</v>
      </c>
      <c r="P99" s="31">
        <f t="shared" ref="P99" si="15">P93/1000*P22*1000</f>
        <v>131685.07713007278</v>
      </c>
      <c r="Q99" s="62">
        <f>Q93/1000*Q22*1000</f>
        <v>214002.67664125492</v>
      </c>
    </row>
    <row r="100" spans="8:17" ht="18" x14ac:dyDescent="0.25">
      <c r="H100" s="204" t="s">
        <v>93</v>
      </c>
      <c r="I100" s="13" t="s">
        <v>106</v>
      </c>
      <c r="J100" s="31"/>
      <c r="K100" s="31"/>
      <c r="L100" s="31">
        <f>L94/1000*L23*1000</f>
        <v>24140.824034971298</v>
      </c>
      <c r="M100" s="31">
        <f t="shared" si="14"/>
        <v>29229.581403702221</v>
      </c>
      <c r="N100" s="31">
        <f t="shared" si="14"/>
        <v>28323.52329182432</v>
      </c>
      <c r="O100" s="31">
        <f t="shared" si="14"/>
        <v>26517.074730770644</v>
      </c>
      <c r="P100" s="31">
        <f t="shared" ref="P100" si="16">P94/1000*P23*1000</f>
        <v>27374.477701685111</v>
      </c>
      <c r="Q100" s="62">
        <f>Q94/1000*Q23*1000</f>
        <v>50343.474434011652</v>
      </c>
    </row>
    <row r="101" spans="8:17" ht="18" x14ac:dyDescent="0.25">
      <c r="H101" s="204" t="s">
        <v>94</v>
      </c>
      <c r="I101" s="13" t="s">
        <v>106</v>
      </c>
      <c r="J101" s="31"/>
      <c r="K101" s="31"/>
      <c r="L101" s="31">
        <f t="shared" ref="L101:Q101" si="17">L95/1000*(-L26)*1000</f>
        <v>0</v>
      </c>
      <c r="M101" s="31">
        <f t="shared" si="17"/>
        <v>12115.750482539808</v>
      </c>
      <c r="N101" s="31">
        <f t="shared" si="17"/>
        <v>31466.77574717582</v>
      </c>
      <c r="O101" s="31">
        <f t="shared" si="17"/>
        <v>43598.4344628279</v>
      </c>
      <c r="P101" s="31">
        <f t="shared" si="17"/>
        <v>60944.719099077549</v>
      </c>
      <c r="Q101" s="62">
        <f t="shared" si="17"/>
        <v>86515.087532465725</v>
      </c>
    </row>
    <row r="102" spans="8:17" ht="18" x14ac:dyDescent="0.25">
      <c r="H102" s="204" t="s">
        <v>95</v>
      </c>
      <c r="I102" s="13" t="s">
        <v>106</v>
      </c>
      <c r="J102" s="31"/>
      <c r="K102" s="31"/>
      <c r="L102" s="31">
        <f>[3]NoSP!$C$174</f>
        <v>1630310.3764790881</v>
      </c>
      <c r="M102" s="31">
        <f>'[3]80SP'!$C$174</f>
        <v>1630310.3764795179</v>
      </c>
      <c r="N102" s="31">
        <f>'[3]90SP'!$C$174</f>
        <v>1630310.3764792352</v>
      </c>
      <c r="O102" s="31">
        <f>'[3]95SP'!$C$174</f>
        <v>1630310.3764794411</v>
      </c>
      <c r="P102" s="31">
        <f>'[3]95SP'!$C$174</f>
        <v>1630310.3764794411</v>
      </c>
      <c r="Q102" s="62">
        <f>'[3]100SP'!$C$174</f>
        <v>1630310.3764794073</v>
      </c>
    </row>
    <row r="103" spans="8:17" ht="18" x14ac:dyDescent="0.25">
      <c r="H103" s="240" t="s">
        <v>96</v>
      </c>
      <c r="I103" s="241" t="s">
        <v>106</v>
      </c>
      <c r="J103" s="27"/>
      <c r="K103" s="27"/>
      <c r="L103" s="27">
        <f>[3]NoSP!$C$175</f>
        <v>5111323.9103365559</v>
      </c>
      <c r="M103" s="27">
        <f>'[3]80SP'!$C$175</f>
        <v>5111323.9103378681</v>
      </c>
      <c r="N103" s="27">
        <f>'[3]90SP'!$C$175</f>
        <v>5111323.9103373047</v>
      </c>
      <c r="O103" s="27">
        <f>'[3]95SP'!$C$175</f>
        <v>5111323.9103372535</v>
      </c>
      <c r="P103" s="27">
        <f>'[3]95SP'!$C$175</f>
        <v>5111323.9103372535</v>
      </c>
      <c r="Q103" s="28">
        <f>'[3]100SP'!$C$175</f>
        <v>5111323.9103376018</v>
      </c>
    </row>
    <row r="104" spans="8:17" ht="18" x14ac:dyDescent="0.25">
      <c r="H104" s="205" t="s">
        <v>97</v>
      </c>
      <c r="I104" s="206" t="s">
        <v>107</v>
      </c>
      <c r="J104" s="207"/>
      <c r="K104" s="207"/>
      <c r="L104" s="207">
        <f>[3]NoSP!$C$176</f>
        <v>542342.8500791121</v>
      </c>
      <c r="M104" s="207">
        <f>'[3]80SP'!$C$176</f>
        <v>542342.85007918288</v>
      </c>
      <c r="N104" s="207">
        <f>'[3]90SP'!$C$176</f>
        <v>542342.85007914179</v>
      </c>
      <c r="O104" s="207">
        <f>'[3]95SP'!$C$176</f>
        <v>542342.85007914063</v>
      </c>
      <c r="P104" s="207">
        <f>'[3]95SP'!$C$176</f>
        <v>542342.85007914063</v>
      </c>
      <c r="Q104" s="208">
        <f>'[3]100SP'!$C$176</f>
        <v>542342.85007914237</v>
      </c>
    </row>
    <row r="105" spans="8:17" ht="18" x14ac:dyDescent="0.25">
      <c r="H105" s="209" t="s">
        <v>98</v>
      </c>
      <c r="I105" s="210" t="s">
        <v>108</v>
      </c>
      <c r="J105" s="211"/>
      <c r="K105" s="211"/>
      <c r="L105" s="211">
        <f t="shared" ref="L105:Q105" si="18">L98/L104</f>
        <v>2.2724620372426165</v>
      </c>
      <c r="M105" s="211">
        <f t="shared" si="18"/>
        <v>1.4277297134777123</v>
      </c>
      <c r="N105" s="211">
        <f t="shared" si="18"/>
        <v>0.71386485673903233</v>
      </c>
      <c r="O105" s="211">
        <f t="shared" si="18"/>
        <v>0.3569324283694742</v>
      </c>
      <c r="P105" s="211">
        <f t="shared" si="18"/>
        <v>7.1386485673774078E-2</v>
      </c>
      <c r="Q105" s="212">
        <f t="shared" si="18"/>
        <v>-4.857354353064421E-16</v>
      </c>
    </row>
    <row r="106" spans="8:17" ht="18" x14ac:dyDescent="0.25">
      <c r="H106" s="213" t="s">
        <v>89</v>
      </c>
      <c r="I106" s="214" t="s">
        <v>109</v>
      </c>
      <c r="J106" s="215"/>
      <c r="K106" s="215"/>
      <c r="L106" s="215">
        <f t="shared" ref="L106:Q106" si="19">L99/L104</f>
        <v>0.1138501713255238</v>
      </c>
      <c r="M106" s="215">
        <f t="shared" si="19"/>
        <v>0.12433890217698364</v>
      </c>
      <c r="N106" s="215">
        <f t="shared" si="19"/>
        <v>0.15309815524000803</v>
      </c>
      <c r="O106" s="215">
        <f t="shared" si="19"/>
        <v>0.18227432397746404</v>
      </c>
      <c r="P106" s="215">
        <f t="shared" si="19"/>
        <v>0.24280780526719734</v>
      </c>
      <c r="Q106" s="216">
        <f t="shared" si="19"/>
        <v>0.39458928353167411</v>
      </c>
    </row>
    <row r="107" spans="8:17" ht="18" x14ac:dyDescent="0.25">
      <c r="H107" s="213" t="s">
        <v>90</v>
      </c>
      <c r="I107" s="214" t="s">
        <v>109</v>
      </c>
      <c r="J107" s="215"/>
      <c r="K107" s="215"/>
      <c r="L107" s="215">
        <f t="shared" ref="L107:Q107" si="20">L100/L104</f>
        <v>4.4512108957368665E-2</v>
      </c>
      <c r="M107" s="215">
        <f t="shared" si="20"/>
        <v>5.389502488957798E-2</v>
      </c>
      <c r="N107" s="215">
        <f t="shared" si="20"/>
        <v>5.2224387742350047E-2</v>
      </c>
      <c r="O107" s="215">
        <f t="shared" si="20"/>
        <v>4.8893563779629765E-2</v>
      </c>
      <c r="P107" s="215">
        <f t="shared" si="20"/>
        <v>5.0474488043293145E-2</v>
      </c>
      <c r="Q107" s="216">
        <f t="shared" si="20"/>
        <v>9.2825920774405324E-2</v>
      </c>
    </row>
    <row r="108" spans="8:17" ht="18" x14ac:dyDescent="0.25">
      <c r="H108" s="213" t="s">
        <v>99</v>
      </c>
      <c r="I108" s="214" t="s">
        <v>109</v>
      </c>
      <c r="J108" s="215"/>
      <c r="K108" s="215"/>
      <c r="L108" s="215">
        <f t="shared" ref="L108:Q108" si="21">L101/L104</f>
        <v>0</v>
      </c>
      <c r="M108" s="215">
        <f t="shared" si="21"/>
        <v>2.2339651902428308E-2</v>
      </c>
      <c r="N108" s="215">
        <f t="shared" si="21"/>
        <v>5.8020080365370368E-2</v>
      </c>
      <c r="O108" s="215">
        <f t="shared" si="21"/>
        <v>8.0389064696742771E-2</v>
      </c>
      <c r="P108" s="215">
        <f t="shared" si="21"/>
        <v>0.112373047953309</v>
      </c>
      <c r="Q108" s="216">
        <f t="shared" si="21"/>
        <v>0.15952102534373017</v>
      </c>
    </row>
    <row r="109" spans="8:17" ht="18" x14ac:dyDescent="0.25">
      <c r="H109" s="213" t="s">
        <v>100</v>
      </c>
      <c r="I109" s="214" t="s">
        <v>108</v>
      </c>
      <c r="J109" s="215"/>
      <c r="K109" s="215"/>
      <c r="L109" s="215">
        <f t="shared" ref="L109:Q109" si="22">-L103/L104</f>
        <v>-9.4245252972192066</v>
      </c>
      <c r="M109" s="215">
        <f t="shared" si="22"/>
        <v>-9.4245252972203968</v>
      </c>
      <c r="N109" s="215">
        <f t="shared" si="22"/>
        <v>-9.4245252972200717</v>
      </c>
      <c r="O109" s="215">
        <f t="shared" si="22"/>
        <v>-9.4245252972199971</v>
      </c>
      <c r="P109" s="215">
        <f t="shared" si="22"/>
        <v>-9.4245252972199971</v>
      </c>
      <c r="Q109" s="216">
        <f t="shared" si="22"/>
        <v>-9.4245252972206099</v>
      </c>
    </row>
    <row r="110" spans="8:17" ht="18" x14ac:dyDescent="0.25">
      <c r="H110" s="217" t="s">
        <v>101</v>
      </c>
      <c r="I110" s="218" t="s">
        <v>108</v>
      </c>
      <c r="J110" s="219"/>
      <c r="K110" s="219"/>
      <c r="L110" s="219">
        <f t="shared" ref="L110:Q110" si="23">SUM(L105:L109)</f>
        <v>-6.9937009796936973</v>
      </c>
      <c r="M110" s="219">
        <f t="shared" si="23"/>
        <v>-7.7962220047736945</v>
      </c>
      <c r="N110" s="219">
        <f t="shared" si="23"/>
        <v>-8.4473178171333103</v>
      </c>
      <c r="O110" s="219">
        <f t="shared" si="23"/>
        <v>-8.7560359163966872</v>
      </c>
      <c r="P110" s="219">
        <f t="shared" si="23"/>
        <v>-8.9474834702824229</v>
      </c>
      <c r="Q110" s="220">
        <f t="shared" si="23"/>
        <v>-8.7775890675708013</v>
      </c>
    </row>
    <row r="111" spans="8:17" x14ac:dyDescent="0.25">
      <c r="H111" s="221"/>
      <c r="I111" s="6"/>
      <c r="J111" s="22"/>
      <c r="K111" s="222"/>
      <c r="L111" s="222"/>
      <c r="M111" s="222"/>
      <c r="N111" s="222"/>
      <c r="O111" s="222"/>
      <c r="P111" s="222"/>
    </row>
    <row r="112" spans="8:17" x14ac:dyDescent="0.25">
      <c r="H112" s="283" t="s">
        <v>133</v>
      </c>
      <c r="I112" s="70"/>
      <c r="J112" s="284">
        <f>L112</f>
        <v>22.050445529611292</v>
      </c>
      <c r="K112" s="284">
        <f>L112</f>
        <v>22.050445529611292</v>
      </c>
      <c r="L112" s="284">
        <f t="shared" ref="L112:O112" si="24">(L31+L37)*L104/L22</f>
        <v>22.050445529611292</v>
      </c>
      <c r="M112" s="284">
        <f t="shared" si="24"/>
        <v>22.050445529614727</v>
      </c>
      <c r="N112" s="284">
        <f t="shared" si="24"/>
        <v>22.05044552961327</v>
      </c>
      <c r="O112" s="284">
        <f t="shared" si="24"/>
        <v>22.050445529613331</v>
      </c>
      <c r="P112" s="284">
        <f t="shared" ref="P112" si="25">(P31+P37)*P104/P22</f>
        <v>22.050445529613338</v>
      </c>
      <c r="Q112" s="285">
        <f>(Q31+Q37)*Q104/Q22</f>
        <v>22.050445529613292</v>
      </c>
    </row>
    <row r="113" spans="8:17" x14ac:dyDescent="0.25">
      <c r="H113" s="286" t="s">
        <v>134</v>
      </c>
      <c r="I113" s="287"/>
      <c r="J113" s="181">
        <f>K113</f>
        <v>50.260608690444776</v>
      </c>
      <c r="K113" s="181">
        <f>M113</f>
        <v>50.260608690444776</v>
      </c>
      <c r="L113" s="181">
        <f t="shared" ref="L113:O113" si="26">IF(L32&gt;0,(L32+L38)*L104/L23,0)</f>
        <v>50.260608690436833</v>
      </c>
      <c r="M113" s="181">
        <f t="shared" si="26"/>
        <v>50.260608690444776</v>
      </c>
      <c r="N113" s="181">
        <f t="shared" si="26"/>
        <v>50.260608690441522</v>
      </c>
      <c r="O113" s="181">
        <f t="shared" si="26"/>
        <v>50.260608690441295</v>
      </c>
      <c r="P113" s="181">
        <f t="shared" ref="P113" si="27">IF(P32&gt;0,(P32+P38)*P104/P23,0)</f>
        <v>50.260608690441202</v>
      </c>
      <c r="Q113" s="182">
        <f>IF(Q32&gt;0,(Q32+Q38)*Q104/Q23,0)</f>
        <v>50.260608690441259</v>
      </c>
    </row>
    <row r="114" spans="8:17" x14ac:dyDescent="0.25">
      <c r="H114" s="221"/>
      <c r="I114" s="6"/>
      <c r="J114" s="22"/>
      <c r="K114" s="222"/>
      <c r="L114" s="222"/>
      <c r="M114" s="222"/>
      <c r="N114" s="222"/>
      <c r="O114" s="222"/>
      <c r="P114" s="222"/>
    </row>
    <row r="115" spans="8:17" x14ac:dyDescent="0.25">
      <c r="H115" s="226" t="s">
        <v>1</v>
      </c>
      <c r="I115" s="227"/>
      <c r="J115" s="228">
        <f>J28</f>
        <v>0</v>
      </c>
      <c r="K115" s="228">
        <f t="shared" ref="K115:O115" si="28">K28</f>
        <v>0</v>
      </c>
      <c r="L115" s="228">
        <f t="shared" si="28"/>
        <v>5.3296389523893595E-10</v>
      </c>
      <c r="M115" s="228">
        <f t="shared" si="28"/>
        <v>2.2737367544323206E-12</v>
      </c>
      <c r="N115" s="228">
        <f t="shared" si="28"/>
        <v>9.0062712843064219E-10</v>
      </c>
      <c r="O115" s="228">
        <f t="shared" si="28"/>
        <v>-5.8207660913467407E-11</v>
      </c>
      <c r="P115" s="228">
        <f t="shared" ref="P115" si="29">P28</f>
        <v>-5.0431481213308871E-10</v>
      </c>
      <c r="Q115" s="229">
        <f>Q28</f>
        <v>1.0504663805477321E-10</v>
      </c>
    </row>
    <row r="116" spans="8:17" ht="18" x14ac:dyDescent="0.25">
      <c r="H116" s="148" t="s">
        <v>89</v>
      </c>
      <c r="I116" s="194" t="s">
        <v>104</v>
      </c>
      <c r="J116" s="195">
        <f>IF(J22&gt;0,  $J$88*(J6*1000)/(J22*1000)/$K$88*1000, 0)</f>
        <v>0</v>
      </c>
      <c r="K116" s="195">
        <f t="shared" ref="K116:O116" si="30">IF(K22&gt;0,  $J$88*(K6*1000)/(K22*1000)/$K$88*1000, 0)</f>
        <v>0</v>
      </c>
      <c r="L116" s="195">
        <f t="shared" si="30"/>
        <v>42.1729832533589</v>
      </c>
      <c r="M116" s="195">
        <f t="shared" si="30"/>
        <v>42.172983253358979</v>
      </c>
      <c r="N116" s="195">
        <f t="shared" si="30"/>
        <v>42.172983253358879</v>
      </c>
      <c r="O116" s="195">
        <f t="shared" si="30"/>
        <v>42.172983253358929</v>
      </c>
      <c r="P116" s="195">
        <f t="shared" ref="P116" si="31">IF(P22&gt;0,  $J$88*(P6*1000)/(P22*1000)/$K$88*1000, 0)</f>
        <v>42.172983253359028</v>
      </c>
      <c r="Q116" s="196">
        <f>IF(Q22&gt;0,  $J$88*(Q6*1000)/(Q22*1000)/$K$88*1000, 0)</f>
        <v>42.172983253358936</v>
      </c>
    </row>
    <row r="117" spans="8:17" ht="18" x14ac:dyDescent="0.25">
      <c r="H117" s="61" t="s">
        <v>90</v>
      </c>
      <c r="I117" s="230" t="s">
        <v>104</v>
      </c>
      <c r="J117" s="231">
        <f t="shared" ref="J117:O117" si="32">IF(J23&gt;0,$J$89*(J7*1000)/(J23*1000)/$K$89*1000,0)</f>
        <v>0</v>
      </c>
      <c r="K117" s="231">
        <f t="shared" si="32"/>
        <v>0</v>
      </c>
      <c r="L117" s="231">
        <f t="shared" si="32"/>
        <v>10.889798549595671</v>
      </c>
      <c r="M117" s="231">
        <f t="shared" si="32"/>
        <v>10.889798549595717</v>
      </c>
      <c r="N117" s="231">
        <f t="shared" si="32"/>
        <v>10.889798549595707</v>
      </c>
      <c r="O117" s="231">
        <f t="shared" si="32"/>
        <v>10.889798549595636</v>
      </c>
      <c r="P117" s="231">
        <f t="shared" ref="P117" si="33">IF(P23&gt;0,$J$89*(P7*1000)/(P23*1000)/$K$89*1000,0)</f>
        <v>10.889798549595643</v>
      </c>
      <c r="Q117" s="232">
        <f>IF(Q23&gt;0,$J$89*(Q7*1000)/(Q23*1000)/$K$89*1000,0)</f>
        <v>10.889798549595653</v>
      </c>
    </row>
    <row r="118" spans="8:17" ht="18" x14ac:dyDescent="0.25">
      <c r="H118" s="153" t="s">
        <v>99</v>
      </c>
      <c r="I118" s="197" t="s">
        <v>104</v>
      </c>
      <c r="J118" s="198">
        <f t="shared" ref="J118:O118" si="34">IF(-J26&gt;0,$J$90*(J8*1000)/(-J26*1000)/$K$90*1000,0)</f>
        <v>0</v>
      </c>
      <c r="K118" s="198">
        <f t="shared" si="34"/>
        <v>0</v>
      </c>
      <c r="L118" s="198">
        <f t="shared" si="34"/>
        <v>0</v>
      </c>
      <c r="M118" s="198">
        <f t="shared" si="34"/>
        <v>35.220456875342343</v>
      </c>
      <c r="N118" s="198">
        <f t="shared" si="34"/>
        <v>38.0119240067215</v>
      </c>
      <c r="O118" s="198">
        <f t="shared" si="34"/>
        <v>39.555020279341058</v>
      </c>
      <c r="P118" s="198">
        <f t="shared" ref="P118" si="35">IF(-P26&gt;0,$J$90*(P8*1000)/(-P26*1000)/$K$90*1000,0)</f>
        <v>51.503223200140184</v>
      </c>
      <c r="Q118" s="199">
        <f>IF(-Q26&gt;0,$J$90*(Q8*1000)/(-Q26*1000)/$K$90*1000,0)</f>
        <v>75.167479863035823</v>
      </c>
    </row>
    <row r="119" spans="8:17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4"/>
      <c r="Q119" s="235"/>
    </row>
    <row r="120" spans="8:17" x14ac:dyDescent="0.25">
      <c r="H120" s="7" t="s">
        <v>1</v>
      </c>
      <c r="I120" s="8" t="s">
        <v>2</v>
      </c>
      <c r="J120" s="9">
        <f t="shared" ref="J120:O120" si="36">J28</f>
        <v>0</v>
      </c>
      <c r="K120" s="9">
        <f t="shared" si="36"/>
        <v>0</v>
      </c>
      <c r="L120" s="9">
        <f t="shared" si="36"/>
        <v>5.3296389523893595E-10</v>
      </c>
      <c r="M120" s="9">
        <f t="shared" si="36"/>
        <v>2.2737367544323206E-12</v>
      </c>
      <c r="N120" s="9">
        <f t="shared" si="36"/>
        <v>9.0062712843064219E-10</v>
      </c>
      <c r="O120" s="9">
        <f t="shared" si="36"/>
        <v>-5.8207660913467407E-11</v>
      </c>
      <c r="P120" s="9">
        <f t="shared" ref="P120" si="37">P28</f>
        <v>-5.0431481213308871E-10</v>
      </c>
      <c r="Q120" s="10">
        <f>Q28</f>
        <v>1.0504663805477321E-10</v>
      </c>
    </row>
    <row r="121" spans="8:17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O121" si="38">$M$88/1000*K24*1000</f>
        <v>0</v>
      </c>
      <c r="L121" s="202">
        <f t="shared" si="38"/>
        <v>1232453.537974746</v>
      </c>
      <c r="M121" s="202">
        <f t="shared" si="38"/>
        <v>774319.00195023767</v>
      </c>
      <c r="N121" s="202">
        <f t="shared" si="38"/>
        <v>387159.50097518502</v>
      </c>
      <c r="O121" s="202">
        <f t="shared" si="38"/>
        <v>193579.75048756934</v>
      </c>
      <c r="P121" s="202">
        <f t="shared" ref="P121" si="39">$M$88/1000*P24*1000</f>
        <v>38715.950097448374</v>
      </c>
      <c r="Q121" s="203">
        <f>$M$88/1000*Q24*1000</f>
        <v>-2.634351403685287E-10</v>
      </c>
    </row>
    <row r="122" spans="8:17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O123" si="40">K116/1000*K22*1000</f>
        <v>0</v>
      </c>
      <c r="L122" s="31">
        <f t="shared" si="40"/>
        <v>205819.42132893263</v>
      </c>
      <c r="M122" s="31">
        <f t="shared" si="40"/>
        <v>224781.04860794015</v>
      </c>
      <c r="N122" s="31">
        <f t="shared" si="40"/>
        <v>276772.2995157495</v>
      </c>
      <c r="O122" s="31">
        <f t="shared" si="40"/>
        <v>329517.25454062165</v>
      </c>
      <c r="P122" s="31">
        <f t="shared" ref="P122" si="41">P116/1000*P22*1000</f>
        <v>438950.2571002426</v>
      </c>
      <c r="Q122" s="62">
        <f>Q116/1000*Q22*1000</f>
        <v>713342.25547084969</v>
      </c>
    </row>
    <row r="123" spans="8:17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40"/>
        <v>0</v>
      </c>
      <c r="L123" s="31">
        <f t="shared" si="40"/>
        <v>41293.514796661424</v>
      </c>
      <c r="M123" s="31">
        <f t="shared" si="40"/>
        <v>49997.968190543252</v>
      </c>
      <c r="N123" s="31">
        <f t="shared" si="40"/>
        <v>48448.131946541595</v>
      </c>
      <c r="O123" s="31">
        <f t="shared" si="40"/>
        <v>45358.154144739266</v>
      </c>
      <c r="P123" s="31">
        <f t="shared" ref="P123" si="42">P117/1000*P23*1000</f>
        <v>46824.764489724541</v>
      </c>
      <c r="Q123" s="62">
        <f>Q117/1000*Q23*1000</f>
        <v>86113.837847651506</v>
      </c>
    </row>
    <row r="124" spans="8:17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O124" si="43">K118/1000*(-K26)*1000</f>
        <v>0</v>
      </c>
      <c r="L124" s="31">
        <f t="shared" si="43"/>
        <v>0</v>
      </c>
      <c r="M124" s="31">
        <f t="shared" si="43"/>
        <v>23006.312714036267</v>
      </c>
      <c r="N124" s="31">
        <f t="shared" si="43"/>
        <v>59751.517991828237</v>
      </c>
      <c r="O124" s="31">
        <f t="shared" si="43"/>
        <v>82788.038474358589</v>
      </c>
      <c r="P124" s="31">
        <f t="shared" ref="P124" si="44">P118/1000*(-P26)*1000</f>
        <v>115726.4890757765</v>
      </c>
      <c r="Q124" s="62">
        <f>Q118/1000*(-Q26)*1000</f>
        <v>164281.45834816524</v>
      </c>
    </row>
    <row r="125" spans="8:17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31">
        <f>'[3]95SP'!$C$174</f>
        <v>1630310.3764794411</v>
      </c>
      <c r="Q125" s="62">
        <f>'[3]100SP'!$C$174</f>
        <v>1630310.3764794073</v>
      </c>
    </row>
    <row r="126" spans="8:17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7">
        <f>'[3]95SP'!$C$175</f>
        <v>5111323.9103372535</v>
      </c>
      <c r="Q126" s="28">
        <f>'[3]100SP'!$C$175</f>
        <v>5111323.9103376018</v>
      </c>
    </row>
    <row r="127" spans="8:17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7">
        <f>'[3]95SP'!$C$176</f>
        <v>542342.85007914063</v>
      </c>
      <c r="Q127" s="208">
        <f>'[3]100SP'!$C$176</f>
        <v>542342.85007914237</v>
      </c>
    </row>
    <row r="128" spans="8:17" ht="18" x14ac:dyDescent="0.25">
      <c r="H128" s="209" t="s">
        <v>98</v>
      </c>
      <c r="I128" s="210" t="s">
        <v>108</v>
      </c>
      <c r="J128" s="211">
        <f t="shared" ref="J128:O128" si="45">J121/J127</f>
        <v>0</v>
      </c>
      <c r="K128" s="211">
        <f t="shared" si="45"/>
        <v>0</v>
      </c>
      <c r="L128" s="211">
        <f t="shared" si="45"/>
        <v>2.2724620372426165</v>
      </c>
      <c r="M128" s="211">
        <f t="shared" si="45"/>
        <v>1.4277297134777123</v>
      </c>
      <c r="N128" s="211">
        <f t="shared" si="45"/>
        <v>0.71386485673903233</v>
      </c>
      <c r="O128" s="211">
        <f t="shared" si="45"/>
        <v>0.3569324283694742</v>
      </c>
      <c r="P128" s="211">
        <f t="shared" ref="P128" si="46">P121/P127</f>
        <v>7.1386485673774078E-2</v>
      </c>
      <c r="Q128" s="212">
        <f>Q121/Q127</f>
        <v>-4.857354353064421E-16</v>
      </c>
    </row>
    <row r="129" spans="8:17" ht="18" x14ac:dyDescent="0.25">
      <c r="H129" s="213" t="s">
        <v>89</v>
      </c>
      <c r="I129" s="214" t="s">
        <v>109</v>
      </c>
      <c r="J129" s="215">
        <f t="shared" ref="J129:O129" si="47">J122/J127</f>
        <v>0</v>
      </c>
      <c r="K129" s="215">
        <f t="shared" si="47"/>
        <v>0</v>
      </c>
      <c r="L129" s="215">
        <f t="shared" si="47"/>
        <v>0.3795005710850794</v>
      </c>
      <c r="M129" s="215">
        <f t="shared" si="47"/>
        <v>0.41446300725661223</v>
      </c>
      <c r="N129" s="215">
        <f t="shared" si="47"/>
        <v>0.51032718413336009</v>
      </c>
      <c r="O129" s="215">
        <f t="shared" si="47"/>
        <v>0.6075810799248802</v>
      </c>
      <c r="P129" s="215">
        <f t="shared" ref="P129" si="48">P122/P127</f>
        <v>0.8093593508906578</v>
      </c>
      <c r="Q129" s="216">
        <f>Q122/Q127</f>
        <v>1.3152976117722468</v>
      </c>
    </row>
    <row r="130" spans="8:17" ht="18" x14ac:dyDescent="0.25">
      <c r="H130" s="213" t="s">
        <v>90</v>
      </c>
      <c r="I130" s="214" t="s">
        <v>109</v>
      </c>
      <c r="J130" s="215">
        <f t="shared" ref="J130:O130" si="49">J123/J127</f>
        <v>0</v>
      </c>
      <c r="K130" s="215">
        <f t="shared" si="49"/>
        <v>0</v>
      </c>
      <c r="L130" s="215">
        <f t="shared" si="49"/>
        <v>7.6139133742867446E-2</v>
      </c>
      <c r="M130" s="215">
        <f t="shared" si="49"/>
        <v>9.2188858363751777E-2</v>
      </c>
      <c r="N130" s="215">
        <f t="shared" si="49"/>
        <v>8.9331189559282959E-2</v>
      </c>
      <c r="O130" s="215">
        <f t="shared" si="49"/>
        <v>8.3633727517787762E-2</v>
      </c>
      <c r="P130" s="215">
        <f t="shared" ref="P130" si="50">P123/P127</f>
        <v>8.6337940074054084E-2</v>
      </c>
      <c r="Q130" s="216">
        <f>Q123/Q127</f>
        <v>0.1587811802720091</v>
      </c>
    </row>
    <row r="131" spans="8:17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O131" si="51">K124/K127</f>
        <v>0</v>
      </c>
      <c r="L131" s="215">
        <f t="shared" si="51"/>
        <v>0</v>
      </c>
      <c r="M131" s="215">
        <f t="shared" si="51"/>
        <v>4.2420237882139146E-2</v>
      </c>
      <c r="N131" s="215">
        <f t="shared" si="51"/>
        <v>0.11017296159266957</v>
      </c>
      <c r="O131" s="215">
        <f t="shared" si="51"/>
        <v>0.15264889813201715</v>
      </c>
      <c r="P131" s="215">
        <f t="shared" ref="P131" si="52">P124/P127</f>
        <v>0.21338252925965423</v>
      </c>
      <c r="Q131" s="216">
        <f>Q124/Q127</f>
        <v>0.30291071104595951</v>
      </c>
    </row>
    <row r="132" spans="8:17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53">-K126/K127</f>
        <v>-9.4245252972192066</v>
      </c>
      <c r="L132" s="215">
        <f t="shared" si="53"/>
        <v>-9.4245252972192066</v>
      </c>
      <c r="M132" s="215">
        <f t="shared" si="53"/>
        <v>-9.4245252972203968</v>
      </c>
      <c r="N132" s="215">
        <f t="shared" si="53"/>
        <v>-9.4245252972200717</v>
      </c>
      <c r="O132" s="215">
        <f t="shared" si="53"/>
        <v>-9.4245252972199971</v>
      </c>
      <c r="P132" s="215">
        <f t="shared" ref="P132" si="54">-P126/P127</f>
        <v>-9.4245252972199971</v>
      </c>
      <c r="Q132" s="216">
        <f>-Q126/Q127</f>
        <v>-9.4245252972206099</v>
      </c>
    </row>
    <row r="133" spans="8:17" ht="18" x14ac:dyDescent="0.25">
      <c r="H133" s="217" t="s">
        <v>101</v>
      </c>
      <c r="I133" s="218" t="s">
        <v>108</v>
      </c>
      <c r="J133" s="219">
        <f t="shared" ref="J133:O133" si="55">SUM(J128:J132)</f>
        <v>-9.4245252972192066</v>
      </c>
      <c r="K133" s="219">
        <f t="shared" si="55"/>
        <v>-9.4245252972192066</v>
      </c>
      <c r="L133" s="219">
        <f t="shared" si="55"/>
        <v>-6.6964235551486428</v>
      </c>
      <c r="M133" s="219">
        <f t="shared" si="55"/>
        <v>-7.4477234802401817</v>
      </c>
      <c r="N133" s="219">
        <f t="shared" si="55"/>
        <v>-8.0008291051957272</v>
      </c>
      <c r="O133" s="219">
        <f t="shared" si="55"/>
        <v>-8.2237291632758378</v>
      </c>
      <c r="P133" s="219">
        <f t="shared" ref="P133" si="56">SUM(P128:P132)</f>
        <v>-8.2440589913218574</v>
      </c>
      <c r="Q133" s="220">
        <f>SUM(Q128:Q132)</f>
        <v>-7.6475357941303947</v>
      </c>
    </row>
    <row r="134" spans="8:17" x14ac:dyDescent="0.25">
      <c r="J134" s="31"/>
      <c r="K134" s="31"/>
      <c r="L134" s="31"/>
      <c r="M134" s="31"/>
      <c r="N134" s="31"/>
    </row>
    <row r="136" spans="8:17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O136" si="57">SUM(K106:K108)</f>
        <v>0</v>
      </c>
      <c r="L136" s="366">
        <f t="shared" si="57"/>
        <v>0.15836228028289245</v>
      </c>
      <c r="M136" s="366">
        <f t="shared" si="57"/>
        <v>0.20057357896898992</v>
      </c>
      <c r="N136" s="366">
        <f t="shared" si="57"/>
        <v>0.26334262334772846</v>
      </c>
      <c r="O136" s="366">
        <f t="shared" si="57"/>
        <v>0.31155695245383658</v>
      </c>
      <c r="P136" s="366">
        <f t="shared" ref="P136" si="58">SUM(P106:P108)</f>
        <v>0.40565534126379948</v>
      </c>
      <c r="Q136" s="367">
        <f>SUM(Q106:Q108)</f>
        <v>0.64693622964980957</v>
      </c>
    </row>
    <row r="137" spans="8:17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O137" si="59">SUM(K129:K131)</f>
        <v>0</v>
      </c>
      <c r="L137" s="289">
        <f t="shared" si="59"/>
        <v>0.45563970482794686</v>
      </c>
      <c r="M137" s="289">
        <f t="shared" si="59"/>
        <v>0.54907210350250313</v>
      </c>
      <c r="N137" s="289">
        <f t="shared" si="59"/>
        <v>0.70983133528531261</v>
      </c>
      <c r="O137" s="289">
        <f t="shared" si="59"/>
        <v>0.84386370557468515</v>
      </c>
      <c r="P137" s="289">
        <f t="shared" ref="P137" si="60">SUM(P129:P131)</f>
        <v>1.1090798202243661</v>
      </c>
      <c r="Q137" s="370">
        <f>SUM(Q129:Q131)</f>
        <v>1.7769895030902154</v>
      </c>
    </row>
    <row r="138" spans="8:17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O138" si="61">K128</f>
        <v>0</v>
      </c>
      <c r="L138" s="289">
        <f t="shared" si="61"/>
        <v>2.2724620372426165</v>
      </c>
      <c r="M138" s="289">
        <f t="shared" si="61"/>
        <v>1.4277297134777123</v>
      </c>
      <c r="N138" s="289">
        <f t="shared" si="61"/>
        <v>0.71386485673903233</v>
      </c>
      <c r="O138" s="289">
        <f t="shared" si="61"/>
        <v>0.3569324283694742</v>
      </c>
      <c r="P138" s="289">
        <f t="shared" ref="P138" si="62">P128</f>
        <v>7.1386485673774078E-2</v>
      </c>
      <c r="Q138" s="370">
        <f>Q128</f>
        <v>-4.857354353064421E-16</v>
      </c>
    </row>
    <row r="139" spans="8:17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63">K132</f>
        <v>-9.4245252972192066</v>
      </c>
      <c r="L139" s="289">
        <f t="shared" si="63"/>
        <v>-9.4245252972192066</v>
      </c>
      <c r="M139" s="289">
        <f t="shared" si="63"/>
        <v>-9.4245252972203968</v>
      </c>
      <c r="N139" s="289">
        <f t="shared" si="63"/>
        <v>-9.4245252972200717</v>
      </c>
      <c r="O139" s="289">
        <f t="shared" si="63"/>
        <v>-9.4245252972199971</v>
      </c>
      <c r="P139" s="289">
        <f t="shared" ref="P139" si="64">P132</f>
        <v>-9.4245252972199971</v>
      </c>
      <c r="Q139" s="370">
        <f>Q132</f>
        <v>-9.4245252972206099</v>
      </c>
    </row>
    <row r="140" spans="8:17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O140" si="65">K136+K138+K139</f>
        <v>-9.4245252972192066</v>
      </c>
      <c r="L140" s="289">
        <f t="shared" si="65"/>
        <v>-6.9937009796936973</v>
      </c>
      <c r="M140" s="289">
        <f t="shared" si="65"/>
        <v>-7.7962220047736945</v>
      </c>
      <c r="N140" s="289">
        <f t="shared" si="65"/>
        <v>-8.4473178171333103</v>
      </c>
      <c r="O140" s="289">
        <f t="shared" si="65"/>
        <v>-8.7560359163966872</v>
      </c>
      <c r="P140" s="289">
        <f t="shared" ref="P140" si="66">P136+P138+P139</f>
        <v>-8.9474834702824229</v>
      </c>
      <c r="Q140" s="370">
        <f>Q136+Q138+Q139</f>
        <v>-8.7775890675708013</v>
      </c>
    </row>
    <row r="141" spans="8:17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O141" si="67">K137+K138+K139</f>
        <v>-9.4245252972192066</v>
      </c>
      <c r="L141" s="374">
        <f t="shared" si="67"/>
        <v>-6.6964235551486428</v>
      </c>
      <c r="M141" s="374">
        <f t="shared" si="67"/>
        <v>-7.4477234802401817</v>
      </c>
      <c r="N141" s="374">
        <f t="shared" si="67"/>
        <v>-8.0008291051957272</v>
      </c>
      <c r="O141" s="374">
        <f t="shared" si="67"/>
        <v>-8.2237291632758378</v>
      </c>
      <c r="P141" s="374">
        <f t="shared" ref="P141" si="68">P137+P138+P139</f>
        <v>-8.2440589913218574</v>
      </c>
      <c r="Q141" s="375">
        <f>Q137+Q138+Q139</f>
        <v>-7.6475357941303947</v>
      </c>
    </row>
    <row r="142" spans="8:17" x14ac:dyDescent="0.25">
      <c r="H142" s="376" t="s">
        <v>196</v>
      </c>
      <c r="I142" s="377"/>
      <c r="J142" s="378">
        <f>J140-J110</f>
        <v>-9.4245252972192066</v>
      </c>
      <c r="K142" s="378">
        <f t="shared" ref="K142:O142" si="69">K140-K110</f>
        <v>-9.4245252972192066</v>
      </c>
      <c r="L142" s="378">
        <f t="shared" si="69"/>
        <v>0</v>
      </c>
      <c r="M142" s="378">
        <f t="shared" si="69"/>
        <v>0</v>
      </c>
      <c r="N142" s="378">
        <f t="shared" si="69"/>
        <v>0</v>
      </c>
      <c r="O142" s="378">
        <f t="shared" si="69"/>
        <v>0</v>
      </c>
      <c r="P142" s="378">
        <f t="shared" ref="P142" si="70">P140-P110</f>
        <v>0</v>
      </c>
      <c r="Q142" s="379">
        <f>Q140-Q110</f>
        <v>0</v>
      </c>
    </row>
    <row r="143" spans="8:17" x14ac:dyDescent="0.25">
      <c r="H143" s="380" t="s">
        <v>197</v>
      </c>
      <c r="I143" s="381"/>
      <c r="J143" s="382">
        <f>J141-J133</f>
        <v>0</v>
      </c>
      <c r="K143" s="382">
        <f t="shared" ref="K143:O143" si="71">K141-K133</f>
        <v>0</v>
      </c>
      <c r="L143" s="382">
        <f t="shared" si="71"/>
        <v>0</v>
      </c>
      <c r="M143" s="382">
        <f t="shared" si="71"/>
        <v>0</v>
      </c>
      <c r="N143" s="382">
        <f t="shared" si="71"/>
        <v>0</v>
      </c>
      <c r="O143" s="382">
        <f t="shared" si="71"/>
        <v>0</v>
      </c>
      <c r="P143" s="382">
        <f t="shared" ref="P143" si="72">P141-P133</f>
        <v>0</v>
      </c>
      <c r="Q143" s="383">
        <f>Q141-Q133</f>
        <v>0</v>
      </c>
    </row>
    <row r="144" spans="8:17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744F-740E-4EC1-82D4-F5D35D29FD48}">
  <sheetPr codeName="Foglio21"/>
  <dimension ref="A3:AA151"/>
  <sheetViews>
    <sheetView topLeftCell="A58" zoomScale="40" zoomScaleNormal="40" workbookViewId="0">
      <selection activeCell="AB50" sqref="AB50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6" x14ac:dyDescent="0.25">
      <c r="U3" s="1"/>
      <c r="V3" s="1"/>
      <c r="W3" s="2"/>
    </row>
    <row r="4" spans="1:26" x14ac:dyDescent="0.25">
      <c r="A4" s="225" t="s">
        <v>102</v>
      </c>
      <c r="B4" s="225" t="s">
        <v>164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5"/>
      <c r="U4" s="6"/>
      <c r="V4" s="6"/>
    </row>
    <row r="5" spans="1:26" ht="15.75" thickBot="1" x14ac:dyDescent="0.3">
      <c r="H5" s="7" t="s">
        <v>1</v>
      </c>
      <c r="I5" s="8" t="s">
        <v>2</v>
      </c>
      <c r="J5" s="9"/>
      <c r="K5" s="9">
        <v>0.6705693613007746</v>
      </c>
      <c r="L5" s="9">
        <v>0.79999999999998594</v>
      </c>
      <c r="M5" s="9">
        <v>0.90000000000033675</v>
      </c>
      <c r="N5" s="9">
        <v>0.95000000000011542</v>
      </c>
      <c r="O5" s="9">
        <v>0.99000000000038058</v>
      </c>
      <c r="P5" s="10">
        <v>1.000000000000097</v>
      </c>
      <c r="R5" s="11" t="str">
        <f>H5</f>
        <v>Renewable Energy Share</v>
      </c>
      <c r="S5" s="296"/>
      <c r="T5" s="296">
        <f t="shared" ref="T5:W8" si="0">K5</f>
        <v>0.6705693613007746</v>
      </c>
      <c r="U5" s="296">
        <f t="shared" si="0"/>
        <v>0.79999999999998594</v>
      </c>
      <c r="V5" s="296">
        <f t="shared" si="0"/>
        <v>0.90000000000033675</v>
      </c>
      <c r="W5" s="296">
        <f t="shared" si="0"/>
        <v>0.95000000000011542</v>
      </c>
      <c r="X5" s="296">
        <f t="shared" ref="X5:X13" si="1">P5</f>
        <v>1.000000000000097</v>
      </c>
      <c r="Y5" s="12"/>
      <c r="Z5" s="12"/>
    </row>
    <row r="6" spans="1:26" ht="15.75" thickTop="1" x14ac:dyDescent="0.25">
      <c r="C6" s="13"/>
      <c r="H6" s="14" t="s">
        <v>3</v>
      </c>
      <c r="I6" s="15" t="s">
        <v>4</v>
      </c>
      <c r="J6" s="16"/>
      <c r="K6" s="16">
        <v>1.56753562135582</v>
      </c>
      <c r="L6" s="16">
        <v>2.7331953037104695</v>
      </c>
      <c r="M6" s="16">
        <v>4.4205933209628387</v>
      </c>
      <c r="N6" s="16">
        <v>6.5056081291477543</v>
      </c>
      <c r="O6" s="16">
        <v>9.4593171603915138</v>
      </c>
      <c r="P6" s="17">
        <v>12.641740910663081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1.56753562135582</v>
      </c>
      <c r="U6" s="19">
        <f t="shared" si="0"/>
        <v>2.7331953037104695</v>
      </c>
      <c r="V6" s="19">
        <f t="shared" si="0"/>
        <v>4.4205933209628387</v>
      </c>
      <c r="W6" s="19">
        <f t="shared" si="0"/>
        <v>6.5056081291477543</v>
      </c>
      <c r="X6" s="19">
        <f t="shared" si="1"/>
        <v>12.641740910663081</v>
      </c>
      <c r="Y6" s="19"/>
      <c r="Z6" s="19"/>
    </row>
    <row r="7" spans="1:26" x14ac:dyDescent="0.25">
      <c r="A7" s="13"/>
      <c r="B7" s="20"/>
      <c r="C7" s="13"/>
      <c r="H7" s="21" t="s">
        <v>5</v>
      </c>
      <c r="I7" s="6" t="s">
        <v>4</v>
      </c>
      <c r="J7" s="22"/>
      <c r="K7" s="22">
        <v>1.143767318159528</v>
      </c>
      <c r="L7" s="22">
        <v>1.336906274410248</v>
      </c>
      <c r="M7" s="22">
        <v>1.4283157310912609</v>
      </c>
      <c r="N7" s="22">
        <v>1.5456363728488105</v>
      </c>
      <c r="O7" s="22">
        <v>2.1442917380616495</v>
      </c>
      <c r="P7" s="23">
        <v>1.3299076018056171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1.143767318159528</v>
      </c>
      <c r="U7" s="22">
        <f t="shared" si="0"/>
        <v>1.336906274410248</v>
      </c>
      <c r="V7" s="22">
        <f t="shared" si="0"/>
        <v>1.4283157310912609</v>
      </c>
      <c r="W7" s="22">
        <f t="shared" si="0"/>
        <v>1.5456363728488105</v>
      </c>
      <c r="X7" s="22">
        <f t="shared" si="1"/>
        <v>1.3299076018056171</v>
      </c>
      <c r="Y7" s="22"/>
      <c r="Z7" s="22"/>
    </row>
    <row r="8" spans="1:26" x14ac:dyDescent="0.25">
      <c r="A8" s="13"/>
      <c r="B8" s="20"/>
      <c r="C8" s="13"/>
      <c r="H8" s="21" t="s">
        <v>6</v>
      </c>
      <c r="I8" s="6" t="s">
        <v>7</v>
      </c>
      <c r="J8" s="22"/>
      <c r="K8" s="22">
        <v>0</v>
      </c>
      <c r="L8" s="22">
        <v>3.2118471567770377</v>
      </c>
      <c r="M8" s="22">
        <v>10.040429903315973</v>
      </c>
      <c r="N8" s="22">
        <v>14.550910582032987</v>
      </c>
      <c r="O8" s="22">
        <v>37.209059630944346</v>
      </c>
      <c r="P8" s="23">
        <v>121.2428547473434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3.2118471567770377</v>
      </c>
      <c r="V8" s="22">
        <f t="shared" si="0"/>
        <v>10.040429903315973</v>
      </c>
      <c r="W8" s="22">
        <f t="shared" si="0"/>
        <v>14.550910582032987</v>
      </c>
      <c r="X8" s="22">
        <f t="shared" si="1"/>
        <v>121.2428547473434</v>
      </c>
      <c r="Y8" s="22"/>
      <c r="Z8" s="22"/>
    </row>
    <row r="9" spans="1:26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>
        <v>0</v>
      </c>
      <c r="L9" s="27">
        <v>158</v>
      </c>
      <c r="M9" s="27">
        <v>119</v>
      </c>
      <c r="N9" s="27">
        <v>98</v>
      </c>
      <c r="O9" s="27">
        <v>33</v>
      </c>
      <c r="P9" s="28">
        <v>18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ref="U9:W13" si="4">L9</f>
        <v>158</v>
      </c>
      <c r="V9" s="29">
        <f t="shared" si="4"/>
        <v>119</v>
      </c>
      <c r="W9" s="29">
        <f t="shared" si="4"/>
        <v>98</v>
      </c>
      <c r="X9" s="29">
        <f t="shared" si="1"/>
        <v>18</v>
      </c>
      <c r="Y9" s="29"/>
      <c r="Z9" s="29"/>
    </row>
    <row r="10" spans="1:26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>
        <v>0</v>
      </c>
      <c r="L10" s="16">
        <v>7.6216909980868122E-4</v>
      </c>
      <c r="M10" s="16">
        <v>2.0640907192141919E-3</v>
      </c>
      <c r="N10" s="16">
        <v>2.5306651554103552E-3</v>
      </c>
      <c r="O10" s="16">
        <v>1.7181850146419887E-3</v>
      </c>
      <c r="P10" s="17">
        <v>2.2964055994235573E-3</v>
      </c>
      <c r="R10" s="18" t="str">
        <f t="shared" si="3"/>
        <v>Biogas storage size</v>
      </c>
      <c r="S10" s="19" t="str">
        <f>I10</f>
        <v>m3</v>
      </c>
      <c r="T10" s="19">
        <f>K10</f>
        <v>0</v>
      </c>
      <c r="U10" s="30">
        <f t="shared" si="4"/>
        <v>7.6216909980868122E-4</v>
      </c>
      <c r="V10" s="30">
        <f t="shared" si="4"/>
        <v>2.0640907192141919E-3</v>
      </c>
      <c r="W10" s="30">
        <f t="shared" si="4"/>
        <v>2.5306651554103552E-3</v>
      </c>
      <c r="X10" s="30">
        <f t="shared" si="1"/>
        <v>2.2964055994235573E-3</v>
      </c>
      <c r="Y10" s="30"/>
      <c r="Z10" s="30"/>
    </row>
    <row r="11" spans="1:26" x14ac:dyDescent="0.25">
      <c r="H11" s="21" t="s">
        <v>11</v>
      </c>
      <c r="I11" s="6" t="s">
        <v>12</v>
      </c>
      <c r="J11" s="22"/>
      <c r="K11" s="22">
        <v>0</v>
      </c>
      <c r="L11" s="22">
        <v>1.539997129148631E-5</v>
      </c>
      <c r="M11" s="22">
        <v>4.1705886301217145E-5</v>
      </c>
      <c r="N11" s="22">
        <v>5.1133233755431644E-5</v>
      </c>
      <c r="O11" s="22">
        <v>3.4716705132221402E-5</v>
      </c>
      <c r="P11" s="23">
        <v>4.6399913501621055E-5</v>
      </c>
      <c r="R11" s="24" t="str">
        <f t="shared" si="3"/>
        <v>Biogas storage hours</v>
      </c>
      <c r="S11" s="22" t="str">
        <f t="shared" si="2"/>
        <v>h</v>
      </c>
      <c r="T11" s="22">
        <f>K11</f>
        <v>0</v>
      </c>
      <c r="U11" s="22">
        <f t="shared" si="4"/>
        <v>1.539997129148631E-5</v>
      </c>
      <c r="V11" s="22">
        <f t="shared" si="4"/>
        <v>4.1705886301217145E-5</v>
      </c>
      <c r="W11" s="22">
        <f t="shared" si="4"/>
        <v>5.1133233755431644E-5</v>
      </c>
      <c r="X11" s="22">
        <f t="shared" si="1"/>
        <v>4.6399913501621055E-5</v>
      </c>
      <c r="Y11" s="22"/>
      <c r="Z11" s="22"/>
    </row>
    <row r="12" spans="1:26" x14ac:dyDescent="0.25">
      <c r="H12" s="21" t="s">
        <v>13</v>
      </c>
      <c r="I12" s="6" t="s">
        <v>18</v>
      </c>
      <c r="J12" s="22"/>
      <c r="K12" s="22">
        <v>0</v>
      </c>
      <c r="L12" s="22">
        <v>1.4250713962837835E-3</v>
      </c>
      <c r="M12" s="22">
        <v>5.4154794065652823E-4</v>
      </c>
      <c r="N12" s="22">
        <v>3.8283189951471123E-10</v>
      </c>
      <c r="O12" s="22">
        <v>-5.1727511163335294E-12</v>
      </c>
      <c r="P12" s="23">
        <v>7.6867198332877251E-3</v>
      </c>
      <c r="R12" s="24" t="str">
        <f t="shared" si="3"/>
        <v>Syngas storage size</v>
      </c>
      <c r="S12" s="22" t="str">
        <f t="shared" si="2"/>
        <v>m3</v>
      </c>
      <c r="T12" s="22">
        <f>K12</f>
        <v>0</v>
      </c>
      <c r="U12" s="31">
        <f t="shared" si="4"/>
        <v>1.4250713962837835E-3</v>
      </c>
      <c r="V12" s="31">
        <f t="shared" si="4"/>
        <v>5.4154794065652823E-4</v>
      </c>
      <c r="W12" s="31">
        <f t="shared" si="4"/>
        <v>3.8283189951471123E-10</v>
      </c>
      <c r="X12" s="31">
        <f t="shared" si="1"/>
        <v>7.6867198332877251E-3</v>
      </c>
      <c r="Y12" s="31"/>
      <c r="Z12" s="31"/>
    </row>
    <row r="13" spans="1:26" x14ac:dyDescent="0.25">
      <c r="H13" s="32" t="s">
        <v>14</v>
      </c>
      <c r="I13" s="26" t="s">
        <v>12</v>
      </c>
      <c r="J13" s="33"/>
      <c r="K13" s="33">
        <v>0</v>
      </c>
      <c r="L13" s="33">
        <v>7.0576822185352815E-6</v>
      </c>
      <c r="M13" s="33">
        <v>2.6820223051441174E-6</v>
      </c>
      <c r="N13" s="33">
        <v>1.8959793150988312E-12</v>
      </c>
      <c r="O13" s="33">
        <v>-2.5618108446957894E-14</v>
      </c>
      <c r="P13" s="34">
        <v>3.8068566969857296E-5</v>
      </c>
      <c r="R13" s="24" t="str">
        <f t="shared" si="3"/>
        <v>Syngas storage hours</v>
      </c>
      <c r="S13" s="22" t="str">
        <f t="shared" si="2"/>
        <v>h</v>
      </c>
      <c r="T13" s="22">
        <f>K13</f>
        <v>0</v>
      </c>
      <c r="U13" s="22">
        <f t="shared" si="4"/>
        <v>7.0576822185352815E-6</v>
      </c>
      <c r="V13" s="22">
        <f t="shared" si="4"/>
        <v>2.6820223051441174E-6</v>
      </c>
      <c r="W13" s="22">
        <f t="shared" si="4"/>
        <v>1.8959793150988312E-12</v>
      </c>
      <c r="X13" s="22">
        <f t="shared" si="1"/>
        <v>3.8068566969857296E-5</v>
      </c>
      <c r="Y13" s="22"/>
      <c r="Z13" s="22"/>
    </row>
    <row r="14" spans="1:26" x14ac:dyDescent="0.25">
      <c r="H14" s="25" t="s">
        <v>15</v>
      </c>
      <c r="I14" s="26" t="s">
        <v>16</v>
      </c>
      <c r="J14" s="35"/>
      <c r="K14" s="35">
        <v>3.8390452504944408</v>
      </c>
      <c r="L14" s="35">
        <v>3.9357014794385603</v>
      </c>
      <c r="M14" s="35">
        <v>4.1673331935314621</v>
      </c>
      <c r="N14" s="35">
        <v>4.4340671130293767</v>
      </c>
      <c r="O14" s="35">
        <v>5.5505518674917855</v>
      </c>
      <c r="P14" s="36">
        <v>7.6030802859694999</v>
      </c>
      <c r="R14" s="37" t="s">
        <v>17</v>
      </c>
      <c r="S14" s="6" t="s">
        <v>18</v>
      </c>
      <c r="T14" s="22">
        <f>[13]NoSP!$F$112</f>
        <v>0</v>
      </c>
      <c r="U14" s="31">
        <f>'[13]80SP'!$F$112</f>
        <v>0</v>
      </c>
      <c r="V14" s="31">
        <f>'[13]90SP'!$F$112</f>
        <v>0</v>
      </c>
      <c r="W14" s="31">
        <f>'[13]95SP'!$F$112</f>
        <v>0</v>
      </c>
      <c r="X14" s="31">
        <f>'[13]100SP'!$F$112</f>
        <v>0</v>
      </c>
      <c r="Y14" s="31"/>
      <c r="Z14" s="31"/>
    </row>
    <row r="15" spans="1:26" ht="15.75" thickBot="1" x14ac:dyDescent="0.3">
      <c r="H15" s="14" t="s">
        <v>19</v>
      </c>
      <c r="I15" s="15" t="s">
        <v>2</v>
      </c>
      <c r="J15" s="38"/>
      <c r="K15" s="38">
        <v>1</v>
      </c>
      <c r="L15" s="38">
        <v>1.0000001999999999</v>
      </c>
      <c r="M15" s="38">
        <v>1.0000001574629211</v>
      </c>
      <c r="N15" s="38">
        <v>1.0000001432624319</v>
      </c>
      <c r="O15" s="38">
        <v>1.0000000546583847</v>
      </c>
      <c r="P15" s="39">
        <v>1.0000001541062484</v>
      </c>
      <c r="R15" s="40" t="s">
        <v>20</v>
      </c>
      <c r="S15" s="41" t="s">
        <v>12</v>
      </c>
      <c r="T15" s="41">
        <f>[13]NoSP!$B$169</f>
        <v>0</v>
      </c>
      <c r="U15" s="41">
        <f>'[13]80SP'!$B$169</f>
        <v>0</v>
      </c>
      <c r="V15" s="41">
        <f>'[13]90SP'!$B$169</f>
        <v>0</v>
      </c>
      <c r="W15" s="41">
        <f>'[13]95SP'!$B$169</f>
        <v>0</v>
      </c>
      <c r="X15" s="41">
        <f>'[13]100SP'!$B$169</f>
        <v>0</v>
      </c>
      <c r="Y15" s="41"/>
      <c r="Z15" s="41"/>
    </row>
    <row r="16" spans="1:26" ht="15.75" thickTop="1" x14ac:dyDescent="0.25">
      <c r="H16" s="25" t="s">
        <v>21</v>
      </c>
      <c r="I16" s="26" t="s">
        <v>2</v>
      </c>
      <c r="J16" s="42"/>
      <c r="K16" s="42">
        <v>1.000000000000006</v>
      </c>
      <c r="L16" s="42">
        <v>1.0000000467598364</v>
      </c>
      <c r="M16" s="42">
        <v>1.0000001128730513</v>
      </c>
      <c r="N16" s="42">
        <v>1.000000143380531</v>
      </c>
      <c r="O16" s="42">
        <v>1.0000000547034564</v>
      </c>
      <c r="P16" s="43">
        <v>1.0000000353950131</v>
      </c>
      <c r="R16" s="37" t="str">
        <f>H15</f>
        <v>Syngas generation size</v>
      </c>
      <c r="S16" s="6" t="s">
        <v>2</v>
      </c>
      <c r="T16" s="297">
        <f t="shared" ref="T16:W17" si="5">K15</f>
        <v>1</v>
      </c>
      <c r="U16" s="297">
        <f t="shared" si="5"/>
        <v>1.0000001999999999</v>
      </c>
      <c r="V16" s="297">
        <f t="shared" si="5"/>
        <v>1.0000001574629211</v>
      </c>
      <c r="W16" s="297">
        <f t="shared" si="5"/>
        <v>1.0000001432624319</v>
      </c>
      <c r="X16" s="297">
        <f>P15</f>
        <v>1.0000001541062484</v>
      </c>
      <c r="Y16" s="44"/>
      <c r="Z16" s="44"/>
    </row>
    <row r="17" spans="2:26" ht="15.75" thickBot="1" x14ac:dyDescent="0.3">
      <c r="R17" s="40" t="str">
        <f>H16</f>
        <v>Gas Separation size</v>
      </c>
      <c r="S17" s="45" t="s">
        <v>2</v>
      </c>
      <c r="T17" s="298">
        <f t="shared" si="5"/>
        <v>1.000000000000006</v>
      </c>
      <c r="U17" s="298">
        <f t="shared" si="5"/>
        <v>1.0000000467598364</v>
      </c>
      <c r="V17" s="298">
        <f t="shared" si="5"/>
        <v>1.0000001128730513</v>
      </c>
      <c r="W17" s="298">
        <f t="shared" si="5"/>
        <v>1.000000143380531</v>
      </c>
      <c r="X17" s="298">
        <f>P16</f>
        <v>1.0000000353950131</v>
      </c>
      <c r="Y17" s="46"/>
      <c r="Z17" s="46"/>
    </row>
    <row r="18" spans="2:26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9"/>
    </row>
    <row r="19" spans="2:26" x14ac:dyDescent="0.25">
      <c r="H19" s="50" t="s">
        <v>1</v>
      </c>
      <c r="I19" s="8" t="s">
        <v>2</v>
      </c>
      <c r="J19" s="9"/>
      <c r="K19" s="9">
        <v>0.6705693613007746</v>
      </c>
      <c r="L19" s="9">
        <v>0.79999999999998594</v>
      </c>
      <c r="M19" s="9">
        <v>0.90000000000033675</v>
      </c>
      <c r="N19" s="9">
        <v>0.95000000000011542</v>
      </c>
      <c r="O19" s="9">
        <v>0.99000000000038058</v>
      </c>
      <c r="P19" s="10">
        <v>1.000000000000097</v>
      </c>
    </row>
    <row r="20" spans="2:26" x14ac:dyDescent="0.25">
      <c r="H20" s="51" t="s">
        <v>23</v>
      </c>
      <c r="I20" s="52" t="s">
        <v>24</v>
      </c>
      <c r="J20" s="53"/>
      <c r="K20" s="53">
        <v>-9678.987524377837</v>
      </c>
      <c r="L20" s="53">
        <v>-9678.9875243784718</v>
      </c>
      <c r="M20" s="53">
        <v>-9678.9875243787665</v>
      </c>
      <c r="N20" s="53">
        <v>-9678.9875243775496</v>
      </c>
      <c r="O20" s="53">
        <v>-9678.9875243779534</v>
      </c>
      <c r="P20" s="54">
        <v>-9678.987524377495</v>
      </c>
    </row>
    <row r="21" spans="2:26" x14ac:dyDescent="0.25">
      <c r="B21" s="55"/>
      <c r="H21" s="56" t="s">
        <v>25</v>
      </c>
      <c r="I21" s="57" t="s">
        <v>24</v>
      </c>
      <c r="J21" s="58"/>
      <c r="K21" s="58">
        <v>-1702.5570878064136</v>
      </c>
      <c r="L21" s="58">
        <v>-1702.5570878063043</v>
      </c>
      <c r="M21" s="58">
        <v>-1702.5570878064675</v>
      </c>
      <c r="N21" s="58">
        <v>-1702.5570878066815</v>
      </c>
      <c r="O21" s="58">
        <v>-1702.5570878068675</v>
      </c>
      <c r="P21" s="59">
        <v>-1702.55708780649</v>
      </c>
      <c r="Q21" s="60"/>
    </row>
    <row r="22" spans="2:26" x14ac:dyDescent="0.25">
      <c r="H22" s="61" t="s">
        <v>26</v>
      </c>
      <c r="I22" s="6" t="s">
        <v>24</v>
      </c>
      <c r="J22" s="31"/>
      <c r="K22" s="31">
        <v>1357.6027596033882</v>
      </c>
      <c r="L22" s="31">
        <v>2367.1509829186102</v>
      </c>
      <c r="M22" s="31">
        <v>3828.5635170654828</v>
      </c>
      <c r="N22" s="31">
        <v>5634.3418476130901</v>
      </c>
      <c r="O22" s="31">
        <v>8192.4741651508084</v>
      </c>
      <c r="P22" s="62">
        <v>10948.690487596585</v>
      </c>
      <c r="Q22" s="60"/>
    </row>
    <row r="23" spans="2:26" x14ac:dyDescent="0.25">
      <c r="H23" s="61" t="s">
        <v>27</v>
      </c>
      <c r="I23" s="6" t="s">
        <v>24</v>
      </c>
      <c r="J23" s="31"/>
      <c r="K23" s="31">
        <v>5520.9213747353169</v>
      </c>
      <c r="L23" s="31">
        <v>6453.1957761184103</v>
      </c>
      <c r="M23" s="31">
        <v>6894.4257494098492</v>
      </c>
      <c r="N23" s="31">
        <v>7460.7280282852234</v>
      </c>
      <c r="O23" s="31">
        <v>10350.414723671754</v>
      </c>
      <c r="P23" s="62">
        <v>6419.4134494474092</v>
      </c>
      <c r="Q23" s="60"/>
    </row>
    <row r="24" spans="2:26" x14ac:dyDescent="0.25">
      <c r="H24" s="61" t="s">
        <v>28</v>
      </c>
      <c r="I24" s="6" t="s">
        <v>24</v>
      </c>
      <c r="J24" s="31"/>
      <c r="K24" s="31">
        <v>3188.555042118423</v>
      </c>
      <c r="L24" s="31">
        <v>1935.7975048743515</v>
      </c>
      <c r="M24" s="31">
        <v>967.89875243620133</v>
      </c>
      <c r="N24" s="31">
        <v>483.94937621779928</v>
      </c>
      <c r="O24" s="31">
        <v>96.789875242667364</v>
      </c>
      <c r="P24" s="62">
        <v>2.6135614916711347E-10</v>
      </c>
      <c r="Q24" s="60"/>
    </row>
    <row r="25" spans="2:26" x14ac:dyDescent="0.25">
      <c r="H25" s="61" t="s">
        <v>29</v>
      </c>
      <c r="I25" s="6" t="s">
        <v>24</v>
      </c>
      <c r="J25" s="31"/>
      <c r="K25" s="31">
        <v>-388.09165207849355</v>
      </c>
      <c r="L25" s="31">
        <v>-1047.1754913720085</v>
      </c>
      <c r="M25" s="31">
        <v>-1941.6364896322596</v>
      </c>
      <c r="N25" s="31">
        <v>-3816.4648215331149</v>
      </c>
      <c r="O25" s="31">
        <v>-8889.4764287931157</v>
      </c>
      <c r="P25" s="62">
        <v>-7565.0356605345287</v>
      </c>
      <c r="Q25" s="60"/>
    </row>
    <row r="26" spans="2:26" x14ac:dyDescent="0.25">
      <c r="H26" s="61" t="s">
        <v>30</v>
      </c>
      <c r="I26" s="6" t="s">
        <v>24</v>
      </c>
      <c r="J26" s="31"/>
      <c r="K26" s="31">
        <v>0</v>
      </c>
      <c r="L26" s="31">
        <v>-507.29692322115505</v>
      </c>
      <c r="M26" s="31">
        <v>-1188.9002520968411</v>
      </c>
      <c r="N26" s="31">
        <v>-1413.991644761536</v>
      </c>
      <c r="O26" s="31">
        <v>-1204.9883399592507</v>
      </c>
      <c r="P26" s="62">
        <v>-2099.5051122001746</v>
      </c>
      <c r="Q26" s="60"/>
    </row>
    <row r="27" spans="2:26" x14ac:dyDescent="0.25">
      <c r="B27" s="63"/>
      <c r="H27" s="61" t="s">
        <v>31</v>
      </c>
      <c r="I27" s="6" t="s">
        <v>24</v>
      </c>
      <c r="J27" s="31"/>
      <c r="K27" s="31">
        <v>0</v>
      </c>
      <c r="L27" s="31">
        <v>477.31567505878445</v>
      </c>
      <c r="M27" s="31">
        <v>1118.6362471979178</v>
      </c>
      <c r="N27" s="31">
        <v>1330.4247385561273</v>
      </c>
      <c r="O27" s="31">
        <v>1133.7735290676605</v>
      </c>
      <c r="P27" s="62">
        <v>1975.4243600691448</v>
      </c>
    </row>
    <row r="28" spans="2:26" x14ac:dyDescent="0.25">
      <c r="H28" s="64" t="s">
        <v>32</v>
      </c>
      <c r="I28" s="65" t="s">
        <v>24</v>
      </c>
      <c r="J28" s="66"/>
      <c r="K28" s="66">
        <v>7.9853634815663099E-10</v>
      </c>
      <c r="L28" s="66">
        <v>-1.4784404811507557E-9</v>
      </c>
      <c r="M28" s="66">
        <v>1.5836576494621113E-9</v>
      </c>
      <c r="N28" s="66">
        <v>3.979039320256561E-11</v>
      </c>
      <c r="O28" s="66">
        <v>2.5718236429383978E-9</v>
      </c>
      <c r="P28" s="67">
        <v>1.2014425010420382E-9</v>
      </c>
    </row>
    <row r="30" spans="2:26" x14ac:dyDescent="0.25">
      <c r="H30" s="68" t="s">
        <v>15</v>
      </c>
    </row>
    <row r="31" spans="2:26" x14ac:dyDescent="0.25">
      <c r="H31" s="69" t="s">
        <v>33</v>
      </c>
      <c r="I31" s="70" t="s">
        <v>103</v>
      </c>
      <c r="J31" s="71"/>
      <c r="K31" s="71">
        <v>8.8443297457473827E-2</v>
      </c>
      <c r="L31" s="71">
        <v>0.15421200128539955</v>
      </c>
      <c r="M31" s="71">
        <v>0.2494181597521074</v>
      </c>
      <c r="N31" s="71">
        <v>0.36705860273234681</v>
      </c>
      <c r="O31" s="71">
        <v>0.53371240178741253</v>
      </c>
      <c r="P31" s="72">
        <v>0.71327071392168928</v>
      </c>
    </row>
    <row r="32" spans="2:26" x14ac:dyDescent="0.25">
      <c r="H32" s="73" t="s">
        <v>34</v>
      </c>
      <c r="I32" s="74" t="s">
        <v>103</v>
      </c>
      <c r="J32" s="75"/>
      <c r="K32" s="75">
        <v>0.51647885867098187</v>
      </c>
      <c r="L32" s="75">
        <v>0.60369256560727047</v>
      </c>
      <c r="M32" s="75">
        <v>0.6449693630019816</v>
      </c>
      <c r="N32" s="75">
        <v>0.69794659901103251</v>
      </c>
      <c r="O32" s="75">
        <v>0.96827504331374004</v>
      </c>
      <c r="P32" s="76">
        <v>0.60053224935970662</v>
      </c>
    </row>
    <row r="33" spans="8:16" x14ac:dyDescent="0.25">
      <c r="H33" s="73" t="s">
        <v>35</v>
      </c>
      <c r="I33" s="74" t="s">
        <v>103</v>
      </c>
      <c r="J33" s="75"/>
      <c r="K33" s="75">
        <v>0</v>
      </c>
      <c r="L33" s="75">
        <v>7.343492172565648E-2</v>
      </c>
      <c r="M33" s="75">
        <v>0.2295620395529151</v>
      </c>
      <c r="N33" s="75">
        <v>0.33268861420572976</v>
      </c>
      <c r="O33" s="75">
        <v>0.85073923138539276</v>
      </c>
      <c r="P33" s="76">
        <v>2.7720682565421582</v>
      </c>
    </row>
    <row r="34" spans="8:16" x14ac:dyDescent="0.25">
      <c r="H34" s="73" t="s">
        <v>36</v>
      </c>
      <c r="I34" s="74" t="s">
        <v>103</v>
      </c>
      <c r="J34" s="75"/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6">
        <v>0</v>
      </c>
    </row>
    <row r="35" spans="8:16" x14ac:dyDescent="0.25">
      <c r="H35" s="73"/>
      <c r="I35" s="74"/>
      <c r="J35" s="75"/>
      <c r="K35" s="75"/>
      <c r="L35" s="75"/>
      <c r="M35" s="75"/>
      <c r="N35" s="75"/>
      <c r="O35" s="75"/>
      <c r="P35" s="76"/>
    </row>
    <row r="36" spans="8:16" x14ac:dyDescent="0.25">
      <c r="H36" s="73" t="s">
        <v>37</v>
      </c>
      <c r="I36" s="74" t="s">
        <v>103</v>
      </c>
      <c r="J36" s="75"/>
      <c r="K36" s="75">
        <v>0.64258536738640615</v>
      </c>
      <c r="L36" s="75">
        <v>0.64258540912879358</v>
      </c>
      <c r="M36" s="75">
        <v>0.6425854194202465</v>
      </c>
      <c r="N36" s="75">
        <v>0.64258542498226079</v>
      </c>
      <c r="O36" s="75">
        <v>0.64258538936074527</v>
      </c>
      <c r="P36" s="76">
        <v>0.64258539939023684</v>
      </c>
    </row>
    <row r="37" spans="8:16" x14ac:dyDescent="0.25">
      <c r="H37" s="77" t="s">
        <v>38</v>
      </c>
      <c r="I37" s="78" t="s">
        <v>103</v>
      </c>
      <c r="J37" s="79"/>
      <c r="K37" s="79">
        <v>1.734182303087722E-2</v>
      </c>
      <c r="L37" s="79">
        <v>3.0237647310862655E-2</v>
      </c>
      <c r="M37" s="79">
        <v>4.8905521520021054E-2</v>
      </c>
      <c r="N37" s="79">
        <v>7.1972275045558198E-2</v>
      </c>
      <c r="O37" s="79">
        <v>0.1046494905465515</v>
      </c>
      <c r="P37" s="80">
        <v>0.139857002729743</v>
      </c>
    </row>
    <row r="38" spans="8:16" x14ac:dyDescent="0.25">
      <c r="H38" s="81" t="s">
        <v>39</v>
      </c>
      <c r="I38" s="82" t="s">
        <v>103</v>
      </c>
      <c r="J38" s="83"/>
      <c r="K38" s="83">
        <v>0.21300271427427178</v>
      </c>
      <c r="L38" s="83">
        <v>0.24897080084252482</v>
      </c>
      <c r="M38" s="83">
        <v>0.26599389817558244</v>
      </c>
      <c r="N38" s="83">
        <v>0.28784241118870668</v>
      </c>
      <c r="O38" s="83">
        <v>0.39932943803465792</v>
      </c>
      <c r="P38" s="84">
        <v>0.24766744461139389</v>
      </c>
    </row>
    <row r="39" spans="8:16" x14ac:dyDescent="0.25">
      <c r="H39" s="81" t="s">
        <v>40</v>
      </c>
      <c r="I39" s="82" t="s">
        <v>103</v>
      </c>
      <c r="J39" s="83"/>
      <c r="K39" s="83">
        <v>0</v>
      </c>
      <c r="L39" s="83">
        <v>1.4805427767269447E-2</v>
      </c>
      <c r="M39" s="83">
        <v>4.6282669264700621E-2</v>
      </c>
      <c r="N39" s="83">
        <v>6.7074317380187445E-2</v>
      </c>
      <c r="O39" s="83">
        <v>0.17152000632770015</v>
      </c>
      <c r="P39" s="84">
        <v>0.55888472914156395</v>
      </c>
    </row>
    <row r="40" spans="8:16" x14ac:dyDescent="0.25">
      <c r="H40" s="81" t="s">
        <v>41</v>
      </c>
      <c r="I40" s="82" t="s">
        <v>103</v>
      </c>
      <c r="J40" s="83"/>
      <c r="K40" s="83">
        <v>0.25703414695456239</v>
      </c>
      <c r="L40" s="83">
        <v>0.25703416365151743</v>
      </c>
      <c r="M40" s="83">
        <v>0.25703416776809856</v>
      </c>
      <c r="N40" s="83">
        <v>0.25703416999290435</v>
      </c>
      <c r="O40" s="83">
        <v>0.25703415574429811</v>
      </c>
      <c r="P40" s="84">
        <v>0.25703415975609473</v>
      </c>
    </row>
    <row r="41" spans="8:16" x14ac:dyDescent="0.25">
      <c r="H41" s="85" t="s">
        <v>42</v>
      </c>
      <c r="I41" s="86" t="s">
        <v>103</v>
      </c>
      <c r="J41" s="87"/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8">
        <v>0</v>
      </c>
    </row>
    <row r="42" spans="8:16" x14ac:dyDescent="0.25">
      <c r="H42" s="89" t="s">
        <v>43</v>
      </c>
      <c r="I42" s="90" t="s">
        <v>103</v>
      </c>
      <c r="J42" s="91"/>
      <c r="K42" s="91">
        <v>0</v>
      </c>
      <c r="L42" s="91">
        <v>3.7415219774508006E-2</v>
      </c>
      <c r="M42" s="91">
        <v>8.7686248794338117E-2</v>
      </c>
      <c r="N42" s="91">
        <v>0.10428765822617549</v>
      </c>
      <c r="O42" s="91">
        <v>8.8872810974339675E-2</v>
      </c>
      <c r="P42" s="92">
        <v>0.1548470759331452</v>
      </c>
    </row>
    <row r="43" spans="8:16" x14ac:dyDescent="0.25">
      <c r="H43" s="89" t="s">
        <v>44</v>
      </c>
      <c r="I43" s="90" t="s">
        <v>103</v>
      </c>
      <c r="J43" s="91"/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2">
        <v>0</v>
      </c>
    </row>
    <row r="44" spans="8:16" x14ac:dyDescent="0.25">
      <c r="H44" s="89" t="s">
        <v>45</v>
      </c>
      <c r="I44" s="90" t="s">
        <v>103</v>
      </c>
      <c r="J44" s="91"/>
      <c r="K44" s="91">
        <v>8.4786431781361277E-2</v>
      </c>
      <c r="L44" s="91">
        <v>8.4786442352164954E-2</v>
      </c>
      <c r="M44" s="91">
        <v>8.4786440103912064E-2</v>
      </c>
      <c r="N44" s="91">
        <v>8.4786439353369603E-2</v>
      </c>
      <c r="O44" s="91">
        <v>8.4786434670280492E-2</v>
      </c>
      <c r="P44" s="92">
        <v>8.4786439926505683E-2</v>
      </c>
    </row>
    <row r="45" spans="8:16" x14ac:dyDescent="0.25">
      <c r="H45" s="89" t="s">
        <v>46</v>
      </c>
      <c r="I45" s="90" t="s">
        <v>103</v>
      </c>
      <c r="J45" s="91"/>
      <c r="K45" s="91">
        <v>1.9027730795181921</v>
      </c>
      <c r="L45" s="91">
        <v>1.9027730795181741</v>
      </c>
      <c r="M45" s="91">
        <v>1.9027730795182236</v>
      </c>
      <c r="N45" s="91">
        <v>1.9027730795184359</v>
      </c>
      <c r="O45" s="91">
        <v>1.9027730795182958</v>
      </c>
      <c r="P45" s="92">
        <v>1.9027730795182831</v>
      </c>
    </row>
    <row r="46" spans="8:16" x14ac:dyDescent="0.25">
      <c r="H46" s="89" t="s">
        <v>47</v>
      </c>
      <c r="I46" s="90" t="s">
        <v>103</v>
      </c>
      <c r="J46" s="91"/>
      <c r="K46" s="91">
        <v>0.58782579628124998</v>
      </c>
      <c r="L46" s="91">
        <v>0.35698006533525933</v>
      </c>
      <c r="M46" s="91">
        <v>0.17856245152024991</v>
      </c>
      <c r="N46" s="91">
        <v>8.924378625361569E-2</v>
      </c>
      <c r="O46" s="91">
        <v>1.7500650689389323E-2</v>
      </c>
      <c r="P46" s="92">
        <v>4.5781248066757465E-14</v>
      </c>
    </row>
    <row r="47" spans="8:16" x14ac:dyDescent="0.25">
      <c r="H47" s="93" t="s">
        <v>48</v>
      </c>
      <c r="I47" s="94" t="s">
        <v>103</v>
      </c>
      <c r="J47" s="95"/>
      <c r="K47" s="95">
        <v>-0.47122626486093633</v>
      </c>
      <c r="L47" s="95">
        <v>-0.47122626486084085</v>
      </c>
      <c r="M47" s="95">
        <v>-0.47122626486091324</v>
      </c>
      <c r="N47" s="95">
        <v>-0.47122626486094693</v>
      </c>
      <c r="O47" s="95">
        <v>-0.47122626486101793</v>
      </c>
      <c r="P47" s="96">
        <v>-0.471226264861067</v>
      </c>
    </row>
    <row r="48" spans="8:16" x14ac:dyDescent="0.25">
      <c r="H48" s="97" t="s">
        <v>49</v>
      </c>
      <c r="I48" s="98" t="s">
        <v>103</v>
      </c>
      <c r="J48" s="99"/>
      <c r="K48" s="99">
        <v>-2.1467508165092901E-2</v>
      </c>
      <c r="L48" s="99">
        <v>-5.7925101689038146E-2</v>
      </c>
      <c r="M48" s="99">
        <v>-0.1074027152390104</v>
      </c>
      <c r="N48" s="99">
        <v>-0.21110989963136775</v>
      </c>
      <c r="O48" s="99">
        <v>-0.49172639193983531</v>
      </c>
      <c r="P48" s="100">
        <v>-0.41846420540605961</v>
      </c>
    </row>
    <row r="49" spans="8:27" x14ac:dyDescent="0.25">
      <c r="H49" s="101" t="s">
        <v>50</v>
      </c>
      <c r="I49" s="102" t="s">
        <v>103</v>
      </c>
      <c r="J49" s="103"/>
      <c r="K49" s="103">
        <v>-4.2935016330185802E-2</v>
      </c>
      <c r="L49" s="103">
        <v>-0.11585020337807629</v>
      </c>
      <c r="M49" s="103">
        <v>-0.21480543047802081</v>
      </c>
      <c r="N49" s="103">
        <v>-0.42221979926273551</v>
      </c>
      <c r="O49" s="103">
        <v>-0.98345278387967061</v>
      </c>
      <c r="P49" s="104">
        <v>-0.83692841081211922</v>
      </c>
    </row>
    <row r="50" spans="8:27" x14ac:dyDescent="0.25">
      <c r="H50" s="105" t="s">
        <v>51</v>
      </c>
      <c r="I50" s="106" t="s">
        <v>103</v>
      </c>
      <c r="J50" s="107"/>
      <c r="K50" s="107">
        <v>3.8390452504944399</v>
      </c>
      <c r="L50" s="107">
        <v>3.9357014794385594</v>
      </c>
      <c r="M50" s="107">
        <v>4.1673331935314648</v>
      </c>
      <c r="N50" s="107">
        <v>4.4340671130293758</v>
      </c>
      <c r="O50" s="107">
        <v>5.5505518674917864</v>
      </c>
      <c r="P50" s="108">
        <v>7.6030802859694999</v>
      </c>
    </row>
    <row r="51" spans="8:27" x14ac:dyDescent="0.25">
      <c r="H51" s="105" t="s">
        <v>52</v>
      </c>
      <c r="I51" s="106" t="s">
        <v>103</v>
      </c>
      <c r="J51" s="107"/>
      <c r="K51" s="107">
        <v>3.8175777423293469</v>
      </c>
      <c r="L51" s="107">
        <v>3.8777763777495213</v>
      </c>
      <c r="M51" s="107">
        <v>4.0599304782924541</v>
      </c>
      <c r="N51" s="107">
        <v>4.2229572133980078</v>
      </c>
      <c r="O51" s="107">
        <v>5.0588254755519513</v>
      </c>
      <c r="P51" s="108">
        <v>7.1846160805634405</v>
      </c>
    </row>
    <row r="52" spans="8:27" x14ac:dyDescent="0.25">
      <c r="H52" s="109" t="s">
        <v>53</v>
      </c>
      <c r="I52" s="110" t="s">
        <v>103</v>
      </c>
      <c r="J52" s="111"/>
      <c r="K52" s="111">
        <v>3.7961102341642543</v>
      </c>
      <c r="L52" s="111">
        <v>3.8198512760604832</v>
      </c>
      <c r="M52" s="111">
        <v>3.9525277630534439</v>
      </c>
      <c r="N52" s="111">
        <v>4.0118473137666406</v>
      </c>
      <c r="O52" s="111">
        <v>4.5670990836121161</v>
      </c>
      <c r="P52" s="112">
        <v>6.766151875157381</v>
      </c>
    </row>
    <row r="53" spans="8:27" x14ac:dyDescent="0.25">
      <c r="H53" s="113" t="s">
        <v>54</v>
      </c>
      <c r="I53" s="114" t="s">
        <v>103</v>
      </c>
      <c r="J53" s="115"/>
      <c r="K53" s="115">
        <v>3.8390452504944408</v>
      </c>
      <c r="L53" s="115">
        <v>3.9357014794385594</v>
      </c>
      <c r="M53" s="115">
        <v>4.1673331935314639</v>
      </c>
      <c r="N53" s="115">
        <v>4.4340671130293758</v>
      </c>
      <c r="O53" s="115">
        <v>5.5505518674917864</v>
      </c>
      <c r="P53" s="116">
        <v>7.6030802859694981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>
        <v>0.6705693613007746</v>
      </c>
      <c r="L56" s="124">
        <v>0.79999999999998594</v>
      </c>
      <c r="M56" s="124">
        <v>0.90000000000033675</v>
      </c>
      <c r="N56" s="124">
        <v>0.95000000000011542</v>
      </c>
      <c r="O56" s="124">
        <v>0.99000000000038058</v>
      </c>
      <c r="P56" s="125">
        <v>1.000000000000097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>
        <v>479665.90013488091</v>
      </c>
      <c r="L57" s="128">
        <v>836357.76293540373</v>
      </c>
      <c r="M57" s="128">
        <v>1352701.5562146287</v>
      </c>
      <c r="N57" s="128">
        <v>1990716.0875192129</v>
      </c>
      <c r="O57" s="128">
        <v>2894551.0510798031</v>
      </c>
      <c r="P57" s="129">
        <v>3868372.7186629032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>
        <v>2801086.1621726844</v>
      </c>
      <c r="L58" s="132">
        <v>3274083.4660306969</v>
      </c>
      <c r="M58" s="132">
        <v>3497945.2254424975</v>
      </c>
      <c r="N58" s="132">
        <v>3785263.477106737</v>
      </c>
      <c r="O58" s="132">
        <v>5251370.4665129809</v>
      </c>
      <c r="P58" s="133">
        <v>3256943.716821956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>
        <v>0</v>
      </c>
      <c r="L59" s="132">
        <v>398269.04744035268</v>
      </c>
      <c r="M59" s="132">
        <v>1245013.3080111807</v>
      </c>
      <c r="N59" s="132">
        <v>1804312.9121720905</v>
      </c>
      <c r="O59" s="132">
        <v>4613923.3942370983</v>
      </c>
      <c r="P59" s="133">
        <v>15034113.988670582</v>
      </c>
    </row>
    <row r="60" spans="8:27" x14ac:dyDescent="0.25">
      <c r="H60" s="134" t="s">
        <v>60</v>
      </c>
      <c r="I60" s="74" t="s">
        <v>57</v>
      </c>
      <c r="J60" s="135"/>
      <c r="K60" s="135">
        <v>0</v>
      </c>
      <c r="L60" s="135">
        <v>0</v>
      </c>
      <c r="M60" s="135">
        <v>0</v>
      </c>
      <c r="N60" s="135">
        <v>0</v>
      </c>
      <c r="O60" s="135">
        <v>0</v>
      </c>
      <c r="P60" s="136">
        <v>0</v>
      </c>
    </row>
    <row r="61" spans="8:27" x14ac:dyDescent="0.25">
      <c r="H61" s="134" t="s">
        <v>61</v>
      </c>
      <c r="I61" s="74" t="s">
        <v>57</v>
      </c>
      <c r="J61" s="135"/>
      <c r="K61" s="135">
        <v>0</v>
      </c>
      <c r="L61" s="135">
        <v>0</v>
      </c>
      <c r="M61" s="135">
        <v>0</v>
      </c>
      <c r="N61" s="135">
        <v>0</v>
      </c>
      <c r="O61" s="135">
        <v>0</v>
      </c>
      <c r="P61" s="136">
        <v>0</v>
      </c>
    </row>
    <row r="62" spans="8:27" x14ac:dyDescent="0.25">
      <c r="H62" s="134" t="s">
        <v>62</v>
      </c>
      <c r="I62" s="74"/>
      <c r="J62" s="135"/>
      <c r="K62" s="135">
        <v>0</v>
      </c>
      <c r="L62" s="135">
        <v>0</v>
      </c>
      <c r="M62" s="135">
        <v>0</v>
      </c>
      <c r="N62" s="135">
        <v>0</v>
      </c>
      <c r="O62" s="135">
        <v>0</v>
      </c>
      <c r="P62" s="136">
        <v>0</v>
      </c>
    </row>
    <row r="63" spans="8:27" x14ac:dyDescent="0.25">
      <c r="H63" s="137" t="s">
        <v>63</v>
      </c>
      <c r="I63" s="138" t="s">
        <v>57</v>
      </c>
      <c r="J63" s="139"/>
      <c r="K63" s="139">
        <v>1379675.7</v>
      </c>
      <c r="L63" s="139">
        <v>1379675.8624709388</v>
      </c>
      <c r="M63" s="139">
        <v>1379675.827915743</v>
      </c>
      <c r="N63" s="139">
        <v>1379675.8163799089</v>
      </c>
      <c r="O63" s="139">
        <v>1379675.7444019953</v>
      </c>
      <c r="P63" s="140">
        <v>1379675.8251889343</v>
      </c>
    </row>
    <row r="64" spans="8:27" x14ac:dyDescent="0.25">
      <c r="H64" s="141" t="s">
        <v>64</v>
      </c>
      <c r="I64" s="142" t="s">
        <v>57</v>
      </c>
      <c r="J64" s="143"/>
      <c r="K64" s="143">
        <v>2105340.0956752803</v>
      </c>
      <c r="L64" s="143">
        <v>2105340.1595912287</v>
      </c>
      <c r="M64" s="143">
        <v>2105340.2499612924</v>
      </c>
      <c r="N64" s="143">
        <v>2105340.2916619251</v>
      </c>
      <c r="O64" s="143">
        <v>2105340.1704493524</v>
      </c>
      <c r="P64" s="144">
        <v>2105340.1440566671</v>
      </c>
    </row>
    <row r="66" spans="8:16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6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6" x14ac:dyDescent="0.25">
      <c r="H68" s="61" t="s">
        <v>68</v>
      </c>
      <c r="I68" s="151">
        <v>2400.4524320667124</v>
      </c>
      <c r="J68" s="151">
        <v>2400.4524320667124</v>
      </c>
      <c r="K68" s="152" t="s">
        <v>24</v>
      </c>
    </row>
    <row r="69" spans="8:16" x14ac:dyDescent="0.25">
      <c r="H69" s="153" t="s">
        <v>69</v>
      </c>
      <c r="I69" s="154">
        <v>524.1741660667119</v>
      </c>
      <c r="J69" s="154">
        <v>-413.96496693328845</v>
      </c>
      <c r="K69" s="155" t="s">
        <v>24</v>
      </c>
    </row>
    <row r="71" spans="8:16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9"/>
    </row>
    <row r="72" spans="8:16" x14ac:dyDescent="0.25">
      <c r="H72" s="7" t="s">
        <v>1</v>
      </c>
      <c r="I72" s="8" t="s">
        <v>2</v>
      </c>
      <c r="J72" s="9"/>
      <c r="K72" s="9">
        <v>0.6705693613007746</v>
      </c>
      <c r="L72" s="9">
        <v>0.79999999999998594</v>
      </c>
      <c r="M72" s="9">
        <v>0.90000000000033675</v>
      </c>
      <c r="N72" s="9">
        <v>0.95000000000011542</v>
      </c>
      <c r="O72" s="9">
        <v>0.99000000000038058</v>
      </c>
      <c r="P72" s="10">
        <v>1.000000000000097</v>
      </c>
    </row>
    <row r="73" spans="8:16" x14ac:dyDescent="0.25">
      <c r="H73" s="51" t="s">
        <v>71</v>
      </c>
      <c r="I73" s="156"/>
      <c r="J73" s="157"/>
      <c r="K73" s="157">
        <v>8.1813995511427553</v>
      </c>
      <c r="L73" s="157">
        <v>172.56532647229551</v>
      </c>
      <c r="M73" s="157">
        <v>682.06317282912676</v>
      </c>
      <c r="N73" s="157">
        <v>1829.7500516404145</v>
      </c>
      <c r="O73" s="157">
        <v>4233.1570123730517</v>
      </c>
      <c r="P73" s="158">
        <v>5968.3661235550362</v>
      </c>
    </row>
    <row r="74" spans="8:16" x14ac:dyDescent="0.25">
      <c r="H74" s="130" t="s">
        <v>72</v>
      </c>
      <c r="I74" s="159"/>
      <c r="J74" s="160"/>
      <c r="K74" s="160">
        <v>379.91025252735079</v>
      </c>
      <c r="L74" s="160">
        <v>874.61016489971303</v>
      </c>
      <c r="M74" s="160">
        <v>1259.5733168031329</v>
      </c>
      <c r="N74" s="160">
        <v>1986.7147698927004</v>
      </c>
      <c r="O74" s="160">
        <v>4656.319416420064</v>
      </c>
      <c r="P74" s="161">
        <v>1596.6695369794925</v>
      </c>
    </row>
    <row r="75" spans="8:16" x14ac:dyDescent="0.25">
      <c r="H75" s="130" t="s">
        <v>73</v>
      </c>
      <c r="I75" s="159" t="s">
        <v>2</v>
      </c>
      <c r="J75" s="162"/>
      <c r="K75" s="162">
        <v>6.0263574843740595E-3</v>
      </c>
      <c r="L75" s="162">
        <v>7.2900008371890493E-2</v>
      </c>
      <c r="M75" s="162">
        <v>0.17815119686244998</v>
      </c>
      <c r="N75" s="162">
        <v>0.3247495627933123</v>
      </c>
      <c r="O75" s="162">
        <v>0.51671289125086028</v>
      </c>
      <c r="P75" s="163">
        <v>0.54512145816126634</v>
      </c>
    </row>
    <row r="76" spans="8:16" x14ac:dyDescent="0.25">
      <c r="H76" s="130" t="s">
        <v>74</v>
      </c>
      <c r="I76" s="159" t="s">
        <v>2</v>
      </c>
      <c r="J76" s="162"/>
      <c r="K76" s="162">
        <v>6.8812835166587455E-2</v>
      </c>
      <c r="L76" s="162">
        <v>0.13553132358643394</v>
      </c>
      <c r="M76" s="162">
        <v>0.1826944494849263</v>
      </c>
      <c r="N76" s="162">
        <v>0.26628966534641629</v>
      </c>
      <c r="O76" s="162">
        <v>0.44986790778256464</v>
      </c>
      <c r="P76" s="163">
        <v>0.24872514436921581</v>
      </c>
    </row>
    <row r="77" spans="8:16" x14ac:dyDescent="0.25">
      <c r="H77" s="164" t="s">
        <v>75</v>
      </c>
      <c r="I77" s="165" t="s">
        <v>2</v>
      </c>
      <c r="J77" s="166"/>
      <c r="K77" s="166">
        <v>5.6420773482654112E-2</v>
      </c>
      <c r="L77" s="166">
        <v>0.11872271238079263</v>
      </c>
      <c r="M77" s="166">
        <v>0.18107231494697554</v>
      </c>
      <c r="N77" s="166">
        <v>0.29144287565485849</v>
      </c>
      <c r="O77" s="166">
        <v>0.4794008356568209</v>
      </c>
      <c r="P77" s="167">
        <v>0.43557061196526198</v>
      </c>
    </row>
    <row r="78" spans="8:16" x14ac:dyDescent="0.25">
      <c r="H78" s="168" t="s">
        <v>76</v>
      </c>
      <c r="I78" s="169"/>
      <c r="J78" s="170"/>
      <c r="K78" s="170">
        <v>69.795182421380318</v>
      </c>
      <c r="L78" s="170">
        <v>81.441786448582832</v>
      </c>
      <c r="M78" s="170">
        <v>97.92192054364908</v>
      </c>
      <c r="N78" s="170">
        <v>113.76887137410334</v>
      </c>
      <c r="O78" s="170">
        <v>176.4246683554266</v>
      </c>
      <c r="P78" s="171">
        <v>290.6503898194573</v>
      </c>
    </row>
    <row r="79" spans="8:16" x14ac:dyDescent="0.25">
      <c r="H79" s="172" t="s">
        <v>77</v>
      </c>
      <c r="I79" s="173"/>
      <c r="J79" s="174"/>
      <c r="K79" s="174">
        <v>68.001349792479701</v>
      </c>
      <c r="L79" s="174">
        <v>77.384638856694323</v>
      </c>
      <c r="M79" s="174">
        <v>91.235145076893303</v>
      </c>
      <c r="N79" s="174">
        <v>101.3171617888737</v>
      </c>
      <c r="O79" s="174">
        <v>148.59344397155178</v>
      </c>
      <c r="P79" s="175">
        <v>267.20257885323645</v>
      </c>
    </row>
    <row r="80" spans="8:16" x14ac:dyDescent="0.25">
      <c r="H80" s="172" t="s">
        <v>78</v>
      </c>
      <c r="I80" s="173"/>
      <c r="J80" s="174"/>
      <c r="K80" s="174">
        <v>66.207517163579084</v>
      </c>
      <c r="L80" s="174">
        <v>73.327491264805815</v>
      </c>
      <c r="M80" s="174">
        <v>84.548369610137527</v>
      </c>
      <c r="N80" s="174">
        <v>88.865452203644054</v>
      </c>
      <c r="O80" s="174">
        <v>120.76221958767698</v>
      </c>
      <c r="P80" s="175">
        <v>243.7547678870155</v>
      </c>
    </row>
    <row r="81" spans="8:16" x14ac:dyDescent="0.25">
      <c r="H81" s="73" t="s">
        <v>79</v>
      </c>
      <c r="I81" s="176"/>
      <c r="J81" s="177"/>
      <c r="K81" s="177">
        <v>65.857284243803093</v>
      </c>
      <c r="L81" s="177">
        <v>71.739818693430507</v>
      </c>
      <c r="M81" s="177">
        <v>80.074020650069713</v>
      </c>
      <c r="N81" s="177">
        <v>80.398791345981962</v>
      </c>
      <c r="O81" s="177">
        <v>91.520456415212649</v>
      </c>
      <c r="P81" s="178">
        <v>163.14067006587911</v>
      </c>
    </row>
    <row r="82" spans="8:16" x14ac:dyDescent="0.25">
      <c r="H82" s="134" t="s">
        <v>80</v>
      </c>
      <c r="I82" s="176"/>
      <c r="J82" s="177"/>
      <c r="K82" s="177">
        <v>64.164661039323477</v>
      </c>
      <c r="L82" s="177">
        <v>68.165989516214154</v>
      </c>
      <c r="M82" s="177">
        <v>74.606021311058498</v>
      </c>
      <c r="N82" s="177">
        <v>71.599350965214356</v>
      </c>
      <c r="O82" s="177">
        <v>77.082983572271232</v>
      </c>
      <c r="P82" s="178">
        <v>149.97952620853391</v>
      </c>
    </row>
    <row r="83" spans="8:16" x14ac:dyDescent="0.25">
      <c r="H83" s="179" t="s">
        <v>81</v>
      </c>
      <c r="I83" s="180"/>
      <c r="J83" s="181"/>
      <c r="K83" s="181">
        <v>62.472037834843846</v>
      </c>
      <c r="L83" s="181">
        <v>64.592160338997772</v>
      </c>
      <c r="M83" s="181">
        <v>69.138021972047298</v>
      </c>
      <c r="N83" s="181">
        <v>62.799910584446735</v>
      </c>
      <c r="O83" s="181">
        <v>62.645510729329807</v>
      </c>
      <c r="P83" s="182">
        <v>136.81838235118866</v>
      </c>
    </row>
    <row r="84" spans="8:16" x14ac:dyDescent="0.25">
      <c r="H84" s="183" t="s">
        <v>82</v>
      </c>
      <c r="I84" s="184" t="s">
        <v>12</v>
      </c>
      <c r="J84" s="185"/>
      <c r="K84" s="185">
        <v>0</v>
      </c>
      <c r="L84" s="185">
        <v>1.1751253752034372</v>
      </c>
      <c r="M84" s="185">
        <v>2.2712855886795511</v>
      </c>
      <c r="N84" s="185">
        <v>2.2366718519117414</v>
      </c>
      <c r="O84" s="185">
        <v>3.9335883341292144</v>
      </c>
      <c r="P84" s="186">
        <v>9.5906770755819899</v>
      </c>
    </row>
    <row r="86" spans="8:16" x14ac:dyDescent="0.25">
      <c r="I86" s="443" t="s">
        <v>83</v>
      </c>
      <c r="J86" s="444"/>
      <c r="K86" s="187" t="s">
        <v>84</v>
      </c>
    </row>
    <row r="87" spans="8:16" x14ac:dyDescent="0.25">
      <c r="I87" s="445" t="s">
        <v>111</v>
      </c>
      <c r="J87" s="446"/>
      <c r="K87" s="188" t="s">
        <v>85</v>
      </c>
    </row>
    <row r="88" spans="8:16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6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6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6" x14ac:dyDescent="0.25">
      <c r="H92" s="226" t="s">
        <v>1</v>
      </c>
      <c r="I92" s="227"/>
      <c r="J92" s="228"/>
      <c r="K92" s="228">
        <f t="shared" ref="K92:P92" si="6">K5</f>
        <v>0.6705693613007746</v>
      </c>
      <c r="L92" s="228">
        <f t="shared" si="6"/>
        <v>0.79999999999998594</v>
      </c>
      <c r="M92" s="228">
        <f t="shared" si="6"/>
        <v>0.90000000000033675</v>
      </c>
      <c r="N92" s="228">
        <f t="shared" si="6"/>
        <v>0.95000000000011542</v>
      </c>
      <c r="O92" s="228">
        <f t="shared" si="6"/>
        <v>0.99000000000038058</v>
      </c>
      <c r="P92" s="229">
        <f t="shared" si="6"/>
        <v>1.000000000000097</v>
      </c>
    </row>
    <row r="93" spans="8:16" ht="18" x14ac:dyDescent="0.25">
      <c r="H93" s="148" t="s">
        <v>89</v>
      </c>
      <c r="I93" s="194" t="s">
        <v>104</v>
      </c>
      <c r="J93" s="195"/>
      <c r="K93" s="195">
        <f>IF(K22&gt;0,  $I$88*(K6*1000)/(K22*1000)/$K$88*1000, 0)</f>
        <v>24.247334366121205</v>
      </c>
      <c r="L93" s="195">
        <f t="shared" ref="L93:P93" si="7">IF(L22&gt;0,  $I$88*(L6*1000)/(L22*1000)/$K$88*1000, 0)</f>
        <v>24.247334366121144</v>
      </c>
      <c r="M93" s="195">
        <f t="shared" si="7"/>
        <v>24.247334366121166</v>
      </c>
      <c r="N93" s="195">
        <f t="shared" si="7"/>
        <v>24.247334366121049</v>
      </c>
      <c r="O93" s="195">
        <f t="shared" si="7"/>
        <v>24.247334366121265</v>
      </c>
      <c r="P93" s="195">
        <f t="shared" si="7"/>
        <v>24.24733436612118</v>
      </c>
    </row>
    <row r="94" spans="8:16" ht="18" x14ac:dyDescent="0.25">
      <c r="H94" s="61" t="s">
        <v>90</v>
      </c>
      <c r="I94" s="230" t="s">
        <v>104</v>
      </c>
      <c r="J94" s="231"/>
      <c r="K94" s="231">
        <f>IF(K23&gt;0,$I$89*(K7*1000)/(K23*1000)/$K$89*1000,0)</f>
        <v>3.1489785954175642</v>
      </c>
      <c r="L94" s="231">
        <f t="shared" ref="L94:P94" si="8">IF(L23&gt;0,$I$89*(L7*1000)/(L23*1000)/$K$89*1000,0)</f>
        <v>3.1489785954175429</v>
      </c>
      <c r="M94" s="231">
        <f t="shared" si="8"/>
        <v>3.1489785954175433</v>
      </c>
      <c r="N94" s="231">
        <f t="shared" si="8"/>
        <v>3.1489785954175455</v>
      </c>
      <c r="O94" s="231">
        <f t="shared" si="8"/>
        <v>3.1489785954175558</v>
      </c>
      <c r="P94" s="231">
        <f t="shared" si="8"/>
        <v>3.1489785954175415</v>
      </c>
    </row>
    <row r="95" spans="8:16" ht="18" x14ac:dyDescent="0.25">
      <c r="H95" s="153" t="s">
        <v>99</v>
      </c>
      <c r="I95" s="197" t="s">
        <v>104</v>
      </c>
      <c r="J95" s="198"/>
      <c r="K95" s="198">
        <f>IF(-K26&gt;0,$I$90*(K8*1000)/(-K26*1000)/$K$90*1000,0)</f>
        <v>0</v>
      </c>
      <c r="L95" s="198">
        <f t="shared" ref="L95:P95" si="9">IF(-L26&gt;0,$I$90*(L8*1000)/(-L26*1000)/$K$90*1000,0)</f>
        <v>28.174268743646479</v>
      </c>
      <c r="M95" s="198">
        <f t="shared" si="9"/>
        <v>37.580876100375079</v>
      </c>
      <c r="N95" s="198">
        <f t="shared" si="9"/>
        <v>45.793447457723055</v>
      </c>
      <c r="O95" s="198">
        <f t="shared" si="9"/>
        <v>137.41237974410754</v>
      </c>
      <c r="P95" s="198">
        <f t="shared" si="9"/>
        <v>256.97994279246001</v>
      </c>
    </row>
    <row r="96" spans="8:16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5"/>
    </row>
    <row r="97" spans="8:16" x14ac:dyDescent="0.25">
      <c r="H97" s="7" t="s">
        <v>1</v>
      </c>
      <c r="I97" s="8" t="s">
        <v>2</v>
      </c>
      <c r="J97" s="9"/>
      <c r="K97" s="9">
        <f t="shared" ref="K97:P97" si="10">K5</f>
        <v>0.6705693613007746</v>
      </c>
      <c r="L97" s="9">
        <f t="shared" si="10"/>
        <v>0.79999999999998594</v>
      </c>
      <c r="M97" s="9">
        <f t="shared" si="10"/>
        <v>0.90000000000033675</v>
      </c>
      <c r="N97" s="9">
        <f t="shared" si="10"/>
        <v>0.95000000000011542</v>
      </c>
      <c r="O97" s="9">
        <f t="shared" si="10"/>
        <v>0.99000000000038058</v>
      </c>
      <c r="P97" s="10">
        <f t="shared" si="10"/>
        <v>1.000000000000097</v>
      </c>
    </row>
    <row r="98" spans="8:16" ht="18" x14ac:dyDescent="0.25">
      <c r="H98" s="200" t="s">
        <v>91</v>
      </c>
      <c r="I98" s="201" t="s">
        <v>106</v>
      </c>
      <c r="J98" s="202"/>
      <c r="K98" s="202">
        <f>$M$88/1000*K24*1000</f>
        <v>1275422.0168473693</v>
      </c>
      <c r="L98" s="202">
        <f>$M$88/1000*L24*1000</f>
        <v>774319.00194974057</v>
      </c>
      <c r="M98" s="202">
        <f>$M$88/1000*M24*1000</f>
        <v>387159.50097448059</v>
      </c>
      <c r="N98" s="202">
        <f>$M$88/1000*N24*1000</f>
        <v>193579.75048711972</v>
      </c>
      <c r="O98" s="202"/>
      <c r="P98" s="203">
        <f>$M$88/1000*P24*1000</f>
        <v>1.0454245966684538E-7</v>
      </c>
    </row>
    <row r="99" spans="8:16" ht="18" x14ac:dyDescent="0.25">
      <c r="H99" s="204" t="s">
        <v>92</v>
      </c>
      <c r="I99" s="13" t="s">
        <v>106</v>
      </c>
      <c r="J99" s="31"/>
      <c r="K99" s="31">
        <f t="shared" ref="K99:N100" si="11">K93/1000*K22*1000</f>
        <v>32918.248048472225</v>
      </c>
      <c r="L99" s="31">
        <f t="shared" si="11"/>
        <v>57397.101377919869</v>
      </c>
      <c r="M99" s="31">
        <f t="shared" si="11"/>
        <v>92832.459740219609</v>
      </c>
      <c r="N99" s="31">
        <f t="shared" si="11"/>
        <v>136617.77071210285</v>
      </c>
      <c r="O99" s="31"/>
      <c r="P99" s="62">
        <f>P93/1000*P22*1000</f>
        <v>265476.55912392476</v>
      </c>
    </row>
    <row r="100" spans="8:16" ht="18" x14ac:dyDescent="0.25">
      <c r="H100" s="204" t="s">
        <v>93</v>
      </c>
      <c r="I100" s="13" t="s">
        <v>106</v>
      </c>
      <c r="J100" s="31"/>
      <c r="K100" s="31">
        <f t="shared" si="11"/>
        <v>17385.263236024828</v>
      </c>
      <c r="L100" s="31">
        <f t="shared" si="11"/>
        <v>20320.975371035773</v>
      </c>
      <c r="M100" s="31">
        <f t="shared" si="11"/>
        <v>21710.399112587169</v>
      </c>
      <c r="N100" s="31">
        <f t="shared" si="11"/>
        <v>23493.672867301917</v>
      </c>
      <c r="O100" s="31"/>
      <c r="P100" s="62">
        <f>P94/1000*P23*1000</f>
        <v>20214.595547445377</v>
      </c>
    </row>
    <row r="101" spans="8:16" ht="18" x14ac:dyDescent="0.25">
      <c r="H101" s="204" t="s">
        <v>94</v>
      </c>
      <c r="I101" s="13" t="s">
        <v>106</v>
      </c>
      <c r="J101" s="31"/>
      <c r="K101" s="31">
        <f>K95/1000*(-K26)*1000</f>
        <v>0</v>
      </c>
      <c r="L101" s="31">
        <f>L95/1000*(-L26)*1000</f>
        <v>14292.719847657818</v>
      </c>
      <c r="M101" s="31">
        <f>M95/1000*(-M26)*1000</f>
        <v>44679.913069756076</v>
      </c>
      <c r="N101" s="31">
        <f>N95/1000*(-N26)*1000</f>
        <v>64751.552090046804</v>
      </c>
      <c r="O101" s="31"/>
      <c r="P101" s="62">
        <f>P95/1000*(-P26)*1000</f>
        <v>539530.70362567808</v>
      </c>
    </row>
    <row r="102" spans="8:16" ht="18" x14ac:dyDescent="0.25">
      <c r="H102" s="204" t="s">
        <v>95</v>
      </c>
      <c r="I102" s="13" t="s">
        <v>106</v>
      </c>
      <c r="J102" s="31"/>
      <c r="K102" s="31">
        <f>[3]NoSP!$C$174</f>
        <v>1630310.3764790881</v>
      </c>
      <c r="L102" s="31">
        <f>'[3]80SP'!$C$174</f>
        <v>1630310.3764795179</v>
      </c>
      <c r="M102" s="31">
        <f>'[3]90SP'!$C$174</f>
        <v>1630310.3764792352</v>
      </c>
      <c r="N102" s="31">
        <f>'[3]95SP'!$C$174</f>
        <v>1630310.3764794411</v>
      </c>
      <c r="O102" s="31"/>
      <c r="P102" s="62">
        <f>'[3]100SP'!$C$174</f>
        <v>1630310.3764794073</v>
      </c>
    </row>
    <row r="103" spans="8:16" ht="18" x14ac:dyDescent="0.25">
      <c r="H103" s="240" t="s">
        <v>96</v>
      </c>
      <c r="I103" s="241" t="s">
        <v>106</v>
      </c>
      <c r="J103" s="27"/>
      <c r="K103" s="27">
        <f>[3]NoSP!$C$175</f>
        <v>5111323.9103365559</v>
      </c>
      <c r="L103" s="27">
        <f>'[3]80SP'!$C$175</f>
        <v>5111323.9103378681</v>
      </c>
      <c r="M103" s="27">
        <f>'[3]90SP'!$C$175</f>
        <v>5111323.9103373047</v>
      </c>
      <c r="N103" s="27">
        <f>'[3]95SP'!$C$175</f>
        <v>5111323.9103372535</v>
      </c>
      <c r="O103" s="27"/>
      <c r="P103" s="28">
        <f>'[3]100SP'!$C$175</f>
        <v>5111323.9103376018</v>
      </c>
    </row>
    <row r="104" spans="8:16" ht="18" x14ac:dyDescent="0.25">
      <c r="H104" s="205" t="s">
        <v>97</v>
      </c>
      <c r="I104" s="206" t="s">
        <v>107</v>
      </c>
      <c r="J104" s="207"/>
      <c r="K104" s="207">
        <f>[3]NoSP!$C$176</f>
        <v>542342.8500791121</v>
      </c>
      <c r="L104" s="207">
        <f>'[3]80SP'!$C$176</f>
        <v>542342.85007918288</v>
      </c>
      <c r="M104" s="207">
        <f>'[3]90SP'!$C$176</f>
        <v>542342.85007914179</v>
      </c>
      <c r="N104" s="207">
        <f>'[3]95SP'!$C$176</f>
        <v>542342.85007914063</v>
      </c>
      <c r="O104" s="207"/>
      <c r="P104" s="208">
        <f>'[3]100SP'!$C$176</f>
        <v>542342.85007914237</v>
      </c>
    </row>
    <row r="105" spans="8:16" ht="18" x14ac:dyDescent="0.25">
      <c r="H105" s="209" t="s">
        <v>98</v>
      </c>
      <c r="I105" s="210" t="s">
        <v>108</v>
      </c>
      <c r="J105" s="211"/>
      <c r="K105" s="211">
        <f>K98/K104</f>
        <v>2.3516895570049869</v>
      </c>
      <c r="L105" s="211">
        <f>L98/L104</f>
        <v>1.4277297134767957</v>
      </c>
      <c r="M105" s="211">
        <f>M98/M104</f>
        <v>0.71386485673773337</v>
      </c>
      <c r="N105" s="211">
        <f>N98/N104</f>
        <v>0.35693242836864514</v>
      </c>
      <c r="O105" s="211"/>
      <c r="P105" s="212">
        <f>P98/P104</f>
        <v>1.9276083321019137E-13</v>
      </c>
    </row>
    <row r="106" spans="8:16" ht="18" x14ac:dyDescent="0.25">
      <c r="H106" s="213" t="s">
        <v>89</v>
      </c>
      <c r="I106" s="214" t="s">
        <v>109</v>
      </c>
      <c r="J106" s="215"/>
      <c r="K106" s="215">
        <f>K99/K104</f>
        <v>6.0696380608079199E-2</v>
      </c>
      <c r="L106" s="215">
        <f>L99/L104</f>
        <v>0.10583176558802206</v>
      </c>
      <c r="M106" s="215">
        <f>M99/M104</f>
        <v>0.17116932532008666</v>
      </c>
      <c r="N106" s="215">
        <f>N99/N104</f>
        <v>0.25190296265944523</v>
      </c>
      <c r="O106" s="215"/>
      <c r="P106" s="216">
        <f>P99/P104</f>
        <v>0.48949950955412175</v>
      </c>
    </row>
    <row r="107" spans="8:16" ht="18" x14ac:dyDescent="0.25">
      <c r="H107" s="213" t="s">
        <v>90</v>
      </c>
      <c r="I107" s="214" t="s">
        <v>109</v>
      </c>
      <c r="J107" s="215"/>
      <c r="K107" s="215">
        <f>K100/K104</f>
        <v>3.2055854029400081E-2</v>
      </c>
      <c r="L107" s="215">
        <f>L100/L104</f>
        <v>3.7468872998083921E-2</v>
      </c>
      <c r="M107" s="215">
        <f>M100/M104</f>
        <v>4.0030764873952081E-2</v>
      </c>
      <c r="N107" s="215">
        <f>N100/N104</f>
        <v>4.3318857921467273E-2</v>
      </c>
      <c r="O107" s="215"/>
      <c r="P107" s="216">
        <f>P100/P104</f>
        <v>3.7272724337557919E-2</v>
      </c>
    </row>
    <row r="108" spans="8:16" ht="18" x14ac:dyDescent="0.25">
      <c r="H108" s="213" t="s">
        <v>99</v>
      </c>
      <c r="I108" s="214" t="s">
        <v>109</v>
      </c>
      <c r="J108" s="215"/>
      <c r="K108" s="215">
        <f>K101/K104</f>
        <v>0</v>
      </c>
      <c r="L108" s="215">
        <f>L101/L104</f>
        <v>2.6353661425740301E-2</v>
      </c>
      <c r="M108" s="215">
        <f>M101/M104</f>
        <v>8.2383151291173337E-2</v>
      </c>
      <c r="N108" s="215">
        <f>N101/N104</f>
        <v>0.11939228493672964</v>
      </c>
      <c r="O108" s="215"/>
      <c r="P108" s="216">
        <f>P101/P104</f>
        <v>0.99481481787202708</v>
      </c>
    </row>
    <row r="109" spans="8:16" ht="18" x14ac:dyDescent="0.25">
      <c r="H109" s="213" t="s">
        <v>100</v>
      </c>
      <c r="I109" s="214" t="s">
        <v>108</v>
      </c>
      <c r="J109" s="215"/>
      <c r="K109" s="215">
        <f>-K103/K104</f>
        <v>-9.4245252972192066</v>
      </c>
      <c r="L109" s="215">
        <f>-L103/L104</f>
        <v>-9.4245252972203968</v>
      </c>
      <c r="M109" s="215">
        <f>-M103/M104</f>
        <v>-9.4245252972200717</v>
      </c>
      <c r="N109" s="215">
        <f>-N103/N104</f>
        <v>-9.4245252972199971</v>
      </c>
      <c r="O109" s="215"/>
      <c r="P109" s="216">
        <f>-P103/P104</f>
        <v>-9.4245252972206099</v>
      </c>
    </row>
    <row r="110" spans="8:16" ht="18" x14ac:dyDescent="0.25">
      <c r="H110" s="217" t="s">
        <v>101</v>
      </c>
      <c r="I110" s="218" t="s">
        <v>108</v>
      </c>
      <c r="J110" s="219"/>
      <c r="K110" s="219">
        <f>SUM(K105:K109)</f>
        <v>-6.9800835055767401</v>
      </c>
      <c r="L110" s="219">
        <f>SUM(L105:L109)</f>
        <v>-7.8271412837317547</v>
      </c>
      <c r="M110" s="219">
        <f>SUM(M105:M109)</f>
        <v>-8.4170771989971271</v>
      </c>
      <c r="N110" s="219">
        <f>SUM(N105:N109)</f>
        <v>-8.6529787633337101</v>
      </c>
      <c r="O110" s="219"/>
      <c r="P110" s="220">
        <f>SUM(P105:P109)</f>
        <v>-7.9029382454567099</v>
      </c>
    </row>
    <row r="111" spans="8:16" x14ac:dyDescent="0.25">
      <c r="H111" s="221"/>
      <c r="I111" s="6"/>
      <c r="J111" s="22"/>
      <c r="K111" s="222"/>
      <c r="L111" s="222"/>
      <c r="M111" s="222"/>
      <c r="N111" s="222"/>
      <c r="O111" s="222"/>
    </row>
    <row r="112" spans="8:16" x14ac:dyDescent="0.25">
      <c r="H112" s="283" t="s">
        <v>133</v>
      </c>
      <c r="I112" s="70"/>
      <c r="J112" s="284"/>
      <c r="K112" s="284">
        <f>(K31+K37)*K104/K22</f>
        <v>42.259639895233605</v>
      </c>
      <c r="L112" s="284">
        <f>(L31+L37)*L104/L22</f>
        <v>42.259639895238614</v>
      </c>
      <c r="M112" s="284">
        <f>(M31+M37)*M104/M22</f>
        <v>42.259639895236546</v>
      </c>
      <c r="N112" s="284">
        <f>(N31+N37)*N104/N22</f>
        <v>42.259639895240966</v>
      </c>
      <c r="O112" s="284">
        <f>P112</f>
        <v>42.259639895237946</v>
      </c>
      <c r="P112" s="285">
        <f>(P31+P37)*P104/P22</f>
        <v>42.259639895237946</v>
      </c>
    </row>
    <row r="113" spans="8:16" x14ac:dyDescent="0.25">
      <c r="H113" s="286" t="s">
        <v>134</v>
      </c>
      <c r="I113" s="287"/>
      <c r="J113" s="181"/>
      <c r="K113" s="181">
        <f>IF(K32&gt;0,(K32+K38)*K104/K23,0)</f>
        <v>71.659980010182579</v>
      </c>
      <c r="L113" s="181">
        <f>IF(L32&gt;0,(L32+L38)*L104/L23,0)</f>
        <v>71.65998001019075</v>
      </c>
      <c r="M113" s="181">
        <f>IF(M32&gt;0,(M32+M38)*M104/M23,0)</f>
        <v>71.659980010187198</v>
      </c>
      <c r="N113" s="181">
        <f>IF(N32&gt;0,(N32+N38)*N104/N23,0)</f>
        <v>71.659980010195127</v>
      </c>
      <c r="O113" s="181">
        <f>P113</f>
        <v>71.6599800101895</v>
      </c>
      <c r="P113" s="182">
        <f>IF(P32&gt;0,(P32+P38)*P104/P23,0)</f>
        <v>71.6599800101895</v>
      </c>
    </row>
    <row r="114" spans="8:16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8:16" x14ac:dyDescent="0.25">
      <c r="H115" s="226" t="s">
        <v>1</v>
      </c>
      <c r="I115" s="227"/>
      <c r="J115" s="228">
        <f>J28</f>
        <v>0</v>
      </c>
      <c r="K115" s="228">
        <f t="shared" ref="K115:P115" si="12">K28</f>
        <v>7.9853634815663099E-10</v>
      </c>
      <c r="L115" s="228">
        <f t="shared" si="12"/>
        <v>-1.4784404811507557E-9</v>
      </c>
      <c r="M115" s="228">
        <f t="shared" si="12"/>
        <v>1.5836576494621113E-9</v>
      </c>
      <c r="N115" s="228">
        <f t="shared" si="12"/>
        <v>3.979039320256561E-11</v>
      </c>
      <c r="O115" s="228">
        <f t="shared" si="12"/>
        <v>2.5718236429383978E-9</v>
      </c>
      <c r="P115" s="229">
        <f t="shared" si="12"/>
        <v>1.2014425010420382E-9</v>
      </c>
    </row>
    <row r="116" spans="8:16" ht="18" x14ac:dyDescent="0.25">
      <c r="H116" s="148" t="s">
        <v>89</v>
      </c>
      <c r="I116" s="194" t="s">
        <v>104</v>
      </c>
      <c r="J116" s="195">
        <f>IF(J22&gt;0,  $J$88*(J6*1000)/(J22*1000)/$K$88*1000, 0)</f>
        <v>0</v>
      </c>
      <c r="K116" s="195">
        <f t="shared" ref="K116:P116" si="13">IF(K22&gt;0,  $J$88*(K6*1000)/(K22*1000)/$K$88*1000, 0)</f>
        <v>80.82444788707069</v>
      </c>
      <c r="L116" s="195">
        <f t="shared" si="13"/>
        <v>80.824447887070463</v>
      </c>
      <c r="M116" s="195">
        <f t="shared" si="13"/>
        <v>80.824447887070562</v>
      </c>
      <c r="N116" s="195">
        <f t="shared" si="13"/>
        <v>80.824447887070164</v>
      </c>
      <c r="O116" s="195">
        <f t="shared" si="13"/>
        <v>80.824447887070889</v>
      </c>
      <c r="P116" s="196">
        <f t="shared" si="13"/>
        <v>80.824447887070605</v>
      </c>
    </row>
    <row r="117" spans="8:16" ht="18" x14ac:dyDescent="0.25">
      <c r="H117" s="61" t="s">
        <v>90</v>
      </c>
      <c r="I117" s="230" t="s">
        <v>104</v>
      </c>
      <c r="J117" s="231">
        <f t="shared" ref="J117:P117" si="14">IF(J23&gt;0,$J$89*(J7*1000)/(J23*1000)/$K$89*1000,0)</f>
        <v>0</v>
      </c>
      <c r="K117" s="231">
        <f t="shared" si="14"/>
        <v>5.3864107553195177</v>
      </c>
      <c r="L117" s="231">
        <f t="shared" si="14"/>
        <v>5.3864107553194813</v>
      </c>
      <c r="M117" s="231">
        <f t="shared" si="14"/>
        <v>5.3864107553194813</v>
      </c>
      <c r="N117" s="231">
        <f t="shared" si="14"/>
        <v>5.3864107553194858</v>
      </c>
      <c r="O117" s="231">
        <f t="shared" si="14"/>
        <v>5.3864107553195044</v>
      </c>
      <c r="P117" s="232">
        <f t="shared" si="14"/>
        <v>5.3864107553194795</v>
      </c>
    </row>
    <row r="118" spans="8:16" ht="18" x14ac:dyDescent="0.25">
      <c r="H118" s="153" t="s">
        <v>99</v>
      </c>
      <c r="I118" s="197" t="s">
        <v>104</v>
      </c>
      <c r="J118" s="198">
        <f t="shared" ref="J118:P118" si="15">IF(-J26&gt;0,$J$90*(J8*1000)/(-J26*1000)/$K$90*1000,0)</f>
        <v>0</v>
      </c>
      <c r="K118" s="198">
        <f t="shared" si="15"/>
        <v>0</v>
      </c>
      <c r="L118" s="198">
        <f t="shared" si="15"/>
        <v>53.499454131193879</v>
      </c>
      <c r="M118" s="198">
        <f t="shared" si="15"/>
        <v>71.361438887229085</v>
      </c>
      <c r="N118" s="198">
        <f t="shared" si="15"/>
        <v>86.956096857923555</v>
      </c>
      <c r="O118" s="198">
        <f t="shared" si="15"/>
        <v>260.92912558150761</v>
      </c>
      <c r="P118" s="199">
        <f t="shared" si="15"/>
        <v>487.97314979691845</v>
      </c>
    </row>
    <row r="119" spans="8:16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</row>
    <row r="120" spans="8:16" x14ac:dyDescent="0.25">
      <c r="H120" s="7" t="s">
        <v>1</v>
      </c>
      <c r="I120" s="8" t="s">
        <v>2</v>
      </c>
      <c r="J120" s="9">
        <f t="shared" ref="J120:P120" si="16">J28</f>
        <v>0</v>
      </c>
      <c r="K120" s="9">
        <f t="shared" si="16"/>
        <v>7.9853634815663099E-10</v>
      </c>
      <c r="L120" s="9">
        <f t="shared" si="16"/>
        <v>-1.4784404811507557E-9</v>
      </c>
      <c r="M120" s="9">
        <f t="shared" si="16"/>
        <v>1.5836576494621113E-9</v>
      </c>
      <c r="N120" s="9">
        <f t="shared" si="16"/>
        <v>3.979039320256561E-11</v>
      </c>
      <c r="O120" s="9">
        <f t="shared" si="16"/>
        <v>2.5718236429383978E-9</v>
      </c>
      <c r="P120" s="10">
        <f t="shared" si="16"/>
        <v>1.2014425010420382E-9</v>
      </c>
    </row>
    <row r="121" spans="8:16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P121" si="17">$M$88/1000*K24*1000</f>
        <v>1275422.0168473693</v>
      </c>
      <c r="L121" s="202">
        <f t="shared" si="17"/>
        <v>774319.00194974057</v>
      </c>
      <c r="M121" s="202">
        <f t="shared" si="17"/>
        <v>387159.50097448059</v>
      </c>
      <c r="N121" s="202">
        <f t="shared" si="17"/>
        <v>193579.75048711972</v>
      </c>
      <c r="O121" s="202">
        <f t="shared" si="17"/>
        <v>38715.950097066954</v>
      </c>
      <c r="P121" s="203">
        <f t="shared" si="17"/>
        <v>1.0454245966684538E-7</v>
      </c>
    </row>
    <row r="122" spans="8:16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P123" si="18">K116/1000*K22*1000</f>
        <v>109727.49349490741</v>
      </c>
      <c r="L122" s="31">
        <f t="shared" si="18"/>
        <v>191323.67125973283</v>
      </c>
      <c r="M122" s="31">
        <f t="shared" si="18"/>
        <v>309441.53246739868</v>
      </c>
      <c r="N122" s="31">
        <f t="shared" si="18"/>
        <v>455392.56904034276</v>
      </c>
      <c r="O122" s="31">
        <f t="shared" si="18"/>
        <v>662152.20122740604</v>
      </c>
      <c r="P122" s="62">
        <f t="shared" si="18"/>
        <v>884921.86374641582</v>
      </c>
    </row>
    <row r="123" spans="8:16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18"/>
        <v>29737.950272147729</v>
      </c>
      <c r="L123" s="31">
        <f t="shared" si="18"/>
        <v>34759.563134666452</v>
      </c>
      <c r="M123" s="31">
        <f t="shared" si="18"/>
        <v>37136.209008372782</v>
      </c>
      <c r="N123" s="31">
        <f t="shared" si="18"/>
        <v>40186.545694069071</v>
      </c>
      <c r="O123" s="31">
        <f t="shared" si="18"/>
        <v>55751.585189602891</v>
      </c>
      <c r="P123" s="62">
        <f t="shared" si="18"/>
        <v>34577.597646946044</v>
      </c>
    </row>
    <row r="124" spans="8:16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P124" si="19">K118/1000*(-K26)*1000</f>
        <v>0</v>
      </c>
      <c r="L124" s="31">
        <f t="shared" si="19"/>
        <v>27140.108474765966</v>
      </c>
      <c r="M124" s="31">
        <f t="shared" si="19"/>
        <v>84841.632683019969</v>
      </c>
      <c r="N124" s="31">
        <f t="shared" si="19"/>
        <v>122955.19441817875</v>
      </c>
      <c r="O124" s="31">
        <f t="shared" si="19"/>
        <v>314416.55388147966</v>
      </c>
      <c r="P124" s="62">
        <f t="shared" si="19"/>
        <v>1024502.122615052</v>
      </c>
    </row>
    <row r="125" spans="8:16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62">
        <f>'[3]100SP'!$C$174</f>
        <v>1630310.3764794073</v>
      </c>
    </row>
    <row r="126" spans="8:16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8">
        <f>'[3]100SP'!$C$175</f>
        <v>5111323.9103376018</v>
      </c>
    </row>
    <row r="127" spans="8:16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8">
        <f>'[3]100SP'!$C$176</f>
        <v>542342.85007914237</v>
      </c>
    </row>
    <row r="128" spans="8:16" ht="18" x14ac:dyDescent="0.25">
      <c r="H128" s="209" t="s">
        <v>98</v>
      </c>
      <c r="I128" s="210" t="s">
        <v>108</v>
      </c>
      <c r="J128" s="211">
        <f t="shared" ref="J128:P128" si="20">J121/J127</f>
        <v>0</v>
      </c>
      <c r="K128" s="211">
        <f t="shared" si="20"/>
        <v>2.3516895570049869</v>
      </c>
      <c r="L128" s="211">
        <f t="shared" si="20"/>
        <v>1.4277297134769822</v>
      </c>
      <c r="M128" s="211">
        <f t="shared" si="20"/>
        <v>0.7138648567376793</v>
      </c>
      <c r="N128" s="211">
        <f t="shared" si="20"/>
        <v>0.35693242836864436</v>
      </c>
      <c r="O128" s="211">
        <f t="shared" si="20"/>
        <v>7.1386485673070793E-2</v>
      </c>
      <c r="P128" s="212">
        <f t="shared" si="20"/>
        <v>1.9276083321019137E-13</v>
      </c>
    </row>
    <row r="129" spans="8:16" ht="18" x14ac:dyDescent="0.25">
      <c r="H129" s="213" t="s">
        <v>89</v>
      </c>
      <c r="I129" s="214" t="s">
        <v>109</v>
      </c>
      <c r="J129" s="215">
        <f t="shared" ref="J129:P129" si="21">J122/J127</f>
        <v>0</v>
      </c>
      <c r="K129" s="215">
        <f t="shared" si="21"/>
        <v>0.20232126869359732</v>
      </c>
      <c r="L129" s="215">
        <f t="shared" si="21"/>
        <v>0.35277255196011942</v>
      </c>
      <c r="M129" s="215">
        <f t="shared" si="21"/>
        <v>0.57056441773357891</v>
      </c>
      <c r="N129" s="215">
        <f t="shared" si="21"/>
        <v>0.83967654219814869</v>
      </c>
      <c r="O129" s="215">
        <f t="shared" si="21"/>
        <v>1.2209107230431495</v>
      </c>
      <c r="P129" s="216">
        <f t="shared" si="21"/>
        <v>1.6316650318470725</v>
      </c>
    </row>
    <row r="130" spans="8:16" ht="18" x14ac:dyDescent="0.25">
      <c r="H130" s="213" t="s">
        <v>90</v>
      </c>
      <c r="I130" s="214" t="s">
        <v>109</v>
      </c>
      <c r="J130" s="215">
        <f t="shared" ref="J130:P130" si="22">J123/J127</f>
        <v>0</v>
      </c>
      <c r="K130" s="215">
        <f t="shared" si="22"/>
        <v>5.4832381892394866E-2</v>
      </c>
      <c r="L130" s="215">
        <f t="shared" si="22"/>
        <v>6.4091493286204546E-2</v>
      </c>
      <c r="M130" s="215">
        <f t="shared" si="22"/>
        <v>6.8473676758070728E-2</v>
      </c>
      <c r="N130" s="215">
        <f t="shared" si="22"/>
        <v>7.4098046444614915E-2</v>
      </c>
      <c r="O130" s="215">
        <f t="shared" si="22"/>
        <v>0.10279767711783684</v>
      </c>
      <c r="P130" s="216">
        <f t="shared" si="22"/>
        <v>6.3755975840559614E-2</v>
      </c>
    </row>
    <row r="131" spans="8:16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P131" si="23">K124/K127</f>
        <v>0</v>
      </c>
      <c r="L131" s="215">
        <f t="shared" si="23"/>
        <v>5.0042345853378564E-2</v>
      </c>
      <c r="M131" s="215">
        <f t="shared" si="23"/>
        <v>0.15643542211468808</v>
      </c>
      <c r="N131" s="215">
        <f t="shared" si="23"/>
        <v>0.22671119274502544</v>
      </c>
      <c r="O131" s="215">
        <f t="shared" si="23"/>
        <v>0.57973762138764962</v>
      </c>
      <c r="P131" s="216">
        <f t="shared" si="23"/>
        <v>1.889030384498569</v>
      </c>
    </row>
    <row r="132" spans="8:16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P132" si="24">-K126/K127</f>
        <v>-9.4245252972192066</v>
      </c>
      <c r="L132" s="215">
        <f t="shared" si="24"/>
        <v>-9.4245252972192066</v>
      </c>
      <c r="M132" s="215">
        <f t="shared" si="24"/>
        <v>-9.4245252972203968</v>
      </c>
      <c r="N132" s="215">
        <f t="shared" si="24"/>
        <v>-9.4245252972200717</v>
      </c>
      <c r="O132" s="215">
        <f t="shared" si="24"/>
        <v>-9.4245252972199971</v>
      </c>
      <c r="P132" s="216">
        <f t="shared" si="24"/>
        <v>-9.4245252972206099</v>
      </c>
    </row>
    <row r="133" spans="8:16" ht="18" x14ac:dyDescent="0.25">
      <c r="H133" s="217" t="s">
        <v>101</v>
      </c>
      <c r="I133" s="218" t="s">
        <v>108</v>
      </c>
      <c r="J133" s="219">
        <f t="shared" ref="J133:P133" si="25">SUM(J128:J132)</f>
        <v>-9.4245252972192066</v>
      </c>
      <c r="K133" s="219">
        <f t="shared" si="25"/>
        <v>-6.8156820896282273</v>
      </c>
      <c r="L133" s="219">
        <f t="shared" si="25"/>
        <v>-7.5298891926425222</v>
      </c>
      <c r="M133" s="219">
        <f t="shared" si="25"/>
        <v>-7.9151869238763801</v>
      </c>
      <c r="N133" s="219">
        <f t="shared" si="25"/>
        <v>-7.9271070874636385</v>
      </c>
      <c r="O133" s="219">
        <f t="shared" si="25"/>
        <v>-7.4496927899982897</v>
      </c>
      <c r="P133" s="220">
        <f t="shared" si="25"/>
        <v>-5.8400739050342159</v>
      </c>
    </row>
    <row r="134" spans="8:16" x14ac:dyDescent="0.25">
      <c r="J134" s="31"/>
      <c r="K134" s="31"/>
      <c r="L134" s="31"/>
      <c r="M134" s="31"/>
      <c r="N134" s="31"/>
    </row>
    <row r="136" spans="8:16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P136" si="26">SUM(K106:K108)</f>
        <v>9.2752234637479281E-2</v>
      </c>
      <c r="L136" s="366">
        <f t="shared" si="26"/>
        <v>0.16965430001184628</v>
      </c>
      <c r="M136" s="366">
        <f t="shared" si="26"/>
        <v>0.29358324148521209</v>
      </c>
      <c r="N136" s="366">
        <f t="shared" si="26"/>
        <v>0.41461410551764216</v>
      </c>
      <c r="O136" s="366">
        <f t="shared" si="26"/>
        <v>0</v>
      </c>
      <c r="P136" s="367">
        <f t="shared" si="26"/>
        <v>1.5215870517637069</v>
      </c>
    </row>
    <row r="137" spans="8:16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P137" si="27">SUM(K129:K131)</f>
        <v>0.25715365058599216</v>
      </c>
      <c r="L137" s="289">
        <f t="shared" si="27"/>
        <v>0.46690639109970256</v>
      </c>
      <c r="M137" s="289">
        <f t="shared" si="27"/>
        <v>0.79547351660633769</v>
      </c>
      <c r="N137" s="289">
        <f t="shared" si="27"/>
        <v>1.1404857813877891</v>
      </c>
      <c r="O137" s="289">
        <f t="shared" si="27"/>
        <v>1.903446021548636</v>
      </c>
      <c r="P137" s="370">
        <f t="shared" si="27"/>
        <v>3.5844513921862013</v>
      </c>
    </row>
    <row r="138" spans="8:16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P138" si="28">K128</f>
        <v>2.3516895570049869</v>
      </c>
      <c r="L138" s="289">
        <f t="shared" si="28"/>
        <v>1.4277297134769822</v>
      </c>
      <c r="M138" s="289">
        <f t="shared" si="28"/>
        <v>0.7138648567376793</v>
      </c>
      <c r="N138" s="289">
        <f t="shared" si="28"/>
        <v>0.35693242836864436</v>
      </c>
      <c r="O138" s="289">
        <f t="shared" si="28"/>
        <v>7.1386485673070793E-2</v>
      </c>
      <c r="P138" s="370">
        <f t="shared" si="28"/>
        <v>1.9276083321019137E-13</v>
      </c>
    </row>
    <row r="139" spans="8:16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P139" si="29">K132</f>
        <v>-9.4245252972192066</v>
      </c>
      <c r="L139" s="289">
        <f t="shared" si="29"/>
        <v>-9.4245252972192066</v>
      </c>
      <c r="M139" s="289">
        <f t="shared" si="29"/>
        <v>-9.4245252972203968</v>
      </c>
      <c r="N139" s="289">
        <f t="shared" si="29"/>
        <v>-9.4245252972200717</v>
      </c>
      <c r="O139" s="289">
        <f t="shared" si="29"/>
        <v>-9.4245252972199971</v>
      </c>
      <c r="P139" s="370">
        <f t="shared" si="29"/>
        <v>-9.4245252972206099</v>
      </c>
    </row>
    <row r="140" spans="8:16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P140" si="30">K136+K138+K139</f>
        <v>-6.9800835055767401</v>
      </c>
      <c r="L140" s="289">
        <f t="shared" si="30"/>
        <v>-7.827141283730378</v>
      </c>
      <c r="M140" s="289">
        <f t="shared" si="30"/>
        <v>-8.4170771989975055</v>
      </c>
      <c r="N140" s="289">
        <f t="shared" si="30"/>
        <v>-8.6529787633337847</v>
      </c>
      <c r="O140" s="289">
        <f t="shared" si="30"/>
        <v>-9.3531388115469269</v>
      </c>
      <c r="P140" s="370">
        <f t="shared" si="30"/>
        <v>-7.9029382454567099</v>
      </c>
    </row>
    <row r="141" spans="8:16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P141" si="31">K137+K138+K139</f>
        <v>-6.8156820896282273</v>
      </c>
      <c r="L141" s="374">
        <f t="shared" si="31"/>
        <v>-7.5298891926425213</v>
      </c>
      <c r="M141" s="374">
        <f t="shared" si="31"/>
        <v>-7.9151869238763801</v>
      </c>
      <c r="N141" s="374">
        <f t="shared" si="31"/>
        <v>-7.9271070874636385</v>
      </c>
      <c r="O141" s="374">
        <f t="shared" si="31"/>
        <v>-7.4496927899982905</v>
      </c>
      <c r="P141" s="375">
        <f t="shared" si="31"/>
        <v>-5.8400739050342159</v>
      </c>
    </row>
    <row r="142" spans="8:16" x14ac:dyDescent="0.25">
      <c r="H142" s="376" t="s">
        <v>196</v>
      </c>
      <c r="I142" s="377"/>
      <c r="J142" s="378">
        <f>J140-J110</f>
        <v>-9.4245252972192066</v>
      </c>
      <c r="K142" s="378">
        <f t="shared" ref="K142:P142" si="32">K140-K110</f>
        <v>0</v>
      </c>
      <c r="L142" s="378">
        <f t="shared" si="32"/>
        <v>1.3766765505351941E-12</v>
      </c>
      <c r="M142" s="378">
        <f t="shared" si="32"/>
        <v>-3.7836400679225335E-13</v>
      </c>
      <c r="N142" s="378">
        <f t="shared" si="32"/>
        <v>-7.460698725481052E-14</v>
      </c>
      <c r="O142" s="378">
        <f t="shared" si="32"/>
        <v>-9.3531388115469269</v>
      </c>
      <c r="P142" s="379">
        <f t="shared" si="32"/>
        <v>0</v>
      </c>
    </row>
    <row r="143" spans="8:16" x14ac:dyDescent="0.25">
      <c r="H143" s="380" t="s">
        <v>197</v>
      </c>
      <c r="I143" s="381"/>
      <c r="J143" s="382">
        <f>J141-J133</f>
        <v>0</v>
      </c>
      <c r="K143" s="382">
        <f t="shared" ref="K143:P143" si="33">K141-K133</f>
        <v>0</v>
      </c>
      <c r="L143" s="382">
        <f t="shared" si="33"/>
        <v>0</v>
      </c>
      <c r="M143" s="382">
        <f t="shared" si="33"/>
        <v>0</v>
      </c>
      <c r="N143" s="382">
        <f t="shared" si="33"/>
        <v>0</v>
      </c>
      <c r="O143" s="382">
        <f t="shared" si="33"/>
        <v>0</v>
      </c>
      <c r="P143" s="383">
        <f t="shared" si="33"/>
        <v>0</v>
      </c>
    </row>
    <row r="144" spans="8:16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64B47-A8AB-4507-A3F0-D36FDCF3B7EB}">
  <sheetPr codeName="Foglio22"/>
  <dimension ref="A3:AA151"/>
  <sheetViews>
    <sheetView topLeftCell="A67" zoomScale="40" zoomScaleNormal="40" workbookViewId="0">
      <selection activeCell="BG77" sqref="BG77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3" spans="1:26" x14ac:dyDescent="0.25">
      <c r="U3" s="1"/>
      <c r="V3" s="1"/>
      <c r="W3" s="2"/>
    </row>
    <row r="4" spans="1:26" x14ac:dyDescent="0.25">
      <c r="A4" s="225" t="s">
        <v>102</v>
      </c>
      <c r="B4" s="225" t="s">
        <v>166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5"/>
      <c r="U4" s="6"/>
      <c r="V4" s="6"/>
    </row>
    <row r="5" spans="1:26" ht="15.75" thickBot="1" x14ac:dyDescent="0.3">
      <c r="H5" s="7" t="s">
        <v>1</v>
      </c>
      <c r="I5" s="8" t="s">
        <v>2</v>
      </c>
      <c r="J5" s="9"/>
      <c r="K5" s="9">
        <v>0.67086143240062945</v>
      </c>
      <c r="L5" s="9">
        <v>0.80000000000001226</v>
      </c>
      <c r="M5" s="9">
        <v>0.90000000000004154</v>
      </c>
      <c r="N5" s="9">
        <v>0.95000000000003271</v>
      </c>
      <c r="O5" s="9">
        <v>0.98999999999995247</v>
      </c>
      <c r="P5" s="10">
        <v>1.0000000000001097</v>
      </c>
      <c r="R5" s="11" t="str">
        <f>H5</f>
        <v>Renewable Energy Share</v>
      </c>
      <c r="S5" s="296"/>
      <c r="T5" s="296">
        <f t="shared" ref="T5:X13" si="0">K5</f>
        <v>0.67086143240062945</v>
      </c>
      <c r="U5" s="296">
        <f t="shared" si="0"/>
        <v>0.80000000000001226</v>
      </c>
      <c r="V5" s="296">
        <f t="shared" si="0"/>
        <v>0.90000000000004154</v>
      </c>
      <c r="W5" s="296">
        <f t="shared" si="0"/>
        <v>0.95000000000003271</v>
      </c>
      <c r="X5" s="296">
        <f t="shared" si="0"/>
        <v>0.98999999999995247</v>
      </c>
      <c r="Y5" s="296">
        <f t="shared" ref="Y5:Y13" si="1">P5</f>
        <v>1.0000000000001097</v>
      </c>
      <c r="Z5" s="12"/>
    </row>
    <row r="6" spans="1:26" ht="15.75" thickTop="1" x14ac:dyDescent="0.25">
      <c r="C6" s="13"/>
      <c r="H6" s="14" t="s">
        <v>3</v>
      </c>
      <c r="I6" s="15" t="s">
        <v>4</v>
      </c>
      <c r="J6" s="16"/>
      <c r="K6" s="16">
        <v>1.5832782223074253</v>
      </c>
      <c r="L6" s="16">
        <v>2.3715017248281356</v>
      </c>
      <c r="M6" s="16">
        <v>3.5191232863837949</v>
      </c>
      <c r="N6" s="16">
        <v>4.7946893170793423</v>
      </c>
      <c r="O6" s="16">
        <v>7.2063200548860493</v>
      </c>
      <c r="P6" s="17">
        <v>13.588946665658014</v>
      </c>
      <c r="R6" s="18" t="str">
        <f>H6</f>
        <v>PV capacity</v>
      </c>
      <c r="S6" s="19" t="str">
        <f t="shared" ref="S6:S13" si="2">I6</f>
        <v>MW</v>
      </c>
      <c r="T6" s="19">
        <f t="shared" si="0"/>
        <v>1.5832782223074253</v>
      </c>
      <c r="U6" s="19">
        <f t="shared" si="0"/>
        <v>2.3715017248281356</v>
      </c>
      <c r="V6" s="19">
        <f t="shared" si="0"/>
        <v>3.5191232863837949</v>
      </c>
      <c r="W6" s="19">
        <f t="shared" si="0"/>
        <v>4.7946893170793423</v>
      </c>
      <c r="X6" s="19">
        <f t="shared" si="0"/>
        <v>7.2063200548860493</v>
      </c>
      <c r="Y6" s="19">
        <f t="shared" si="1"/>
        <v>13.588946665658014</v>
      </c>
      <c r="Z6" s="19"/>
    </row>
    <row r="7" spans="1:26" x14ac:dyDescent="0.25">
      <c r="A7" s="13"/>
      <c r="B7" s="20"/>
      <c r="C7" s="13"/>
      <c r="H7" s="21" t="s">
        <v>5</v>
      </c>
      <c r="I7" s="6" t="s">
        <v>4</v>
      </c>
      <c r="J7" s="22"/>
      <c r="K7" s="22">
        <v>1.1429202062408674</v>
      </c>
      <c r="L7" s="22">
        <v>1.3501125365840108</v>
      </c>
      <c r="M7" s="22">
        <v>1.4546076628461382</v>
      </c>
      <c r="N7" s="22">
        <v>1.5236699513158323</v>
      </c>
      <c r="O7" s="22">
        <v>2.239279796804484</v>
      </c>
      <c r="P7" s="23">
        <v>1.300490884747654</v>
      </c>
      <c r="R7" s="24" t="str">
        <f t="shared" ref="R7:R13" si="3">H7</f>
        <v>Wind capacity</v>
      </c>
      <c r="S7" s="22" t="str">
        <f t="shared" si="2"/>
        <v>MW</v>
      </c>
      <c r="T7" s="22">
        <f t="shared" si="0"/>
        <v>1.1429202062408674</v>
      </c>
      <c r="U7" s="22">
        <f t="shared" si="0"/>
        <v>1.3501125365840108</v>
      </c>
      <c r="V7" s="22">
        <f t="shared" si="0"/>
        <v>1.4546076628461382</v>
      </c>
      <c r="W7" s="22">
        <f t="shared" si="0"/>
        <v>1.5236699513158323</v>
      </c>
      <c r="X7" s="22">
        <f t="shared" si="0"/>
        <v>2.239279796804484</v>
      </c>
      <c r="Y7" s="22">
        <f t="shared" si="1"/>
        <v>1.300490884747654</v>
      </c>
      <c r="Z7" s="22"/>
    </row>
    <row r="8" spans="1:26" x14ac:dyDescent="0.25">
      <c r="A8" s="13"/>
      <c r="B8" s="20"/>
      <c r="C8" s="13"/>
      <c r="H8" s="21" t="s">
        <v>6</v>
      </c>
      <c r="I8" s="6" t="s">
        <v>7</v>
      </c>
      <c r="J8" s="22"/>
      <c r="K8" s="22">
        <v>0</v>
      </c>
      <c r="L8" s="22">
        <v>0.32413971522991281</v>
      </c>
      <c r="M8" s="22">
        <v>3.0810449327219884</v>
      </c>
      <c r="N8" s="22">
        <v>7.3975149099764836</v>
      </c>
      <c r="O8" s="22">
        <v>19.137072466894285</v>
      </c>
      <c r="P8" s="23">
        <v>110.41692620041528</v>
      </c>
      <c r="R8" s="24" t="s">
        <v>6</v>
      </c>
      <c r="S8" s="22" t="str">
        <f t="shared" si="2"/>
        <v>MWh</v>
      </c>
      <c r="T8" s="22">
        <f t="shared" si="0"/>
        <v>0</v>
      </c>
      <c r="U8" s="22">
        <f t="shared" si="0"/>
        <v>0.32413971522991281</v>
      </c>
      <c r="V8" s="22">
        <f t="shared" si="0"/>
        <v>3.0810449327219884</v>
      </c>
      <c r="W8" s="22">
        <f t="shared" si="0"/>
        <v>7.3975149099764836</v>
      </c>
      <c r="X8" s="22">
        <f t="shared" si="0"/>
        <v>19.137072466894285</v>
      </c>
      <c r="Y8" s="22">
        <f t="shared" si="1"/>
        <v>110.41692620041528</v>
      </c>
      <c r="Z8" s="22"/>
    </row>
    <row r="9" spans="1:26" ht="15.75" thickBot="1" x14ac:dyDescent="0.3">
      <c r="A9" s="13"/>
      <c r="B9" s="20"/>
      <c r="C9" s="13"/>
      <c r="H9" s="25" t="s">
        <v>8</v>
      </c>
      <c r="I9" s="26" t="s">
        <v>9</v>
      </c>
      <c r="J9" s="27"/>
      <c r="K9" s="27">
        <v>0</v>
      </c>
      <c r="L9" s="27">
        <v>170</v>
      </c>
      <c r="M9" s="27">
        <v>123</v>
      </c>
      <c r="N9" s="27">
        <v>97</v>
      </c>
      <c r="O9" s="27">
        <v>34</v>
      </c>
      <c r="P9" s="28">
        <v>20</v>
      </c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>
        <f t="shared" ref="U9:W13" si="4">L9</f>
        <v>170</v>
      </c>
      <c r="V9" s="29">
        <f t="shared" si="4"/>
        <v>123</v>
      </c>
      <c r="W9" s="29">
        <f t="shared" si="4"/>
        <v>97</v>
      </c>
      <c r="X9" s="29">
        <f t="shared" si="0"/>
        <v>34</v>
      </c>
      <c r="Y9" s="29">
        <f t="shared" si="1"/>
        <v>20</v>
      </c>
      <c r="Z9" s="29"/>
    </row>
    <row r="10" spans="1:26" ht="15.75" thickTop="1" x14ac:dyDescent="0.25">
      <c r="A10" s="13"/>
      <c r="B10" s="20"/>
      <c r="C10" s="13"/>
      <c r="H10" s="14" t="s">
        <v>10</v>
      </c>
      <c r="I10" s="15" t="s">
        <v>18</v>
      </c>
      <c r="J10" s="16"/>
      <c r="K10" s="16">
        <v>0</v>
      </c>
      <c r="L10" s="16">
        <v>408.18340968142041</v>
      </c>
      <c r="M10" s="16">
        <v>1132.1960617307427</v>
      </c>
      <c r="N10" s="16">
        <v>1507.4288165253959</v>
      </c>
      <c r="O10" s="16">
        <v>1268.2619486840401</v>
      </c>
      <c r="P10" s="17">
        <v>390.86879501409459</v>
      </c>
      <c r="R10" s="18" t="str">
        <f t="shared" si="3"/>
        <v>Biogas storage size</v>
      </c>
      <c r="S10" s="19" t="str">
        <f>I10</f>
        <v>m3</v>
      </c>
      <c r="T10" s="19">
        <f>K10</f>
        <v>0</v>
      </c>
      <c r="U10" s="30">
        <f t="shared" si="4"/>
        <v>408.18340968142041</v>
      </c>
      <c r="V10" s="30">
        <f t="shared" si="4"/>
        <v>1132.1960617307427</v>
      </c>
      <c r="W10" s="30">
        <f t="shared" si="4"/>
        <v>1507.4288165253959</v>
      </c>
      <c r="X10" s="30">
        <f t="shared" si="0"/>
        <v>1268.2619486840401</v>
      </c>
      <c r="Y10" s="30">
        <f t="shared" si="1"/>
        <v>390.86879501409459</v>
      </c>
      <c r="Z10" s="30"/>
    </row>
    <row r="11" spans="1:26" x14ac:dyDescent="0.25">
      <c r="H11" s="21" t="s">
        <v>11</v>
      </c>
      <c r="I11" s="6" t="s">
        <v>12</v>
      </c>
      <c r="J11" s="22"/>
      <c r="K11" s="22">
        <v>0</v>
      </c>
      <c r="L11" s="22">
        <v>8.2475303608251451</v>
      </c>
      <c r="M11" s="22">
        <v>22.87653337214013</v>
      </c>
      <c r="N11" s="22">
        <v>30.458280851687007</v>
      </c>
      <c r="O11" s="22">
        <v>25.62580614291684</v>
      </c>
      <c r="P11" s="23">
        <v>7.8976807423259201</v>
      </c>
      <c r="R11" s="24" t="str">
        <f t="shared" si="3"/>
        <v>Biogas storage hours</v>
      </c>
      <c r="S11" s="22" t="str">
        <f t="shared" si="2"/>
        <v>h</v>
      </c>
      <c r="T11" s="22">
        <f>K11</f>
        <v>0</v>
      </c>
      <c r="U11" s="22">
        <f t="shared" si="4"/>
        <v>8.2475303608251451</v>
      </c>
      <c r="V11" s="22">
        <f t="shared" si="4"/>
        <v>22.87653337214013</v>
      </c>
      <c r="W11" s="22">
        <f t="shared" si="4"/>
        <v>30.458280851687007</v>
      </c>
      <c r="X11" s="22">
        <f t="shared" si="0"/>
        <v>25.62580614291684</v>
      </c>
      <c r="Y11" s="22">
        <f t="shared" si="1"/>
        <v>7.8976807423259201</v>
      </c>
      <c r="Z11" s="22"/>
    </row>
    <row r="12" spans="1:26" x14ac:dyDescent="0.25">
      <c r="H12" s="21" t="s">
        <v>13</v>
      </c>
      <c r="I12" s="6" t="s">
        <v>18</v>
      </c>
      <c r="J12" s="22"/>
      <c r="K12" s="22">
        <v>0</v>
      </c>
      <c r="L12" s="22">
        <v>1372.0516698130991</v>
      </c>
      <c r="M12" s="22">
        <v>2085.7723951354019</v>
      </c>
      <c r="N12" s="22">
        <v>2729.1744436261533</v>
      </c>
      <c r="O12" s="22">
        <v>2006.9220687891523</v>
      </c>
      <c r="P12" s="23">
        <v>-2.7711166694643907E-13</v>
      </c>
      <c r="R12" s="24" t="str">
        <f t="shared" si="3"/>
        <v>Syngas storage size</v>
      </c>
      <c r="S12" s="22" t="str">
        <f t="shared" si="2"/>
        <v>m3</v>
      </c>
      <c r="T12" s="22">
        <f>K12</f>
        <v>0</v>
      </c>
      <c r="U12" s="31">
        <f t="shared" si="4"/>
        <v>1372.0516698130991</v>
      </c>
      <c r="V12" s="31">
        <f t="shared" si="4"/>
        <v>2085.7723951354019</v>
      </c>
      <c r="W12" s="31">
        <f t="shared" si="4"/>
        <v>2729.1744436261533</v>
      </c>
      <c r="X12" s="31">
        <f t="shared" si="0"/>
        <v>2006.9220687891523</v>
      </c>
      <c r="Y12" s="31">
        <f t="shared" si="1"/>
        <v>-2.7711166694643907E-13</v>
      </c>
      <c r="Z12" s="31"/>
    </row>
    <row r="13" spans="1:26" x14ac:dyDescent="0.25">
      <c r="H13" s="32" t="s">
        <v>14</v>
      </c>
      <c r="I13" s="26" t="s">
        <v>12</v>
      </c>
      <c r="J13" s="33"/>
      <c r="K13" s="33">
        <v>0</v>
      </c>
      <c r="L13" s="33">
        <v>6.795101423131233</v>
      </c>
      <c r="M13" s="33">
        <v>10.329811392921565</v>
      </c>
      <c r="N13" s="33">
        <v>13.516267319862427</v>
      </c>
      <c r="O13" s="33">
        <v>9.9393042592924434</v>
      </c>
      <c r="P13" s="34">
        <v>-1.3723986668013158E-15</v>
      </c>
      <c r="R13" s="24" t="str">
        <f t="shared" si="3"/>
        <v>Syngas storage hours</v>
      </c>
      <c r="S13" s="22" t="str">
        <f t="shared" si="2"/>
        <v>h</v>
      </c>
      <c r="T13" s="22">
        <f>K13</f>
        <v>0</v>
      </c>
      <c r="U13" s="22">
        <f t="shared" si="4"/>
        <v>6.795101423131233</v>
      </c>
      <c r="V13" s="22">
        <f t="shared" si="4"/>
        <v>10.329811392921565</v>
      </c>
      <c r="W13" s="22">
        <f t="shared" si="4"/>
        <v>13.516267319862427</v>
      </c>
      <c r="X13" s="22">
        <f t="shared" si="0"/>
        <v>9.9393042592924434</v>
      </c>
      <c r="Y13" s="22">
        <f t="shared" si="1"/>
        <v>-1.3723986668013158E-15</v>
      </c>
      <c r="Z13" s="22"/>
    </row>
    <row r="14" spans="1:26" x14ac:dyDescent="0.25">
      <c r="H14" s="25" t="s">
        <v>15</v>
      </c>
      <c r="I14" s="26" t="s">
        <v>16</v>
      </c>
      <c r="J14" s="35"/>
      <c r="K14" s="35">
        <v>3.839237279083223</v>
      </c>
      <c r="L14" s="35">
        <v>3.9365785540053726</v>
      </c>
      <c r="M14" s="35">
        <v>4.0734039851372881</v>
      </c>
      <c r="N14" s="35">
        <v>4.2520882686950809</v>
      </c>
      <c r="O14" s="35">
        <v>5.0685783051547872</v>
      </c>
      <c r="P14" s="36">
        <v>7.3806873059536553</v>
      </c>
      <c r="R14" s="37" t="s">
        <v>17</v>
      </c>
      <c r="S14" s="6" t="s">
        <v>18</v>
      </c>
      <c r="T14" s="22">
        <f>[12]NoSP!$F$112</f>
        <v>0.41938486112704781</v>
      </c>
      <c r="U14" s="31">
        <f>'[12]80SP'!$F$112</f>
        <v>4.8306859391505146</v>
      </c>
      <c r="V14" s="31">
        <f>'[12]90SP'!$F$112</f>
        <v>44.157231410575029</v>
      </c>
      <c r="W14" s="31">
        <f>'[12]95SP'!$F$112</f>
        <v>92.868096621548489</v>
      </c>
      <c r="X14" s="31">
        <f>'[14]99SP'!$F$112</f>
        <v>381.96071599702094</v>
      </c>
      <c r="Y14" s="31">
        <f>'[12]100SP'!$F$112</f>
        <v>57.065966404013238</v>
      </c>
      <c r="Z14" s="31"/>
    </row>
    <row r="15" spans="1:26" ht="15.75" thickBot="1" x14ac:dyDescent="0.3">
      <c r="H15" s="14" t="s">
        <v>19</v>
      </c>
      <c r="I15" s="15" t="s">
        <v>2</v>
      </c>
      <c r="J15" s="38"/>
      <c r="K15" s="38">
        <v>1</v>
      </c>
      <c r="L15" s="38">
        <v>1.2185741257075755</v>
      </c>
      <c r="M15" s="38">
        <v>1.3323759814988425</v>
      </c>
      <c r="N15" s="38">
        <v>1.2758973656114452</v>
      </c>
      <c r="O15" s="38">
        <v>1.1237817935957086</v>
      </c>
      <c r="P15" s="39">
        <v>1.0060195849566225</v>
      </c>
      <c r="R15" s="40" t="s">
        <v>20</v>
      </c>
      <c r="S15" s="41" t="s">
        <v>12</v>
      </c>
      <c r="T15" s="41">
        <f>[12]NoSP!$B$169</f>
        <v>1.4709635373429383E-2</v>
      </c>
      <c r="U15" s="41">
        <f>'[12]80SP'!$B$169</f>
        <v>0.16943298472314255</v>
      </c>
      <c r="V15" s="41">
        <f>'[12]90SP'!$B$169</f>
        <v>1.5487845016726338</v>
      </c>
      <c r="W15" s="41">
        <f>'[12]95SP'!$B$169</f>
        <v>3.2572845749755297</v>
      </c>
      <c r="X15" s="41">
        <f>'[14]99SP'!$B$169</f>
        <v>13.397009239177407</v>
      </c>
      <c r="Y15" s="41">
        <f>'[12]100SP'!$B$169</f>
        <v>2.0015494974700898</v>
      </c>
      <c r="Z15" s="41"/>
    </row>
    <row r="16" spans="1:26" ht="15.75" thickTop="1" x14ac:dyDescent="0.25">
      <c r="H16" s="25" t="s">
        <v>21</v>
      </c>
      <c r="I16" s="26" t="s">
        <v>2</v>
      </c>
      <c r="J16" s="42"/>
      <c r="K16" s="42">
        <v>1</v>
      </c>
      <c r="L16" s="42">
        <v>1.0137387314786537</v>
      </c>
      <c r="M16" s="42">
        <v>1.0561875232205473</v>
      </c>
      <c r="N16" s="42">
        <v>1.0344670797154141</v>
      </c>
      <c r="O16" s="42">
        <v>1.0618215830862296</v>
      </c>
      <c r="P16" s="43">
        <v>1.0060245484967909</v>
      </c>
      <c r="R16" s="37" t="str">
        <f>H15</f>
        <v>Syngas generation size</v>
      </c>
      <c r="S16" s="6" t="s">
        <v>2</v>
      </c>
      <c r="T16" s="297">
        <f t="shared" ref="T16:X17" si="5">K15</f>
        <v>1</v>
      </c>
      <c r="U16" s="297">
        <f t="shared" si="5"/>
        <v>1.2185741257075755</v>
      </c>
      <c r="V16" s="297">
        <f t="shared" si="5"/>
        <v>1.3323759814988425</v>
      </c>
      <c r="W16" s="297">
        <f t="shared" si="5"/>
        <v>1.2758973656114452</v>
      </c>
      <c r="X16" s="297">
        <f t="shared" si="5"/>
        <v>1.1237817935957086</v>
      </c>
      <c r="Y16" s="297">
        <f>P15</f>
        <v>1.0060195849566225</v>
      </c>
      <c r="Z16" s="44"/>
    </row>
    <row r="17" spans="2:26" ht="15.75" thickBot="1" x14ac:dyDescent="0.3">
      <c r="R17" s="40" t="str">
        <f>H16</f>
        <v>Gas Separation size</v>
      </c>
      <c r="S17" s="45" t="s">
        <v>2</v>
      </c>
      <c r="T17" s="298">
        <f t="shared" si="5"/>
        <v>1</v>
      </c>
      <c r="U17" s="298">
        <f t="shared" si="5"/>
        <v>1.0137387314786537</v>
      </c>
      <c r="V17" s="298">
        <f t="shared" si="5"/>
        <v>1.0561875232205473</v>
      </c>
      <c r="W17" s="298">
        <f t="shared" si="5"/>
        <v>1.0344670797154141</v>
      </c>
      <c r="X17" s="298">
        <f t="shared" si="5"/>
        <v>1.0618215830862296</v>
      </c>
      <c r="Y17" s="298">
        <f>P16</f>
        <v>1.0060245484967909</v>
      </c>
      <c r="Z17" s="46"/>
    </row>
    <row r="18" spans="2:26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9"/>
    </row>
    <row r="19" spans="2:26" x14ac:dyDescent="0.25">
      <c r="H19" s="50" t="s">
        <v>1</v>
      </c>
      <c r="I19" s="8" t="s">
        <v>2</v>
      </c>
      <c r="J19" s="9"/>
      <c r="K19" s="9">
        <v>0.67086143240062945</v>
      </c>
      <c r="L19" s="9">
        <v>0.80000000000001226</v>
      </c>
      <c r="M19" s="9">
        <v>0.90000000000004154</v>
      </c>
      <c r="N19" s="9">
        <v>0.95000000000003271</v>
      </c>
      <c r="O19" s="9">
        <v>0.98999999999995247</v>
      </c>
      <c r="P19" s="10">
        <v>1.0000000000001097</v>
      </c>
    </row>
    <row r="20" spans="2:26" x14ac:dyDescent="0.25">
      <c r="H20" s="51" t="s">
        <v>23</v>
      </c>
      <c r="I20" s="52" t="s">
        <v>24</v>
      </c>
      <c r="J20" s="53"/>
      <c r="K20" s="53">
        <v>-9678.9875243778388</v>
      </c>
      <c r="L20" s="53">
        <v>-9678.9875243782426</v>
      </c>
      <c r="M20" s="53">
        <v>-9678.9875243787683</v>
      </c>
      <c r="N20" s="53">
        <v>-9678.9875243785627</v>
      </c>
      <c r="O20" s="53">
        <v>-9678.9875243790539</v>
      </c>
      <c r="P20" s="54">
        <v>-9678.9875243775514</v>
      </c>
    </row>
    <row r="21" spans="2:26" x14ac:dyDescent="0.25">
      <c r="B21" s="55"/>
      <c r="H21" s="56" t="s">
        <v>25</v>
      </c>
      <c r="I21" s="57" t="s">
        <v>24</v>
      </c>
      <c r="J21" s="58"/>
      <c r="K21" s="58">
        <v>-1702.5570878064138</v>
      </c>
      <c r="L21" s="58">
        <v>-1702.5570878065241</v>
      </c>
      <c r="M21" s="58">
        <v>-1702.5570878068393</v>
      </c>
      <c r="N21" s="58">
        <v>-1702.5570878065503</v>
      </c>
      <c r="O21" s="58">
        <v>-1702.5570878068584</v>
      </c>
      <c r="P21" s="59">
        <v>-1702.5570878064232</v>
      </c>
      <c r="Q21" s="60"/>
    </row>
    <row r="22" spans="2:26" x14ac:dyDescent="0.25">
      <c r="H22" s="61" t="s">
        <v>26</v>
      </c>
      <c r="I22" s="6" t="s">
        <v>24</v>
      </c>
      <c r="J22" s="31"/>
      <c r="K22" s="31">
        <v>1371.2370261578835</v>
      </c>
      <c r="L22" s="31">
        <v>2053.8973674143044</v>
      </c>
      <c r="M22" s="31">
        <v>3047.8232327804394</v>
      </c>
      <c r="N22" s="31">
        <v>4152.5585509040484</v>
      </c>
      <c r="O22" s="31">
        <v>6241.2106364999536</v>
      </c>
      <c r="P22" s="62">
        <v>11769.041316868996</v>
      </c>
      <c r="Q22" s="60"/>
    </row>
    <row r="23" spans="2:26" x14ac:dyDescent="0.25">
      <c r="H23" s="61" t="s">
        <v>27</v>
      </c>
      <c r="I23" s="6" t="s">
        <v>24</v>
      </c>
      <c r="J23" s="31"/>
      <c r="K23" s="31">
        <v>5516.8323976992815</v>
      </c>
      <c r="L23" s="31">
        <v>6516.9419017139217</v>
      </c>
      <c r="M23" s="31">
        <v>7021.3359047395079</v>
      </c>
      <c r="N23" s="31">
        <v>7354.6969464013764</v>
      </c>
      <c r="O23" s="31">
        <v>10808.918473107231</v>
      </c>
      <c r="P23" s="62">
        <v>6277.4200742203557</v>
      </c>
      <c r="Q23" s="60"/>
    </row>
    <row r="24" spans="2:26" x14ac:dyDescent="0.25">
      <c r="H24" s="61" t="s">
        <v>28</v>
      </c>
      <c r="I24" s="6" t="s">
        <v>24</v>
      </c>
      <c r="J24" s="31"/>
      <c r="K24" s="31">
        <v>3185.7280895866816</v>
      </c>
      <c r="L24" s="31">
        <v>1935.7975048758105</v>
      </c>
      <c r="M24" s="31">
        <v>967.89875243786867</v>
      </c>
      <c r="N24" s="31">
        <v>483.9493762188302</v>
      </c>
      <c r="O24" s="31">
        <v>96.789875243856827</v>
      </c>
      <c r="P24" s="62">
        <v>1.2176997188362293E-12</v>
      </c>
      <c r="Q24" s="60"/>
    </row>
    <row r="25" spans="2:26" x14ac:dyDescent="0.25">
      <c r="H25" s="61" t="s">
        <v>29</v>
      </c>
      <c r="I25" s="6" t="s">
        <v>24</v>
      </c>
      <c r="J25" s="31"/>
      <c r="K25" s="31">
        <v>-394.80998906522575</v>
      </c>
      <c r="L25" s="31">
        <v>-824.40442560192866</v>
      </c>
      <c r="M25" s="31">
        <v>-1335.8042107342815</v>
      </c>
      <c r="N25" s="31">
        <v>-2270.1024654132584</v>
      </c>
      <c r="O25" s="31">
        <v>-7430.520842014761</v>
      </c>
      <c r="P25" s="62">
        <v>-8242.5640940957364</v>
      </c>
      <c r="Q25" s="60"/>
    </row>
    <row r="26" spans="2:26" x14ac:dyDescent="0.25">
      <c r="H26" s="61" t="s">
        <v>30</v>
      </c>
      <c r="I26" s="6" t="s">
        <v>24</v>
      </c>
      <c r="J26" s="31"/>
      <c r="K26" s="31">
        <v>0</v>
      </c>
      <c r="L26" s="31">
        <v>-54.903959789917486</v>
      </c>
      <c r="M26" s="31">
        <v>-376.75388907568959</v>
      </c>
      <c r="N26" s="31">
        <v>-712.60378565509359</v>
      </c>
      <c r="O26" s="31">
        <v>-633.00538845378878</v>
      </c>
      <c r="P26" s="62">
        <v>-2113.5325315567375</v>
      </c>
      <c r="Q26" s="60"/>
    </row>
    <row r="27" spans="2:26" x14ac:dyDescent="0.25">
      <c r="B27" s="63"/>
      <c r="H27" s="61" t="s">
        <v>31</v>
      </c>
      <c r="I27" s="6" t="s">
        <v>24</v>
      </c>
      <c r="J27" s="31"/>
      <c r="K27" s="31">
        <v>0</v>
      </c>
      <c r="L27" s="31">
        <v>51.659135766333378</v>
      </c>
      <c r="M27" s="31">
        <v>354.48773423131632</v>
      </c>
      <c r="N27" s="31">
        <v>670.48890192287683</v>
      </c>
      <c r="O27" s="31">
        <v>595.59476999616891</v>
      </c>
      <c r="P27" s="62">
        <v>1988.6227589417367</v>
      </c>
    </row>
    <row r="28" spans="2:26" x14ac:dyDescent="0.25">
      <c r="H28" s="64" t="s">
        <v>32</v>
      </c>
      <c r="I28" s="65" t="s">
        <v>24</v>
      </c>
      <c r="J28" s="66"/>
      <c r="K28" s="66">
        <v>7.8205175668699667E-10</v>
      </c>
      <c r="L28" s="66">
        <v>2.8125413109592046E-10</v>
      </c>
      <c r="M28" s="66">
        <v>3.9329961509793065E-10</v>
      </c>
      <c r="N28" s="66">
        <v>2.1725554688600823E-10</v>
      </c>
      <c r="O28" s="66">
        <v>-3.9335645851679146E-10</v>
      </c>
      <c r="P28" s="67">
        <v>1.0645635484252125E-9</v>
      </c>
    </row>
    <row r="30" spans="2:26" x14ac:dyDescent="0.25">
      <c r="H30" s="68" t="s">
        <v>15</v>
      </c>
    </row>
    <row r="31" spans="2:26" x14ac:dyDescent="0.25">
      <c r="H31" s="69" t="s">
        <v>33</v>
      </c>
      <c r="I31" s="70" t="s">
        <v>103</v>
      </c>
      <c r="J31" s="71"/>
      <c r="K31" s="71">
        <v>8.9331524506191404E-2</v>
      </c>
      <c r="L31" s="71">
        <v>0.13380457171907234</v>
      </c>
      <c r="M31" s="71">
        <v>0.19855553096649051</v>
      </c>
      <c r="N31" s="71">
        <v>0.27052535694205032</v>
      </c>
      <c r="O31" s="71">
        <v>0.40659408277869863</v>
      </c>
      <c r="P31" s="72">
        <v>0.76671383776601232</v>
      </c>
    </row>
    <row r="32" spans="2:26" x14ac:dyDescent="0.25">
      <c r="H32" s="73" t="s">
        <v>34</v>
      </c>
      <c r="I32" s="74" t="s">
        <v>103</v>
      </c>
      <c r="J32" s="75"/>
      <c r="K32" s="75">
        <v>0.51609633733996263</v>
      </c>
      <c r="L32" s="75">
        <v>0.60965597713913533</v>
      </c>
      <c r="M32" s="75">
        <v>0.65684173134952251</v>
      </c>
      <c r="N32" s="75">
        <v>0.68802745536849563</v>
      </c>
      <c r="O32" s="75">
        <v>1.0111677920293309</v>
      </c>
      <c r="P32" s="76">
        <v>0.58724885490465117</v>
      </c>
    </row>
    <row r="33" spans="8:16" x14ac:dyDescent="0.25">
      <c r="H33" s="73" t="s">
        <v>35</v>
      </c>
      <c r="I33" s="74" t="s">
        <v>103</v>
      </c>
      <c r="J33" s="75"/>
      <c r="K33" s="75">
        <v>0</v>
      </c>
      <c r="L33" s="75">
        <v>7.4110545907710894E-3</v>
      </c>
      <c r="M33" s="75">
        <v>7.0444290286444167E-2</v>
      </c>
      <c r="N33" s="75">
        <v>0.1691350496652132</v>
      </c>
      <c r="O33" s="75">
        <v>0.43754554624415509</v>
      </c>
      <c r="P33" s="76">
        <v>2.524546759831634</v>
      </c>
    </row>
    <row r="34" spans="8:16" x14ac:dyDescent="0.25">
      <c r="H34" s="73" t="s">
        <v>36</v>
      </c>
      <c r="I34" s="74" t="s">
        <v>103</v>
      </c>
      <c r="J34" s="75"/>
      <c r="K34" s="75">
        <v>0</v>
      </c>
      <c r="L34" s="75">
        <v>4.4956053692483483E-2</v>
      </c>
      <c r="M34" s="75">
        <v>6.3032989298144895E-2</v>
      </c>
      <c r="N34" s="75">
        <v>7.5548564160394807E-2</v>
      </c>
      <c r="O34" s="75">
        <v>6.4541397420556146E-2</v>
      </c>
      <c r="P34" s="76">
        <v>1.7857796564171344E-2</v>
      </c>
    </row>
    <row r="35" spans="8:16" x14ac:dyDescent="0.25">
      <c r="H35" s="73"/>
      <c r="I35" s="74"/>
      <c r="J35" s="75"/>
      <c r="K35" s="75"/>
      <c r="L35" s="75"/>
      <c r="M35" s="75"/>
      <c r="N35" s="75"/>
      <c r="O35" s="75"/>
      <c r="P35" s="76"/>
    </row>
    <row r="36" spans="8:16" x14ac:dyDescent="0.25">
      <c r="H36" s="73" t="s">
        <v>37</v>
      </c>
      <c r="I36" s="74" t="s">
        <v>103</v>
      </c>
      <c r="J36" s="75"/>
      <c r="K36" s="75">
        <v>0.64258536738640193</v>
      </c>
      <c r="L36" s="75">
        <v>0.68206023771385627</v>
      </c>
      <c r="M36" s="75">
        <v>0.71097739836712748</v>
      </c>
      <c r="N36" s="75">
        <v>0.6964614041711793</v>
      </c>
      <c r="O36" s="75">
        <v>0.67861456346664706</v>
      </c>
      <c r="P36" s="76">
        <v>0.64509816568699418</v>
      </c>
    </row>
    <row r="37" spans="8:16" x14ac:dyDescent="0.25">
      <c r="H37" s="77" t="s">
        <v>38</v>
      </c>
      <c r="I37" s="78" t="s">
        <v>103</v>
      </c>
      <c r="J37" s="79"/>
      <c r="K37" s="79">
        <v>1.751598519729243E-2</v>
      </c>
      <c r="L37" s="79">
        <v>2.6236190533151439E-2</v>
      </c>
      <c r="M37" s="79">
        <v>3.8932457052253046E-2</v>
      </c>
      <c r="N37" s="79">
        <v>5.3044187635696134E-2</v>
      </c>
      <c r="O37" s="79">
        <v>7.9724329956607581E-2</v>
      </c>
      <c r="P37" s="80">
        <v>0.1503360466207867</v>
      </c>
    </row>
    <row r="38" spans="8:16" x14ac:dyDescent="0.25">
      <c r="H38" s="81" t="s">
        <v>39</v>
      </c>
      <c r="I38" s="82" t="s">
        <v>103</v>
      </c>
      <c r="J38" s="83"/>
      <c r="K38" s="83">
        <v>0.21284495741664439</v>
      </c>
      <c r="L38" s="83">
        <v>0.25143019065354294</v>
      </c>
      <c r="M38" s="83">
        <v>0.27089021995223267</v>
      </c>
      <c r="N38" s="83">
        <v>0.28375162512134772</v>
      </c>
      <c r="O38" s="83">
        <v>0.4170189750713042</v>
      </c>
      <c r="P38" s="84">
        <v>0.24218919700028488</v>
      </c>
    </row>
    <row r="39" spans="8:16" x14ac:dyDescent="0.25">
      <c r="H39" s="81" t="s">
        <v>40</v>
      </c>
      <c r="I39" s="82" t="s">
        <v>103</v>
      </c>
      <c r="J39" s="83"/>
      <c r="K39" s="83">
        <v>0</v>
      </c>
      <c r="L39" s="83">
        <v>1.4941642320103002E-3</v>
      </c>
      <c r="M39" s="83">
        <v>1.4202477880331483E-2</v>
      </c>
      <c r="N39" s="83">
        <v>3.409980840024459E-2</v>
      </c>
      <c r="O39" s="83">
        <v>8.8214827871805457E-2</v>
      </c>
      <c r="P39" s="84">
        <v>0.50898120157895843</v>
      </c>
    </row>
    <row r="40" spans="8:16" x14ac:dyDescent="0.25">
      <c r="H40" s="81" t="s">
        <v>41</v>
      </c>
      <c r="I40" s="82" t="s">
        <v>103</v>
      </c>
      <c r="J40" s="83"/>
      <c r="K40" s="83">
        <v>0.25703414695456078</v>
      </c>
      <c r="L40" s="83">
        <v>0.2907724939935023</v>
      </c>
      <c r="M40" s="83">
        <v>0.30894556976084853</v>
      </c>
      <c r="N40" s="83">
        <v>0.30781967617580602</v>
      </c>
      <c r="O40" s="83">
        <v>0.29626333440255004</v>
      </c>
      <c r="P40" s="84">
        <v>0.26471947794652234</v>
      </c>
    </row>
    <row r="41" spans="8:16" x14ac:dyDescent="0.25">
      <c r="H41" s="85" t="s">
        <v>42</v>
      </c>
      <c r="I41" s="86" t="s">
        <v>103</v>
      </c>
      <c r="J41" s="87"/>
      <c r="K41" s="87">
        <v>0</v>
      </c>
      <c r="L41" s="87">
        <v>3.4022569033548492E-5</v>
      </c>
      <c r="M41" s="87">
        <v>6.5858530526044479E-4</v>
      </c>
      <c r="N41" s="87">
        <v>9.8431115682362253E-4</v>
      </c>
      <c r="O41" s="87">
        <v>9.9904995233123287E-4</v>
      </c>
      <c r="P41" s="88">
        <v>4.6290695394382613E-4</v>
      </c>
    </row>
    <row r="42" spans="8:16" x14ac:dyDescent="0.25">
      <c r="H42" s="89" t="s">
        <v>43</v>
      </c>
      <c r="I42" s="90" t="s">
        <v>103</v>
      </c>
      <c r="J42" s="91"/>
      <c r="K42" s="91">
        <v>0</v>
      </c>
      <c r="L42" s="91">
        <v>4.0493912499744641E-3</v>
      </c>
      <c r="M42" s="91">
        <v>2.7787137897786258E-2</v>
      </c>
      <c r="N42" s="91">
        <v>5.2557439306232974E-2</v>
      </c>
      <c r="O42" s="91">
        <v>4.6686732450620078E-2</v>
      </c>
      <c r="P42" s="92">
        <v>0.155881655395536</v>
      </c>
    </row>
    <row r="43" spans="8:16" x14ac:dyDescent="0.25">
      <c r="H43" s="89" t="s">
        <v>44</v>
      </c>
      <c r="I43" s="90" t="s">
        <v>103</v>
      </c>
      <c r="J43" s="91"/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2">
        <v>0</v>
      </c>
    </row>
    <row r="44" spans="8:16" x14ac:dyDescent="0.25">
      <c r="H44" s="89" t="s">
        <v>45</v>
      </c>
      <c r="I44" s="90" t="s">
        <v>103</v>
      </c>
      <c r="J44" s="91"/>
      <c r="K44" s="91">
        <v>8.4786431781360944E-2</v>
      </c>
      <c r="L44" s="91">
        <v>9.6338953055498666E-2</v>
      </c>
      <c r="M44" s="91">
        <v>0.10235383865005661</v>
      </c>
      <c r="N44" s="91">
        <v>9.936871674023165E-2</v>
      </c>
      <c r="O44" s="91">
        <v>9.1328797211107454E-2</v>
      </c>
      <c r="P44" s="92">
        <v>8.5104591046784764E-2</v>
      </c>
    </row>
    <row r="45" spans="8:16" x14ac:dyDescent="0.25">
      <c r="H45" s="89" t="s">
        <v>46</v>
      </c>
      <c r="I45" s="90" t="s">
        <v>103</v>
      </c>
      <c r="J45" s="91"/>
      <c r="K45" s="91">
        <v>1.9027730795181843</v>
      </c>
      <c r="L45" s="91">
        <v>1.9027730795183591</v>
      </c>
      <c r="M45" s="91">
        <v>1.9027730795183613</v>
      </c>
      <c r="N45" s="91">
        <v>1.9027730795183784</v>
      </c>
      <c r="O45" s="91">
        <v>1.9027730795183746</v>
      </c>
      <c r="P45" s="92">
        <v>1.9027730795183702</v>
      </c>
    </row>
    <row r="46" spans="8:16" x14ac:dyDescent="0.25">
      <c r="H46" s="89" t="s">
        <v>47</v>
      </c>
      <c r="I46" s="90" t="s">
        <v>103</v>
      </c>
      <c r="J46" s="91"/>
      <c r="K46" s="91">
        <v>0.58749571384355859</v>
      </c>
      <c r="L46" s="91">
        <v>0.35678843820592909</v>
      </c>
      <c r="M46" s="91">
        <v>0.17823494371340409</v>
      </c>
      <c r="N46" s="91">
        <v>8.9217859193918239E-2</v>
      </c>
      <c r="O46" s="91">
        <v>1.8332061641654376E-2</v>
      </c>
      <c r="P46" s="92">
        <v>2.3574698183150944E-16</v>
      </c>
    </row>
    <row r="47" spans="8:16" x14ac:dyDescent="0.25">
      <c r="H47" s="93" t="s">
        <v>48</v>
      </c>
      <c r="I47" s="94" t="s">
        <v>103</v>
      </c>
      <c r="J47" s="95"/>
      <c r="K47" s="95">
        <v>-0.47122626486093483</v>
      </c>
      <c r="L47" s="95">
        <v>-0.47122626486094787</v>
      </c>
      <c r="M47" s="95">
        <v>-0.47122626486097585</v>
      </c>
      <c r="N47" s="95">
        <v>-0.47122626486093294</v>
      </c>
      <c r="O47" s="95">
        <v>-0.47122626486095642</v>
      </c>
      <c r="P47" s="96">
        <v>-0.47122626486099389</v>
      </c>
    </row>
    <row r="48" spans="8:16" x14ac:dyDescent="0.25">
      <c r="H48" s="97" t="s">
        <v>49</v>
      </c>
      <c r="I48" s="98" t="s">
        <v>103</v>
      </c>
      <c r="J48" s="99"/>
      <c r="K48" s="99">
        <v>-2.1839136756808434E-2</v>
      </c>
      <c r="L48" s="99">
        <v>-4.5602394803303289E-2</v>
      </c>
      <c r="M48" s="99">
        <v>-7.3890761750026693E-2</v>
      </c>
      <c r="N48" s="99">
        <v>-0.12557199556048382</v>
      </c>
      <c r="O48" s="99">
        <v>-0.41102344251042405</v>
      </c>
      <c r="P48" s="100">
        <v>-0.4559420720431519</v>
      </c>
    </row>
    <row r="49" spans="8:27" x14ac:dyDescent="0.25">
      <c r="H49" s="101" t="s">
        <v>50</v>
      </c>
      <c r="I49" s="102" t="s">
        <v>103</v>
      </c>
      <c r="J49" s="103"/>
      <c r="K49" s="103">
        <v>-4.3678273513616868E-2</v>
      </c>
      <c r="L49" s="103">
        <v>-9.1204789606606579E-2</v>
      </c>
      <c r="M49" s="103">
        <v>-0.14778152350005339</v>
      </c>
      <c r="N49" s="103">
        <v>-0.25114399112096764</v>
      </c>
      <c r="O49" s="103">
        <v>-0.82204688502084811</v>
      </c>
      <c r="P49" s="104">
        <v>-0.91188414408630381</v>
      </c>
    </row>
    <row r="50" spans="8:27" x14ac:dyDescent="0.25">
      <c r="H50" s="105" t="s">
        <v>51</v>
      </c>
      <c r="I50" s="106" t="s">
        <v>103</v>
      </c>
      <c r="J50" s="107"/>
      <c r="K50" s="107">
        <v>3.8392372790832212</v>
      </c>
      <c r="L50" s="107">
        <v>3.9365785540053722</v>
      </c>
      <c r="M50" s="107">
        <v>4.073403985137289</v>
      </c>
      <c r="N50" s="107">
        <v>4.2520882686950801</v>
      </c>
      <c r="O50" s="107">
        <v>5.0685783051547855</v>
      </c>
      <c r="P50" s="108">
        <v>7.3806873059536571</v>
      </c>
    </row>
    <row r="51" spans="8:27" x14ac:dyDescent="0.25">
      <c r="H51" s="105" t="s">
        <v>52</v>
      </c>
      <c r="I51" s="106" t="s">
        <v>103</v>
      </c>
      <c r="J51" s="107"/>
      <c r="K51" s="107">
        <v>3.8173981423264127</v>
      </c>
      <c r="L51" s="107">
        <v>3.8909761592020691</v>
      </c>
      <c r="M51" s="107">
        <v>3.9995132233872623</v>
      </c>
      <c r="N51" s="107">
        <v>4.1265162731345963</v>
      </c>
      <c r="O51" s="107">
        <v>4.6575548626443615</v>
      </c>
      <c r="P51" s="108">
        <v>6.9247452339105049</v>
      </c>
    </row>
    <row r="52" spans="8:27" x14ac:dyDescent="0.25">
      <c r="H52" s="109" t="s">
        <v>53</v>
      </c>
      <c r="I52" s="110" t="s">
        <v>103</v>
      </c>
      <c r="J52" s="111"/>
      <c r="K52" s="111">
        <v>3.7955590055696042</v>
      </c>
      <c r="L52" s="111">
        <v>3.8453737643987655</v>
      </c>
      <c r="M52" s="111">
        <v>3.9256224616372357</v>
      </c>
      <c r="N52" s="111">
        <v>4.0009442775741126</v>
      </c>
      <c r="O52" s="111">
        <v>4.2465314201339375</v>
      </c>
      <c r="P52" s="112">
        <v>6.4688031618673536</v>
      </c>
    </row>
    <row r="53" spans="8:27" x14ac:dyDescent="0.25">
      <c r="H53" s="113" t="s">
        <v>54</v>
      </c>
      <c r="I53" s="114" t="s">
        <v>103</v>
      </c>
      <c r="J53" s="115"/>
      <c r="K53" s="115">
        <v>3.839237279083223</v>
      </c>
      <c r="L53" s="115">
        <v>3.9365785540053722</v>
      </c>
      <c r="M53" s="115">
        <v>4.0734039851372881</v>
      </c>
      <c r="N53" s="115">
        <v>4.2520882686950801</v>
      </c>
      <c r="O53" s="115">
        <v>5.0685783051547872</v>
      </c>
      <c r="P53" s="116">
        <v>7.3806873059536571</v>
      </c>
    </row>
    <row r="54" spans="8:27" x14ac:dyDescent="0.25">
      <c r="H54" s="13"/>
      <c r="I54" s="13"/>
      <c r="J54" s="31"/>
      <c r="K54" s="31"/>
      <c r="L54" s="31"/>
      <c r="M54" s="31"/>
      <c r="N54" s="31"/>
      <c r="O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/>
      <c r="K56" s="124">
        <v>0.67086143240062945</v>
      </c>
      <c r="L56" s="124">
        <v>0.80000000000001226</v>
      </c>
      <c r="M56" s="124">
        <v>0.90000000000004154</v>
      </c>
      <c r="N56" s="124">
        <v>0.95000000000003271</v>
      </c>
      <c r="O56" s="124">
        <v>0.98999999999995247</v>
      </c>
      <c r="P56" s="125">
        <v>1.0000000000001097</v>
      </c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/>
      <c r="K57" s="128">
        <v>484483.13602607214</v>
      </c>
      <c r="L57" s="128">
        <v>725679.52779740945</v>
      </c>
      <c r="M57" s="128">
        <v>1076851.7256334412</v>
      </c>
      <c r="N57" s="128">
        <v>1467174.9310262788</v>
      </c>
      <c r="O57" s="128">
        <v>2205133.9367951308</v>
      </c>
      <c r="P57" s="129">
        <v>4158217.6796913529</v>
      </c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/>
      <c r="K58" s="132">
        <v>2799011.5850838847</v>
      </c>
      <c r="L58" s="132">
        <v>3306425.6020942423</v>
      </c>
      <c r="M58" s="132">
        <v>3562334.1663101921</v>
      </c>
      <c r="N58" s="132">
        <v>3731467.7107724729</v>
      </c>
      <c r="O58" s="132">
        <v>5483996.2223741813</v>
      </c>
      <c r="P58" s="133">
        <v>3184902.1767470045</v>
      </c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/>
      <c r="K59" s="132">
        <v>0</v>
      </c>
      <c r="L59" s="132">
        <v>40193.324688509187</v>
      </c>
      <c r="M59" s="132">
        <v>382049.5716575266</v>
      </c>
      <c r="N59" s="132">
        <v>917291.84883708402</v>
      </c>
      <c r="O59" s="132">
        <v>2372996.9858948914</v>
      </c>
      <c r="P59" s="133">
        <v>13691698.848851493</v>
      </c>
    </row>
    <row r="60" spans="8:27" x14ac:dyDescent="0.25">
      <c r="H60" s="134" t="s">
        <v>60</v>
      </c>
      <c r="I60" s="74" t="s">
        <v>57</v>
      </c>
      <c r="J60" s="135"/>
      <c r="K60" s="135">
        <v>0</v>
      </c>
      <c r="L60" s="135">
        <v>91652.826423152481</v>
      </c>
      <c r="M60" s="135">
        <v>136758.81464582527</v>
      </c>
      <c r="N60" s="135">
        <v>160135.81526953215</v>
      </c>
      <c r="O60" s="135">
        <v>145235.71940301568</v>
      </c>
      <c r="P60" s="136">
        <v>90574.125929378089</v>
      </c>
    </row>
    <row r="61" spans="8:27" x14ac:dyDescent="0.25">
      <c r="H61" s="134" t="s">
        <v>61</v>
      </c>
      <c r="I61" s="74" t="s">
        <v>57</v>
      </c>
      <c r="J61" s="135"/>
      <c r="K61" s="135">
        <v>0</v>
      </c>
      <c r="L61" s="135">
        <v>151701.81902935606</v>
      </c>
      <c r="M61" s="135">
        <v>196166.62021693549</v>
      </c>
      <c r="N61" s="135">
        <v>236250.56783790936</v>
      </c>
      <c r="O61" s="135">
        <v>191254.2448855642</v>
      </c>
      <c r="P61" s="136">
        <v>0</v>
      </c>
    </row>
    <row r="62" spans="8:27" x14ac:dyDescent="0.25">
      <c r="H62" s="134" t="s">
        <v>62</v>
      </c>
      <c r="I62" s="74"/>
      <c r="J62" s="135"/>
      <c r="K62" s="135">
        <v>0</v>
      </c>
      <c r="L62" s="135">
        <v>461.29742641672811</v>
      </c>
      <c r="M62" s="135">
        <v>8929.4757868798115</v>
      </c>
      <c r="N62" s="135">
        <v>13345.85295391044</v>
      </c>
      <c r="O62" s="135">
        <v>13545.689962968741</v>
      </c>
      <c r="P62" s="136">
        <v>6276.3569180837094</v>
      </c>
    </row>
    <row r="63" spans="8:27" x14ac:dyDescent="0.25">
      <c r="H63" s="137" t="s">
        <v>63</v>
      </c>
      <c r="I63" s="138" t="s">
        <v>57</v>
      </c>
      <c r="J63" s="139"/>
      <c r="K63" s="139">
        <v>1379675.7</v>
      </c>
      <c r="L63" s="139">
        <v>1574985.3834354593</v>
      </c>
      <c r="M63" s="139">
        <v>1673792.3410146008</v>
      </c>
      <c r="N63" s="139">
        <v>1624755.5290459953</v>
      </c>
      <c r="O63" s="139">
        <v>1490573.6310850508</v>
      </c>
      <c r="P63" s="140">
        <v>1385068.7347774771</v>
      </c>
    </row>
    <row r="64" spans="8:27" x14ac:dyDescent="0.25">
      <c r="H64" s="141" t="s">
        <v>64</v>
      </c>
      <c r="I64" s="142" t="s">
        <v>57</v>
      </c>
      <c r="J64" s="143"/>
      <c r="K64" s="143">
        <v>2105340.0956752724</v>
      </c>
      <c r="L64" s="143">
        <v>2124119.5490384549</v>
      </c>
      <c r="M64" s="143">
        <v>2182142.7447082251</v>
      </c>
      <c r="N64" s="143">
        <v>2152453.1000371682</v>
      </c>
      <c r="O64" s="143">
        <v>2189843.9334720755</v>
      </c>
      <c r="P64" s="144">
        <v>2113575.0428176271</v>
      </c>
    </row>
    <row r="66" spans="8:16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6" x14ac:dyDescent="0.25">
      <c r="H67" s="148" t="s">
        <v>67</v>
      </c>
      <c r="I67" s="149">
        <v>1876.2782660000005</v>
      </c>
      <c r="J67" s="149">
        <v>2814.4173990000008</v>
      </c>
      <c r="K67" s="150" t="s">
        <v>24</v>
      </c>
    </row>
    <row r="68" spans="8:16" x14ac:dyDescent="0.25">
      <c r="H68" s="61" t="s">
        <v>68</v>
      </c>
      <c r="I68" s="151">
        <v>2400.4524320667142</v>
      </c>
      <c r="J68" s="151">
        <v>2400.4524320667142</v>
      </c>
      <c r="K68" s="152" t="s">
        <v>24</v>
      </c>
    </row>
    <row r="69" spans="8:16" x14ac:dyDescent="0.25">
      <c r="H69" s="153" t="s">
        <v>69</v>
      </c>
      <c r="I69" s="154">
        <v>524.17416606671372</v>
      </c>
      <c r="J69" s="154">
        <v>-413.96496693328663</v>
      </c>
      <c r="K69" s="155" t="s">
        <v>24</v>
      </c>
    </row>
    <row r="71" spans="8:16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9"/>
    </row>
    <row r="72" spans="8:16" x14ac:dyDescent="0.25">
      <c r="H72" s="7" t="s">
        <v>1</v>
      </c>
      <c r="I72" s="8" t="s">
        <v>2</v>
      </c>
      <c r="J72" s="9"/>
      <c r="K72" s="9">
        <v>0.67086143240062945</v>
      </c>
      <c r="L72" s="9">
        <v>0.80000000000001226</v>
      </c>
      <c r="M72" s="9">
        <v>0.90000000000004154</v>
      </c>
      <c r="N72" s="9">
        <v>0.95000000000003271</v>
      </c>
      <c r="O72" s="9">
        <v>0.98999999999995247</v>
      </c>
      <c r="P72" s="10">
        <v>1.0000000000001097</v>
      </c>
    </row>
    <row r="73" spans="8:16" x14ac:dyDescent="0.25">
      <c r="H73" s="51" t="s">
        <v>71</v>
      </c>
      <c r="I73" s="156"/>
      <c r="J73" s="157"/>
      <c r="K73" s="157">
        <v>9.651078607819219</v>
      </c>
      <c r="L73" s="157">
        <v>91.179077057351364</v>
      </c>
      <c r="M73" s="157">
        <v>301.75317957032775</v>
      </c>
      <c r="N73" s="157">
        <v>809.16392837216574</v>
      </c>
      <c r="O73" s="157">
        <v>2644.4890591775074</v>
      </c>
      <c r="P73" s="158">
        <v>6609.6371125947226</v>
      </c>
    </row>
    <row r="74" spans="8:16" x14ac:dyDescent="0.25">
      <c r="H74" s="130" t="s">
        <v>72</v>
      </c>
      <c r="I74" s="159"/>
      <c r="J74" s="160"/>
      <c r="K74" s="160">
        <v>385.15891045740653</v>
      </c>
      <c r="L74" s="160">
        <v>733.22534854457729</v>
      </c>
      <c r="M74" s="160">
        <v>1034.0510311639537</v>
      </c>
      <c r="N74" s="160">
        <v>1460.9385370410928</v>
      </c>
      <c r="O74" s="160">
        <v>4786.0317828372536</v>
      </c>
      <c r="P74" s="161">
        <v>1632.9269815010139</v>
      </c>
    </row>
    <row r="75" spans="8:16" x14ac:dyDescent="0.25">
      <c r="H75" s="130" t="s">
        <v>73</v>
      </c>
      <c r="I75" s="159" t="s">
        <v>2</v>
      </c>
      <c r="J75" s="162"/>
      <c r="K75" s="162">
        <v>7.0382278364090785E-3</v>
      </c>
      <c r="L75" s="162">
        <v>4.4393200217272132E-2</v>
      </c>
      <c r="M75" s="162">
        <v>9.9006128808542218E-2</v>
      </c>
      <c r="N75" s="162">
        <v>0.19485912563376226</v>
      </c>
      <c r="O75" s="162">
        <v>0.42371411785270663</v>
      </c>
      <c r="P75" s="163">
        <v>0.56161219377494143</v>
      </c>
    </row>
    <row r="76" spans="8:16" x14ac:dyDescent="0.25">
      <c r="H76" s="130" t="s">
        <v>74</v>
      </c>
      <c r="I76" s="159" t="s">
        <v>2</v>
      </c>
      <c r="J76" s="162"/>
      <c r="K76" s="162">
        <v>6.9815227777815347E-2</v>
      </c>
      <c r="L76" s="162">
        <v>0.11251064680379348</v>
      </c>
      <c r="M76" s="162">
        <v>0.14727269072342111</v>
      </c>
      <c r="N76" s="162">
        <v>0.19864020879282104</v>
      </c>
      <c r="O76" s="162">
        <v>0.44278544562483102</v>
      </c>
      <c r="P76" s="163">
        <v>0.26012708440637861</v>
      </c>
    </row>
    <row r="77" spans="8:16" x14ac:dyDescent="0.25">
      <c r="H77" s="164" t="s">
        <v>75</v>
      </c>
      <c r="I77" s="165" t="s">
        <v>2</v>
      </c>
      <c r="J77" s="166"/>
      <c r="K77" s="166">
        <v>5.731794567833217E-2</v>
      </c>
      <c r="L77" s="166">
        <v>9.6187129371495275E-2</v>
      </c>
      <c r="M77" s="166">
        <v>0.13266293565236992</v>
      </c>
      <c r="N77" s="166">
        <v>0.19727575058577893</v>
      </c>
      <c r="O77" s="166">
        <v>0.43580437392863541</v>
      </c>
      <c r="P77" s="167">
        <v>0.45674129212753017</v>
      </c>
    </row>
    <row r="78" spans="8:16" x14ac:dyDescent="0.25">
      <c r="H78" s="168" t="s">
        <v>76</v>
      </c>
      <c r="I78" s="169"/>
      <c r="J78" s="170"/>
      <c r="K78" s="170">
        <v>69.808404673683313</v>
      </c>
      <c r="L78" s="170">
        <v>72.428382652252054</v>
      </c>
      <c r="M78" s="170">
        <v>79.545329643827102</v>
      </c>
      <c r="N78" s="170">
        <v>91.489581140938398</v>
      </c>
      <c r="O78" s="170">
        <v>140.75902422448584</v>
      </c>
      <c r="P78" s="171">
        <v>276.5732200711368</v>
      </c>
    </row>
    <row r="79" spans="8:16" x14ac:dyDescent="0.25">
      <c r="H79" s="172" t="s">
        <v>77</v>
      </c>
      <c r="I79" s="173"/>
      <c r="J79" s="174"/>
      <c r="K79" s="174">
        <v>67.98431312291406</v>
      </c>
      <c r="L79" s="174">
        <v>69.234333080206781</v>
      </c>
      <c r="M79" s="174">
        <v>74.94497171255351</v>
      </c>
      <c r="N79" s="174">
        <v>84.083078539747333</v>
      </c>
      <c r="O79" s="174">
        <v>117.49550645718426</v>
      </c>
      <c r="P79" s="175">
        <v>251.02541125331859</v>
      </c>
    </row>
    <row r="80" spans="8:16" x14ac:dyDescent="0.25">
      <c r="H80" s="172" t="s">
        <v>78</v>
      </c>
      <c r="I80" s="173"/>
      <c r="J80" s="174"/>
      <c r="K80" s="174">
        <v>66.160221572144792</v>
      </c>
      <c r="L80" s="174">
        <v>66.040283508161508</v>
      </c>
      <c r="M80" s="174">
        <v>70.344613781279932</v>
      </c>
      <c r="N80" s="174">
        <v>76.676575938556269</v>
      </c>
      <c r="O80" s="174">
        <v>94.231988689882698</v>
      </c>
      <c r="P80" s="175">
        <v>225.47760243550042</v>
      </c>
    </row>
    <row r="81" spans="8:16" x14ac:dyDescent="0.25">
      <c r="H81" s="73" t="s">
        <v>79</v>
      </c>
      <c r="I81" s="176"/>
      <c r="J81" s="177"/>
      <c r="K81" s="177">
        <v>65.807130326706115</v>
      </c>
      <c r="L81" s="177">
        <v>65.459065934439408</v>
      </c>
      <c r="M81" s="177">
        <v>68.969225522314559</v>
      </c>
      <c r="N81" s="177">
        <v>73.374607177008798</v>
      </c>
      <c r="O81" s="177">
        <v>79.2807329246085</v>
      </c>
      <c r="P81" s="178">
        <v>149.37036723350636</v>
      </c>
    </row>
    <row r="82" spans="8:16" x14ac:dyDescent="0.25">
      <c r="H82" s="134" t="s">
        <v>80</v>
      </c>
      <c r="I82" s="176"/>
      <c r="J82" s="177"/>
      <c r="K82" s="177">
        <v>64.08759195635615</v>
      </c>
      <c r="L82" s="177">
        <v>62.572359178356976</v>
      </c>
      <c r="M82" s="177">
        <v>64.98051713344941</v>
      </c>
      <c r="N82" s="177">
        <v>67.434595077918388</v>
      </c>
      <c r="O82" s="177">
        <v>66.177851960792566</v>
      </c>
      <c r="P82" s="178">
        <v>135.57262649726519</v>
      </c>
    </row>
    <row r="83" spans="8:16" x14ac:dyDescent="0.25">
      <c r="H83" s="179" t="s">
        <v>81</v>
      </c>
      <c r="I83" s="180"/>
      <c r="J83" s="181"/>
      <c r="K83" s="181">
        <v>62.368053586006177</v>
      </c>
      <c r="L83" s="181">
        <v>59.685652422274551</v>
      </c>
      <c r="M83" s="181">
        <v>60.991808744584262</v>
      </c>
      <c r="N83" s="181">
        <v>61.494582978827971</v>
      </c>
      <c r="O83" s="181">
        <v>53.074970996976646</v>
      </c>
      <c r="P83" s="182">
        <v>121.77488576102404</v>
      </c>
    </row>
    <row r="84" spans="8:16" x14ac:dyDescent="0.25">
      <c r="H84" s="183" t="s">
        <v>82</v>
      </c>
      <c r="I84" s="184" t="s">
        <v>12</v>
      </c>
      <c r="J84" s="185"/>
      <c r="K84" s="185">
        <v>0</v>
      </c>
      <c r="L84" s="185">
        <v>0.136681205767794</v>
      </c>
      <c r="M84" s="185">
        <v>0.87551491720769747</v>
      </c>
      <c r="N84" s="185">
        <v>1.542855943475945</v>
      </c>
      <c r="O84" s="185">
        <v>2.6555956883872947</v>
      </c>
      <c r="P84" s="186">
        <v>8.1254955896957739</v>
      </c>
    </row>
    <row r="86" spans="8:16" x14ac:dyDescent="0.25">
      <c r="I86" s="443" t="s">
        <v>83</v>
      </c>
      <c r="J86" s="444"/>
      <c r="K86" s="187" t="s">
        <v>84</v>
      </c>
    </row>
    <row r="87" spans="8:16" x14ac:dyDescent="0.25">
      <c r="I87" s="445" t="s">
        <v>111</v>
      </c>
      <c r="J87" s="446"/>
      <c r="K87" s="188" t="s">
        <v>85</v>
      </c>
    </row>
    <row r="88" spans="8:16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6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6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6" x14ac:dyDescent="0.25">
      <c r="H92" s="226" t="s">
        <v>1</v>
      </c>
      <c r="I92" s="227"/>
      <c r="J92" s="228"/>
      <c r="K92" s="228">
        <f t="shared" ref="K92:P92" si="6">K5</f>
        <v>0.67086143240062945</v>
      </c>
      <c r="L92" s="228">
        <f t="shared" si="6"/>
        <v>0.80000000000001226</v>
      </c>
      <c r="M92" s="228">
        <f t="shared" si="6"/>
        <v>0.90000000000004154</v>
      </c>
      <c r="N92" s="228">
        <f t="shared" si="6"/>
        <v>0.95000000000003271</v>
      </c>
      <c r="O92" s="228">
        <f t="shared" si="6"/>
        <v>0.98999999999995247</v>
      </c>
      <c r="P92" s="229">
        <f t="shared" si="6"/>
        <v>1.0000000000001097</v>
      </c>
    </row>
    <row r="93" spans="8:16" ht="18" x14ac:dyDescent="0.25">
      <c r="H93" s="148" t="s">
        <v>89</v>
      </c>
      <c r="I93" s="194" t="s">
        <v>104</v>
      </c>
      <c r="J93" s="195"/>
      <c r="K93" s="195">
        <f>IF(K22&gt;0,  $I$88*(K6*1000)/(K22*1000)/$K$88*1000, 0)</f>
        <v>24.247334366121237</v>
      </c>
      <c r="L93" s="195">
        <f t="shared" ref="L93:P93" si="7">IF(L22&gt;0,  $I$88*(L6*1000)/(L22*1000)/$K$88*1000, 0)</f>
        <v>24.247334366121262</v>
      </c>
      <c r="M93" s="195">
        <f t="shared" si="7"/>
        <v>24.247334366121176</v>
      </c>
      <c r="N93" s="195">
        <f t="shared" si="7"/>
        <v>24.247334366121198</v>
      </c>
      <c r="O93" s="195">
        <f t="shared" si="7"/>
        <v>24.24733436612129</v>
      </c>
      <c r="P93" s="195">
        <f t="shared" si="7"/>
        <v>24.24733436612123</v>
      </c>
    </row>
    <row r="94" spans="8:16" ht="18" x14ac:dyDescent="0.25">
      <c r="H94" s="61" t="s">
        <v>90</v>
      </c>
      <c r="I94" s="230" t="s">
        <v>104</v>
      </c>
      <c r="J94" s="231"/>
      <c r="K94" s="231">
        <f>IF(K23&gt;0,$I$89*(K7*1000)/(K23*1000)/$K$89*1000,0)</f>
        <v>3.148978595417562</v>
      </c>
      <c r="L94" s="231">
        <f t="shared" ref="L94:P94" si="8">IF(L23&gt;0,$I$89*(L7*1000)/(L23*1000)/$K$89*1000,0)</f>
        <v>3.1489785954175629</v>
      </c>
      <c r="M94" s="231">
        <f t="shared" si="8"/>
        <v>3.1489785954175318</v>
      </c>
      <c r="N94" s="231">
        <f t="shared" si="8"/>
        <v>3.1489785954175367</v>
      </c>
      <c r="O94" s="231">
        <f t="shared" si="8"/>
        <v>3.1489785954175629</v>
      </c>
      <c r="P94" s="231">
        <f t="shared" si="8"/>
        <v>3.1489785954175491</v>
      </c>
    </row>
    <row r="95" spans="8:16" ht="18" x14ac:dyDescent="0.25">
      <c r="H95" s="153" t="s">
        <v>99</v>
      </c>
      <c r="I95" s="197" t="s">
        <v>104</v>
      </c>
      <c r="J95" s="198"/>
      <c r="K95" s="198">
        <f>IF(-K26&gt;0,$I$90*(K8*1000)/(-K26*1000)/$K$90*1000,0)</f>
        <v>0</v>
      </c>
      <c r="L95" s="198">
        <f t="shared" ref="L95:P95" si="9">IF(-L26&gt;0,$I$90*(L8*1000)/(-L26*1000)/$K$90*1000,0)</f>
        <v>26.271724995653173</v>
      </c>
      <c r="M95" s="198">
        <f t="shared" si="9"/>
        <v>36.391528656147166</v>
      </c>
      <c r="N95" s="198">
        <f t="shared" si="9"/>
        <v>46.195293951649596</v>
      </c>
      <c r="O95" s="198">
        <f t="shared" si="9"/>
        <v>134.53277654665098</v>
      </c>
      <c r="P95" s="198">
        <f t="shared" si="9"/>
        <v>232.48060498502792</v>
      </c>
    </row>
    <row r="96" spans="8:16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5"/>
    </row>
    <row r="97" spans="8:16" x14ac:dyDescent="0.25">
      <c r="H97" s="7" t="s">
        <v>1</v>
      </c>
      <c r="I97" s="8" t="s">
        <v>2</v>
      </c>
      <c r="J97" s="9"/>
      <c r="K97" s="9">
        <f t="shared" ref="K97:P97" si="10">K5</f>
        <v>0.67086143240062945</v>
      </c>
      <c r="L97" s="9">
        <f t="shared" si="10"/>
        <v>0.80000000000001226</v>
      </c>
      <c r="M97" s="9">
        <f t="shared" si="10"/>
        <v>0.90000000000004154</v>
      </c>
      <c r="N97" s="9">
        <f t="shared" si="10"/>
        <v>0.95000000000003271</v>
      </c>
      <c r="O97" s="9">
        <f t="shared" si="10"/>
        <v>0.98999999999995247</v>
      </c>
      <c r="P97" s="10">
        <f t="shared" si="10"/>
        <v>1.0000000000001097</v>
      </c>
    </row>
    <row r="98" spans="8:16" ht="18" x14ac:dyDescent="0.25">
      <c r="H98" s="200" t="s">
        <v>91</v>
      </c>
      <c r="I98" s="201" t="s">
        <v>106</v>
      </c>
      <c r="J98" s="202"/>
      <c r="K98" s="202">
        <f>$M$88/1000*K24*1000</f>
        <v>1274291.2358346728</v>
      </c>
      <c r="L98" s="202">
        <f>$M$88/1000*L24*1000</f>
        <v>774319.00195032428</v>
      </c>
      <c r="M98" s="202">
        <f>$M$88/1000*M24*1000</f>
        <v>387159.50097514747</v>
      </c>
      <c r="N98" s="202">
        <f>$M$88/1000*N24*1000</f>
        <v>193579.75048753209</v>
      </c>
      <c r="O98" s="202"/>
      <c r="P98" s="203">
        <f>$M$88/1000*P24*1000</f>
        <v>4.8707988753449178E-10</v>
      </c>
    </row>
    <row r="99" spans="8:16" ht="18" x14ac:dyDescent="0.25">
      <c r="H99" s="204" t="s">
        <v>92</v>
      </c>
      <c r="I99" s="13" t="s">
        <v>106</v>
      </c>
      <c r="J99" s="31"/>
      <c r="K99" s="31">
        <f t="shared" ref="K99:N100" si="11">K93/1000*K22*1000</f>
        <v>33248.842668455938</v>
      </c>
      <c r="L99" s="31">
        <f t="shared" si="11"/>
        <v>49801.536221390845</v>
      </c>
      <c r="M99" s="31">
        <f t="shared" si="11"/>
        <v>73901.589014059689</v>
      </c>
      <c r="N99" s="31">
        <f t="shared" si="11"/>
        <v>100688.47565866618</v>
      </c>
      <c r="O99" s="31"/>
      <c r="P99" s="62">
        <f>P93/1000*P22*1000</f>
        <v>285367.87997881824</v>
      </c>
    </row>
    <row r="100" spans="8:16" ht="18" x14ac:dyDescent="0.25">
      <c r="H100" s="204" t="s">
        <v>93</v>
      </c>
      <c r="I100" s="13" t="s">
        <v>106</v>
      </c>
      <c r="J100" s="31"/>
      <c r="K100" s="31">
        <f t="shared" si="11"/>
        <v>17372.387134861183</v>
      </c>
      <c r="L100" s="31">
        <f t="shared" si="11"/>
        <v>20521.710556076963</v>
      </c>
      <c r="M100" s="31">
        <f t="shared" si="11"/>
        <v>22110.036475261299</v>
      </c>
      <c r="N100" s="31">
        <f t="shared" si="11"/>
        <v>23159.783260000651</v>
      </c>
      <c r="O100" s="31"/>
      <c r="P100" s="62">
        <f>P94/1000*P23*1000</f>
        <v>19767.461448164344</v>
      </c>
    </row>
    <row r="101" spans="8:16" ht="18" x14ac:dyDescent="0.25">
      <c r="H101" s="204" t="s">
        <v>94</v>
      </c>
      <c r="I101" s="13" t="s">
        <v>106</v>
      </c>
      <c r="J101" s="31"/>
      <c r="K101" s="31">
        <f>K95/1000*(-K26)*1000</f>
        <v>0</v>
      </c>
      <c r="L101" s="31">
        <f>L95/1000*(-L26)*1000</f>
        <v>1442.4217327731121</v>
      </c>
      <c r="M101" s="31">
        <f>M95/1000*(-M26)*1000</f>
        <v>13710.649950612848</v>
      </c>
      <c r="N101" s="31">
        <f>N95/1000*(-N26)*1000</f>
        <v>32918.941349395354</v>
      </c>
      <c r="O101" s="31"/>
      <c r="P101" s="62">
        <f>P95/1000*(-P26)*1000</f>
        <v>491355.32159184793</v>
      </c>
    </row>
    <row r="102" spans="8:16" ht="18" x14ac:dyDescent="0.25">
      <c r="H102" s="204" t="s">
        <v>95</v>
      </c>
      <c r="I102" s="13" t="s">
        <v>106</v>
      </c>
      <c r="J102" s="31"/>
      <c r="K102" s="31">
        <f>[3]NoSP!$C$174</f>
        <v>1630310.3764790881</v>
      </c>
      <c r="L102" s="31">
        <f>'[3]80SP'!$C$174</f>
        <v>1630310.3764795179</v>
      </c>
      <c r="M102" s="31">
        <f>'[3]90SP'!$C$174</f>
        <v>1630310.3764792352</v>
      </c>
      <c r="N102" s="31">
        <f>'[3]95SP'!$C$174</f>
        <v>1630310.3764794411</v>
      </c>
      <c r="O102" s="31"/>
      <c r="P102" s="62">
        <f>'[3]100SP'!$C$174</f>
        <v>1630310.3764794073</v>
      </c>
    </row>
    <row r="103" spans="8:16" ht="18" x14ac:dyDescent="0.25">
      <c r="H103" s="240" t="s">
        <v>96</v>
      </c>
      <c r="I103" s="241" t="s">
        <v>106</v>
      </c>
      <c r="J103" s="27"/>
      <c r="K103" s="27">
        <f>[3]NoSP!$C$175</f>
        <v>5111323.9103365559</v>
      </c>
      <c r="L103" s="27">
        <f>'[3]80SP'!$C$175</f>
        <v>5111323.9103378681</v>
      </c>
      <c r="M103" s="27">
        <f>'[3]90SP'!$C$175</f>
        <v>5111323.9103373047</v>
      </c>
      <c r="N103" s="27">
        <f>'[3]95SP'!$C$175</f>
        <v>5111323.9103372535</v>
      </c>
      <c r="O103" s="27"/>
      <c r="P103" s="28">
        <f>'[3]100SP'!$C$175</f>
        <v>5111323.9103376018</v>
      </c>
    </row>
    <row r="104" spans="8:16" ht="18" x14ac:dyDescent="0.25">
      <c r="H104" s="205" t="s">
        <v>97</v>
      </c>
      <c r="I104" s="206" t="s">
        <v>107</v>
      </c>
      <c r="J104" s="207"/>
      <c r="K104" s="207">
        <f>[3]NoSP!$C$176</f>
        <v>542342.8500791121</v>
      </c>
      <c r="L104" s="207">
        <f>'[3]80SP'!$C$176</f>
        <v>542342.85007918288</v>
      </c>
      <c r="M104" s="207">
        <f>'[3]90SP'!$C$176</f>
        <v>542342.85007914179</v>
      </c>
      <c r="N104" s="207">
        <f>'[3]95SP'!$C$176</f>
        <v>542342.85007914063</v>
      </c>
      <c r="O104" s="207">
        <f>'[3]95SP'!$C$176</f>
        <v>542342.85007914063</v>
      </c>
      <c r="P104" s="208">
        <f>'[3]100SP'!$C$176</f>
        <v>542342.85007914237</v>
      </c>
    </row>
    <row r="105" spans="8:16" ht="18" x14ac:dyDescent="0.25">
      <c r="H105" s="209" t="s">
        <v>98</v>
      </c>
      <c r="I105" s="210" t="s">
        <v>108</v>
      </c>
      <c r="J105" s="211"/>
      <c r="K105" s="211">
        <f>K98/K104</f>
        <v>2.3496045640664214</v>
      </c>
      <c r="L105" s="211">
        <f>L98/L104</f>
        <v>1.4277297134778719</v>
      </c>
      <c r="M105" s="211">
        <f>M98/M104</f>
        <v>0.71386485673896305</v>
      </c>
      <c r="N105" s="211">
        <f>N98/N104</f>
        <v>0.35693242836940547</v>
      </c>
      <c r="O105" s="211"/>
      <c r="P105" s="212">
        <f>P98/P104</f>
        <v>8.9810327076942884E-16</v>
      </c>
    </row>
    <row r="106" spans="8:16" ht="18" x14ac:dyDescent="0.25">
      <c r="H106" s="213" t="s">
        <v>89</v>
      </c>
      <c r="I106" s="214" t="s">
        <v>109</v>
      </c>
      <c r="J106" s="215"/>
      <c r="K106" s="215">
        <f>K99/K104</f>
        <v>6.130594819053279E-2</v>
      </c>
      <c r="L106" s="215">
        <f>L99/L104</f>
        <v>9.182666686602349E-2</v>
      </c>
      <c r="M106" s="215">
        <f>M99/M104</f>
        <v>0.13626359968288609</v>
      </c>
      <c r="N106" s="215">
        <f>N99/N104</f>
        <v>0.18565465672493581</v>
      </c>
      <c r="O106" s="215"/>
      <c r="P106" s="216">
        <f>P99/P104</f>
        <v>0.52617616317275206</v>
      </c>
    </row>
    <row r="107" spans="8:16" ht="18" x14ac:dyDescent="0.25">
      <c r="H107" s="213" t="s">
        <v>90</v>
      </c>
      <c r="I107" s="214" t="s">
        <v>109</v>
      </c>
      <c r="J107" s="215"/>
      <c r="K107" s="215">
        <f>K100/K104</f>
        <v>3.2032112403301817E-2</v>
      </c>
      <c r="L107" s="215">
        <f>L100/L104</f>
        <v>3.7838998989441389E-2</v>
      </c>
      <c r="M107" s="215">
        <f>M100/M104</f>
        <v>4.076763706211832E-2</v>
      </c>
      <c r="N107" s="215">
        <f>N100/N104</f>
        <v>4.2703214869747229E-2</v>
      </c>
      <c r="O107" s="215"/>
      <c r="P107" s="216">
        <f>P100/P104</f>
        <v>3.6448275192121994E-2</v>
      </c>
    </row>
    <row r="108" spans="8:16" ht="18" x14ac:dyDescent="0.25">
      <c r="H108" s="213" t="s">
        <v>99</v>
      </c>
      <c r="I108" s="214" t="s">
        <v>109</v>
      </c>
      <c r="J108" s="215"/>
      <c r="K108" s="215">
        <f>K101/K104</f>
        <v>0</v>
      </c>
      <c r="L108" s="215">
        <f>L101/L104</f>
        <v>2.6596123329781455E-3</v>
      </c>
      <c r="M108" s="215">
        <f>M101/M104</f>
        <v>2.5280410626990123E-2</v>
      </c>
      <c r="N108" s="215">
        <f>N101/N104</f>
        <v>6.0697658952435167E-2</v>
      </c>
      <c r="O108" s="215"/>
      <c r="P108" s="216">
        <f>P101/P104</f>
        <v>0.90598653881054392</v>
      </c>
    </row>
    <row r="109" spans="8:16" ht="18" x14ac:dyDescent="0.25">
      <c r="H109" s="213" t="s">
        <v>100</v>
      </c>
      <c r="I109" s="214" t="s">
        <v>108</v>
      </c>
      <c r="J109" s="215"/>
      <c r="K109" s="215">
        <f>-K103/K104</f>
        <v>-9.4245252972192066</v>
      </c>
      <c r="L109" s="215">
        <f>-L103/L104</f>
        <v>-9.4245252972203968</v>
      </c>
      <c r="M109" s="215">
        <f>-M103/M104</f>
        <v>-9.4245252972200717</v>
      </c>
      <c r="N109" s="215">
        <f>-N103/N104</f>
        <v>-9.4245252972199971</v>
      </c>
      <c r="O109" s="215"/>
      <c r="P109" s="216">
        <f>-P103/P104</f>
        <v>-9.4245252972206099</v>
      </c>
    </row>
    <row r="110" spans="8:16" ht="18" x14ac:dyDescent="0.25">
      <c r="H110" s="217" t="s">
        <v>101</v>
      </c>
      <c r="I110" s="218" t="s">
        <v>108</v>
      </c>
      <c r="J110" s="219"/>
      <c r="K110" s="219">
        <f>SUM(K105:K109)</f>
        <v>-6.9815826725589503</v>
      </c>
      <c r="L110" s="219">
        <f>SUM(L105:L109)</f>
        <v>-7.8644703055540823</v>
      </c>
      <c r="M110" s="219">
        <f>SUM(M105:M109)</f>
        <v>-8.5083487931091142</v>
      </c>
      <c r="N110" s="219">
        <f>SUM(N105:N109)</f>
        <v>-8.7785373383034742</v>
      </c>
      <c r="O110" s="219"/>
      <c r="P110" s="220">
        <f>SUM(P105:P109)</f>
        <v>-7.9559143200451912</v>
      </c>
    </row>
    <row r="111" spans="8:16" x14ac:dyDescent="0.25">
      <c r="H111" s="221"/>
      <c r="I111" s="6"/>
      <c r="J111" s="22"/>
      <c r="K111" s="222"/>
      <c r="L111" s="222"/>
      <c r="M111" s="222"/>
      <c r="N111" s="222"/>
      <c r="O111" s="222"/>
    </row>
    <row r="112" spans="8:16" x14ac:dyDescent="0.25">
      <c r="H112" s="283" t="s">
        <v>133</v>
      </c>
      <c r="I112" s="70"/>
      <c r="J112" s="284"/>
      <c r="K112" s="284">
        <f t="shared" ref="K112:P112" si="12">(K31+K37)*K104/K22</f>
        <v>42.259639895233484</v>
      </c>
      <c r="L112" s="284">
        <f t="shared" si="12"/>
        <v>42.25963989524292</v>
      </c>
      <c r="M112" s="284">
        <f t="shared" si="12"/>
        <v>42.259639895239623</v>
      </c>
      <c r="N112" s="284">
        <f t="shared" si="12"/>
        <v>42.259639895239964</v>
      </c>
      <c r="O112" s="284">
        <f t="shared" si="12"/>
        <v>42.259639895240014</v>
      </c>
      <c r="P112" s="285">
        <f t="shared" si="12"/>
        <v>42.259639895239971</v>
      </c>
    </row>
    <row r="113" spans="8:16" x14ac:dyDescent="0.25">
      <c r="H113" s="286" t="s">
        <v>134</v>
      </c>
      <c r="I113" s="287"/>
      <c r="J113" s="181"/>
      <c r="K113" s="181">
        <f t="shared" ref="K113:P113" si="13">IF(K32&gt;0,(K32+K38)*K104/K23,0)</f>
        <v>71.659980010182252</v>
      </c>
      <c r="L113" s="181">
        <f t="shared" si="13"/>
        <v>71.659980010198183</v>
      </c>
      <c r="M113" s="181">
        <f t="shared" si="13"/>
        <v>71.659980010192143</v>
      </c>
      <c r="N113" s="181">
        <f t="shared" si="13"/>
        <v>71.65998001019274</v>
      </c>
      <c r="O113" s="181">
        <f t="shared" si="13"/>
        <v>71.659980010193209</v>
      </c>
      <c r="P113" s="182">
        <f t="shared" si="13"/>
        <v>71.659980010192939</v>
      </c>
    </row>
    <row r="114" spans="8:16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8:16" x14ac:dyDescent="0.25">
      <c r="H115" s="226" t="s">
        <v>1</v>
      </c>
      <c r="I115" s="227"/>
      <c r="J115" s="228">
        <f>J28</f>
        <v>0</v>
      </c>
      <c r="K115" s="228">
        <f t="shared" ref="K115:P115" si="14">K28</f>
        <v>7.8205175668699667E-10</v>
      </c>
      <c r="L115" s="228">
        <f t="shared" si="14"/>
        <v>2.8125413109592046E-10</v>
      </c>
      <c r="M115" s="228">
        <f t="shared" si="14"/>
        <v>3.9329961509793065E-10</v>
      </c>
      <c r="N115" s="228">
        <f t="shared" si="14"/>
        <v>2.1725554688600823E-10</v>
      </c>
      <c r="O115" s="228">
        <f t="shared" si="14"/>
        <v>-3.9335645851679146E-10</v>
      </c>
      <c r="P115" s="229">
        <f t="shared" si="14"/>
        <v>1.0645635484252125E-9</v>
      </c>
    </row>
    <row r="116" spans="8:16" ht="18" x14ac:dyDescent="0.25">
      <c r="H116" s="148" t="s">
        <v>89</v>
      </c>
      <c r="I116" s="194" t="s">
        <v>104</v>
      </c>
      <c r="J116" s="195">
        <f>IF(J22&gt;0,  $J$88*(J6*1000)/(J22*1000)/$K$88*1000, 0)</f>
        <v>0</v>
      </c>
      <c r="K116" s="195">
        <f t="shared" ref="K116:P116" si="15">IF(K22&gt;0,  $J$88*(K6*1000)/(K22*1000)/$K$88*1000, 0)</f>
        <v>80.824447887070775</v>
      </c>
      <c r="L116" s="195">
        <f t="shared" si="15"/>
        <v>80.824447887070875</v>
      </c>
      <c r="M116" s="195">
        <f t="shared" si="15"/>
        <v>80.824447887070576</v>
      </c>
      <c r="N116" s="195">
        <f t="shared" si="15"/>
        <v>80.824447887070662</v>
      </c>
      <c r="O116" s="195">
        <f t="shared" si="15"/>
        <v>80.82444788707096</v>
      </c>
      <c r="P116" s="196">
        <f t="shared" si="15"/>
        <v>80.824447887070775</v>
      </c>
    </row>
    <row r="117" spans="8:16" ht="18" x14ac:dyDescent="0.25">
      <c r="H117" s="61" t="s">
        <v>90</v>
      </c>
      <c r="I117" s="230" t="s">
        <v>104</v>
      </c>
      <c r="J117" s="231">
        <f t="shared" ref="J117:P117" si="16">IF(J23&gt;0,$J$89*(J7*1000)/(J23*1000)/$K$89*1000,0)</f>
        <v>0</v>
      </c>
      <c r="K117" s="231">
        <f t="shared" si="16"/>
        <v>5.3864107553195142</v>
      </c>
      <c r="L117" s="231">
        <f t="shared" si="16"/>
        <v>5.3864107553195151</v>
      </c>
      <c r="M117" s="231">
        <f t="shared" si="16"/>
        <v>5.3864107553194627</v>
      </c>
      <c r="N117" s="231">
        <f t="shared" si="16"/>
        <v>5.3864107553194707</v>
      </c>
      <c r="O117" s="231">
        <f t="shared" si="16"/>
        <v>5.3864107553195142</v>
      </c>
      <c r="P117" s="232">
        <f t="shared" si="16"/>
        <v>5.386410755319492</v>
      </c>
    </row>
    <row r="118" spans="8:16" ht="18" x14ac:dyDescent="0.25">
      <c r="H118" s="153" t="s">
        <v>99</v>
      </c>
      <c r="I118" s="197" t="s">
        <v>104</v>
      </c>
      <c r="J118" s="198">
        <f t="shared" ref="J118:P118" si="17">IF(-J26&gt;0,$J$90*(J8*1000)/(-J26*1000)/$K$90*1000,0)</f>
        <v>0</v>
      </c>
      <c r="K118" s="198">
        <f t="shared" si="17"/>
        <v>0</v>
      </c>
      <c r="L118" s="198">
        <f t="shared" si="17"/>
        <v>49.886758699611079</v>
      </c>
      <c r="M118" s="198">
        <f t="shared" si="17"/>
        <v>69.103015088638998</v>
      </c>
      <c r="N118" s="198">
        <f t="shared" si="17"/>
        <v>87.719153683469472</v>
      </c>
      <c r="O118" s="198">
        <f t="shared" si="17"/>
        <v>255.46111501555069</v>
      </c>
      <c r="P118" s="199">
        <f t="shared" si="17"/>
        <v>441.45193530864856</v>
      </c>
    </row>
    <row r="119" spans="8:16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</row>
    <row r="120" spans="8:16" x14ac:dyDescent="0.25">
      <c r="H120" s="7" t="s">
        <v>1</v>
      </c>
      <c r="I120" s="8" t="s">
        <v>2</v>
      </c>
      <c r="J120" s="9">
        <f t="shared" ref="J120:P120" si="18">J28</f>
        <v>0</v>
      </c>
      <c r="K120" s="9">
        <f t="shared" si="18"/>
        <v>7.8205175668699667E-10</v>
      </c>
      <c r="L120" s="9">
        <f t="shared" si="18"/>
        <v>2.8125413109592046E-10</v>
      </c>
      <c r="M120" s="9">
        <f t="shared" si="18"/>
        <v>3.9329961509793065E-10</v>
      </c>
      <c r="N120" s="9">
        <f t="shared" si="18"/>
        <v>2.1725554688600823E-10</v>
      </c>
      <c r="O120" s="9">
        <f t="shared" si="18"/>
        <v>-3.9335645851679146E-10</v>
      </c>
      <c r="P120" s="10">
        <f t="shared" si="18"/>
        <v>1.0645635484252125E-9</v>
      </c>
    </row>
    <row r="121" spans="8:16" ht="18" x14ac:dyDescent="0.25">
      <c r="H121" s="200" t="s">
        <v>91</v>
      </c>
      <c r="I121" s="201" t="s">
        <v>106</v>
      </c>
      <c r="J121" s="202">
        <f>$M$88/1000*J24*1000</f>
        <v>0</v>
      </c>
      <c r="K121" s="202">
        <f t="shared" ref="K121:P121" si="19">$M$88/1000*K24*1000</f>
        <v>1274291.2358346728</v>
      </c>
      <c r="L121" s="202">
        <f t="shared" si="19"/>
        <v>774319.00195032428</v>
      </c>
      <c r="M121" s="202">
        <f t="shared" si="19"/>
        <v>387159.50097514747</v>
      </c>
      <c r="N121" s="202">
        <f t="shared" si="19"/>
        <v>193579.75048753209</v>
      </c>
      <c r="O121" s="202">
        <f t="shared" si="19"/>
        <v>38715.950097542729</v>
      </c>
      <c r="P121" s="203">
        <f t="shared" si="19"/>
        <v>4.8707988753449178E-10</v>
      </c>
    </row>
    <row r="122" spans="8:16" ht="18" x14ac:dyDescent="0.25">
      <c r="H122" s="204" t="s">
        <v>92</v>
      </c>
      <c r="I122" s="13" t="s">
        <v>106</v>
      </c>
      <c r="J122" s="31">
        <f>J116/1000*J22*1000</f>
        <v>0</v>
      </c>
      <c r="K122" s="31">
        <f t="shared" ref="K122:P123" si="20">K116/1000*K22*1000</f>
        <v>110829.47556151976</v>
      </c>
      <c r="L122" s="31">
        <f t="shared" si="20"/>
        <v>166005.1207379695</v>
      </c>
      <c r="M122" s="31">
        <f t="shared" si="20"/>
        <v>246338.63004686561</v>
      </c>
      <c r="N122" s="31">
        <f t="shared" si="20"/>
        <v>335628.25219555391</v>
      </c>
      <c r="O122" s="31">
        <f t="shared" si="20"/>
        <v>504442.40384202352</v>
      </c>
      <c r="P122" s="62">
        <f t="shared" si="20"/>
        <v>951226.26659606094</v>
      </c>
    </row>
    <row r="123" spans="8:16" ht="18" x14ac:dyDescent="0.25">
      <c r="H123" s="204" t="s">
        <v>93</v>
      </c>
      <c r="I123" s="13" t="s">
        <v>106</v>
      </c>
      <c r="J123" s="31">
        <f>J117/1000*J23*1000</f>
        <v>0</v>
      </c>
      <c r="K123" s="31">
        <f t="shared" si="20"/>
        <v>29715.925362262551</v>
      </c>
      <c r="L123" s="31">
        <f t="shared" si="20"/>
        <v>35102.925951184283</v>
      </c>
      <c r="M123" s="31">
        <f t="shared" si="20"/>
        <v>37819.799233999598</v>
      </c>
      <c r="N123" s="31">
        <f t="shared" si="20"/>
        <v>39615.418734211642</v>
      </c>
      <c r="O123" s="31">
        <f t="shared" si="20"/>
        <v>58221.274716916567</v>
      </c>
      <c r="P123" s="62">
        <f t="shared" si="20"/>
        <v>33812.763003439009</v>
      </c>
    </row>
    <row r="124" spans="8:16" ht="18" x14ac:dyDescent="0.25">
      <c r="H124" s="204" t="s">
        <v>94</v>
      </c>
      <c r="I124" s="13" t="s">
        <v>106</v>
      </c>
      <c r="J124" s="31">
        <f>J118/1000*(-J26)*1000</f>
        <v>0</v>
      </c>
      <c r="K124" s="31">
        <f t="shared" ref="K124:P124" si="21">K118/1000*(-K26)*1000</f>
        <v>0</v>
      </c>
      <c r="L124" s="31">
        <f t="shared" si="21"/>
        <v>2738.9805936927633</v>
      </c>
      <c r="M124" s="31">
        <f t="shared" si="21"/>
        <v>26034.829681500803</v>
      </c>
      <c r="N124" s="31">
        <f t="shared" si="21"/>
        <v>62509.00098930129</v>
      </c>
      <c r="O124" s="31">
        <f t="shared" si="21"/>
        <v>161708.26234525669</v>
      </c>
      <c r="P124" s="62">
        <f t="shared" si="21"/>
        <v>933023.02639350912</v>
      </c>
    </row>
    <row r="125" spans="8:16" ht="18" x14ac:dyDescent="0.25">
      <c r="H125" s="204" t="s">
        <v>95</v>
      </c>
      <c r="I125" s="13" t="s">
        <v>106</v>
      </c>
      <c r="J125" s="31">
        <f>[3]NoSP!$C$174</f>
        <v>1630310.3764790881</v>
      </c>
      <c r="K125" s="31">
        <f>[3]NoSP!$C$174</f>
        <v>1630310.3764790881</v>
      </c>
      <c r="L125" s="31">
        <f>[3]NoSP!$C$174</f>
        <v>1630310.3764790881</v>
      </c>
      <c r="M125" s="31">
        <f>'[3]80SP'!$C$174</f>
        <v>1630310.3764795179</v>
      </c>
      <c r="N125" s="31">
        <f>'[3]90SP'!$C$174</f>
        <v>1630310.3764792352</v>
      </c>
      <c r="O125" s="31">
        <f>'[3]95SP'!$C$174</f>
        <v>1630310.3764794411</v>
      </c>
      <c r="P125" s="62">
        <f>'[3]100SP'!$C$174</f>
        <v>1630310.3764794073</v>
      </c>
    </row>
    <row r="126" spans="8:16" ht="18" x14ac:dyDescent="0.25">
      <c r="H126" s="240" t="s">
        <v>96</v>
      </c>
      <c r="I126" s="241" t="s">
        <v>106</v>
      </c>
      <c r="J126" s="27">
        <f>[3]NoSP!$C$175</f>
        <v>5111323.9103365559</v>
      </c>
      <c r="K126" s="27">
        <f>[3]NoSP!$C$175</f>
        <v>5111323.9103365559</v>
      </c>
      <c r="L126" s="27">
        <f>[3]NoSP!$C$175</f>
        <v>5111323.9103365559</v>
      </c>
      <c r="M126" s="27">
        <f>'[3]80SP'!$C$175</f>
        <v>5111323.9103378681</v>
      </c>
      <c r="N126" s="27">
        <f>'[3]90SP'!$C$175</f>
        <v>5111323.9103373047</v>
      </c>
      <c r="O126" s="27">
        <f>'[3]95SP'!$C$175</f>
        <v>5111323.9103372535</v>
      </c>
      <c r="P126" s="28">
        <f>'[3]100SP'!$C$175</f>
        <v>5111323.9103376018</v>
      </c>
    </row>
    <row r="127" spans="8:16" ht="18" x14ac:dyDescent="0.25">
      <c r="H127" s="205" t="s">
        <v>97</v>
      </c>
      <c r="I127" s="206" t="s">
        <v>107</v>
      </c>
      <c r="J127" s="207">
        <f>[3]NoSP!$C$176</f>
        <v>542342.8500791121</v>
      </c>
      <c r="K127" s="207">
        <f>[3]NoSP!$C$176</f>
        <v>542342.8500791121</v>
      </c>
      <c r="L127" s="207">
        <f>[3]NoSP!$C$176</f>
        <v>542342.8500791121</v>
      </c>
      <c r="M127" s="207">
        <f>'[3]80SP'!$C$176</f>
        <v>542342.85007918288</v>
      </c>
      <c r="N127" s="207">
        <f>'[3]90SP'!$C$176</f>
        <v>542342.85007914179</v>
      </c>
      <c r="O127" s="207">
        <f>'[3]95SP'!$C$176</f>
        <v>542342.85007914063</v>
      </c>
      <c r="P127" s="208">
        <f>'[3]100SP'!$C$176</f>
        <v>542342.85007914237</v>
      </c>
    </row>
    <row r="128" spans="8:16" ht="18" x14ac:dyDescent="0.25">
      <c r="H128" s="209" t="s">
        <v>98</v>
      </c>
      <c r="I128" s="210" t="s">
        <v>108</v>
      </c>
      <c r="J128" s="211">
        <f t="shared" ref="J128:P128" si="22">J121/J127</f>
        <v>0</v>
      </c>
      <c r="K128" s="211">
        <f t="shared" si="22"/>
        <v>2.3496045640664214</v>
      </c>
      <c r="L128" s="211">
        <f t="shared" si="22"/>
        <v>1.4277297134780584</v>
      </c>
      <c r="M128" s="211">
        <f t="shared" si="22"/>
        <v>0.71386485673890898</v>
      </c>
      <c r="N128" s="211">
        <f t="shared" si="22"/>
        <v>0.35693242836940475</v>
      </c>
      <c r="O128" s="211">
        <f t="shared" si="22"/>
        <v>7.138648567394805E-2</v>
      </c>
      <c r="P128" s="212">
        <f t="shared" si="22"/>
        <v>8.9810327076942884E-16</v>
      </c>
    </row>
    <row r="129" spans="8:16" ht="18" x14ac:dyDescent="0.25">
      <c r="H129" s="213" t="s">
        <v>89</v>
      </c>
      <c r="I129" s="214" t="s">
        <v>109</v>
      </c>
      <c r="J129" s="215">
        <f t="shared" ref="J129:P129" si="23">J122/J127</f>
        <v>0</v>
      </c>
      <c r="K129" s="215">
        <f t="shared" si="23"/>
        <v>0.20435316063510925</v>
      </c>
      <c r="L129" s="215">
        <f t="shared" si="23"/>
        <v>0.30608888955345159</v>
      </c>
      <c r="M129" s="215">
        <f t="shared" si="23"/>
        <v>0.45421199894291919</v>
      </c>
      <c r="N129" s="215">
        <f t="shared" si="23"/>
        <v>0.61884885574978465</v>
      </c>
      <c r="O129" s="215">
        <f t="shared" si="23"/>
        <v>0.93011718282708711</v>
      </c>
      <c r="P129" s="216">
        <f t="shared" si="23"/>
        <v>1.7539205439091738</v>
      </c>
    </row>
    <row r="130" spans="8:16" ht="18" x14ac:dyDescent="0.25">
      <c r="H130" s="213" t="s">
        <v>90</v>
      </c>
      <c r="I130" s="214" t="s">
        <v>109</v>
      </c>
      <c r="J130" s="215">
        <f t="shared" ref="J130:P130" si="24">J123/J127</f>
        <v>0</v>
      </c>
      <c r="K130" s="215">
        <f t="shared" si="24"/>
        <v>5.4791771216174158E-2</v>
      </c>
      <c r="L130" s="215">
        <f t="shared" si="24"/>
        <v>6.4724603534579248E-2</v>
      </c>
      <c r="M130" s="215">
        <f t="shared" si="24"/>
        <v>6.9734116027302381E-2</v>
      </c>
      <c r="N130" s="215">
        <f t="shared" si="24"/>
        <v>7.3044972803514852E-2</v>
      </c>
      <c r="O130" s="215">
        <f t="shared" si="24"/>
        <v>0.10735141932528604</v>
      </c>
      <c r="P130" s="216">
        <f t="shared" si="24"/>
        <v>6.2345733881261307E-2</v>
      </c>
    </row>
    <row r="131" spans="8:16" ht="18" x14ac:dyDescent="0.25">
      <c r="H131" s="213" t="s">
        <v>99</v>
      </c>
      <c r="I131" s="214" t="s">
        <v>109</v>
      </c>
      <c r="J131" s="215">
        <f>J124/J127</f>
        <v>0</v>
      </c>
      <c r="K131" s="215">
        <f t="shared" ref="K131:P131" si="25">K124/K127</f>
        <v>0</v>
      </c>
      <c r="L131" s="215">
        <f t="shared" si="25"/>
        <v>5.0502751041951142E-3</v>
      </c>
      <c r="M131" s="215">
        <f t="shared" si="25"/>
        <v>4.8004375235516941E-2</v>
      </c>
      <c r="N131" s="215">
        <f t="shared" si="25"/>
        <v>0.11525735239282608</v>
      </c>
      <c r="O131" s="215">
        <f t="shared" si="25"/>
        <v>0.29816611820670197</v>
      </c>
      <c r="P131" s="216">
        <f t="shared" si="25"/>
        <v>1.7203564613368758</v>
      </c>
    </row>
    <row r="132" spans="8:16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P132" si="26">-K126/K127</f>
        <v>-9.4245252972192066</v>
      </c>
      <c r="L132" s="215">
        <f t="shared" si="26"/>
        <v>-9.4245252972192066</v>
      </c>
      <c r="M132" s="215">
        <f t="shared" si="26"/>
        <v>-9.4245252972203968</v>
      </c>
      <c r="N132" s="215">
        <f t="shared" si="26"/>
        <v>-9.4245252972200717</v>
      </c>
      <c r="O132" s="215">
        <f t="shared" si="26"/>
        <v>-9.4245252972199971</v>
      </c>
      <c r="P132" s="216">
        <f t="shared" si="26"/>
        <v>-9.4245252972206099</v>
      </c>
    </row>
    <row r="133" spans="8:16" ht="18" x14ac:dyDescent="0.25">
      <c r="H133" s="217" t="s">
        <v>101</v>
      </c>
      <c r="I133" s="218" t="s">
        <v>108</v>
      </c>
      <c r="J133" s="219">
        <f t="shared" ref="J133:P133" si="27">SUM(J128:J132)</f>
        <v>-9.4245252972192066</v>
      </c>
      <c r="K133" s="219">
        <f t="shared" si="27"/>
        <v>-6.815775801301502</v>
      </c>
      <c r="L133" s="219">
        <f t="shared" si="27"/>
        <v>-7.6209318155489223</v>
      </c>
      <c r="M133" s="219">
        <f t="shared" si="27"/>
        <v>-8.1387099502757501</v>
      </c>
      <c r="N133" s="219">
        <f t="shared" si="27"/>
        <v>-8.2604416879045424</v>
      </c>
      <c r="O133" s="219">
        <f t="shared" si="27"/>
        <v>-8.0175040911869733</v>
      </c>
      <c r="P133" s="220">
        <f t="shared" si="27"/>
        <v>-5.8879025580932982</v>
      </c>
    </row>
    <row r="134" spans="8:16" x14ac:dyDescent="0.25">
      <c r="J134" s="31"/>
      <c r="K134" s="31"/>
      <c r="L134" s="31"/>
      <c r="M134" s="31"/>
      <c r="N134" s="31"/>
    </row>
    <row r="136" spans="8:16" ht="18" x14ac:dyDescent="0.25">
      <c r="H136" s="364" t="s">
        <v>192</v>
      </c>
      <c r="I136" s="365" t="s">
        <v>190</v>
      </c>
      <c r="J136" s="366">
        <f>SUM(J106:J108)</f>
        <v>0</v>
      </c>
      <c r="K136" s="366">
        <f t="shared" ref="K136:P136" si="28">SUM(K106:K108)</f>
        <v>9.3338060593834607E-2</v>
      </c>
      <c r="L136" s="366">
        <f t="shared" si="28"/>
        <v>0.13232527818844303</v>
      </c>
      <c r="M136" s="366">
        <f t="shared" si="28"/>
        <v>0.20231164737199456</v>
      </c>
      <c r="N136" s="366">
        <f t="shared" si="28"/>
        <v>0.28905553054711819</v>
      </c>
      <c r="O136" s="366">
        <f t="shared" si="28"/>
        <v>0</v>
      </c>
      <c r="P136" s="367">
        <f t="shared" si="28"/>
        <v>1.4686109771754179</v>
      </c>
    </row>
    <row r="137" spans="8:16" ht="18" x14ac:dyDescent="0.25">
      <c r="H137" s="368" t="s">
        <v>193</v>
      </c>
      <c r="I137" s="369" t="s">
        <v>191</v>
      </c>
      <c r="J137" s="289">
        <f>SUM(J129:J131)</f>
        <v>0</v>
      </c>
      <c r="K137" s="289">
        <f t="shared" ref="K137:P137" si="29">SUM(K129:K131)</f>
        <v>0.2591449318512834</v>
      </c>
      <c r="L137" s="289">
        <f t="shared" si="29"/>
        <v>0.37586376819222594</v>
      </c>
      <c r="M137" s="289">
        <f t="shared" si="29"/>
        <v>0.57195049020573852</v>
      </c>
      <c r="N137" s="289">
        <f t="shared" si="29"/>
        <v>0.80715118094612559</v>
      </c>
      <c r="O137" s="289">
        <f t="shared" si="29"/>
        <v>1.335634720359075</v>
      </c>
      <c r="P137" s="370">
        <f t="shared" si="29"/>
        <v>3.5366227391273108</v>
      </c>
    </row>
    <row r="138" spans="8:16" ht="18" x14ac:dyDescent="0.25">
      <c r="H138" s="368" t="s">
        <v>189</v>
      </c>
      <c r="I138" s="369" t="s">
        <v>190</v>
      </c>
      <c r="J138" s="289">
        <f>J128</f>
        <v>0</v>
      </c>
      <c r="K138" s="289">
        <f t="shared" ref="K138:P138" si="30">K128</f>
        <v>2.3496045640664214</v>
      </c>
      <c r="L138" s="289">
        <f t="shared" si="30"/>
        <v>1.4277297134780584</v>
      </c>
      <c r="M138" s="289">
        <f t="shared" si="30"/>
        <v>0.71386485673890898</v>
      </c>
      <c r="N138" s="289">
        <f t="shared" si="30"/>
        <v>0.35693242836940475</v>
      </c>
      <c r="O138" s="289">
        <f t="shared" si="30"/>
        <v>7.138648567394805E-2</v>
      </c>
      <c r="P138" s="370">
        <f t="shared" si="30"/>
        <v>8.9810327076942884E-16</v>
      </c>
    </row>
    <row r="139" spans="8:16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P139" si="31">K132</f>
        <v>-9.4245252972192066</v>
      </c>
      <c r="L139" s="289">
        <f t="shared" si="31"/>
        <v>-9.4245252972192066</v>
      </c>
      <c r="M139" s="289">
        <f t="shared" si="31"/>
        <v>-9.4245252972203968</v>
      </c>
      <c r="N139" s="289">
        <f t="shared" si="31"/>
        <v>-9.4245252972200717</v>
      </c>
      <c r="O139" s="289">
        <f t="shared" si="31"/>
        <v>-9.4245252972199971</v>
      </c>
      <c r="P139" s="370">
        <f t="shared" si="31"/>
        <v>-9.4245252972206099</v>
      </c>
    </row>
    <row r="140" spans="8:16" ht="18" x14ac:dyDescent="0.25">
      <c r="H140" s="371" t="s">
        <v>194</v>
      </c>
      <c r="I140" s="369" t="s">
        <v>191</v>
      </c>
      <c r="J140" s="289">
        <f>J136+J138+J139</f>
        <v>-9.4245252972192066</v>
      </c>
      <c r="K140" s="289">
        <f t="shared" ref="K140:P140" si="32">K136+K138+K139</f>
        <v>-6.9815826725589503</v>
      </c>
      <c r="L140" s="289">
        <f t="shared" si="32"/>
        <v>-7.8644703055527057</v>
      </c>
      <c r="M140" s="289">
        <f t="shared" si="32"/>
        <v>-8.5083487931094925</v>
      </c>
      <c r="N140" s="289">
        <f t="shared" si="32"/>
        <v>-8.7785373383035488</v>
      </c>
      <c r="O140" s="289">
        <f t="shared" si="32"/>
        <v>-9.3531388115460494</v>
      </c>
      <c r="P140" s="370">
        <f t="shared" si="32"/>
        <v>-7.9559143200451912</v>
      </c>
    </row>
    <row r="141" spans="8:16" ht="18" x14ac:dyDescent="0.25">
      <c r="H141" s="372" t="s">
        <v>195</v>
      </c>
      <c r="I141" s="373" t="s">
        <v>191</v>
      </c>
      <c r="J141" s="374">
        <f>J137+J138+J139</f>
        <v>-9.4245252972192066</v>
      </c>
      <c r="K141" s="374">
        <f t="shared" ref="K141:P141" si="33">K137+K138+K139</f>
        <v>-6.815775801301502</v>
      </c>
      <c r="L141" s="374">
        <f t="shared" si="33"/>
        <v>-7.6209318155489223</v>
      </c>
      <c r="M141" s="374">
        <f t="shared" si="33"/>
        <v>-8.1387099502757501</v>
      </c>
      <c r="N141" s="374">
        <f t="shared" si="33"/>
        <v>-8.2604416879045424</v>
      </c>
      <c r="O141" s="374">
        <f t="shared" si="33"/>
        <v>-8.0175040911869733</v>
      </c>
      <c r="P141" s="375">
        <f t="shared" si="33"/>
        <v>-5.8879025580932982</v>
      </c>
    </row>
    <row r="142" spans="8:16" x14ac:dyDescent="0.25">
      <c r="H142" s="376" t="s">
        <v>196</v>
      </c>
      <c r="I142" s="377"/>
      <c r="J142" s="378">
        <f>J140-J110</f>
        <v>-9.4245252972192066</v>
      </c>
      <c r="K142" s="378">
        <f t="shared" ref="K142:P142" si="34">K140-K110</f>
        <v>0</v>
      </c>
      <c r="L142" s="378">
        <f t="shared" si="34"/>
        <v>1.3766765505351941E-12</v>
      </c>
      <c r="M142" s="378">
        <f t="shared" si="34"/>
        <v>-3.7836400679225335E-13</v>
      </c>
      <c r="N142" s="378">
        <f t="shared" si="34"/>
        <v>-7.460698725481052E-14</v>
      </c>
      <c r="O142" s="378">
        <f t="shared" si="34"/>
        <v>-9.3531388115460494</v>
      </c>
      <c r="P142" s="379">
        <f t="shared" si="34"/>
        <v>0</v>
      </c>
    </row>
    <row r="143" spans="8:16" x14ac:dyDescent="0.25">
      <c r="H143" s="380" t="s">
        <v>197</v>
      </c>
      <c r="I143" s="381"/>
      <c r="J143" s="382">
        <f>J141-J133</f>
        <v>0</v>
      </c>
      <c r="K143" s="382">
        <f t="shared" ref="K143:P143" si="35">K141-K133</f>
        <v>0</v>
      </c>
      <c r="L143" s="382">
        <f t="shared" si="35"/>
        <v>0</v>
      </c>
      <c r="M143" s="382">
        <f t="shared" si="35"/>
        <v>0</v>
      </c>
      <c r="N143" s="382">
        <f t="shared" si="35"/>
        <v>0</v>
      </c>
      <c r="O143" s="382">
        <f t="shared" si="35"/>
        <v>0</v>
      </c>
      <c r="P143" s="383">
        <f t="shared" si="35"/>
        <v>0</v>
      </c>
    </row>
    <row r="144" spans="8:16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87AD-4C6A-44EA-867F-74046104EB03}">
  <sheetPr codeName="Foglio23"/>
  <dimension ref="A1:AA151"/>
  <sheetViews>
    <sheetView topLeftCell="N50" zoomScale="70" zoomScaleNormal="70" workbookViewId="0">
      <selection activeCell="AV101" sqref="AV101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9.7109375" bestFit="1" customWidth="1"/>
    <col min="20" max="20" width="22.42578125" bestFit="1" customWidth="1"/>
  </cols>
  <sheetData>
    <row r="1" spans="1:26" x14ac:dyDescent="0.25">
      <c r="L1" t="s">
        <v>130</v>
      </c>
      <c r="M1" t="s">
        <v>130</v>
      </c>
      <c r="N1" t="s">
        <v>135</v>
      </c>
      <c r="O1" t="s">
        <v>135</v>
      </c>
    </row>
    <row r="2" spans="1:26" x14ac:dyDescent="0.25">
      <c r="J2" t="s">
        <v>148</v>
      </c>
      <c r="K2" t="s">
        <v>148</v>
      </c>
      <c r="L2" t="s">
        <v>148</v>
      </c>
      <c r="M2" t="s">
        <v>148</v>
      </c>
      <c r="N2" t="s">
        <v>148</v>
      </c>
      <c r="O2" t="s">
        <v>148</v>
      </c>
      <c r="P2" t="s">
        <v>149</v>
      </c>
    </row>
    <row r="3" spans="1:26" x14ac:dyDescent="0.25">
      <c r="J3" t="s">
        <v>141</v>
      </c>
      <c r="K3" t="s">
        <v>146</v>
      </c>
      <c r="L3" t="s">
        <v>141</v>
      </c>
      <c r="M3" t="s">
        <v>146</v>
      </c>
      <c r="N3" t="s">
        <v>141</v>
      </c>
      <c r="O3" t="s">
        <v>146</v>
      </c>
      <c r="P3" t="s">
        <v>141</v>
      </c>
      <c r="U3" s="1"/>
      <c r="V3" s="1"/>
      <c r="W3" s="2"/>
    </row>
    <row r="4" spans="1:26" x14ac:dyDescent="0.25">
      <c r="A4" s="225" t="s">
        <v>102</v>
      </c>
      <c r="B4" s="225" t="s">
        <v>147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5"/>
      <c r="U4" s="6"/>
      <c r="V4" s="6"/>
    </row>
    <row r="5" spans="1:26" ht="15.75" thickBot="1" x14ac:dyDescent="0.3">
      <c r="H5" s="7" t="s">
        <v>1</v>
      </c>
      <c r="I5" s="8" t="s">
        <v>2</v>
      </c>
      <c r="J5" s="9">
        <v>0.94999999999983187</v>
      </c>
      <c r="K5" s="9">
        <v>0.94999999999998841</v>
      </c>
      <c r="L5" s="9">
        <v>0.94999999999988327</v>
      </c>
      <c r="M5" s="9">
        <v>0.95000000000000362</v>
      </c>
      <c r="N5" s="9">
        <v>0.94999999999964058</v>
      </c>
      <c r="O5" s="9">
        <v>0.94999999999995777</v>
      </c>
      <c r="P5" s="10"/>
      <c r="R5" s="11" t="str">
        <f>H5</f>
        <v>Renewable Energy Share</v>
      </c>
      <c r="S5" s="296"/>
      <c r="T5" s="296">
        <f t="shared" ref="T5:Y7" si="0">J5</f>
        <v>0.94999999999983187</v>
      </c>
      <c r="U5" s="296">
        <f t="shared" si="0"/>
        <v>0.94999999999998841</v>
      </c>
      <c r="V5" s="296">
        <f t="shared" si="0"/>
        <v>0.94999999999988327</v>
      </c>
      <c r="W5" s="296">
        <f t="shared" si="0"/>
        <v>0.95000000000000362</v>
      </c>
      <c r="X5" s="296">
        <f t="shared" si="0"/>
        <v>0.94999999999964058</v>
      </c>
      <c r="Y5" s="296">
        <f t="shared" si="0"/>
        <v>0.94999999999995777</v>
      </c>
      <c r="Z5" s="296"/>
    </row>
    <row r="6" spans="1:26" ht="15.75" thickTop="1" x14ac:dyDescent="0.25">
      <c r="C6" s="13"/>
      <c r="H6" s="14" t="s">
        <v>3</v>
      </c>
      <c r="I6" s="15" t="s">
        <v>4</v>
      </c>
      <c r="J6" s="16">
        <v>52.401818354254345</v>
      </c>
      <c r="K6" s="16">
        <v>43.279232349341896</v>
      </c>
      <c r="L6" s="16">
        <v>29.851917434401184</v>
      </c>
      <c r="M6" s="16">
        <v>35.400266584588664</v>
      </c>
      <c r="N6" s="16">
        <v>27.99414763629559</v>
      </c>
      <c r="O6" s="16">
        <v>15.88711752776531</v>
      </c>
      <c r="P6" s="17"/>
      <c r="R6" s="18" t="str">
        <f>H6</f>
        <v>PV capacity</v>
      </c>
      <c r="S6" s="19" t="str">
        <f t="shared" ref="S6:Y13" si="1">I6</f>
        <v>MW</v>
      </c>
      <c r="T6" s="19">
        <f>J6</f>
        <v>52.401818354254345</v>
      </c>
      <c r="U6" s="19">
        <f>K6</f>
        <v>43.279232349341896</v>
      </c>
      <c r="V6" s="19">
        <f t="shared" si="0"/>
        <v>29.851917434401184</v>
      </c>
      <c r="W6" s="19">
        <f t="shared" si="0"/>
        <v>35.400266584588664</v>
      </c>
      <c r="X6" s="19">
        <f t="shared" si="0"/>
        <v>27.99414763629559</v>
      </c>
      <c r="Y6" s="19">
        <f>O6</f>
        <v>15.88711752776531</v>
      </c>
      <c r="Z6" s="19"/>
    </row>
    <row r="7" spans="1:26" x14ac:dyDescent="0.25">
      <c r="A7" s="13"/>
      <c r="B7" s="20"/>
      <c r="C7" s="13"/>
      <c r="H7" s="21" t="s">
        <v>5</v>
      </c>
      <c r="I7" s="6" t="s">
        <v>4</v>
      </c>
      <c r="J7" s="22">
        <v>49.978269246002085</v>
      </c>
      <c r="K7" s="22">
        <v>45.488890468668302</v>
      </c>
      <c r="L7" s="22">
        <v>69.358160665465121</v>
      </c>
      <c r="M7" s="22">
        <v>29.328047536058939</v>
      </c>
      <c r="N7" s="22">
        <v>29.95022792860415</v>
      </c>
      <c r="O7" s="22">
        <v>26.831859034881003</v>
      </c>
      <c r="P7" s="23"/>
      <c r="R7" s="24" t="str">
        <f t="shared" ref="R7:R13" si="2">H7</f>
        <v>Wind capacity</v>
      </c>
      <c r="S7" s="22" t="str">
        <f t="shared" si="1"/>
        <v>MW</v>
      </c>
      <c r="T7" s="22">
        <f>J7</f>
        <v>49.978269246002085</v>
      </c>
      <c r="U7" s="22">
        <f t="shared" si="0"/>
        <v>45.488890468668302</v>
      </c>
      <c r="V7" s="22">
        <f t="shared" si="0"/>
        <v>69.358160665465121</v>
      </c>
      <c r="W7" s="22">
        <f t="shared" si="0"/>
        <v>29.328047536058939</v>
      </c>
      <c r="X7" s="22">
        <f t="shared" si="0"/>
        <v>29.95022792860415</v>
      </c>
      <c r="Y7" s="22">
        <f t="shared" si="0"/>
        <v>26.831859034881003</v>
      </c>
      <c r="Z7" s="22"/>
    </row>
    <row r="8" spans="1:26" x14ac:dyDescent="0.25">
      <c r="A8" s="13"/>
      <c r="B8" s="20"/>
      <c r="C8" s="13"/>
      <c r="H8" s="21" t="s">
        <v>6</v>
      </c>
      <c r="I8" s="6" t="s">
        <v>7</v>
      </c>
      <c r="J8" s="22">
        <v>140.54146056053358</v>
      </c>
      <c r="K8" s="22">
        <v>63.274335785886635</v>
      </c>
      <c r="L8" s="22">
        <v>62.5</v>
      </c>
      <c r="M8" s="22">
        <v>50.0515371959522</v>
      </c>
      <c r="N8" s="22">
        <v>84.108136203415484</v>
      </c>
      <c r="O8" s="22">
        <v>14.002107407310056</v>
      </c>
      <c r="P8" s="23"/>
      <c r="R8" s="24" t="s">
        <v>6</v>
      </c>
      <c r="S8" s="22" t="str">
        <f t="shared" si="1"/>
        <v>MWh</v>
      </c>
      <c r="T8" s="22">
        <f t="shared" si="1"/>
        <v>140.54146056053358</v>
      </c>
      <c r="U8" s="22">
        <f t="shared" si="1"/>
        <v>63.274335785886635</v>
      </c>
      <c r="V8" s="22">
        <f t="shared" si="1"/>
        <v>62.5</v>
      </c>
      <c r="W8" s="22">
        <f t="shared" si="1"/>
        <v>50.0515371959522</v>
      </c>
      <c r="X8" s="22">
        <f t="shared" si="1"/>
        <v>84.108136203415484</v>
      </c>
      <c r="Y8" s="22">
        <f t="shared" si="1"/>
        <v>14.002107407310056</v>
      </c>
      <c r="Z8" s="22"/>
    </row>
    <row r="9" spans="1:26" ht="15.75" thickBot="1" x14ac:dyDescent="0.3">
      <c r="A9" s="13"/>
      <c r="B9" s="20"/>
      <c r="C9" s="13"/>
      <c r="H9" s="25" t="s">
        <v>8</v>
      </c>
      <c r="I9" s="26" t="s">
        <v>9</v>
      </c>
      <c r="J9" s="27">
        <v>165</v>
      </c>
      <c r="K9" s="27">
        <v>164</v>
      </c>
      <c r="L9" s="27">
        <v>141</v>
      </c>
      <c r="M9" s="27">
        <v>160</v>
      </c>
      <c r="N9" s="27">
        <v>72</v>
      </c>
      <c r="O9" s="27">
        <v>73</v>
      </c>
      <c r="P9" s="28"/>
      <c r="R9" s="11" t="str">
        <f t="shared" si="2"/>
        <v>BESS equivalent cycles</v>
      </c>
      <c r="S9" s="29" t="str">
        <f t="shared" si="1"/>
        <v>-</v>
      </c>
      <c r="T9" s="29" t="s">
        <v>9</v>
      </c>
      <c r="U9" s="29" t="s">
        <v>9</v>
      </c>
      <c r="V9" s="29" t="s">
        <v>9</v>
      </c>
      <c r="W9" s="29">
        <f t="shared" si="1"/>
        <v>160</v>
      </c>
      <c r="X9" s="29">
        <f t="shared" si="1"/>
        <v>72</v>
      </c>
      <c r="Y9" s="29">
        <f t="shared" si="1"/>
        <v>73</v>
      </c>
      <c r="Z9" s="29"/>
    </row>
    <row r="10" spans="1:26" ht="15.75" thickTop="1" x14ac:dyDescent="0.25">
      <c r="A10" s="13"/>
      <c r="B10" s="20"/>
      <c r="C10" s="13"/>
      <c r="H10" s="14" t="s">
        <v>10</v>
      </c>
      <c r="I10" s="15" t="s">
        <v>18</v>
      </c>
      <c r="J10" s="16">
        <v>1.5526190562013653E-2</v>
      </c>
      <c r="K10" s="16">
        <v>14136.594720739906</v>
      </c>
      <c r="L10" s="16">
        <v>7.3829672018268224E-3</v>
      </c>
      <c r="M10" s="16">
        <v>13096.25091777876</v>
      </c>
      <c r="N10" s="16">
        <v>1.4757260943611072E-2</v>
      </c>
      <c r="O10" s="16">
        <v>17868.897543974417</v>
      </c>
      <c r="P10" s="17"/>
      <c r="R10" s="18" t="str">
        <f t="shared" si="2"/>
        <v>Biogas storage size</v>
      </c>
      <c r="S10" s="19" t="str">
        <f>I10</f>
        <v>m3</v>
      </c>
      <c r="T10" s="19">
        <f t="shared" ref="T10:V13" si="3">J10</f>
        <v>1.5526190562013653E-2</v>
      </c>
      <c r="U10" s="30">
        <f t="shared" si="3"/>
        <v>14136.594720739906</v>
      </c>
      <c r="V10" s="30">
        <f t="shared" si="3"/>
        <v>7.3829672018268224E-3</v>
      </c>
      <c r="W10" s="30">
        <f t="shared" si="1"/>
        <v>13096.25091777876</v>
      </c>
      <c r="X10" s="30">
        <f t="shared" si="1"/>
        <v>1.4757260943611072E-2</v>
      </c>
      <c r="Y10" s="30">
        <f t="shared" si="1"/>
        <v>17868.897543974417</v>
      </c>
      <c r="Z10" s="30"/>
    </row>
    <row r="11" spans="1:26" x14ac:dyDescent="0.25">
      <c r="H11" s="21" t="s">
        <v>11</v>
      </c>
      <c r="I11" s="6" t="s">
        <v>12</v>
      </c>
      <c r="J11" s="22">
        <v>3.1371370078001753E-5</v>
      </c>
      <c r="K11" s="22">
        <v>28.563628847380333</v>
      </c>
      <c r="L11" s="22">
        <v>1.4917619066773801E-5</v>
      </c>
      <c r="M11" s="22">
        <v>26.461567152292066</v>
      </c>
      <c r="N11" s="22">
        <v>2.981771301534391E-5</v>
      </c>
      <c r="O11" s="22">
        <v>36.104915465188988</v>
      </c>
      <c r="P11" s="23"/>
      <c r="R11" s="24" t="str">
        <f t="shared" si="2"/>
        <v>Biogas storage hours</v>
      </c>
      <c r="S11" s="22" t="str">
        <f t="shared" si="1"/>
        <v>h</v>
      </c>
      <c r="T11" s="22">
        <f t="shared" si="3"/>
        <v>3.1371370078001753E-5</v>
      </c>
      <c r="U11" s="22">
        <f t="shared" si="3"/>
        <v>28.563628847380333</v>
      </c>
      <c r="V11" s="22">
        <f t="shared" si="3"/>
        <v>1.4917619066773801E-5</v>
      </c>
      <c r="W11" s="22">
        <f t="shared" si="1"/>
        <v>26.461567152292066</v>
      </c>
      <c r="X11" s="22">
        <f t="shared" si="1"/>
        <v>2.981771301534391E-5</v>
      </c>
      <c r="Y11" s="22">
        <f t="shared" si="1"/>
        <v>36.104915465188988</v>
      </c>
      <c r="Z11" s="22"/>
    </row>
    <row r="12" spans="1:26" x14ac:dyDescent="0.25">
      <c r="H12" s="21" t="s">
        <v>13</v>
      </c>
      <c r="I12" s="6" t="s">
        <v>18</v>
      </c>
      <c r="J12" s="22">
        <v>4.1553642804501578E-3</v>
      </c>
      <c r="K12" s="22">
        <v>29410.823923660759</v>
      </c>
      <c r="L12" s="22">
        <v>4.3013453590674544E-3</v>
      </c>
      <c r="M12" s="22">
        <v>29720.342385457068</v>
      </c>
      <c r="N12" s="22">
        <v>1.3642420526593924E-12</v>
      </c>
      <c r="O12" s="22">
        <v>52765.407186592405</v>
      </c>
      <c r="P12" s="23"/>
      <c r="R12" s="24" t="str">
        <f t="shared" si="2"/>
        <v>Syngas storage size</v>
      </c>
      <c r="S12" s="22" t="str">
        <f t="shared" si="1"/>
        <v>m3</v>
      </c>
      <c r="T12" s="22">
        <f t="shared" si="3"/>
        <v>4.1553642804501578E-3</v>
      </c>
      <c r="U12" s="31">
        <f t="shared" si="3"/>
        <v>29410.823923660759</v>
      </c>
      <c r="V12" s="31">
        <f>L12</f>
        <v>4.3013453590674544E-3</v>
      </c>
      <c r="W12" s="31">
        <f t="shared" si="1"/>
        <v>29720.342385457068</v>
      </c>
      <c r="X12" s="31">
        <f t="shared" si="1"/>
        <v>1.3642420526593924E-12</v>
      </c>
      <c r="Y12" s="31">
        <f t="shared" si="1"/>
        <v>52765.407186592405</v>
      </c>
      <c r="Z12" s="31"/>
    </row>
    <row r="13" spans="1:26" x14ac:dyDescent="0.25">
      <c r="H13" s="32" t="s">
        <v>14</v>
      </c>
      <c r="I13" s="26" t="s">
        <v>12</v>
      </c>
      <c r="J13" s="33">
        <v>2.0579488627831254E-6</v>
      </c>
      <c r="K13" s="33">
        <v>14.565743834293997</v>
      </c>
      <c r="L13" s="33">
        <v>2.1302461571844177E-6</v>
      </c>
      <c r="M13" s="33">
        <v>14.719033202800359</v>
      </c>
      <c r="N13" s="33">
        <v>6.7564242057910923E-16</v>
      </c>
      <c r="O13" s="33">
        <v>26.132127627128956</v>
      </c>
      <c r="P13" s="34"/>
      <c r="R13" s="24" t="str">
        <f t="shared" si="2"/>
        <v>Syngas storage hours</v>
      </c>
      <c r="S13" s="22" t="str">
        <f t="shared" si="1"/>
        <v>h</v>
      </c>
      <c r="T13" s="22">
        <f t="shared" si="3"/>
        <v>2.0579488627831254E-6</v>
      </c>
      <c r="U13" s="22">
        <f t="shared" si="3"/>
        <v>14.565743834293997</v>
      </c>
      <c r="V13" s="22">
        <f t="shared" si="3"/>
        <v>2.1302461571844177E-6</v>
      </c>
      <c r="W13" s="22">
        <f t="shared" si="1"/>
        <v>14.719033202800359</v>
      </c>
      <c r="X13" s="22">
        <f t="shared" si="1"/>
        <v>6.7564242057910923E-16</v>
      </c>
      <c r="Y13" s="22">
        <f t="shared" si="1"/>
        <v>26.132127627128956</v>
      </c>
      <c r="Z13" s="22"/>
    </row>
    <row r="14" spans="1:26" x14ac:dyDescent="0.25">
      <c r="H14" s="25" t="s">
        <v>15</v>
      </c>
      <c r="I14" s="26" t="s">
        <v>16</v>
      </c>
      <c r="J14" s="35">
        <v>5.8783978567817048</v>
      </c>
      <c r="K14" s="35">
        <v>4.8639923715580036</v>
      </c>
      <c r="L14" s="35">
        <v>5.1175777482427209</v>
      </c>
      <c r="M14" s="35">
        <v>3.9264745521631172</v>
      </c>
      <c r="N14" s="35">
        <v>4.8118727940222517</v>
      </c>
      <c r="O14" s="35">
        <v>3.7609598820549444</v>
      </c>
      <c r="P14" s="36"/>
      <c r="R14" s="37" t="s">
        <v>17</v>
      </c>
      <c r="S14" s="6" t="s">
        <v>18</v>
      </c>
      <c r="T14" s="22">
        <v>0</v>
      </c>
      <c r="U14" s="31">
        <v>2750.6788820585743</v>
      </c>
      <c r="V14" s="31">
        <v>0</v>
      </c>
      <c r="W14" s="31">
        <v>1815.0385044256323</v>
      </c>
      <c r="X14" s="31">
        <v>0</v>
      </c>
      <c r="Y14" s="31">
        <v>787.58550890674746</v>
      </c>
      <c r="Z14" s="31"/>
    </row>
    <row r="15" spans="1:26" ht="15.75" thickBot="1" x14ac:dyDescent="0.3">
      <c r="H15" s="14" t="s">
        <v>19</v>
      </c>
      <c r="I15" s="15" t="s">
        <v>2</v>
      </c>
      <c r="J15" s="38">
        <v>1.0000002000000001</v>
      </c>
      <c r="K15" s="38">
        <v>1.6680073832937961</v>
      </c>
      <c r="L15" s="38">
        <v>1.000000170588238</v>
      </c>
      <c r="M15" s="38">
        <v>1.5991910848012409</v>
      </c>
      <c r="N15" s="38">
        <v>1.0000000966867559</v>
      </c>
      <c r="O15" s="38">
        <v>1.3329974986740232</v>
      </c>
      <c r="P15" s="39"/>
      <c r="R15" s="40" t="s">
        <v>20</v>
      </c>
      <c r="S15" s="41" t="s">
        <v>12</v>
      </c>
      <c r="T15" s="41">
        <v>0</v>
      </c>
      <c r="U15" s="41">
        <v>9.6478168705800407</v>
      </c>
      <c r="V15" s="41">
        <v>0</v>
      </c>
      <c r="W15" s="41">
        <v>6.3661226390209693</v>
      </c>
      <c r="X15" s="41">
        <v>0</v>
      </c>
      <c r="Y15" s="41">
        <v>2.7624019689889336</v>
      </c>
      <c r="Z15" s="41"/>
    </row>
    <row r="16" spans="1:26" ht="15.75" thickTop="1" x14ac:dyDescent="0.25">
      <c r="H16" s="25" t="s">
        <v>21</v>
      </c>
      <c r="I16" s="26" t="s">
        <v>2</v>
      </c>
      <c r="J16" s="42">
        <v>1.000000142974939</v>
      </c>
      <c r="K16" s="42">
        <v>1.4918339164338921</v>
      </c>
      <c r="L16" s="42">
        <v>1.000000170728899</v>
      </c>
      <c r="M16" s="42">
        <v>1.3975697617883931</v>
      </c>
      <c r="N16" s="42">
        <v>1.0000000967664802</v>
      </c>
      <c r="O16" s="42">
        <v>1.0329393774463651</v>
      </c>
      <c r="P16" s="43"/>
      <c r="R16" s="37" t="str">
        <f>H15</f>
        <v>Syngas generation size</v>
      </c>
      <c r="S16" s="6" t="s">
        <v>2</v>
      </c>
      <c r="T16" s="297">
        <f>J15</f>
        <v>1.0000002000000001</v>
      </c>
      <c r="U16" s="297">
        <f t="shared" ref="U16:Y17" si="4">K15</f>
        <v>1.6680073832937961</v>
      </c>
      <c r="V16" s="297">
        <f t="shared" si="4"/>
        <v>1.000000170588238</v>
      </c>
      <c r="W16" s="297">
        <f t="shared" si="4"/>
        <v>1.5991910848012409</v>
      </c>
      <c r="X16" s="297">
        <f t="shared" si="4"/>
        <v>1.0000000966867559</v>
      </c>
      <c r="Y16" s="297">
        <f t="shared" si="4"/>
        <v>1.3329974986740232</v>
      </c>
      <c r="Z16" s="297"/>
    </row>
    <row r="17" spans="2:26" ht="15.75" thickBot="1" x14ac:dyDescent="0.3">
      <c r="R17" s="40" t="str">
        <f>H16</f>
        <v>Gas Separation size</v>
      </c>
      <c r="S17" s="45" t="s">
        <v>2</v>
      </c>
      <c r="T17" s="298">
        <f>J16</f>
        <v>1.000000142974939</v>
      </c>
      <c r="U17" s="298">
        <f t="shared" si="4"/>
        <v>1.4918339164338921</v>
      </c>
      <c r="V17" s="298">
        <f t="shared" si="4"/>
        <v>1.000000170728899</v>
      </c>
      <c r="W17" s="298">
        <f t="shared" si="4"/>
        <v>1.3975697617883931</v>
      </c>
      <c r="X17" s="298">
        <f t="shared" si="4"/>
        <v>1.0000000967664802</v>
      </c>
      <c r="Y17" s="298">
        <f t="shared" si="4"/>
        <v>1.0329393774463651</v>
      </c>
      <c r="Z17" s="298"/>
    </row>
    <row r="18" spans="2:26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9"/>
    </row>
    <row r="19" spans="2:26" x14ac:dyDescent="0.25">
      <c r="H19" s="50" t="s">
        <v>1</v>
      </c>
      <c r="I19" s="8" t="s">
        <v>2</v>
      </c>
      <c r="J19" s="9">
        <v>0.94999999999983187</v>
      </c>
      <c r="K19" s="9">
        <v>0.94999999999998841</v>
      </c>
      <c r="L19" s="9">
        <v>0.94999999999988327</v>
      </c>
      <c r="M19" s="9">
        <v>0.95000000000000362</v>
      </c>
      <c r="N19" s="9">
        <v>0.94999999999964058</v>
      </c>
      <c r="O19" s="9">
        <v>0.94999999999995777</v>
      </c>
      <c r="P19" s="10"/>
    </row>
    <row r="20" spans="2:26" x14ac:dyDescent="0.25">
      <c r="H20" s="51" t="s">
        <v>23</v>
      </c>
      <c r="I20" s="52" t="s">
        <v>24</v>
      </c>
      <c r="J20" s="53">
        <v>-96789.875243789866</v>
      </c>
      <c r="K20" s="53">
        <v>-96789.875243788643</v>
      </c>
      <c r="L20" s="53">
        <v>-96789.87524378649</v>
      </c>
      <c r="M20" s="53">
        <v>-96789.875243785573</v>
      </c>
      <c r="N20" s="53">
        <v>-96789.875243793838</v>
      </c>
      <c r="O20" s="53">
        <v>-96789.875243793649</v>
      </c>
      <c r="P20" s="54"/>
    </row>
    <row r="21" spans="2:26" x14ac:dyDescent="0.25">
      <c r="B21" s="55"/>
      <c r="H21" s="56" t="s">
        <v>25</v>
      </c>
      <c r="I21" s="57" t="s">
        <v>24</v>
      </c>
      <c r="J21" s="58">
        <v>-17025.570878064995</v>
      </c>
      <c r="K21" s="58">
        <v>-17025.5708780682</v>
      </c>
      <c r="L21" s="58">
        <v>-17025.570878067116</v>
      </c>
      <c r="M21" s="58">
        <v>-17025.570878067934</v>
      </c>
      <c r="N21" s="58">
        <v>-17025.570878064347</v>
      </c>
      <c r="O21" s="58">
        <v>-17025.570878068873</v>
      </c>
      <c r="P21" s="59"/>
      <c r="Q21" s="60"/>
    </row>
    <row r="22" spans="2:26" x14ac:dyDescent="0.25">
      <c r="H22" s="61" t="s">
        <v>26</v>
      </c>
      <c r="I22" s="6" t="s">
        <v>24</v>
      </c>
      <c r="J22" s="31">
        <v>77376.096806634116</v>
      </c>
      <c r="K22" s="31">
        <v>63905.760852430773</v>
      </c>
      <c r="L22" s="31">
        <v>49549.120294724475</v>
      </c>
      <c r="M22" s="31">
        <v>58758.438928406431</v>
      </c>
      <c r="N22" s="31">
        <v>24245.019740545158</v>
      </c>
      <c r="O22" s="31">
        <v>13759.428687931357</v>
      </c>
      <c r="P22" s="62"/>
      <c r="Q22" s="60"/>
    </row>
    <row r="23" spans="2:26" x14ac:dyDescent="0.25">
      <c r="H23" s="61" t="s">
        <v>27</v>
      </c>
      <c r="I23" s="6" t="s">
        <v>24</v>
      </c>
      <c r="J23" s="31">
        <v>65342.778132775697</v>
      </c>
      <c r="K23" s="31">
        <v>59473.257522580163</v>
      </c>
      <c r="L23" s="31">
        <v>165596.46802364747</v>
      </c>
      <c r="M23" s="31">
        <v>70022.345451545625</v>
      </c>
      <c r="N23" s="31">
        <v>144568.61192300959</v>
      </c>
      <c r="O23" s="31">
        <v>129516.36378973663</v>
      </c>
      <c r="P23" s="62"/>
      <c r="Q23" s="60"/>
    </row>
    <row r="24" spans="2:26" x14ac:dyDescent="0.25">
      <c r="H24" s="61" t="s">
        <v>28</v>
      </c>
      <c r="I24" s="6" t="s">
        <v>24</v>
      </c>
      <c r="J24" s="31">
        <v>4839.4937621886857</v>
      </c>
      <c r="K24" s="31">
        <v>4839.4937621857543</v>
      </c>
      <c r="L24" s="31">
        <v>4839.4937621730096</v>
      </c>
      <c r="M24" s="31">
        <v>4839.4937621878998</v>
      </c>
      <c r="N24" s="31">
        <v>4839.4937621969029</v>
      </c>
      <c r="O24" s="31">
        <v>4839.4937621908412</v>
      </c>
      <c r="P24" s="62"/>
      <c r="Q24" s="60"/>
    </row>
    <row r="25" spans="2:26" x14ac:dyDescent="0.25">
      <c r="H25" s="61" t="s">
        <v>29</v>
      </c>
      <c r="I25" s="6" t="s">
        <v>24</v>
      </c>
      <c r="J25" s="31">
        <v>-49403.611373104264</v>
      </c>
      <c r="K25" s="31">
        <v>-30816.473327447704</v>
      </c>
      <c r="L25" s="31">
        <v>-122675.72774925134</v>
      </c>
      <c r="M25" s="31">
        <v>-36358.116399760518</v>
      </c>
      <c r="N25" s="31">
        <v>-76508.649839684615</v>
      </c>
      <c r="O25" s="31">
        <v>-51265.72868458258</v>
      </c>
      <c r="P25" s="62"/>
      <c r="Q25" s="60"/>
    </row>
    <row r="26" spans="2:26" x14ac:dyDescent="0.25">
      <c r="H26" s="61" t="s">
        <v>30</v>
      </c>
      <c r="I26" s="6" t="s">
        <v>24</v>
      </c>
      <c r="J26" s="31">
        <v>-23094.451518129641</v>
      </c>
      <c r="K26" s="31">
        <v>-10358.097562861039</v>
      </c>
      <c r="L26" s="31">
        <v>-8789.8322763912802</v>
      </c>
      <c r="M26" s="31">
        <v>-7991.3113129424009</v>
      </c>
      <c r="N26" s="31">
        <v>-6000.0057918917519</v>
      </c>
      <c r="O26" s="31">
        <v>-1009.8529862186</v>
      </c>
      <c r="P26" s="62"/>
      <c r="Q26" s="60"/>
    </row>
    <row r="27" spans="2:26" x14ac:dyDescent="0.25">
      <c r="B27" s="63"/>
      <c r="H27" s="61" t="s">
        <v>31</v>
      </c>
      <c r="I27" s="6" t="s">
        <v>24</v>
      </c>
      <c r="J27" s="31">
        <v>21729.569433408215</v>
      </c>
      <c r="K27" s="31">
        <v>9745.9339968959175</v>
      </c>
      <c r="L27" s="31">
        <v>8270.3531888565467</v>
      </c>
      <c r="M27" s="31">
        <v>7519.0248143475137</v>
      </c>
      <c r="N27" s="31">
        <v>5645.4054495909604</v>
      </c>
      <c r="O27" s="31">
        <v>950.17067473308111</v>
      </c>
      <c r="P27" s="62"/>
    </row>
    <row r="28" spans="2:26" x14ac:dyDescent="0.25">
      <c r="H28" s="64" t="s">
        <v>32</v>
      </c>
      <c r="I28" s="65" t="s">
        <v>24</v>
      </c>
      <c r="J28" s="66">
        <v>-1.7058482626453042E-8</v>
      </c>
      <c r="K28" s="66">
        <v>-4.7803041525185108E-9</v>
      </c>
      <c r="L28" s="66">
        <v>-2.7614078135229647E-8</v>
      </c>
      <c r="M28" s="66">
        <v>-1.0222720447927713E-9</v>
      </c>
      <c r="N28" s="66">
        <v>-2.7588612283580005E-8</v>
      </c>
      <c r="O28" s="66">
        <v>-2.92232016363414E-9</v>
      </c>
      <c r="P28" s="67"/>
    </row>
    <row r="30" spans="2:26" x14ac:dyDescent="0.25">
      <c r="H30" s="68" t="s">
        <v>15</v>
      </c>
    </row>
    <row r="31" spans="2:26" x14ac:dyDescent="0.25">
      <c r="H31" s="69" t="s">
        <v>33</v>
      </c>
      <c r="I31" s="70" t="s">
        <v>103</v>
      </c>
      <c r="J31" s="71">
        <v>0.77296962018193793</v>
      </c>
      <c r="K31" s="71">
        <v>0.63840402569003973</v>
      </c>
      <c r="L31" s="71">
        <v>0.44034016386564484</v>
      </c>
      <c r="M31" s="71">
        <v>0.52218284547382143</v>
      </c>
      <c r="N31" s="71">
        <v>0.59256393777073413</v>
      </c>
      <c r="O31" s="71">
        <v>0.33628932176782861</v>
      </c>
      <c r="P31" s="72"/>
    </row>
    <row r="32" spans="2:26" x14ac:dyDescent="0.25">
      <c r="H32" s="73" t="s">
        <v>34</v>
      </c>
      <c r="I32" s="74" t="s">
        <v>103</v>
      </c>
      <c r="J32" s="75">
        <v>1.3822880463542326</v>
      </c>
      <c r="K32" s="75">
        <v>1.2581217894371644</v>
      </c>
      <c r="L32" s="75">
        <v>1.9182928470987723</v>
      </c>
      <c r="M32" s="75">
        <v>0.81114872810932592</v>
      </c>
      <c r="N32" s="75">
        <v>1.3524306291943198</v>
      </c>
      <c r="O32" s="75">
        <v>1.2116177574173719</v>
      </c>
      <c r="P32" s="76"/>
    </row>
    <row r="33" spans="8:16" x14ac:dyDescent="0.25">
      <c r="H33" s="73" t="s">
        <v>35</v>
      </c>
      <c r="I33" s="74" t="s">
        <v>103</v>
      </c>
      <c r="J33" s="75">
        <v>1.0365506656170334</v>
      </c>
      <c r="K33" s="75">
        <v>0.4666740662416996</v>
      </c>
      <c r="L33" s="75">
        <v>0.46096302359940622</v>
      </c>
      <c r="M33" s="75">
        <v>0.36915052674630622</v>
      </c>
      <c r="N33" s="75">
        <v>0.62033185237824151</v>
      </c>
      <c r="O33" s="75">
        <v>0.10327126027579631</v>
      </c>
      <c r="P33" s="76"/>
    </row>
    <row r="34" spans="8:16" x14ac:dyDescent="0.25">
      <c r="H34" s="73" t="s">
        <v>36</v>
      </c>
      <c r="I34" s="74" t="s">
        <v>103</v>
      </c>
      <c r="J34" s="75">
        <v>1.2210720077163889E-3</v>
      </c>
      <c r="K34" s="75">
        <v>8.9173183073899459E-2</v>
      </c>
      <c r="L34" s="75">
        <v>0</v>
      </c>
      <c r="M34" s="75">
        <v>7.5847725319306808E-2</v>
      </c>
      <c r="N34" s="75">
        <v>0</v>
      </c>
      <c r="O34" s="75">
        <v>9.4091316526536406E-2</v>
      </c>
      <c r="P34" s="76"/>
    </row>
    <row r="35" spans="8:16" x14ac:dyDescent="0.25">
      <c r="H35" s="73"/>
      <c r="I35" s="74"/>
      <c r="J35" s="75"/>
      <c r="K35" s="75"/>
      <c r="L35" s="75"/>
      <c r="M35" s="75"/>
      <c r="N35" s="75"/>
      <c r="O35" s="75"/>
      <c r="P35" s="76"/>
    </row>
    <row r="36" spans="8:16" x14ac:dyDescent="0.25">
      <c r="H36" s="73" t="s">
        <v>37</v>
      </c>
      <c r="I36" s="74" t="s">
        <v>103</v>
      </c>
      <c r="J36" s="75">
        <v>0.33468709383204764</v>
      </c>
      <c r="K36" s="75">
        <v>0.46351365734603833</v>
      </c>
      <c r="L36" s="75">
        <v>0.33468709394150531</v>
      </c>
      <c r="M36" s="75">
        <v>0.44625049923852111</v>
      </c>
      <c r="N36" s="75">
        <v>0.33468707796555253</v>
      </c>
      <c r="O36" s="75">
        <v>0.3765218465469391</v>
      </c>
      <c r="P36" s="76"/>
    </row>
    <row r="37" spans="8:16" x14ac:dyDescent="0.25">
      <c r="H37" s="77" t="s">
        <v>38</v>
      </c>
      <c r="I37" s="78" t="s">
        <v>103</v>
      </c>
      <c r="J37" s="79">
        <v>0.14493180378411336</v>
      </c>
      <c r="K37" s="79">
        <v>0.11970075481688244</v>
      </c>
      <c r="L37" s="79">
        <v>8.2563780724808397E-2</v>
      </c>
      <c r="M37" s="79">
        <v>9.7909283526341526E-2</v>
      </c>
      <c r="N37" s="79">
        <v>7.7425601625095916E-2</v>
      </c>
      <c r="O37" s="79">
        <v>4.3940242391266808E-2</v>
      </c>
      <c r="P37" s="80"/>
    </row>
    <row r="38" spans="8:16" x14ac:dyDescent="0.25">
      <c r="H38" s="81" t="s">
        <v>39</v>
      </c>
      <c r="I38" s="82" t="s">
        <v>103</v>
      </c>
      <c r="J38" s="83">
        <v>0.4146864139062697</v>
      </c>
      <c r="K38" s="83">
        <v>0.37743653683114936</v>
      </c>
      <c r="L38" s="83">
        <v>0.57548785412963177</v>
      </c>
      <c r="M38" s="83">
        <v>0.24334461843279778</v>
      </c>
      <c r="N38" s="83">
        <v>0.55776028398785749</v>
      </c>
      <c r="O38" s="83">
        <v>0.49968719272827511</v>
      </c>
      <c r="P38" s="84"/>
    </row>
    <row r="39" spans="8:16" x14ac:dyDescent="0.25">
      <c r="H39" s="81" t="s">
        <v>40</v>
      </c>
      <c r="I39" s="82" t="s">
        <v>103</v>
      </c>
      <c r="J39" s="83">
        <v>0.25913766640425834</v>
      </c>
      <c r="K39" s="83">
        <v>0.11666851656042487</v>
      </c>
      <c r="L39" s="83">
        <v>0.11524075589985155</v>
      </c>
      <c r="M39" s="83">
        <v>9.2287631686576554E-2</v>
      </c>
      <c r="N39" s="83">
        <v>0.15508296309456035</v>
      </c>
      <c r="O39" s="83">
        <v>2.5817815068949077E-2</v>
      </c>
      <c r="P39" s="84"/>
    </row>
    <row r="40" spans="8:16" x14ac:dyDescent="0.25">
      <c r="H40" s="81" t="s">
        <v>41</v>
      </c>
      <c r="I40" s="82" t="s">
        <v>103</v>
      </c>
      <c r="J40" s="83">
        <v>0.13436326633590559</v>
      </c>
      <c r="K40" s="83">
        <v>0.20639182004540715</v>
      </c>
      <c r="L40" s="83">
        <v>0.13387483757660212</v>
      </c>
      <c r="M40" s="83">
        <v>0.19915075137048266</v>
      </c>
      <c r="N40" s="83">
        <v>0.13387483118622098</v>
      </c>
      <c r="O40" s="83">
        <v>0.1840411932666268</v>
      </c>
      <c r="P40" s="84"/>
    </row>
    <row r="41" spans="8:16" x14ac:dyDescent="0.25">
      <c r="H41" s="85" t="s">
        <v>42</v>
      </c>
      <c r="I41" s="86" t="s">
        <v>103</v>
      </c>
      <c r="J41" s="87">
        <v>0</v>
      </c>
      <c r="K41" s="87">
        <v>0</v>
      </c>
      <c r="L41" s="87">
        <v>0</v>
      </c>
      <c r="M41" s="87">
        <v>0</v>
      </c>
      <c r="N41" s="87">
        <v>0</v>
      </c>
      <c r="O41" s="87">
        <v>0</v>
      </c>
      <c r="P41" s="88"/>
    </row>
    <row r="42" spans="8:16" x14ac:dyDescent="0.25">
      <c r="H42" s="89" t="s">
        <v>43</v>
      </c>
      <c r="I42" s="90" t="s">
        <v>103</v>
      </c>
      <c r="J42" s="91">
        <v>0.55357578640871763</v>
      </c>
      <c r="K42" s="91">
        <v>0.24828439850832978</v>
      </c>
      <c r="L42" s="91">
        <v>0.21069295847896277</v>
      </c>
      <c r="M42" s="91">
        <v>0.19155234931757853</v>
      </c>
      <c r="N42" s="91">
        <v>0.14382060219511847</v>
      </c>
      <c r="O42" s="91">
        <v>2.4206254067747134E-2</v>
      </c>
      <c r="P42" s="92"/>
    </row>
    <row r="43" spans="8:16" x14ac:dyDescent="0.25">
      <c r="H43" s="89" t="s">
        <v>44</v>
      </c>
      <c r="I43" s="90" t="s">
        <v>103</v>
      </c>
      <c r="J43" s="91">
        <v>0</v>
      </c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2"/>
    </row>
    <row r="44" spans="8:16" x14ac:dyDescent="0.25">
      <c r="H44" s="89" t="s">
        <v>45</v>
      </c>
      <c r="I44" s="90" t="s">
        <v>103</v>
      </c>
      <c r="J44" s="91">
        <v>8.4786442352185395E-2</v>
      </c>
      <c r="K44" s="91">
        <v>0.12009330756911951</v>
      </c>
      <c r="L44" s="91">
        <v>8.4786440797646634E-2</v>
      </c>
      <c r="M44" s="91">
        <v>0.11645608953259379</v>
      </c>
      <c r="N44" s="91">
        <v>8.4786436891660502E-2</v>
      </c>
      <c r="O44" s="91">
        <v>0.10238668833144976</v>
      </c>
      <c r="P44" s="92"/>
    </row>
    <row r="45" spans="8:16" x14ac:dyDescent="0.25">
      <c r="H45" s="89" t="s">
        <v>46</v>
      </c>
      <c r="I45" s="90" t="s">
        <v>103</v>
      </c>
      <c r="J45" s="91">
        <v>1.096689211286269</v>
      </c>
      <c r="K45" s="91">
        <v>1.0966892112861883</v>
      </c>
      <c r="L45" s="91">
        <v>1.0966892112861957</v>
      </c>
      <c r="M45" s="91">
        <v>1.0966892112861895</v>
      </c>
      <c r="N45" s="91">
        <v>1.0966892112862807</v>
      </c>
      <c r="O45" s="91">
        <v>1.0966892112861928</v>
      </c>
      <c r="P45" s="92"/>
    </row>
    <row r="46" spans="8:16" x14ac:dyDescent="0.25">
      <c r="H46" s="89" t="s">
        <v>47</v>
      </c>
      <c r="I46" s="90" t="s">
        <v>103</v>
      </c>
      <c r="J46" s="91">
        <v>0.13373703317199565</v>
      </c>
      <c r="K46" s="91">
        <v>0.13406736901269642</v>
      </c>
      <c r="L46" s="91">
        <v>0.13518504570475301</v>
      </c>
      <c r="M46" s="91">
        <v>0.13573055698427858</v>
      </c>
      <c r="N46" s="91">
        <v>0.13364563130759083</v>
      </c>
      <c r="O46" s="91">
        <v>0.13362604724100605</v>
      </c>
      <c r="P46" s="92"/>
    </row>
    <row r="47" spans="8:16" x14ac:dyDescent="0.25">
      <c r="H47" s="93" t="s">
        <v>48</v>
      </c>
      <c r="I47" s="94" t="s">
        <v>103</v>
      </c>
      <c r="J47" s="95">
        <v>-0.47122626486097724</v>
      </c>
      <c r="K47" s="95">
        <v>-0.47122626486103586</v>
      </c>
      <c r="L47" s="95">
        <v>-0.47122626486105901</v>
      </c>
      <c r="M47" s="95">
        <v>-0.47122626486100383</v>
      </c>
      <c r="N47" s="95">
        <v>-0.47122626486098046</v>
      </c>
      <c r="O47" s="95">
        <v>-0.47122626486104097</v>
      </c>
      <c r="P47" s="96"/>
    </row>
    <row r="48" spans="8:16" x14ac:dyDescent="0.25">
      <c r="H48" s="97" t="s">
        <v>49</v>
      </c>
      <c r="I48" s="98" t="s">
        <v>103</v>
      </c>
      <c r="J48" s="99">
        <v>-0.27327885690333209</v>
      </c>
      <c r="K48" s="99">
        <v>-0.17046305666028783</v>
      </c>
      <c r="L48" s="99">
        <v>-0.67858769262662977</v>
      </c>
      <c r="M48" s="99">
        <v>-0.20111696721615202</v>
      </c>
      <c r="N48" s="99">
        <v>-0.42321190273934373</v>
      </c>
      <c r="O48" s="99">
        <v>-0.28357926361766317</v>
      </c>
      <c r="P48" s="100"/>
    </row>
    <row r="49" spans="8:27" x14ac:dyDescent="0.25">
      <c r="H49" s="101" t="s">
        <v>50</v>
      </c>
      <c r="I49" s="102" t="s">
        <v>103</v>
      </c>
      <c r="J49" s="103">
        <v>-0.54655771380666418</v>
      </c>
      <c r="K49" s="103">
        <v>-0.34092611332057565</v>
      </c>
      <c r="L49" s="103">
        <v>-1.3571753852532595</v>
      </c>
      <c r="M49" s="103">
        <v>-0.40223393443230404</v>
      </c>
      <c r="N49" s="103">
        <v>-0.84642380547868745</v>
      </c>
      <c r="O49" s="103">
        <v>-0.56715852723532634</v>
      </c>
      <c r="P49" s="104"/>
    </row>
    <row r="50" spans="8:27" x14ac:dyDescent="0.25">
      <c r="H50" s="105" t="s">
        <v>51</v>
      </c>
      <c r="I50" s="106" t="s">
        <v>103</v>
      </c>
      <c r="J50" s="107">
        <v>5.8783978567817039</v>
      </c>
      <c r="K50" s="107">
        <v>4.8639923715580036</v>
      </c>
      <c r="L50" s="107">
        <v>5.1175777482427209</v>
      </c>
      <c r="M50" s="107">
        <v>3.9264745521631168</v>
      </c>
      <c r="N50" s="107">
        <v>4.8118727940222517</v>
      </c>
      <c r="O50" s="107">
        <v>3.7609598820549448</v>
      </c>
      <c r="P50" s="108"/>
    </row>
    <row r="51" spans="8:27" x14ac:dyDescent="0.25">
      <c r="H51" s="105" t="s">
        <v>52</v>
      </c>
      <c r="I51" s="106" t="s">
        <v>103</v>
      </c>
      <c r="J51" s="107">
        <v>5.6051189998783721</v>
      </c>
      <c r="K51" s="107">
        <v>4.6935293148977157</v>
      </c>
      <c r="L51" s="107">
        <v>4.4389900556160908</v>
      </c>
      <c r="M51" s="107">
        <v>3.7253575849469649</v>
      </c>
      <c r="N51" s="107">
        <v>4.3886608912829077</v>
      </c>
      <c r="O51" s="107">
        <v>3.4773806184372815</v>
      </c>
      <c r="P51" s="108"/>
    </row>
    <row r="52" spans="8:27" x14ac:dyDescent="0.25">
      <c r="H52" s="109" t="s">
        <v>53</v>
      </c>
      <c r="I52" s="110" t="s">
        <v>103</v>
      </c>
      <c r="J52" s="111">
        <v>5.3318401429750395</v>
      </c>
      <c r="K52" s="111">
        <v>4.5230662582374279</v>
      </c>
      <c r="L52" s="111">
        <v>3.7604023629894616</v>
      </c>
      <c r="M52" s="111">
        <v>3.524240617730813</v>
      </c>
      <c r="N52" s="111">
        <v>3.9654489885435642</v>
      </c>
      <c r="O52" s="111">
        <v>3.1938013548196187</v>
      </c>
      <c r="P52" s="112"/>
    </row>
    <row r="53" spans="8:27" x14ac:dyDescent="0.25">
      <c r="H53" s="113" t="s">
        <v>54</v>
      </c>
      <c r="I53" s="114" t="s">
        <v>103</v>
      </c>
      <c r="J53" s="115">
        <v>5.8783978567817039</v>
      </c>
      <c r="K53" s="115">
        <v>4.8639923715580027</v>
      </c>
      <c r="L53" s="115">
        <v>5.1175777482427209</v>
      </c>
      <c r="M53" s="115">
        <v>3.9264745521631168</v>
      </c>
      <c r="N53" s="115">
        <v>4.8118727940222517</v>
      </c>
      <c r="O53" s="115">
        <v>3.7609598820549457</v>
      </c>
      <c r="P53" s="116"/>
    </row>
    <row r="54" spans="8:27" x14ac:dyDescent="0.25">
      <c r="H54" s="13"/>
      <c r="I54" s="13"/>
      <c r="J54" s="31"/>
      <c r="K54" s="31"/>
      <c r="L54" s="31"/>
      <c r="M54" s="31"/>
      <c r="N54" s="31"/>
      <c r="O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>
        <v>0.94999999999983187</v>
      </c>
      <c r="K56" s="124">
        <v>0.94999999999998841</v>
      </c>
      <c r="L56" s="124">
        <v>0.94999999999988327</v>
      </c>
      <c r="M56" s="124">
        <v>0.95000000000000362</v>
      </c>
      <c r="N56" s="124">
        <v>0.94999999999964058</v>
      </c>
      <c r="O56" s="124">
        <v>0.94999999999995777</v>
      </c>
      <c r="P56" s="125"/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>
        <v>41921454.683403477</v>
      </c>
      <c r="K57" s="128">
        <v>34623385.879473515</v>
      </c>
      <c r="L57" s="128">
        <v>23881533.947520949</v>
      </c>
      <c r="M57" s="128">
        <v>28320213.267670929</v>
      </c>
      <c r="N57" s="128">
        <v>32137281.486467339</v>
      </c>
      <c r="O57" s="128">
        <v>18238410.921874575</v>
      </c>
      <c r="P57" s="129"/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>
        <v>74967403.869003132</v>
      </c>
      <c r="K58" s="132">
        <v>68233335.703002438</v>
      </c>
      <c r="L58" s="132">
        <v>104037240.99819767</v>
      </c>
      <c r="M58" s="132">
        <v>43992071.304088414</v>
      </c>
      <c r="N58" s="132">
        <v>73348108.197151557</v>
      </c>
      <c r="O58" s="132">
        <v>65711222.776423573</v>
      </c>
      <c r="P58" s="133"/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>
        <v>56216584.224213429</v>
      </c>
      <c r="K59" s="132">
        <v>25309734.314354654</v>
      </c>
      <c r="L59" s="132">
        <v>25000000</v>
      </c>
      <c r="M59" s="132">
        <v>20020614.87838088</v>
      </c>
      <c r="N59" s="132">
        <v>33643254.481366195</v>
      </c>
      <c r="O59" s="132">
        <v>5600842.9629240232</v>
      </c>
      <c r="P59" s="133"/>
    </row>
    <row r="60" spans="8:27" x14ac:dyDescent="0.25">
      <c r="H60" s="134" t="s">
        <v>60</v>
      </c>
      <c r="I60" s="74" t="s">
        <v>57</v>
      </c>
      <c r="J60" s="135">
        <v>66223.967281672012</v>
      </c>
      <c r="K60" s="135">
        <v>946932.85110209615</v>
      </c>
      <c r="L60" s="135">
        <v>0</v>
      </c>
      <c r="M60" s="135">
        <v>882119.43217761675</v>
      </c>
      <c r="N60" s="135">
        <v>0</v>
      </c>
      <c r="O60" s="135">
        <v>1179455.3169896062</v>
      </c>
      <c r="P60" s="136"/>
    </row>
    <row r="61" spans="8:27" x14ac:dyDescent="0.25">
      <c r="H61" s="134" t="s">
        <v>61</v>
      </c>
      <c r="I61" s="74" t="s">
        <v>57</v>
      </c>
      <c r="J61" s="135">
        <v>0</v>
      </c>
      <c r="K61" s="135">
        <v>1898517.3304440652</v>
      </c>
      <c r="L61" s="135">
        <v>0</v>
      </c>
      <c r="M61" s="135">
        <v>1917800.3306139752</v>
      </c>
      <c r="N61" s="135">
        <v>0</v>
      </c>
      <c r="O61" s="135">
        <v>3353507.8677247069</v>
      </c>
      <c r="P61" s="136"/>
    </row>
    <row r="62" spans="8:27" x14ac:dyDescent="0.25">
      <c r="H62" s="134" t="s">
        <v>62</v>
      </c>
      <c r="I62" s="74"/>
      <c r="J62" s="135">
        <v>0</v>
      </c>
      <c r="K62" s="135">
        <v>1990793.6443466295</v>
      </c>
      <c r="L62" s="135">
        <v>0</v>
      </c>
      <c r="M62" s="135">
        <v>1313627.3893776946</v>
      </c>
      <c r="N62" s="135">
        <v>0</v>
      </c>
      <c r="O62" s="135">
        <v>570012.09255572804</v>
      </c>
      <c r="P62" s="136"/>
    </row>
    <row r="63" spans="8:27" x14ac:dyDescent="0.25">
      <c r="H63" s="137" t="s">
        <v>63</v>
      </c>
      <c r="I63" s="138" t="s">
        <v>57</v>
      </c>
      <c r="J63" s="139">
        <v>8528253.4135006126</v>
      </c>
      <c r="K63" s="139">
        <v>12608061.088615291</v>
      </c>
      <c r="L63" s="139">
        <v>8528253.2460333258</v>
      </c>
      <c r="M63" s="139">
        <v>12199840.745475035</v>
      </c>
      <c r="N63" s="139">
        <v>8528252.8416997232</v>
      </c>
      <c r="O63" s="139">
        <v>10591329.210329723</v>
      </c>
      <c r="P63" s="140"/>
    </row>
    <row r="64" spans="8:27" x14ac:dyDescent="0.25">
      <c r="H64" s="141" t="s">
        <v>64</v>
      </c>
      <c r="I64" s="142" t="s">
        <v>57</v>
      </c>
      <c r="J64" s="143">
        <v>9623261.8218559101</v>
      </c>
      <c r="K64" s="143">
        <v>12530270.708950527</v>
      </c>
      <c r="L64" s="143">
        <v>9623261.9952607714</v>
      </c>
      <c r="M64" s="143">
        <v>12002236.015150985</v>
      </c>
      <c r="N64" s="143">
        <v>9623261.5331485905</v>
      </c>
      <c r="O64" s="143">
        <v>9829063.9270031005</v>
      </c>
      <c r="P64" s="144"/>
    </row>
    <row r="66" spans="8:16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6" x14ac:dyDescent="0.25">
      <c r="H67" s="148" t="s">
        <v>67</v>
      </c>
      <c r="I67" s="149">
        <v>18762.782660000004</v>
      </c>
      <c r="J67" s="149">
        <v>28144.173989999999</v>
      </c>
      <c r="K67" s="150" t="s">
        <v>24</v>
      </c>
    </row>
    <row r="68" spans="8:16" x14ac:dyDescent="0.25">
      <c r="H68" s="61" t="s">
        <v>68</v>
      </c>
      <c r="I68" s="151">
        <v>24296.47041747102</v>
      </c>
      <c r="J68" s="151">
        <v>24296.47041747102</v>
      </c>
      <c r="K68" s="152" t="s">
        <v>24</v>
      </c>
    </row>
    <row r="69" spans="8:16" x14ac:dyDescent="0.25">
      <c r="H69" s="153" t="s">
        <v>69</v>
      </c>
      <c r="I69" s="154">
        <v>5533.6877574710161</v>
      </c>
      <c r="J69" s="154">
        <v>-3847.7035725289788</v>
      </c>
      <c r="K69" s="155" t="s">
        <v>24</v>
      </c>
    </row>
    <row r="71" spans="8:16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9"/>
    </row>
    <row r="72" spans="8:16" x14ac:dyDescent="0.25">
      <c r="H72" s="7" t="s">
        <v>1</v>
      </c>
      <c r="I72" s="8" t="s">
        <v>2</v>
      </c>
      <c r="J72" s="9">
        <v>0.94999999999983187</v>
      </c>
      <c r="K72" s="9">
        <v>0.94999999999998841</v>
      </c>
      <c r="L72" s="9">
        <v>0.94999999999988327</v>
      </c>
      <c r="M72" s="9">
        <v>0.95000000000000362</v>
      </c>
      <c r="N72" s="9">
        <v>0.94999999999964058</v>
      </c>
      <c r="O72" s="9">
        <v>0.94999999999995777</v>
      </c>
      <c r="P72" s="10"/>
    </row>
    <row r="73" spans="8:16" x14ac:dyDescent="0.25">
      <c r="H73" s="51" t="s">
        <v>71</v>
      </c>
      <c r="I73" s="156"/>
      <c r="J73" s="157">
        <v>24935.636560239327</v>
      </c>
      <c r="K73" s="157">
        <v>12135.205624432367</v>
      </c>
      <c r="L73" s="157">
        <v>11145.021916269337</v>
      </c>
      <c r="M73" s="157">
        <v>8589.0323999047068</v>
      </c>
      <c r="N73" s="157">
        <v>2505.2785213499096</v>
      </c>
      <c r="O73" s="157">
        <v>138.75636213782508</v>
      </c>
      <c r="P73" s="158"/>
    </row>
    <row r="74" spans="8:16" x14ac:dyDescent="0.25">
      <c r="H74" s="130" t="s">
        <v>72</v>
      </c>
      <c r="I74" s="159"/>
      <c r="J74" s="160">
        <v>24467.974812864937</v>
      </c>
      <c r="K74" s="160">
        <v>18681.267703015335</v>
      </c>
      <c r="L74" s="160">
        <v>111530.705832982</v>
      </c>
      <c r="M74" s="160">
        <v>27769.083999855811</v>
      </c>
      <c r="N74" s="160">
        <v>74003.371318334699</v>
      </c>
      <c r="O74" s="160">
        <v>51126.972322444752</v>
      </c>
      <c r="P74" s="161"/>
    </row>
    <row r="75" spans="8:16" x14ac:dyDescent="0.25">
      <c r="H75" s="130" t="s">
        <v>73</v>
      </c>
      <c r="I75" s="159" t="s">
        <v>2</v>
      </c>
      <c r="J75" s="162">
        <v>0.32226537121088511</v>
      </c>
      <c r="K75" s="162">
        <v>0.18989220161942227</v>
      </c>
      <c r="L75" s="162">
        <v>0.2249287545364545</v>
      </c>
      <c r="M75" s="162">
        <v>0.14617529935350934</v>
      </c>
      <c r="N75" s="162">
        <v>0.10333167587239826</v>
      </c>
      <c r="O75" s="162">
        <v>1.0084456650408078E-2</v>
      </c>
      <c r="P75" s="163"/>
    </row>
    <row r="76" spans="8:16" x14ac:dyDescent="0.25">
      <c r="H76" s="130" t="s">
        <v>74</v>
      </c>
      <c r="I76" s="159" t="s">
        <v>2</v>
      </c>
      <c r="J76" s="162">
        <v>0.37445568603077029</v>
      </c>
      <c r="K76" s="162">
        <v>0.31411206450096724</v>
      </c>
      <c r="L76" s="162">
        <v>0.67350896528212922</v>
      </c>
      <c r="M76" s="162">
        <v>0.39657460516045673</v>
      </c>
      <c r="N76" s="162">
        <v>0.51189099994779919</v>
      </c>
      <c r="O76" s="162">
        <v>0.39475299357112009</v>
      </c>
      <c r="P76" s="163"/>
    </row>
    <row r="77" spans="8:16" x14ac:dyDescent="0.25">
      <c r="H77" s="164" t="s">
        <v>75</v>
      </c>
      <c r="I77" s="165" t="s">
        <v>2</v>
      </c>
      <c r="J77" s="166">
        <v>0.34616031967795557</v>
      </c>
      <c r="K77" s="166">
        <v>0.24977077734385059</v>
      </c>
      <c r="L77" s="166">
        <v>0.57019866736805258</v>
      </c>
      <c r="M77" s="166">
        <v>0.28232563246773146</v>
      </c>
      <c r="N77" s="166">
        <v>0.45321369539733741</v>
      </c>
      <c r="O77" s="166">
        <v>0.35781151720080862</v>
      </c>
      <c r="P77" s="167"/>
    </row>
    <row r="78" spans="8:16" x14ac:dyDescent="0.25">
      <c r="H78" s="168" t="s">
        <v>76</v>
      </c>
      <c r="I78" s="169"/>
      <c r="J78" s="170">
        <v>269.20265661938242</v>
      </c>
      <c r="K78" s="170">
        <v>190.23444933227105</v>
      </c>
      <c r="L78" s="170">
        <v>224.34329634723449</v>
      </c>
      <c r="M78" s="170">
        <v>137.28536763138987</v>
      </c>
      <c r="N78" s="170">
        <v>206.40296930813912</v>
      </c>
      <c r="O78" s="170">
        <v>132.40482483783344</v>
      </c>
      <c r="P78" s="171"/>
    </row>
    <row r="79" spans="8:16" x14ac:dyDescent="0.25">
      <c r="H79" s="172" t="s">
        <v>77</v>
      </c>
      <c r="I79" s="173"/>
      <c r="J79" s="174">
        <v>253.08409009130372</v>
      </c>
      <c r="K79" s="174">
        <v>180.1801767460453</v>
      </c>
      <c r="L79" s="174">
        <v>184.31875514166529</v>
      </c>
      <c r="M79" s="174">
        <v>125.42306239221998</v>
      </c>
      <c r="N79" s="174">
        <v>181.44103377064923</v>
      </c>
      <c r="O79" s="174">
        <v>115.67871847746734</v>
      </c>
      <c r="P79" s="175"/>
    </row>
    <row r="80" spans="8:16" x14ac:dyDescent="0.25">
      <c r="H80" s="172" t="s">
        <v>78</v>
      </c>
      <c r="I80" s="173"/>
      <c r="J80" s="174">
        <v>236.96552356322502</v>
      </c>
      <c r="K80" s="174">
        <v>170.12590415981956</v>
      </c>
      <c r="L80" s="174">
        <v>144.2942139360961</v>
      </c>
      <c r="M80" s="174">
        <v>113.56075715305008</v>
      </c>
      <c r="N80" s="174">
        <v>156.47909823315933</v>
      </c>
      <c r="O80" s="174">
        <v>98.952612117101225</v>
      </c>
      <c r="P80" s="175"/>
    </row>
    <row r="81" spans="8:16" x14ac:dyDescent="0.25">
      <c r="H81" s="73" t="s">
        <v>79</v>
      </c>
      <c r="I81" s="176"/>
      <c r="J81" s="177">
        <v>175.11558373490331</v>
      </c>
      <c r="K81" s="177">
        <v>142.48251463517332</v>
      </c>
      <c r="L81" s="177">
        <v>96.113430727936858</v>
      </c>
      <c r="M81" s="177">
        <v>98.383522011301551</v>
      </c>
      <c r="N81" s="177">
        <v>112.66140864017626</v>
      </c>
      <c r="O81" s="177">
        <v>85.009110635082706</v>
      </c>
      <c r="P81" s="178"/>
    </row>
    <row r="82" spans="8:16" x14ac:dyDescent="0.25">
      <c r="H82" s="134" t="s">
        <v>80</v>
      </c>
      <c r="I82" s="176"/>
      <c r="J82" s="177">
        <v>164.6305007792578</v>
      </c>
      <c r="K82" s="177">
        <v>134.95202767058171</v>
      </c>
      <c r="L82" s="177">
        <v>78.966067596458331</v>
      </c>
      <c r="M82" s="177">
        <v>89.882576945282665</v>
      </c>
      <c r="N82" s="177">
        <v>99.036377811087348</v>
      </c>
      <c r="O82" s="177">
        <v>74.270291805602739</v>
      </c>
      <c r="P82" s="178"/>
    </row>
    <row r="83" spans="8:16" x14ac:dyDescent="0.25">
      <c r="H83" s="179" t="s">
        <v>81</v>
      </c>
      <c r="I83" s="180"/>
      <c r="J83" s="181">
        <v>154.14541782361232</v>
      </c>
      <c r="K83" s="181">
        <v>127.4215407059901</v>
      </c>
      <c r="L83" s="181">
        <v>61.818704464979817</v>
      </c>
      <c r="M83" s="181">
        <v>81.381631879263807</v>
      </c>
      <c r="N83" s="181">
        <v>85.411346981998449</v>
      </c>
      <c r="O83" s="181">
        <v>63.531472976122764</v>
      </c>
      <c r="P83" s="182"/>
    </row>
    <row r="84" spans="8:16" x14ac:dyDescent="0.25">
      <c r="H84" s="183" t="s">
        <v>82</v>
      </c>
      <c r="I84" s="184" t="s">
        <v>12</v>
      </c>
      <c r="J84" s="185">
        <v>2.6819958729375553</v>
      </c>
      <c r="K84" s="185">
        <v>1.4620022664715491</v>
      </c>
      <c r="L84" s="185">
        <v>2.0936678569255101</v>
      </c>
      <c r="M84" s="185">
        <v>1.4138745841462645</v>
      </c>
      <c r="N84" s="185">
        <v>3.0044899846982926</v>
      </c>
      <c r="O84" s="185">
        <v>0.88134977177824148</v>
      </c>
      <c r="P84" s="186"/>
    </row>
    <row r="86" spans="8:16" x14ac:dyDescent="0.25">
      <c r="I86" s="443" t="s">
        <v>83</v>
      </c>
      <c r="J86" s="444"/>
      <c r="K86" s="187" t="s">
        <v>84</v>
      </c>
    </row>
    <row r="87" spans="8:16" x14ac:dyDescent="0.25">
      <c r="I87" s="445" t="s">
        <v>111</v>
      </c>
      <c r="J87" s="446"/>
      <c r="K87" s="188" t="s">
        <v>85</v>
      </c>
    </row>
    <row r="88" spans="8:16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6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6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6" x14ac:dyDescent="0.25">
      <c r="H92" s="226" t="s">
        <v>1</v>
      </c>
      <c r="I92" s="227"/>
      <c r="J92" s="228">
        <f t="shared" ref="J92:O92" si="5">J5</f>
        <v>0.94999999999983187</v>
      </c>
      <c r="K92" s="228">
        <f t="shared" si="5"/>
        <v>0.94999999999998841</v>
      </c>
      <c r="L92" s="228">
        <f t="shared" si="5"/>
        <v>0.94999999999988327</v>
      </c>
      <c r="M92" s="228">
        <f t="shared" si="5"/>
        <v>0.95000000000000362</v>
      </c>
      <c r="N92" s="228">
        <f t="shared" si="5"/>
        <v>0.94999999999964058</v>
      </c>
      <c r="O92" s="228">
        <f t="shared" si="5"/>
        <v>0.94999999999995777</v>
      </c>
      <c r="P92" s="229"/>
    </row>
    <row r="93" spans="8:16" ht="18" x14ac:dyDescent="0.25">
      <c r="H93" s="148" t="s">
        <v>89</v>
      </c>
      <c r="I93" s="194" t="s">
        <v>104</v>
      </c>
      <c r="J93" s="195">
        <f>IF(J22&gt;0,  $I$88*(J6*1000)/(J22*1000)/$K$88*1000, 0)</f>
        <v>14.221939731457111</v>
      </c>
      <c r="K93" s="195">
        <f t="shared" ref="K93:O93" si="6">IF(K22&gt;0,  $I$88*(K6*1000)/(K22*1000)/$K$88*1000, 0)</f>
        <v>14.221939731457082</v>
      </c>
      <c r="L93" s="195">
        <f t="shared" si="6"/>
        <v>12.651894976007682</v>
      </c>
      <c r="M93" s="195">
        <f t="shared" si="6"/>
        <v>12.651894976007725</v>
      </c>
      <c r="N93" s="195">
        <f t="shared" si="6"/>
        <v>24.247334366121194</v>
      </c>
      <c r="O93" s="195">
        <f t="shared" si="6"/>
        <v>24.247334366121169</v>
      </c>
      <c r="P93" s="196"/>
    </row>
    <row r="94" spans="8:16" ht="18" x14ac:dyDescent="0.25">
      <c r="H94" s="61" t="s">
        <v>90</v>
      </c>
      <c r="I94" s="230" t="s">
        <v>104</v>
      </c>
      <c r="J94" s="231">
        <f>IF(J23&gt;0,$I$89*(J7*1000)/(J23*1000)/$K$89*1000,0)</f>
        <v>11.62591665440965</v>
      </c>
      <c r="K94" s="231">
        <f t="shared" ref="K94:O94" si="7">IF(K23&gt;0,$I$89*(K7*1000)/(K23*1000)/$K$89*1000,0)</f>
        <v>11.625916654409641</v>
      </c>
      <c r="L94" s="231">
        <f t="shared" si="7"/>
        <v>6.3663437674559713</v>
      </c>
      <c r="M94" s="231">
        <f t="shared" si="7"/>
        <v>6.3663437674559633</v>
      </c>
      <c r="N94" s="231">
        <f t="shared" si="7"/>
        <v>3.1489785954175455</v>
      </c>
      <c r="O94" s="231">
        <f t="shared" si="7"/>
        <v>3.148978595417534</v>
      </c>
      <c r="P94" s="232"/>
    </row>
    <row r="95" spans="8:16" ht="18" x14ac:dyDescent="0.25">
      <c r="H95" s="153" t="s">
        <v>99</v>
      </c>
      <c r="I95" s="197" t="s">
        <v>104</v>
      </c>
      <c r="J95" s="198">
        <f>IF(-J26&gt;0,$I$90*(J8*1000)/(-J26*1000)/$K$90*1000,0)</f>
        <v>27.080508883417931</v>
      </c>
      <c r="K95" s="198">
        <f t="shared" ref="K95:O95" si="8">IF(-K26&gt;0,$I$90*(K8*1000)/(-K26*1000)/$K$90*1000,0)</f>
        <v>27.183639904760852</v>
      </c>
      <c r="L95" s="198">
        <f t="shared" si="8"/>
        <v>31.641673157634575</v>
      </c>
      <c r="M95" s="198">
        <f t="shared" si="8"/>
        <v>27.871438340947119</v>
      </c>
      <c r="N95" s="198">
        <f t="shared" si="8"/>
        <v>62.380140801029327</v>
      </c>
      <c r="O95" s="198">
        <f t="shared" si="8"/>
        <v>61.701434577965216</v>
      </c>
      <c r="P95" s="199"/>
    </row>
    <row r="96" spans="8:16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5"/>
    </row>
    <row r="97" spans="8:16" x14ac:dyDescent="0.25">
      <c r="H97" s="7" t="s">
        <v>1</v>
      </c>
      <c r="I97" s="8" t="s">
        <v>2</v>
      </c>
      <c r="J97" s="9">
        <f t="shared" ref="J97:O97" si="9">J5</f>
        <v>0.94999999999983187</v>
      </c>
      <c r="K97" s="9">
        <f t="shared" si="9"/>
        <v>0.94999999999998841</v>
      </c>
      <c r="L97" s="9">
        <f t="shared" si="9"/>
        <v>0.94999999999988327</v>
      </c>
      <c r="M97" s="9">
        <f t="shared" si="9"/>
        <v>0.95000000000000362</v>
      </c>
      <c r="N97" s="9">
        <f t="shared" si="9"/>
        <v>0.94999999999964058</v>
      </c>
      <c r="O97" s="9">
        <f t="shared" si="9"/>
        <v>0.94999999999995777</v>
      </c>
      <c r="P97" s="10"/>
    </row>
    <row r="98" spans="8:16" ht="18" x14ac:dyDescent="0.25">
      <c r="H98" s="200" t="s">
        <v>91</v>
      </c>
      <c r="I98" s="201" t="s">
        <v>106</v>
      </c>
      <c r="J98" s="202">
        <f t="shared" ref="J98:O98" si="10">$M$88/1000*J24*1000</f>
        <v>1935797.5048754741</v>
      </c>
      <c r="K98" s="202">
        <f t="shared" si="10"/>
        <v>1935797.5048743018</v>
      </c>
      <c r="L98" s="202">
        <f t="shared" si="10"/>
        <v>1935797.504869204</v>
      </c>
      <c r="M98" s="202">
        <f t="shared" si="10"/>
        <v>1935797.5048751601</v>
      </c>
      <c r="N98" s="202">
        <f t="shared" si="10"/>
        <v>1935797.5048787612</v>
      </c>
      <c r="O98" s="202">
        <f t="shared" si="10"/>
        <v>1935797.5048763365</v>
      </c>
      <c r="P98" s="203"/>
    </row>
    <row r="99" spans="8:16" ht="18" x14ac:dyDescent="0.25">
      <c r="H99" s="204" t="s">
        <v>92</v>
      </c>
      <c r="I99" s="13" t="s">
        <v>106</v>
      </c>
      <c r="J99" s="31">
        <f t="shared" ref="J99:O100" si="11">J93/1000*J22*1000</f>
        <v>1100438.1854393415</v>
      </c>
      <c r="K99" s="31">
        <f t="shared" si="11"/>
        <v>908863.87933617982</v>
      </c>
      <c r="L99" s="31">
        <f t="shared" si="11"/>
        <v>626890.26612242498</v>
      </c>
      <c r="M99" s="31">
        <f t="shared" si="11"/>
        <v>743405.59827636206</v>
      </c>
      <c r="N99" s="31">
        <f t="shared" si="11"/>
        <v>587877.10036220727</v>
      </c>
      <c r="O99" s="31">
        <f t="shared" si="11"/>
        <v>333629.46808307152</v>
      </c>
      <c r="P99" s="62"/>
    </row>
    <row r="100" spans="8:16" ht="18" x14ac:dyDescent="0.25">
      <c r="H100" s="204" t="s">
        <v>93</v>
      </c>
      <c r="I100" s="13" t="s">
        <v>106</v>
      </c>
      <c r="J100" s="31">
        <f t="shared" si="11"/>
        <v>759669.69253923162</v>
      </c>
      <c r="K100" s="31">
        <f t="shared" si="11"/>
        <v>691431.13512375811</v>
      </c>
      <c r="L100" s="31">
        <f t="shared" si="11"/>
        <v>1054244.0421150699</v>
      </c>
      <c r="M100" s="31">
        <f t="shared" si="11"/>
        <v>445786.32254809595</v>
      </c>
      <c r="N100" s="31">
        <f t="shared" si="11"/>
        <v>455243.464514783</v>
      </c>
      <c r="O100" s="31">
        <f t="shared" si="11"/>
        <v>407844.25733019121</v>
      </c>
      <c r="P100" s="62"/>
    </row>
    <row r="101" spans="8:16" ht="18" x14ac:dyDescent="0.25">
      <c r="H101" s="204" t="s">
        <v>94</v>
      </c>
      <c r="I101" s="13" t="s">
        <v>106</v>
      </c>
      <c r="J101" s="31">
        <f t="shared" ref="J101:O101" si="12">J95/1000*(-J26)*1000</f>
        <v>625409.4994943745</v>
      </c>
      <c r="K101" s="31">
        <f t="shared" si="12"/>
        <v>281570.79424719547</v>
      </c>
      <c r="L101" s="31">
        <f t="shared" si="12"/>
        <v>278125</v>
      </c>
      <c r="M101" s="31">
        <f t="shared" si="12"/>
        <v>222729.34052198729</v>
      </c>
      <c r="N101" s="31">
        <f t="shared" si="12"/>
        <v>374281.20610519894</v>
      </c>
      <c r="O101" s="31">
        <f t="shared" si="12"/>
        <v>62309.377962529761</v>
      </c>
      <c r="P101" s="62"/>
    </row>
    <row r="102" spans="8:16" ht="18" x14ac:dyDescent="0.25">
      <c r="H102" s="204" t="s">
        <v>95</v>
      </c>
      <c r="I102" s="13" t="s">
        <v>106</v>
      </c>
      <c r="J102" s="31">
        <f>$B$125*10</f>
        <v>16303103.764790881</v>
      </c>
      <c r="K102" s="31">
        <f t="shared" ref="K102:O102" si="13">$B$125*10</f>
        <v>16303103.764790881</v>
      </c>
      <c r="L102" s="31">
        <f t="shared" si="13"/>
        <v>16303103.764790881</v>
      </c>
      <c r="M102" s="31">
        <f t="shared" si="13"/>
        <v>16303103.764790881</v>
      </c>
      <c r="N102" s="31">
        <f t="shared" si="13"/>
        <v>16303103.764790881</v>
      </c>
      <c r="O102" s="31">
        <f t="shared" si="13"/>
        <v>16303103.764790881</v>
      </c>
      <c r="P102" s="62"/>
    </row>
    <row r="103" spans="8:16" ht="18" x14ac:dyDescent="0.25">
      <c r="H103" s="240" t="s">
        <v>96</v>
      </c>
      <c r="I103" s="241" t="s">
        <v>106</v>
      </c>
      <c r="J103" s="27">
        <f>$B$126*10</f>
        <v>51113239.103365555</v>
      </c>
      <c r="K103" s="27">
        <f t="shared" ref="K103:O103" si="14">$B$126*10</f>
        <v>51113239.103365555</v>
      </c>
      <c r="L103" s="27">
        <f t="shared" si="14"/>
        <v>51113239.103365555</v>
      </c>
      <c r="M103" s="27">
        <f t="shared" si="14"/>
        <v>51113239.103365555</v>
      </c>
      <c r="N103" s="27">
        <f t="shared" si="14"/>
        <v>51113239.103365555</v>
      </c>
      <c r="O103" s="27">
        <f t="shared" si="14"/>
        <v>51113239.103365555</v>
      </c>
      <c r="P103" s="28"/>
    </row>
    <row r="104" spans="8:16" ht="18" x14ac:dyDescent="0.25">
      <c r="H104" s="205" t="s">
        <v>97</v>
      </c>
      <c r="I104" s="206" t="s">
        <v>107</v>
      </c>
      <c r="J104" s="207">
        <f>$B$127*10</f>
        <v>5423428.5007911213</v>
      </c>
      <c r="K104" s="207">
        <f t="shared" ref="K104:O104" si="15">$B$127*10</f>
        <v>5423428.5007911213</v>
      </c>
      <c r="L104" s="207">
        <f t="shared" si="15"/>
        <v>5423428.5007911213</v>
      </c>
      <c r="M104" s="207">
        <f t="shared" si="15"/>
        <v>5423428.5007911213</v>
      </c>
      <c r="N104" s="207">
        <f t="shared" si="15"/>
        <v>5423428.5007911213</v>
      </c>
      <c r="O104" s="207">
        <f t="shared" si="15"/>
        <v>5423428.5007911213</v>
      </c>
      <c r="P104" s="208"/>
    </row>
    <row r="105" spans="8:16" ht="18" x14ac:dyDescent="0.25">
      <c r="H105" s="209" t="s">
        <v>98</v>
      </c>
      <c r="I105" s="210" t="s">
        <v>108</v>
      </c>
      <c r="J105" s="211">
        <f t="shared" ref="J105:O105" si="16">J98/J104</f>
        <v>0.35693242836945249</v>
      </c>
      <c r="K105" s="211">
        <f t="shared" si="16"/>
        <v>0.35693242836923639</v>
      </c>
      <c r="L105" s="211">
        <f t="shared" si="16"/>
        <v>0.35693242836829642</v>
      </c>
      <c r="M105" s="211">
        <f t="shared" si="16"/>
        <v>0.35693242836939459</v>
      </c>
      <c r="N105" s="211">
        <f t="shared" si="16"/>
        <v>0.35693242837005862</v>
      </c>
      <c r="O105" s="211">
        <f t="shared" si="16"/>
        <v>0.35693242836961153</v>
      </c>
      <c r="P105" s="212"/>
    </row>
    <row r="106" spans="8:16" ht="18" x14ac:dyDescent="0.25">
      <c r="H106" s="213" t="s">
        <v>89</v>
      </c>
      <c r="I106" s="214" t="s">
        <v>109</v>
      </c>
      <c r="J106" s="215">
        <f t="shared" ref="J106:O106" si="17">J99/J104</f>
        <v>0.20290452529775571</v>
      </c>
      <c r="K106" s="215">
        <f t="shared" si="17"/>
        <v>0.16758105674364526</v>
      </c>
      <c r="L106" s="215">
        <f t="shared" si="17"/>
        <v>0.11558929301473779</v>
      </c>
      <c r="M106" s="215">
        <f t="shared" si="17"/>
        <v>0.13707299693688607</v>
      </c>
      <c r="N106" s="215">
        <f t="shared" si="17"/>
        <v>0.10839584227513149</v>
      </c>
      <c r="O106" s="215">
        <f t="shared" si="17"/>
        <v>6.1516339347776901E-2</v>
      </c>
      <c r="P106" s="216"/>
    </row>
    <row r="107" spans="8:16" ht="18" x14ac:dyDescent="0.25">
      <c r="H107" s="213" t="s">
        <v>90</v>
      </c>
      <c r="I107" s="214" t="s">
        <v>109</v>
      </c>
      <c r="J107" s="215">
        <f t="shared" ref="J107:O107" si="18">J100/J104</f>
        <v>0.14007185536389349</v>
      </c>
      <c r="K107" s="215">
        <f t="shared" si="18"/>
        <v>0.12748967466297348</v>
      </c>
      <c r="L107" s="215">
        <f t="shared" si="18"/>
        <v>0.19438700850601906</v>
      </c>
      <c r="M107" s="215">
        <f t="shared" si="18"/>
        <v>8.2196404448416457E-2</v>
      </c>
      <c r="N107" s="215">
        <f t="shared" si="18"/>
        <v>8.3940161550645709E-2</v>
      </c>
      <c r="O107" s="215">
        <f t="shared" si="18"/>
        <v>7.5200448806635609E-2</v>
      </c>
      <c r="P107" s="216"/>
    </row>
    <row r="108" spans="8:16" ht="18" x14ac:dyDescent="0.25">
      <c r="H108" s="213" t="s">
        <v>99</v>
      </c>
      <c r="I108" s="214" t="s">
        <v>109</v>
      </c>
      <c r="J108" s="215">
        <f t="shared" ref="J108:O108" si="19">J101/J104</f>
        <v>0.11531626154989327</v>
      </c>
      <c r="K108" s="215">
        <f t="shared" si="19"/>
        <v>5.1917489869392111E-2</v>
      </c>
      <c r="L108" s="215">
        <f t="shared" si="19"/>
        <v>5.1282136375436611E-2</v>
      </c>
      <c r="M108" s="215">
        <f t="shared" si="19"/>
        <v>4.1067996100528942E-2</v>
      </c>
      <c r="N108" s="215">
        <f t="shared" si="19"/>
        <v>6.9011918577077613E-2</v>
      </c>
      <c r="O108" s="215">
        <f t="shared" si="19"/>
        <v>1.1488927705682968E-2</v>
      </c>
      <c r="P108" s="216"/>
    </row>
    <row r="109" spans="8:16" ht="18" x14ac:dyDescent="0.25">
      <c r="H109" s="213" t="s">
        <v>100</v>
      </c>
      <c r="I109" s="214" t="s">
        <v>108</v>
      </c>
      <c r="J109" s="215">
        <f t="shared" ref="J109:O109" si="20">-J103/J104</f>
        <v>-9.4245252972192066</v>
      </c>
      <c r="K109" s="215">
        <f t="shared" si="20"/>
        <v>-9.4245252972192066</v>
      </c>
      <c r="L109" s="215">
        <f t="shared" si="20"/>
        <v>-9.4245252972192066</v>
      </c>
      <c r="M109" s="215">
        <f t="shared" si="20"/>
        <v>-9.4245252972192066</v>
      </c>
      <c r="N109" s="215">
        <f t="shared" si="20"/>
        <v>-9.4245252972192066</v>
      </c>
      <c r="O109" s="215">
        <f t="shared" si="20"/>
        <v>-9.4245252972192066</v>
      </c>
      <c r="P109" s="216"/>
    </row>
    <row r="110" spans="8:16" ht="18" x14ac:dyDescent="0.25">
      <c r="H110" s="217" t="s">
        <v>101</v>
      </c>
      <c r="I110" s="218" t="s">
        <v>108</v>
      </c>
      <c r="J110" s="219">
        <f t="shared" ref="J110:O110" si="21">SUM(J105:J109)</f>
        <v>-8.6093002266382115</v>
      </c>
      <c r="K110" s="219">
        <f t="shared" si="21"/>
        <v>-8.7206046475739587</v>
      </c>
      <c r="L110" s="219">
        <f t="shared" si="21"/>
        <v>-8.7063344309547173</v>
      </c>
      <c r="M110" s="219">
        <f t="shared" si="21"/>
        <v>-8.8072554713639803</v>
      </c>
      <c r="N110" s="219">
        <f t="shared" si="21"/>
        <v>-8.8062449464462933</v>
      </c>
      <c r="O110" s="219">
        <f t="shared" si="21"/>
        <v>-8.9193871529894988</v>
      </c>
      <c r="P110" s="220"/>
    </row>
    <row r="111" spans="8:16" x14ac:dyDescent="0.25">
      <c r="H111" s="221"/>
      <c r="I111" s="6"/>
      <c r="J111" s="222"/>
      <c r="K111" s="222"/>
      <c r="L111" s="222"/>
      <c r="M111" s="222"/>
      <c r="N111" s="222"/>
      <c r="O111" s="222"/>
    </row>
    <row r="112" spans="8:16" x14ac:dyDescent="0.25">
      <c r="H112" s="283" t="s">
        <v>133</v>
      </c>
      <c r="I112" s="70"/>
      <c r="J112" s="284">
        <f t="shared" ref="J112:O112" si="22">(J31+J37)*J104/J22</f>
        <v>64.337346404211672</v>
      </c>
      <c r="K112" s="284">
        <f t="shared" si="22"/>
        <v>64.337346404206841</v>
      </c>
      <c r="L112" s="284">
        <f t="shared" si="22"/>
        <v>57.234762986698449</v>
      </c>
      <c r="M112" s="284">
        <f t="shared" si="22"/>
        <v>57.234762986698293</v>
      </c>
      <c r="N112" s="284">
        <f t="shared" si="22"/>
        <v>149.87161908202913</v>
      </c>
      <c r="O112" s="284">
        <f t="shared" si="22"/>
        <v>149.87161908201693</v>
      </c>
      <c r="P112" s="285"/>
    </row>
    <row r="113" spans="1:16" x14ac:dyDescent="0.25">
      <c r="H113" s="286" t="s">
        <v>134</v>
      </c>
      <c r="I113" s="287"/>
      <c r="J113" s="181">
        <f t="shared" ref="J113:O113" si="23">IF(J32&gt;0,(J32+J38)*J104/J23,0)</f>
        <v>149.14827286907337</v>
      </c>
      <c r="K113" s="181">
        <f t="shared" si="23"/>
        <v>149.14827286906228</v>
      </c>
      <c r="L113" s="181">
        <f t="shared" si="23"/>
        <v>81.673489121963783</v>
      </c>
      <c r="M113" s="181">
        <f t="shared" si="23"/>
        <v>81.673489121963215</v>
      </c>
      <c r="N113" s="181">
        <f t="shared" si="23"/>
        <v>71.659980010194531</v>
      </c>
      <c r="O113" s="181">
        <f t="shared" si="23"/>
        <v>71.659980010188519</v>
      </c>
      <c r="P113" s="182"/>
    </row>
    <row r="114" spans="1:16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1:16" x14ac:dyDescent="0.25">
      <c r="H115" s="226" t="s">
        <v>1</v>
      </c>
      <c r="I115" s="227"/>
      <c r="J115" s="228">
        <f>J28</f>
        <v>-1.7058482626453042E-8</v>
      </c>
      <c r="K115" s="228">
        <f t="shared" ref="K115:O115" si="24">K28</f>
        <v>-4.7803041525185108E-9</v>
      </c>
      <c r="L115" s="228">
        <f t="shared" si="24"/>
        <v>-2.7614078135229647E-8</v>
      </c>
      <c r="M115" s="228">
        <f t="shared" si="24"/>
        <v>-1.0222720447927713E-9</v>
      </c>
      <c r="N115" s="228">
        <f t="shared" si="24"/>
        <v>-2.7588612283580005E-8</v>
      </c>
      <c r="O115" s="228">
        <f t="shared" si="24"/>
        <v>-2.92232016363414E-9</v>
      </c>
      <c r="P115" s="229"/>
    </row>
    <row r="116" spans="1:16" ht="18" x14ac:dyDescent="0.25">
      <c r="H116" s="148" t="s">
        <v>89</v>
      </c>
      <c r="I116" s="194" t="s">
        <v>104</v>
      </c>
      <c r="J116" s="195">
        <f>IF(J22&gt;0,  $J$88*(J6*1000)/(J22*1000)/$K$88*1000, 0)</f>
        <v>47.406465771523699</v>
      </c>
      <c r="K116" s="195">
        <f t="shared" ref="K116:O116" si="25">IF(K22&gt;0,  $J$88*(K6*1000)/(K22*1000)/$K$88*1000, 0)</f>
        <v>47.406465771523607</v>
      </c>
      <c r="L116" s="195">
        <f t="shared" si="25"/>
        <v>42.172983253358943</v>
      </c>
      <c r="M116" s="195">
        <f t="shared" si="25"/>
        <v>42.172983253359078</v>
      </c>
      <c r="N116" s="195">
        <f t="shared" si="25"/>
        <v>80.824447887070647</v>
      </c>
      <c r="O116" s="195">
        <f t="shared" si="25"/>
        <v>80.824447887070562</v>
      </c>
      <c r="P116" s="196"/>
    </row>
    <row r="117" spans="1:16" ht="18" x14ac:dyDescent="0.25">
      <c r="H117" s="61" t="s">
        <v>90</v>
      </c>
      <c r="I117" s="230" t="s">
        <v>104</v>
      </c>
      <c r="J117" s="231">
        <f t="shared" ref="J117:O117" si="26">IF(J23&gt;0,$J$89*(J7*1000)/(J23*1000)/$K$89*1000,0)</f>
        <v>19.886436382542826</v>
      </c>
      <c r="K117" s="231">
        <f t="shared" si="26"/>
        <v>19.886436382542808</v>
      </c>
      <c r="L117" s="231">
        <f t="shared" si="26"/>
        <v>10.88979854959574</v>
      </c>
      <c r="M117" s="231">
        <f t="shared" si="26"/>
        <v>10.889798549595726</v>
      </c>
      <c r="N117" s="231">
        <f t="shared" si="26"/>
        <v>5.3864107553194867</v>
      </c>
      <c r="O117" s="231">
        <f t="shared" si="26"/>
        <v>5.3864107553194662</v>
      </c>
      <c r="P117" s="232"/>
    </row>
    <row r="118" spans="1:16" ht="18" x14ac:dyDescent="0.25">
      <c r="H118" s="153" t="s">
        <v>99</v>
      </c>
      <c r="I118" s="197" t="s">
        <v>104</v>
      </c>
      <c r="J118" s="198">
        <f t="shared" ref="J118:O118" si="27">IF(-J26&gt;0,$J$90*(J8*1000)/(-J26*1000)/$K$90*1000,0)</f>
        <v>51.422539340422809</v>
      </c>
      <c r="K118" s="198">
        <f t="shared" si="27"/>
        <v>51.618372403422299</v>
      </c>
      <c r="L118" s="198">
        <f t="shared" si="27"/>
        <v>60.083626557755544</v>
      </c>
      <c r="M118" s="198">
        <f t="shared" si="27"/>
        <v>52.924416624944534</v>
      </c>
      <c r="N118" s="198">
        <f t="shared" si="27"/>
        <v>118.45217747611188</v>
      </c>
      <c r="O118" s="198">
        <f t="shared" si="27"/>
        <v>117.16339824355192</v>
      </c>
      <c r="P118" s="199"/>
    </row>
    <row r="119" spans="1:16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</row>
    <row r="120" spans="1:16" x14ac:dyDescent="0.25">
      <c r="H120" s="7" t="s">
        <v>1</v>
      </c>
      <c r="I120" s="8" t="s">
        <v>2</v>
      </c>
      <c r="J120" s="9">
        <f t="shared" ref="J120:O120" si="28">J28</f>
        <v>-1.7058482626453042E-8</v>
      </c>
      <c r="K120" s="9">
        <f t="shared" si="28"/>
        <v>-4.7803041525185108E-9</v>
      </c>
      <c r="L120" s="9">
        <f t="shared" si="28"/>
        <v>-2.7614078135229647E-8</v>
      </c>
      <c r="M120" s="9">
        <f t="shared" si="28"/>
        <v>-1.0222720447927713E-9</v>
      </c>
      <c r="N120" s="9">
        <f t="shared" si="28"/>
        <v>-2.7588612283580005E-8</v>
      </c>
      <c r="O120" s="9">
        <f t="shared" si="28"/>
        <v>-2.92232016363414E-9</v>
      </c>
      <c r="P120" s="10"/>
    </row>
    <row r="121" spans="1:16" ht="18" x14ac:dyDescent="0.25">
      <c r="H121" s="200" t="s">
        <v>91</v>
      </c>
      <c r="I121" s="201" t="s">
        <v>106</v>
      </c>
      <c r="J121" s="202">
        <f>$M$88/1000*J24*1000</f>
        <v>1935797.5048754741</v>
      </c>
      <c r="K121" s="202">
        <f t="shared" ref="K121:O121" si="29">$M$88/1000*K24*1000</f>
        <v>1935797.5048743018</v>
      </c>
      <c r="L121" s="202">
        <f t="shared" si="29"/>
        <v>1935797.504869204</v>
      </c>
      <c r="M121" s="202">
        <f t="shared" si="29"/>
        <v>1935797.5048751601</v>
      </c>
      <c r="N121" s="202">
        <f t="shared" si="29"/>
        <v>1935797.5048787612</v>
      </c>
      <c r="O121" s="202">
        <f t="shared" si="29"/>
        <v>1935797.5048763365</v>
      </c>
      <c r="P121" s="203"/>
    </row>
    <row r="122" spans="1:16" ht="18" x14ac:dyDescent="0.25">
      <c r="H122" s="204" t="s">
        <v>92</v>
      </c>
      <c r="I122" s="13" t="s">
        <v>106</v>
      </c>
      <c r="J122" s="31">
        <f>J116/1000*J22*1000</f>
        <v>3668127.2847978044</v>
      </c>
      <c r="K122" s="31">
        <f t="shared" ref="K122:O123" si="30">K116/1000*K22*1000</f>
        <v>3029546.2644539326</v>
      </c>
      <c r="L122" s="31">
        <f t="shared" si="30"/>
        <v>2089634.2204080829</v>
      </c>
      <c r="M122" s="31">
        <f t="shared" si="30"/>
        <v>2478018.6609212067</v>
      </c>
      <c r="N122" s="31">
        <f t="shared" si="30"/>
        <v>1959590.3345406912</v>
      </c>
      <c r="O122" s="31">
        <f t="shared" si="30"/>
        <v>1112098.2269435718</v>
      </c>
      <c r="P122" s="62"/>
    </row>
    <row r="123" spans="1:16" ht="18" x14ac:dyDescent="0.25">
      <c r="H123" s="204" t="s">
        <v>93</v>
      </c>
      <c r="I123" s="13" t="s">
        <v>106</v>
      </c>
      <c r="J123" s="31">
        <f>J117/1000*J23*1000</f>
        <v>1299435.0003960542</v>
      </c>
      <c r="K123" s="31">
        <f t="shared" si="30"/>
        <v>1182711.1521853758</v>
      </c>
      <c r="L123" s="31">
        <f t="shared" si="30"/>
        <v>1803312.1773020935</v>
      </c>
      <c r="M123" s="31">
        <f t="shared" si="30"/>
        <v>762529.2359375325</v>
      </c>
      <c r="N123" s="31">
        <f t="shared" si="30"/>
        <v>778705.92614370782</v>
      </c>
      <c r="O123" s="31">
        <f t="shared" si="30"/>
        <v>697628.33490690601</v>
      </c>
      <c r="P123" s="62"/>
    </row>
    <row r="124" spans="1:16" ht="18.75" thickBot="1" x14ac:dyDescent="0.3">
      <c r="H124" s="204" t="s">
        <v>94</v>
      </c>
      <c r="I124" s="13" t="s">
        <v>106</v>
      </c>
      <c r="J124" s="31">
        <f>J118/1000*(-J26)*1000</f>
        <v>1187575.3417365088</v>
      </c>
      <c r="K124" s="31">
        <f t="shared" ref="K124:O124" si="31">K118/1000*(-K26)*1000</f>
        <v>534668.13739074196</v>
      </c>
      <c r="L124" s="31">
        <f t="shared" si="31"/>
        <v>528125</v>
      </c>
      <c r="M124" s="31">
        <f t="shared" si="31"/>
        <v>422935.4893057961</v>
      </c>
      <c r="N124" s="31">
        <f t="shared" si="31"/>
        <v>710713.75091886101</v>
      </c>
      <c r="O124" s="31">
        <f t="shared" si="31"/>
        <v>118317.80759176999</v>
      </c>
      <c r="P124" s="62"/>
    </row>
    <row r="125" spans="1:16" ht="18" x14ac:dyDescent="0.25">
      <c r="A125" s="433" t="s">
        <v>95</v>
      </c>
      <c r="B125" s="434">
        <v>1630310.3764790881</v>
      </c>
      <c r="H125" s="204" t="s">
        <v>95</v>
      </c>
      <c r="I125" s="13" t="s">
        <v>106</v>
      </c>
      <c r="J125" s="31">
        <f>$B$125*10</f>
        <v>16303103.764790881</v>
      </c>
      <c r="K125" s="31">
        <f t="shared" ref="K125:O125" si="32">$B$125*10</f>
        <v>16303103.764790881</v>
      </c>
      <c r="L125" s="31">
        <f t="shared" si="32"/>
        <v>16303103.764790881</v>
      </c>
      <c r="M125" s="31">
        <f t="shared" si="32"/>
        <v>16303103.764790881</v>
      </c>
      <c r="N125" s="31">
        <f t="shared" si="32"/>
        <v>16303103.764790881</v>
      </c>
      <c r="O125" s="31">
        <f t="shared" si="32"/>
        <v>16303103.764790881</v>
      </c>
      <c r="P125" s="62"/>
    </row>
    <row r="126" spans="1:16" ht="18" x14ac:dyDescent="0.25">
      <c r="A126" s="435" t="s">
        <v>96</v>
      </c>
      <c r="B126" s="436">
        <v>5111323.9103365559</v>
      </c>
      <c r="H126" s="240" t="s">
        <v>96</v>
      </c>
      <c r="I126" s="241" t="s">
        <v>106</v>
      </c>
      <c r="J126" s="27">
        <f>$B$126*10</f>
        <v>51113239.103365555</v>
      </c>
      <c r="K126" s="27">
        <f t="shared" ref="K126:O126" si="33">$B$126*10</f>
        <v>51113239.103365555</v>
      </c>
      <c r="L126" s="27">
        <f t="shared" si="33"/>
        <v>51113239.103365555</v>
      </c>
      <c r="M126" s="27">
        <f t="shared" si="33"/>
        <v>51113239.103365555</v>
      </c>
      <c r="N126" s="27">
        <f t="shared" si="33"/>
        <v>51113239.103365555</v>
      </c>
      <c r="O126" s="27">
        <f t="shared" si="33"/>
        <v>51113239.103365555</v>
      </c>
      <c r="P126" s="28"/>
    </row>
    <row r="127" spans="1:16" ht="18.75" thickBot="1" x14ac:dyDescent="0.3">
      <c r="A127" s="437" t="s">
        <v>97</v>
      </c>
      <c r="B127" s="438">
        <v>542342.8500791121</v>
      </c>
      <c r="H127" s="205" t="s">
        <v>97</v>
      </c>
      <c r="I127" s="206" t="s">
        <v>107</v>
      </c>
      <c r="J127" s="207">
        <f>$B$127*10</f>
        <v>5423428.5007911213</v>
      </c>
      <c r="K127" s="207">
        <f t="shared" ref="K127:O127" si="34">$B$127*10</f>
        <v>5423428.5007911213</v>
      </c>
      <c r="L127" s="207">
        <f t="shared" si="34"/>
        <v>5423428.5007911213</v>
      </c>
      <c r="M127" s="207">
        <f t="shared" si="34"/>
        <v>5423428.5007911213</v>
      </c>
      <c r="N127" s="207">
        <f t="shared" si="34"/>
        <v>5423428.5007911213</v>
      </c>
      <c r="O127" s="207">
        <f t="shared" si="34"/>
        <v>5423428.5007911213</v>
      </c>
      <c r="P127" s="208"/>
    </row>
    <row r="128" spans="1:16" ht="18" x14ac:dyDescent="0.25">
      <c r="H128" s="209" t="s">
        <v>98</v>
      </c>
      <c r="I128" s="210" t="s">
        <v>108</v>
      </c>
      <c r="J128" s="211">
        <f t="shared" ref="J128:O128" si="35">J121/J127</f>
        <v>0.35693242836945249</v>
      </c>
      <c r="K128" s="211">
        <f t="shared" si="35"/>
        <v>0.35693242836923639</v>
      </c>
      <c r="L128" s="211">
        <f t="shared" si="35"/>
        <v>0.35693242836829642</v>
      </c>
      <c r="M128" s="211">
        <f t="shared" si="35"/>
        <v>0.35693242836939459</v>
      </c>
      <c r="N128" s="211">
        <f t="shared" si="35"/>
        <v>0.35693242837005862</v>
      </c>
      <c r="O128" s="211">
        <f t="shared" si="35"/>
        <v>0.35693242836961153</v>
      </c>
      <c r="P128" s="212"/>
    </row>
    <row r="129" spans="8:16" ht="18" x14ac:dyDescent="0.25">
      <c r="H129" s="213" t="s">
        <v>89</v>
      </c>
      <c r="I129" s="214" t="s">
        <v>109</v>
      </c>
      <c r="J129" s="215">
        <f t="shared" ref="J129:O129" si="36">J122/J127</f>
        <v>0.67634841765918563</v>
      </c>
      <c r="K129" s="215">
        <f t="shared" si="36"/>
        <v>0.5586035224788175</v>
      </c>
      <c r="L129" s="215">
        <f t="shared" si="36"/>
        <v>0.38529764338245925</v>
      </c>
      <c r="M129" s="215">
        <f t="shared" si="36"/>
        <v>0.45690998978962027</v>
      </c>
      <c r="N129" s="215">
        <f t="shared" si="36"/>
        <v>0.36131947425043837</v>
      </c>
      <c r="O129" s="215">
        <f t="shared" si="36"/>
        <v>0.20505446449258968</v>
      </c>
      <c r="P129" s="216"/>
    </row>
    <row r="130" spans="8:16" ht="18" x14ac:dyDescent="0.25">
      <c r="H130" s="213" t="s">
        <v>90</v>
      </c>
      <c r="I130" s="214" t="s">
        <v>109</v>
      </c>
      <c r="J130" s="215">
        <f t="shared" ref="J130:O130" si="37">J123/J127</f>
        <v>0.23959659470139677</v>
      </c>
      <c r="K130" s="215">
        <f t="shared" si="37"/>
        <v>0.21807444350245467</v>
      </c>
      <c r="L130" s="215">
        <f t="shared" si="37"/>
        <v>0.33250409349713789</v>
      </c>
      <c r="M130" s="215">
        <f t="shared" si="37"/>
        <v>0.14059911287229132</v>
      </c>
      <c r="N130" s="215">
        <f t="shared" si="37"/>
        <v>0.14358185528399925</v>
      </c>
      <c r="O130" s="215">
        <f t="shared" si="37"/>
        <v>0.12863234664292933</v>
      </c>
      <c r="P130" s="216"/>
    </row>
    <row r="131" spans="8:16" ht="18" x14ac:dyDescent="0.25">
      <c r="H131" s="213" t="s">
        <v>99</v>
      </c>
      <c r="I131" s="214" t="s">
        <v>109</v>
      </c>
      <c r="J131" s="215">
        <f>J124/J127</f>
        <v>0.21897132811159506</v>
      </c>
      <c r="K131" s="215">
        <f t="shared" ref="K131:O131" si="38">K124/K127</f>
        <v>9.8584896493564791E-2</v>
      </c>
      <c r="L131" s="215">
        <f t="shared" si="38"/>
        <v>9.737843873537963E-2</v>
      </c>
      <c r="M131" s="215">
        <f t="shared" si="38"/>
        <v>7.7983048775161698E-2</v>
      </c>
      <c r="N131" s="215">
        <f t="shared" si="38"/>
        <v>0.1310451038149002</v>
      </c>
      <c r="O131" s="215">
        <f t="shared" si="38"/>
        <v>2.1816053733263164E-2</v>
      </c>
      <c r="P131" s="216"/>
    </row>
    <row r="132" spans="8:16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39">-K126/K127</f>
        <v>-9.4245252972192066</v>
      </c>
      <c r="L132" s="215">
        <f t="shared" si="39"/>
        <v>-9.4245252972192066</v>
      </c>
      <c r="M132" s="215">
        <f t="shared" si="39"/>
        <v>-9.4245252972192066</v>
      </c>
      <c r="N132" s="215">
        <f t="shared" si="39"/>
        <v>-9.4245252972192066</v>
      </c>
      <c r="O132" s="215">
        <f t="shared" si="39"/>
        <v>-9.4245252972192066</v>
      </c>
      <c r="P132" s="216"/>
    </row>
    <row r="133" spans="8:16" ht="18" x14ac:dyDescent="0.25">
      <c r="H133" s="217" t="s">
        <v>101</v>
      </c>
      <c r="I133" s="218" t="s">
        <v>108</v>
      </c>
      <c r="J133" s="219">
        <f t="shared" ref="J133:O133" si="40">SUM(J128:J132)</f>
        <v>-7.9326765283775771</v>
      </c>
      <c r="K133" s="219">
        <f t="shared" si="40"/>
        <v>-8.1923300063751334</v>
      </c>
      <c r="L133" s="219">
        <f t="shared" si="40"/>
        <v>-8.2524126932359341</v>
      </c>
      <c r="M133" s="219">
        <f t="shared" si="40"/>
        <v>-8.3921007174127382</v>
      </c>
      <c r="N133" s="219">
        <f t="shared" si="40"/>
        <v>-8.4316464354998111</v>
      </c>
      <c r="O133" s="219">
        <f t="shared" si="40"/>
        <v>-8.7120900039808138</v>
      </c>
      <c r="P133" s="220"/>
    </row>
    <row r="134" spans="8:16" x14ac:dyDescent="0.25">
      <c r="J134" s="31"/>
      <c r="K134" s="31"/>
      <c r="L134" s="31"/>
      <c r="M134" s="31"/>
      <c r="N134" s="31"/>
    </row>
    <row r="136" spans="8:16" ht="18" x14ac:dyDescent="0.25">
      <c r="H136" s="364" t="s">
        <v>192</v>
      </c>
      <c r="I136" s="365" t="s">
        <v>190</v>
      </c>
      <c r="J136" s="366">
        <f>SUM(J106:J108)</f>
        <v>0.45829264221154248</v>
      </c>
      <c r="K136" s="366">
        <f t="shared" ref="K136:O136" si="41">SUM(K106:K108)</f>
        <v>0.34698822127601087</v>
      </c>
      <c r="L136" s="366">
        <f t="shared" si="41"/>
        <v>0.36125843789619344</v>
      </c>
      <c r="M136" s="366">
        <f t="shared" si="41"/>
        <v>0.26033739748583151</v>
      </c>
      <c r="N136" s="366">
        <f t="shared" si="41"/>
        <v>0.26134792240285482</v>
      </c>
      <c r="O136" s="366">
        <f t="shared" si="41"/>
        <v>0.14820571586009548</v>
      </c>
      <c r="P136" s="367"/>
    </row>
    <row r="137" spans="8:16" ht="18" x14ac:dyDescent="0.25">
      <c r="H137" s="368" t="s">
        <v>193</v>
      </c>
      <c r="I137" s="369" t="s">
        <v>191</v>
      </c>
      <c r="J137" s="289">
        <f>SUM(J129:J131)</f>
        <v>1.1349163404721774</v>
      </c>
      <c r="K137" s="289">
        <f t="shared" ref="K137:O137" si="42">SUM(K129:K131)</f>
        <v>0.87526286247483698</v>
      </c>
      <c r="L137" s="289">
        <f t="shared" si="42"/>
        <v>0.8151801756149768</v>
      </c>
      <c r="M137" s="289">
        <f t="shared" si="42"/>
        <v>0.67549215143707331</v>
      </c>
      <c r="N137" s="289">
        <f t="shared" si="42"/>
        <v>0.63594643334933776</v>
      </c>
      <c r="O137" s="289">
        <f t="shared" si="42"/>
        <v>0.35550286486878219</v>
      </c>
      <c r="P137" s="370"/>
    </row>
    <row r="138" spans="8:16" ht="18" x14ac:dyDescent="0.25">
      <c r="H138" s="368" t="s">
        <v>189</v>
      </c>
      <c r="I138" s="369" t="s">
        <v>190</v>
      </c>
      <c r="J138" s="289">
        <f>J128</f>
        <v>0.35693242836945249</v>
      </c>
      <c r="K138" s="289">
        <f t="shared" ref="K138:O138" si="43">K128</f>
        <v>0.35693242836923639</v>
      </c>
      <c r="L138" s="289">
        <f t="shared" si="43"/>
        <v>0.35693242836829642</v>
      </c>
      <c r="M138" s="289">
        <f t="shared" si="43"/>
        <v>0.35693242836939459</v>
      </c>
      <c r="N138" s="289">
        <f t="shared" si="43"/>
        <v>0.35693242837005862</v>
      </c>
      <c r="O138" s="289">
        <f t="shared" si="43"/>
        <v>0.35693242836961153</v>
      </c>
      <c r="P138" s="370"/>
    </row>
    <row r="139" spans="8:16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44">K132</f>
        <v>-9.4245252972192066</v>
      </c>
      <c r="L139" s="289">
        <f t="shared" si="44"/>
        <v>-9.4245252972192066</v>
      </c>
      <c r="M139" s="289">
        <f t="shared" si="44"/>
        <v>-9.4245252972192066</v>
      </c>
      <c r="N139" s="289">
        <f t="shared" si="44"/>
        <v>-9.4245252972192066</v>
      </c>
      <c r="O139" s="289">
        <f t="shared" si="44"/>
        <v>-9.4245252972192066</v>
      </c>
      <c r="P139" s="370"/>
    </row>
    <row r="140" spans="8:16" ht="18" x14ac:dyDescent="0.25">
      <c r="H140" s="371" t="s">
        <v>194</v>
      </c>
      <c r="I140" s="369" t="s">
        <v>191</v>
      </c>
      <c r="J140" s="289">
        <f>J136+J138+J139</f>
        <v>-8.6093002266382115</v>
      </c>
      <c r="K140" s="289">
        <f t="shared" ref="K140:O140" si="45">K136+K138+K139</f>
        <v>-8.7206046475739587</v>
      </c>
      <c r="L140" s="289">
        <f t="shared" si="45"/>
        <v>-8.7063344309547173</v>
      </c>
      <c r="M140" s="289">
        <f t="shared" si="45"/>
        <v>-8.8072554713639803</v>
      </c>
      <c r="N140" s="289">
        <f t="shared" si="45"/>
        <v>-8.8062449464462933</v>
      </c>
      <c r="O140" s="289">
        <f t="shared" si="45"/>
        <v>-8.9193871529894988</v>
      </c>
      <c r="P140" s="370"/>
    </row>
    <row r="141" spans="8:16" ht="18" x14ac:dyDescent="0.25">
      <c r="H141" s="372" t="s">
        <v>195</v>
      </c>
      <c r="I141" s="373" t="s">
        <v>191</v>
      </c>
      <c r="J141" s="374">
        <f>J137+J138+J139</f>
        <v>-7.9326765283775771</v>
      </c>
      <c r="K141" s="374">
        <f t="shared" ref="K141:O141" si="46">K137+K138+K139</f>
        <v>-8.1923300063751334</v>
      </c>
      <c r="L141" s="374">
        <f t="shared" si="46"/>
        <v>-8.2524126932359341</v>
      </c>
      <c r="M141" s="374">
        <f t="shared" si="46"/>
        <v>-8.3921007174127382</v>
      </c>
      <c r="N141" s="374">
        <f t="shared" si="46"/>
        <v>-8.4316464354998111</v>
      </c>
      <c r="O141" s="374">
        <f t="shared" si="46"/>
        <v>-8.712090003980812</v>
      </c>
      <c r="P141" s="375"/>
    </row>
    <row r="142" spans="8:16" x14ac:dyDescent="0.25">
      <c r="H142" s="376" t="s">
        <v>196</v>
      </c>
      <c r="I142" s="377"/>
      <c r="J142" s="378">
        <f>J140-J110</f>
        <v>0</v>
      </c>
      <c r="K142" s="378">
        <f t="shared" ref="K142:O142" si="47">K140-K110</f>
        <v>0</v>
      </c>
      <c r="L142" s="378">
        <f t="shared" si="47"/>
        <v>0</v>
      </c>
      <c r="M142" s="378">
        <f t="shared" si="47"/>
        <v>0</v>
      </c>
      <c r="N142" s="378">
        <f t="shared" si="47"/>
        <v>0</v>
      </c>
      <c r="O142" s="378">
        <f t="shared" si="47"/>
        <v>0</v>
      </c>
      <c r="P142" s="379"/>
    </row>
    <row r="143" spans="8:16" x14ac:dyDescent="0.25">
      <c r="H143" s="380" t="s">
        <v>197</v>
      </c>
      <c r="I143" s="381"/>
      <c r="J143" s="382">
        <f>J141-J133</f>
        <v>0</v>
      </c>
      <c r="K143" s="382">
        <f t="shared" ref="K143:O143" si="48">K141-K133</f>
        <v>0</v>
      </c>
      <c r="L143" s="382">
        <f t="shared" si="48"/>
        <v>0</v>
      </c>
      <c r="M143" s="382">
        <f t="shared" si="48"/>
        <v>0</v>
      </c>
      <c r="N143" s="382">
        <f t="shared" si="48"/>
        <v>0</v>
      </c>
      <c r="O143" s="382">
        <f t="shared" si="48"/>
        <v>0</v>
      </c>
      <c r="P143" s="383"/>
    </row>
    <row r="144" spans="8:16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760F8-E864-4C4B-A4C4-F9A6A02C45E4}">
  <sheetPr codeName="Foglio16"/>
  <dimension ref="A1:AA151"/>
  <sheetViews>
    <sheetView topLeftCell="A62" zoomScale="55" zoomScaleNormal="55" workbookViewId="0">
      <selection activeCell="AH122" sqref="AH122"/>
    </sheetView>
  </sheetViews>
  <sheetFormatPr defaultRowHeight="15" x14ac:dyDescent="0.25"/>
  <cols>
    <col min="1" max="1" width="15.5703125" bestFit="1" customWidth="1"/>
    <col min="2" max="2" width="13.42578125" bestFit="1" customWidth="1"/>
    <col min="3" max="5" width="10.42578125" bestFit="1" customWidth="1"/>
    <col min="6" max="6" width="5.5703125" bestFit="1" customWidth="1"/>
    <col min="8" max="8" width="35.28515625" bestFit="1" customWidth="1"/>
    <col min="9" max="9" width="10.5703125" customWidth="1"/>
    <col min="10" max="12" width="10.7109375" bestFit="1" customWidth="1"/>
    <col min="13" max="15" width="11.42578125" bestFit="1" customWidth="1"/>
    <col min="16" max="16" width="11.7109375" bestFit="1" customWidth="1"/>
    <col min="18" max="18" width="23.7109375" customWidth="1"/>
    <col min="20" max="20" width="22.42578125" bestFit="1" customWidth="1"/>
  </cols>
  <sheetData>
    <row r="1" spans="1:26" x14ac:dyDescent="0.25">
      <c r="L1" t="s">
        <v>130</v>
      </c>
      <c r="M1" t="s">
        <v>130</v>
      </c>
      <c r="N1" t="s">
        <v>135</v>
      </c>
      <c r="O1" t="s">
        <v>135</v>
      </c>
    </row>
    <row r="2" spans="1:26" x14ac:dyDescent="0.25">
      <c r="J2" t="s">
        <v>148</v>
      </c>
      <c r="K2" t="s">
        <v>148</v>
      </c>
      <c r="L2" t="s">
        <v>148</v>
      </c>
      <c r="M2" t="s">
        <v>148</v>
      </c>
      <c r="N2" t="s">
        <v>148</v>
      </c>
      <c r="O2" t="s">
        <v>148</v>
      </c>
    </row>
    <row r="3" spans="1:26" x14ac:dyDescent="0.25">
      <c r="J3" t="s">
        <v>141</v>
      </c>
      <c r="K3" t="s">
        <v>146</v>
      </c>
      <c r="L3" t="s">
        <v>141</v>
      </c>
      <c r="M3" t="s">
        <v>146</v>
      </c>
      <c r="N3" t="s">
        <v>141</v>
      </c>
      <c r="O3" t="s">
        <v>146</v>
      </c>
      <c r="U3" s="1"/>
      <c r="V3" s="1"/>
      <c r="W3" s="2"/>
    </row>
    <row r="4" spans="1:26" x14ac:dyDescent="0.25">
      <c r="A4" s="225" t="s">
        <v>102</v>
      </c>
      <c r="B4" s="225" t="s">
        <v>167</v>
      </c>
      <c r="C4" s="225"/>
      <c r="H4" s="3" t="s">
        <v>0</v>
      </c>
      <c r="I4" s="4"/>
      <c r="J4" s="4"/>
      <c r="K4" s="4"/>
      <c r="L4" s="4"/>
      <c r="M4" s="4"/>
      <c r="N4" s="4"/>
      <c r="O4" s="4"/>
      <c r="P4" s="5"/>
      <c r="U4" s="6"/>
      <c r="V4" s="6"/>
    </row>
    <row r="5" spans="1:26" ht="15.75" thickBot="1" x14ac:dyDescent="0.3">
      <c r="H5" s="7" t="s">
        <v>1</v>
      </c>
      <c r="I5" s="8" t="s">
        <v>2</v>
      </c>
      <c r="J5" s="9">
        <v>0.94999999999984763</v>
      </c>
      <c r="K5" s="9">
        <v>0.95000000000002349</v>
      </c>
      <c r="L5" s="9">
        <v>0.95000000000023443</v>
      </c>
      <c r="M5" s="9">
        <v>0.94999999999994833</v>
      </c>
      <c r="N5" s="9">
        <v>0.94999999999983054</v>
      </c>
      <c r="O5" s="9">
        <v>0.9499999999999954</v>
      </c>
      <c r="P5" s="10"/>
      <c r="R5" s="11" t="str">
        <f>H5</f>
        <v>Renewable Energy Share</v>
      </c>
      <c r="S5" s="296"/>
      <c r="T5" s="296">
        <f t="shared" ref="T5:Y7" si="0">J5</f>
        <v>0.94999999999984763</v>
      </c>
      <c r="U5" s="296">
        <f t="shared" si="0"/>
        <v>0.95000000000002349</v>
      </c>
      <c r="V5" s="296">
        <f t="shared" si="0"/>
        <v>0.95000000000023443</v>
      </c>
      <c r="W5" s="296">
        <f t="shared" si="0"/>
        <v>0.94999999999994833</v>
      </c>
      <c r="X5" s="296">
        <f t="shared" si="0"/>
        <v>0.94999999999983054</v>
      </c>
      <c r="Y5" s="296">
        <f t="shared" si="0"/>
        <v>0.9499999999999954</v>
      </c>
      <c r="Z5" s="296">
        <f t="shared" ref="Z5:Z13" si="1">Q5</f>
        <v>0</v>
      </c>
    </row>
    <row r="6" spans="1:26" ht="15.75" thickTop="1" x14ac:dyDescent="0.25">
      <c r="C6" s="13"/>
      <c r="H6" s="14" t="s">
        <v>3</v>
      </c>
      <c r="I6" s="15" t="s">
        <v>4</v>
      </c>
      <c r="J6" s="16">
        <v>73.948776903005523</v>
      </c>
      <c r="K6" s="16">
        <v>61.039604701263954</v>
      </c>
      <c r="L6" s="16">
        <v>40.649627736880845</v>
      </c>
      <c r="M6" s="16">
        <v>44.554392681201662</v>
      </c>
      <c r="N6" s="16">
        <v>61.664923008606536</v>
      </c>
      <c r="O6" s="16">
        <v>45.777816465056816</v>
      </c>
      <c r="P6" s="17"/>
      <c r="R6" s="18" t="str">
        <f>H6</f>
        <v>PV capacity</v>
      </c>
      <c r="S6" s="19" t="str">
        <f t="shared" ref="S6:Y13" si="2">I6</f>
        <v>MW</v>
      </c>
      <c r="T6" s="19">
        <f>J6</f>
        <v>73.948776903005523</v>
      </c>
      <c r="U6" s="19">
        <f>K6</f>
        <v>61.039604701263954</v>
      </c>
      <c r="V6" s="19">
        <f t="shared" si="0"/>
        <v>40.649627736880845</v>
      </c>
      <c r="W6" s="19">
        <f t="shared" si="0"/>
        <v>44.554392681201662</v>
      </c>
      <c r="X6" s="19">
        <f t="shared" si="0"/>
        <v>61.664923008606536</v>
      </c>
      <c r="Y6" s="19">
        <f>O6</f>
        <v>45.777816465056816</v>
      </c>
      <c r="Z6" s="19">
        <f t="shared" si="1"/>
        <v>0</v>
      </c>
    </row>
    <row r="7" spans="1:26" x14ac:dyDescent="0.25">
      <c r="A7" s="13"/>
      <c r="B7" s="20"/>
      <c r="C7" s="13"/>
      <c r="H7" s="21" t="s">
        <v>5</v>
      </c>
      <c r="I7" s="6" t="s">
        <v>4</v>
      </c>
      <c r="J7" s="22">
        <v>27.100882962882999</v>
      </c>
      <c r="K7" s="22">
        <v>27.44357823480421</v>
      </c>
      <c r="L7" s="22">
        <v>65.634460133458035</v>
      </c>
      <c r="M7" s="22">
        <v>23.498839609588671</v>
      </c>
      <c r="N7" s="22">
        <v>15.89454737946239</v>
      </c>
      <c r="O7" s="22">
        <v>15.513009192271349</v>
      </c>
      <c r="P7" s="23"/>
      <c r="R7" s="24" t="str">
        <f t="shared" ref="R7:R13" si="3">H7</f>
        <v>Wind capacity</v>
      </c>
      <c r="S7" s="22" t="str">
        <f t="shared" si="2"/>
        <v>MW</v>
      </c>
      <c r="T7" s="22">
        <f>J7</f>
        <v>27.100882962882999</v>
      </c>
      <c r="U7" s="22">
        <f t="shared" si="0"/>
        <v>27.44357823480421</v>
      </c>
      <c r="V7" s="22">
        <f t="shared" si="0"/>
        <v>65.634460133458035</v>
      </c>
      <c r="W7" s="22">
        <f t="shared" si="0"/>
        <v>23.498839609588671</v>
      </c>
      <c r="X7" s="22">
        <f t="shared" si="0"/>
        <v>15.89454737946239</v>
      </c>
      <c r="Y7" s="22">
        <f t="shared" si="0"/>
        <v>15.513009192271349</v>
      </c>
      <c r="Z7" s="22">
        <f t="shared" si="1"/>
        <v>0</v>
      </c>
    </row>
    <row r="8" spans="1:26" x14ac:dyDescent="0.25">
      <c r="A8" s="13"/>
      <c r="B8" s="20"/>
      <c r="C8" s="13"/>
      <c r="H8" s="21" t="s">
        <v>6</v>
      </c>
      <c r="I8" s="6" t="s">
        <v>7</v>
      </c>
      <c r="J8" s="22">
        <v>189.40105809047319</v>
      </c>
      <c r="K8" s="22">
        <v>119.27471881483942</v>
      </c>
      <c r="L8" s="22">
        <v>62.5</v>
      </c>
      <c r="M8" s="22">
        <v>62.5</v>
      </c>
      <c r="N8" s="22">
        <v>145.26077068196227</v>
      </c>
      <c r="O8" s="22">
        <v>67.819260496364024</v>
      </c>
      <c r="P8" s="23"/>
      <c r="R8" s="24" t="s">
        <v>6</v>
      </c>
      <c r="S8" s="22" t="str">
        <f t="shared" si="2"/>
        <v>MWh</v>
      </c>
      <c r="T8" s="22">
        <f t="shared" si="2"/>
        <v>189.40105809047319</v>
      </c>
      <c r="U8" s="22">
        <f t="shared" si="2"/>
        <v>119.27471881483942</v>
      </c>
      <c r="V8" s="22">
        <f t="shared" si="2"/>
        <v>62.5</v>
      </c>
      <c r="W8" s="22">
        <f t="shared" si="2"/>
        <v>62.5</v>
      </c>
      <c r="X8" s="22">
        <f t="shared" si="2"/>
        <v>145.26077068196227</v>
      </c>
      <c r="Y8" s="22">
        <f t="shared" si="2"/>
        <v>67.819260496364024</v>
      </c>
      <c r="Z8" s="22">
        <f t="shared" si="1"/>
        <v>0</v>
      </c>
    </row>
    <row r="9" spans="1:26" ht="15.75" thickBot="1" x14ac:dyDescent="0.3">
      <c r="A9" s="13"/>
      <c r="B9" s="20"/>
      <c r="C9" s="13"/>
      <c r="H9" s="25" t="s">
        <v>8</v>
      </c>
      <c r="I9" s="26" t="s">
        <v>9</v>
      </c>
      <c r="J9" s="27">
        <v>180</v>
      </c>
      <c r="K9" s="27">
        <v>197</v>
      </c>
      <c r="L9" s="27">
        <v>146</v>
      </c>
      <c r="M9" s="27">
        <v>195</v>
      </c>
      <c r="N9" s="27">
        <v>95</v>
      </c>
      <c r="O9" s="27">
        <v>86</v>
      </c>
      <c r="P9" s="28"/>
      <c r="R9" s="11" t="str">
        <f t="shared" si="3"/>
        <v>BESS equivalent cycles</v>
      </c>
      <c r="S9" s="29" t="str">
        <f t="shared" si="2"/>
        <v>-</v>
      </c>
      <c r="T9" s="29" t="s">
        <v>9</v>
      </c>
      <c r="U9" s="29" t="s">
        <v>9</v>
      </c>
      <c r="V9" s="29" t="s">
        <v>9</v>
      </c>
      <c r="W9" s="29">
        <f t="shared" si="2"/>
        <v>195</v>
      </c>
      <c r="X9" s="29">
        <f t="shared" si="2"/>
        <v>95</v>
      </c>
      <c r="Y9" s="29">
        <f t="shared" si="2"/>
        <v>86</v>
      </c>
      <c r="Z9" s="29">
        <f t="shared" si="1"/>
        <v>0</v>
      </c>
    </row>
    <row r="10" spans="1:26" ht="15.75" thickTop="1" x14ac:dyDescent="0.25">
      <c r="A10" s="13"/>
      <c r="B10" s="20"/>
      <c r="C10" s="13"/>
      <c r="H10" s="14" t="s">
        <v>10</v>
      </c>
      <c r="I10" s="15" t="s">
        <v>18</v>
      </c>
      <c r="J10" s="16">
        <v>1.6638142442161552E-2</v>
      </c>
      <c r="K10" s="16">
        <v>12043.899535045537</v>
      </c>
      <c r="L10" s="16">
        <v>0</v>
      </c>
      <c r="M10" s="16">
        <v>12229.839216736013</v>
      </c>
      <c r="N10" s="16">
        <v>2.4613690880300965E-2</v>
      </c>
      <c r="O10" s="16">
        <v>15074.28816524889</v>
      </c>
      <c r="P10" s="17"/>
      <c r="R10" s="18" t="str">
        <f t="shared" si="3"/>
        <v>Biogas storage size</v>
      </c>
      <c r="S10" s="19" t="str">
        <f>I10</f>
        <v>m3</v>
      </c>
      <c r="T10" s="19">
        <f t="shared" ref="T10:V13" si="4">J10</f>
        <v>1.6638142442161552E-2</v>
      </c>
      <c r="U10" s="30">
        <f t="shared" si="4"/>
        <v>12043.899535045537</v>
      </c>
      <c r="V10" s="30">
        <f t="shared" si="4"/>
        <v>0</v>
      </c>
      <c r="W10" s="30">
        <f t="shared" si="2"/>
        <v>12229.839216736013</v>
      </c>
      <c r="X10" s="30">
        <f t="shared" si="2"/>
        <v>2.4613690880300965E-2</v>
      </c>
      <c r="Y10" s="30">
        <f t="shared" si="2"/>
        <v>15074.28816524889</v>
      </c>
      <c r="Z10" s="30">
        <f t="shared" si="1"/>
        <v>0</v>
      </c>
    </row>
    <row r="11" spans="1:26" x14ac:dyDescent="0.25">
      <c r="H11" s="21" t="s">
        <v>11</v>
      </c>
      <c r="I11" s="6" t="s">
        <v>12</v>
      </c>
      <c r="J11" s="22">
        <v>3.361811913094687E-5</v>
      </c>
      <c r="K11" s="22">
        <v>24.335243599327821</v>
      </c>
      <c r="L11" s="22">
        <v>0</v>
      </c>
      <c r="M11" s="22">
        <v>24.710943133814357</v>
      </c>
      <c r="N11" s="22">
        <v>4.9733075380424362E-5</v>
      </c>
      <c r="O11" s="22">
        <v>30.458280851676765</v>
      </c>
      <c r="P11" s="23"/>
      <c r="R11" s="24" t="str">
        <f t="shared" si="3"/>
        <v>Biogas storage hours</v>
      </c>
      <c r="S11" s="22" t="str">
        <f t="shared" si="2"/>
        <v>h</v>
      </c>
      <c r="T11" s="22">
        <f t="shared" si="4"/>
        <v>3.361811913094687E-5</v>
      </c>
      <c r="U11" s="22">
        <f t="shared" si="4"/>
        <v>24.335243599327821</v>
      </c>
      <c r="V11" s="22">
        <f t="shared" si="4"/>
        <v>0</v>
      </c>
      <c r="W11" s="22">
        <f t="shared" si="2"/>
        <v>24.710943133814357</v>
      </c>
      <c r="X11" s="22">
        <f t="shared" si="2"/>
        <v>4.9733075380424362E-5</v>
      </c>
      <c r="Y11" s="22">
        <f t="shared" si="2"/>
        <v>30.458280851676765</v>
      </c>
      <c r="Z11" s="22">
        <f t="shared" si="1"/>
        <v>0</v>
      </c>
    </row>
    <row r="12" spans="1:26" x14ac:dyDescent="0.25">
      <c r="H12" s="21" t="s">
        <v>13</v>
      </c>
      <c r="I12" s="6" t="s">
        <v>18</v>
      </c>
      <c r="J12" s="22">
        <v>5.1417386803223053E-3</v>
      </c>
      <c r="K12" s="22">
        <v>12507.136310433583</v>
      </c>
      <c r="L12" s="22">
        <v>0</v>
      </c>
      <c r="M12" s="22">
        <v>8627.8274636100978</v>
      </c>
      <c r="N12" s="22">
        <v>2.2737367544323206E-13</v>
      </c>
      <c r="O12" s="22">
        <v>16692.132034538561</v>
      </c>
      <c r="P12" s="23"/>
      <c r="R12" s="24" t="str">
        <f t="shared" si="3"/>
        <v>Syngas storage size</v>
      </c>
      <c r="S12" s="22" t="str">
        <f t="shared" si="2"/>
        <v>m3</v>
      </c>
      <c r="T12" s="22">
        <f t="shared" si="4"/>
        <v>5.1417386803223053E-3</v>
      </c>
      <c r="U12" s="31">
        <f t="shared" si="4"/>
        <v>12507.136310433583</v>
      </c>
      <c r="V12" s="31">
        <f>L12</f>
        <v>0</v>
      </c>
      <c r="W12" s="31">
        <f t="shared" si="2"/>
        <v>8627.8274636100978</v>
      </c>
      <c r="X12" s="31">
        <f t="shared" si="2"/>
        <v>2.2737367544323206E-13</v>
      </c>
      <c r="Y12" s="31">
        <f t="shared" si="2"/>
        <v>16692.132034538561</v>
      </c>
      <c r="Z12" s="31">
        <f t="shared" si="1"/>
        <v>0</v>
      </c>
    </row>
    <row r="13" spans="1:26" x14ac:dyDescent="0.25">
      <c r="H13" s="32" t="s">
        <v>14</v>
      </c>
      <c r="I13" s="26" t="s">
        <v>12</v>
      </c>
      <c r="J13" s="33">
        <v>2.5464519006624832E-6</v>
      </c>
      <c r="K13" s="33">
        <v>6.1941734128642922</v>
      </c>
      <c r="L13" s="33">
        <v>0</v>
      </c>
      <c r="M13" s="33">
        <v>4.2729413160142773</v>
      </c>
      <c r="N13" s="33">
        <v>1.1260707009651822E-16</v>
      </c>
      <c r="O13" s="33">
        <v>8.2667972816532576</v>
      </c>
      <c r="P13" s="34"/>
      <c r="R13" s="24" t="str">
        <f t="shared" si="3"/>
        <v>Syngas storage hours</v>
      </c>
      <c r="S13" s="22" t="str">
        <f t="shared" si="2"/>
        <v>h</v>
      </c>
      <c r="T13" s="22">
        <f t="shared" si="4"/>
        <v>2.5464519006624832E-6</v>
      </c>
      <c r="U13" s="22">
        <f t="shared" si="4"/>
        <v>6.1941734128642922</v>
      </c>
      <c r="V13" s="22">
        <f t="shared" si="4"/>
        <v>0</v>
      </c>
      <c r="W13" s="22">
        <f t="shared" si="2"/>
        <v>4.2729413160142773</v>
      </c>
      <c r="X13" s="22">
        <f t="shared" si="2"/>
        <v>1.1260707009651822E-16</v>
      </c>
      <c r="Y13" s="22">
        <f t="shared" si="2"/>
        <v>8.2667972816532576</v>
      </c>
      <c r="Z13" s="22">
        <f t="shared" si="1"/>
        <v>0</v>
      </c>
    </row>
    <row r="14" spans="1:26" x14ac:dyDescent="0.25">
      <c r="H14" s="25" t="s">
        <v>15</v>
      </c>
      <c r="I14" s="26" t="s">
        <v>16</v>
      </c>
      <c r="J14" s="35">
        <v>3.1393921748551192</v>
      </c>
      <c r="K14" s="35">
        <v>2.9468957381150886</v>
      </c>
      <c r="L14" s="35">
        <v>3.2345638378279991</v>
      </c>
      <c r="M14" s="35">
        <v>2.5273023149701648</v>
      </c>
      <c r="N14" s="35">
        <v>3.1366350784551122</v>
      </c>
      <c r="O14" s="35">
        <v>2.889681306228765</v>
      </c>
      <c r="P14" s="36"/>
      <c r="R14" s="37" t="s">
        <v>17</v>
      </c>
      <c r="S14" s="6" t="s">
        <v>18</v>
      </c>
      <c r="T14" s="22">
        <v>0</v>
      </c>
      <c r="U14" s="31">
        <v>4317.9414508832688</v>
      </c>
      <c r="V14" s="31">
        <v>0</v>
      </c>
      <c r="W14" s="31">
        <v>4531.5223636669261</v>
      </c>
      <c r="X14" s="31">
        <v>0</v>
      </c>
      <c r="Y14" s="31">
        <v>5259.6030617287488</v>
      </c>
      <c r="Z14" s="31">
        <v>5259.6030617287488</v>
      </c>
    </row>
    <row r="15" spans="1:26" ht="15.75" thickBot="1" x14ac:dyDescent="0.3">
      <c r="H15" s="14" t="s">
        <v>19</v>
      </c>
      <c r="I15" s="15" t="s">
        <v>2</v>
      </c>
      <c r="J15" s="38">
        <v>1.0000002000000001</v>
      </c>
      <c r="K15" s="38">
        <v>1.4176253029304517</v>
      </c>
      <c r="L15" s="38">
        <v>1</v>
      </c>
      <c r="M15" s="38">
        <v>1.4696852073278799</v>
      </c>
      <c r="N15" s="38">
        <v>1.0000001458163064</v>
      </c>
      <c r="O15" s="38">
        <v>1.3458468362867402</v>
      </c>
      <c r="P15" s="39"/>
      <c r="R15" s="40" t="s">
        <v>20</v>
      </c>
      <c r="S15" s="41" t="s">
        <v>12</v>
      </c>
      <c r="T15" s="41">
        <v>0</v>
      </c>
      <c r="U15" s="41">
        <v>15.144882468007895</v>
      </c>
      <c r="V15" s="41">
        <v>0</v>
      </c>
      <c r="W15" s="41">
        <v>15.894002820451918</v>
      </c>
      <c r="X15" s="41">
        <v>0</v>
      </c>
      <c r="Y15" s="41">
        <v>18.447695760664402</v>
      </c>
      <c r="Z15" s="41">
        <v>18.447695760664402</v>
      </c>
    </row>
    <row r="16" spans="1:26" ht="15.75" thickTop="1" x14ac:dyDescent="0.25">
      <c r="H16" s="25" t="s">
        <v>21</v>
      </c>
      <c r="I16" s="26" t="s">
        <v>2</v>
      </c>
      <c r="J16" s="42">
        <v>1.0000001091808621</v>
      </c>
      <c r="K16" s="42">
        <v>1.1488620382474259</v>
      </c>
      <c r="L16" s="42">
        <v>1</v>
      </c>
      <c r="M16" s="42">
        <v>1.220173384344891</v>
      </c>
      <c r="N16" s="42">
        <v>1.0000001459365415</v>
      </c>
      <c r="O16" s="42">
        <v>1.1348988888404135</v>
      </c>
      <c r="P16" s="43"/>
      <c r="R16" s="37" t="str">
        <f>H15</f>
        <v>Syngas generation size</v>
      </c>
      <c r="S16" s="6" t="s">
        <v>2</v>
      </c>
      <c r="T16" s="297">
        <f>J15</f>
        <v>1.0000002000000001</v>
      </c>
      <c r="U16" s="297">
        <f t="shared" ref="U16:Z17" si="5">K15</f>
        <v>1.4176253029304517</v>
      </c>
      <c r="V16" s="297">
        <f t="shared" si="5"/>
        <v>1</v>
      </c>
      <c r="W16" s="297">
        <f t="shared" si="5"/>
        <v>1.4696852073278799</v>
      </c>
      <c r="X16" s="297">
        <f t="shared" si="5"/>
        <v>1.0000001458163064</v>
      </c>
      <c r="Y16" s="297">
        <f t="shared" si="5"/>
        <v>1.3458468362867402</v>
      </c>
      <c r="Z16" s="297">
        <f t="shared" si="5"/>
        <v>0</v>
      </c>
    </row>
    <row r="17" spans="2:26" ht="15.75" thickBot="1" x14ac:dyDescent="0.3">
      <c r="R17" s="40" t="str">
        <f>H16</f>
        <v>Gas Separation size</v>
      </c>
      <c r="S17" s="45" t="s">
        <v>2</v>
      </c>
      <c r="T17" s="298">
        <f>J16</f>
        <v>1.0000001091808621</v>
      </c>
      <c r="U17" s="298">
        <f t="shared" si="5"/>
        <v>1.1488620382474259</v>
      </c>
      <c r="V17" s="298">
        <f t="shared" si="5"/>
        <v>1</v>
      </c>
      <c r="W17" s="298">
        <f t="shared" si="5"/>
        <v>1.220173384344891</v>
      </c>
      <c r="X17" s="298">
        <f t="shared" si="5"/>
        <v>1.0000001459365415</v>
      </c>
      <c r="Y17" s="298">
        <f t="shared" si="5"/>
        <v>1.1348988888404135</v>
      </c>
      <c r="Z17" s="298">
        <f t="shared" si="5"/>
        <v>0</v>
      </c>
    </row>
    <row r="18" spans="2:26" ht="15.75" thickTop="1" x14ac:dyDescent="0.25">
      <c r="H18" s="47" t="s">
        <v>22</v>
      </c>
      <c r="I18" s="48"/>
      <c r="J18" s="48"/>
      <c r="K18" s="48"/>
      <c r="L18" s="48"/>
      <c r="M18" s="48"/>
      <c r="N18" s="48"/>
      <c r="O18" s="48"/>
      <c r="P18" s="49"/>
    </row>
    <row r="19" spans="2:26" x14ac:dyDescent="0.25">
      <c r="H19" s="50" t="s">
        <v>1</v>
      </c>
      <c r="I19" s="8" t="s">
        <v>2</v>
      </c>
      <c r="J19" s="9">
        <v>0.94999999999984763</v>
      </c>
      <c r="K19" s="9">
        <v>0.95000000000002349</v>
      </c>
      <c r="L19" s="9">
        <v>0.95000000000023443</v>
      </c>
      <c r="M19" s="9">
        <v>0.94999999999994833</v>
      </c>
      <c r="N19" s="9">
        <v>0.94999999999983054</v>
      </c>
      <c r="O19" s="9">
        <v>0.9499999999999954</v>
      </c>
      <c r="P19" s="10"/>
    </row>
    <row r="20" spans="2:26" x14ac:dyDescent="0.25">
      <c r="H20" s="51" t="s">
        <v>23</v>
      </c>
      <c r="I20" s="52" t="s">
        <v>24</v>
      </c>
      <c r="J20" s="53">
        <v>-96789.875243785442</v>
      </c>
      <c r="K20" s="53">
        <v>-96789.875243783288</v>
      </c>
      <c r="L20" s="53">
        <v>-96789.875243774164</v>
      </c>
      <c r="M20" s="53">
        <v>-96789.875243792892</v>
      </c>
      <c r="N20" s="53">
        <v>-96789.875243784962</v>
      </c>
      <c r="O20" s="53">
        <v>-96789.875243789458</v>
      </c>
      <c r="P20" s="54"/>
    </row>
    <row r="21" spans="2:26" x14ac:dyDescent="0.25">
      <c r="B21" s="55"/>
      <c r="H21" s="56" t="s">
        <v>25</v>
      </c>
      <c r="I21" s="57" t="s">
        <v>24</v>
      </c>
      <c r="J21" s="58">
        <v>-17025.570878068273</v>
      </c>
      <c r="K21" s="58">
        <v>-17025.570878067778</v>
      </c>
      <c r="L21" s="58">
        <v>-17025.57087806669</v>
      </c>
      <c r="M21" s="58">
        <v>-17025.570878068243</v>
      </c>
      <c r="N21" s="58">
        <v>-17025.570878067047</v>
      </c>
      <c r="O21" s="58">
        <v>-17025.570878065875</v>
      </c>
      <c r="P21" s="59"/>
      <c r="Q21" s="60"/>
    </row>
    <row r="22" spans="2:26" x14ac:dyDescent="0.25">
      <c r="H22" s="61" t="s">
        <v>26</v>
      </c>
      <c r="I22" s="6" t="s">
        <v>24</v>
      </c>
      <c r="J22" s="31">
        <v>109192.15973952159</v>
      </c>
      <c r="K22" s="31">
        <v>90130.581547276102</v>
      </c>
      <c r="L22" s="31">
        <v>67471.48819155505</v>
      </c>
      <c r="M22" s="31">
        <v>73952.735782231073</v>
      </c>
      <c r="N22" s="31">
        <v>53406.422480405919</v>
      </c>
      <c r="O22" s="31">
        <v>39647.003305624596</v>
      </c>
      <c r="P22" s="62"/>
      <c r="Q22" s="60"/>
    </row>
    <row r="23" spans="2:26" x14ac:dyDescent="0.25">
      <c r="H23" s="61" t="s">
        <v>27</v>
      </c>
      <c r="I23" s="6" t="s">
        <v>24</v>
      </c>
      <c r="J23" s="31">
        <v>35432.339081802675</v>
      </c>
      <c r="K23" s="31">
        <v>35880.387032604842</v>
      </c>
      <c r="L23" s="31">
        <v>156705.92579816509</v>
      </c>
      <c r="M23" s="31">
        <v>56104.787160823056</v>
      </c>
      <c r="N23" s="31">
        <v>76722.376112497062</v>
      </c>
      <c r="O23" s="31">
        <v>74880.705783666446</v>
      </c>
      <c r="P23" s="62"/>
      <c r="Q23" s="60"/>
    </row>
    <row r="24" spans="2:26" x14ac:dyDescent="0.25">
      <c r="H24" s="61" t="s">
        <v>28</v>
      </c>
      <c r="I24" s="6" t="s">
        <v>24</v>
      </c>
      <c r="J24" s="31">
        <v>4839.4937621963663</v>
      </c>
      <c r="K24" s="31">
        <v>4839.4937621891768</v>
      </c>
      <c r="L24" s="31">
        <v>4839.4937621868012</v>
      </c>
      <c r="M24" s="31">
        <v>4839.4937621912622</v>
      </c>
      <c r="N24" s="31">
        <v>4839.4937621787476</v>
      </c>
      <c r="O24" s="31">
        <v>4839.4937621869512</v>
      </c>
      <c r="P24" s="62"/>
      <c r="Q24" s="60"/>
    </row>
    <row r="25" spans="2:26" x14ac:dyDescent="0.25">
      <c r="H25" s="61" t="s">
        <v>29</v>
      </c>
      <c r="I25" s="6" t="s">
        <v>24</v>
      </c>
      <c r="J25" s="31">
        <v>-50662.48654764003</v>
      </c>
      <c r="K25" s="31">
        <v>-32674.962190315444</v>
      </c>
      <c r="L25" s="31">
        <v>-131690.21383787302</v>
      </c>
      <c r="M25" s="31">
        <v>-37388.948873252717</v>
      </c>
      <c r="N25" s="31">
        <v>-37367.675136466918</v>
      </c>
      <c r="O25" s="31">
        <v>-22235.371766389395</v>
      </c>
      <c r="P25" s="62"/>
      <c r="Q25" s="60"/>
    </row>
    <row r="26" spans="2:26" x14ac:dyDescent="0.25">
      <c r="H26" s="61" t="s">
        <v>30</v>
      </c>
      <c r="I26" s="6" t="s">
        <v>24</v>
      </c>
      <c r="J26" s="31">
        <v>-34037.746059268713</v>
      </c>
      <c r="K26" s="31">
        <v>-23445.429914874618</v>
      </c>
      <c r="L26" s="31">
        <v>-9083.2262307778674</v>
      </c>
      <c r="M26" s="31">
        <v>-12152.158852846062</v>
      </c>
      <c r="N26" s="31">
        <v>-13718.13832244924</v>
      </c>
      <c r="O26" s="31">
        <v>-5786.0548443670205</v>
      </c>
      <c r="P26" s="62"/>
      <c r="Q26" s="60"/>
    </row>
    <row r="27" spans="2:26" x14ac:dyDescent="0.25">
      <c r="B27" s="63"/>
      <c r="H27" s="61" t="s">
        <v>31</v>
      </c>
      <c r="I27" s="6" t="s">
        <v>24</v>
      </c>
      <c r="J27" s="31">
        <v>32026.115267165918</v>
      </c>
      <c r="K27" s="31">
        <v>22059.805006905524</v>
      </c>
      <c r="L27" s="31">
        <v>8546.4075605388934</v>
      </c>
      <c r="M27" s="31">
        <v>11433.966264642884</v>
      </c>
      <c r="N27" s="31">
        <v>12907.396347592508</v>
      </c>
      <c r="O27" s="31">
        <v>5444.0990030649155</v>
      </c>
      <c r="P27" s="62"/>
    </row>
    <row r="28" spans="2:26" x14ac:dyDescent="0.25">
      <c r="H28" s="64" t="s">
        <v>32</v>
      </c>
      <c r="I28" s="65" t="s">
        <v>24</v>
      </c>
      <c r="J28" s="66">
        <v>-7.6288415584713221E-9</v>
      </c>
      <c r="K28" s="66">
        <v>2.2992026060819626E-9</v>
      </c>
      <c r="L28" s="66">
        <v>2.0785591914318502E-8</v>
      </c>
      <c r="M28" s="66">
        <v>-3.396053216420114E-9</v>
      </c>
      <c r="N28" s="66">
        <v>-2.6882844395004213E-8</v>
      </c>
      <c r="O28" s="66">
        <v>-2.965862222481519E-9</v>
      </c>
      <c r="P28" s="67"/>
    </row>
    <row r="30" spans="2:26" x14ac:dyDescent="0.25">
      <c r="H30" s="68" t="s">
        <v>15</v>
      </c>
    </row>
    <row r="31" spans="2:26" x14ac:dyDescent="0.25">
      <c r="H31" s="69" t="s">
        <v>33</v>
      </c>
      <c r="I31" s="70" t="s">
        <v>103</v>
      </c>
      <c r="J31" s="71">
        <v>0.41723285794243792</v>
      </c>
      <c r="K31" s="71">
        <v>0.34439688908706206</v>
      </c>
      <c r="L31" s="71">
        <v>0.22935281779174499</v>
      </c>
      <c r="M31" s="71">
        <v>0.25138423339513299</v>
      </c>
      <c r="N31" s="71">
        <v>0.3479250521672419</v>
      </c>
      <c r="O31" s="71">
        <v>0.25828701966409662</v>
      </c>
      <c r="P31" s="72"/>
    </row>
    <row r="32" spans="2:26" x14ac:dyDescent="0.25">
      <c r="H32" s="73" t="s">
        <v>34</v>
      </c>
      <c r="I32" s="74" t="s">
        <v>103</v>
      </c>
      <c r="J32" s="75">
        <v>0.49970019811130095</v>
      </c>
      <c r="K32" s="75">
        <v>0.50601899206008594</v>
      </c>
      <c r="L32" s="75">
        <v>1.2102023678173535</v>
      </c>
      <c r="M32" s="75">
        <v>0.43328384630053657</v>
      </c>
      <c r="N32" s="75">
        <v>0.71773319269570901</v>
      </c>
      <c r="O32" s="75">
        <v>0.70050447804978921</v>
      </c>
      <c r="P32" s="76"/>
    </row>
    <row r="33" spans="8:16" x14ac:dyDescent="0.25">
      <c r="H33" s="73" t="s">
        <v>35</v>
      </c>
      <c r="I33" s="74" t="s">
        <v>103</v>
      </c>
      <c r="J33" s="75">
        <v>0.43304214667508656</v>
      </c>
      <c r="K33" s="75">
        <v>0.27270692571833127</v>
      </c>
      <c r="L33" s="75">
        <v>0.1428985373158175</v>
      </c>
      <c r="M33" s="75">
        <v>0.14289853731581503</v>
      </c>
      <c r="N33" s="75">
        <v>0.33212082655709302</v>
      </c>
      <c r="O33" s="75">
        <v>0.15506037002833062</v>
      </c>
      <c r="P33" s="76"/>
    </row>
    <row r="34" spans="8:16" x14ac:dyDescent="0.25">
      <c r="H34" s="73" t="s">
        <v>36</v>
      </c>
      <c r="I34" s="74" t="s">
        <v>103</v>
      </c>
      <c r="J34" s="75">
        <v>1.2210732850373475E-3</v>
      </c>
      <c r="K34" s="75">
        <v>3.3467854231517533E-2</v>
      </c>
      <c r="L34" s="75">
        <v>0</v>
      </c>
      <c r="M34" s="75">
        <v>2.9364867391104426E-2</v>
      </c>
      <c r="N34" s="75">
        <v>0</v>
      </c>
      <c r="O34" s="75">
        <v>4.2372058022755218E-2</v>
      </c>
      <c r="P34" s="76"/>
    </row>
    <row r="35" spans="8:16" x14ac:dyDescent="0.25">
      <c r="H35" s="73"/>
      <c r="I35" s="74"/>
      <c r="J35" s="75"/>
      <c r="K35" s="75"/>
      <c r="L35" s="75"/>
      <c r="M35" s="75"/>
      <c r="N35" s="75"/>
      <c r="O35" s="75"/>
      <c r="P35" s="76"/>
    </row>
    <row r="36" spans="8:16" x14ac:dyDescent="0.25">
      <c r="H36" s="73" t="s">
        <v>37</v>
      </c>
      <c r="I36" s="74" t="s">
        <v>103</v>
      </c>
      <c r="J36" s="75">
        <v>0.33468708993881424</v>
      </c>
      <c r="K36" s="75">
        <v>0.3992204118327507</v>
      </c>
      <c r="L36" s="75">
        <v>0.33468705636356433</v>
      </c>
      <c r="M36" s="75">
        <v>0.41289813006133441</v>
      </c>
      <c r="N36" s="75">
        <v>0.33468708894212168</v>
      </c>
      <c r="O36" s="75">
        <v>0.38959523290699294</v>
      </c>
      <c r="P36" s="76"/>
    </row>
    <row r="37" spans="8:16" x14ac:dyDescent="0.25">
      <c r="H37" s="77" t="s">
        <v>38</v>
      </c>
      <c r="I37" s="78" t="s">
        <v>103</v>
      </c>
      <c r="J37" s="79">
        <v>8.1810364302438807E-2</v>
      </c>
      <c r="K37" s="79">
        <v>6.7528801781776879E-2</v>
      </c>
      <c r="L37" s="79">
        <v>4.497114074347941E-2</v>
      </c>
      <c r="M37" s="79">
        <v>4.9291026155908427E-2</v>
      </c>
      <c r="N37" s="79">
        <v>6.8220598464165061E-2</v>
      </c>
      <c r="O37" s="79">
        <v>5.0644513659626779E-2</v>
      </c>
      <c r="P37" s="80"/>
    </row>
    <row r="38" spans="8:16" x14ac:dyDescent="0.25">
      <c r="H38" s="81" t="s">
        <v>39</v>
      </c>
      <c r="I38" s="82" t="s">
        <v>103</v>
      </c>
      <c r="J38" s="83">
        <v>9.9940039622260182E-2</v>
      </c>
      <c r="K38" s="83">
        <v>0.10120379841201717</v>
      </c>
      <c r="L38" s="83">
        <v>0.24204047356347066</v>
      </c>
      <c r="M38" s="83">
        <v>8.6656769260107319E-2</v>
      </c>
      <c r="N38" s="83">
        <v>0.23445755580096664</v>
      </c>
      <c r="O38" s="83">
        <v>0.22882955591663187</v>
      </c>
      <c r="P38" s="84"/>
    </row>
    <row r="39" spans="8:16" x14ac:dyDescent="0.25">
      <c r="H39" s="81" t="s">
        <v>40</v>
      </c>
      <c r="I39" s="82" t="s">
        <v>103</v>
      </c>
      <c r="J39" s="83">
        <v>8.7306884410299712E-2</v>
      </c>
      <c r="K39" s="83">
        <v>5.4981235023857114E-2</v>
      </c>
      <c r="L39" s="83">
        <v>2.8810188974963204E-2</v>
      </c>
      <c r="M39" s="83">
        <v>2.8810188974962705E-2</v>
      </c>
      <c r="N39" s="83">
        <v>6.6959844063930046E-2</v>
      </c>
      <c r="O39" s="83">
        <v>3.1262171376679561E-2</v>
      </c>
      <c r="P39" s="84"/>
    </row>
    <row r="40" spans="8:16" x14ac:dyDescent="0.25">
      <c r="H40" s="81" t="s">
        <v>41</v>
      </c>
      <c r="I40" s="82" t="s">
        <v>103</v>
      </c>
      <c r="J40" s="83">
        <v>0.13436326528954062</v>
      </c>
      <c r="K40" s="83">
        <v>0.17194591300381737</v>
      </c>
      <c r="L40" s="83">
        <v>0.13387482254542571</v>
      </c>
      <c r="M40" s="83">
        <v>0.17571994169879873</v>
      </c>
      <c r="N40" s="83">
        <v>0.13387483557684865</v>
      </c>
      <c r="O40" s="83">
        <v>0.17141122354066521</v>
      </c>
      <c r="P40" s="84"/>
    </row>
    <row r="41" spans="8:16" x14ac:dyDescent="0.25">
      <c r="H41" s="85" t="s">
        <v>42</v>
      </c>
      <c r="I41" s="86" t="s">
        <v>103</v>
      </c>
      <c r="J41" s="87">
        <v>0</v>
      </c>
      <c r="K41" s="87">
        <v>1.1293934218899113E-3</v>
      </c>
      <c r="L41" s="87">
        <v>0</v>
      </c>
      <c r="M41" s="87">
        <v>1.185257282176797E-3</v>
      </c>
      <c r="N41" s="87">
        <v>0</v>
      </c>
      <c r="O41" s="87">
        <v>1.3756928312340536E-3</v>
      </c>
      <c r="P41" s="88"/>
    </row>
    <row r="42" spans="8:16" x14ac:dyDescent="0.25">
      <c r="H42" s="89" t="s">
        <v>43</v>
      </c>
      <c r="I42" s="90" t="s">
        <v>103</v>
      </c>
      <c r="J42" s="91">
        <v>0.25104227743979513</v>
      </c>
      <c r="K42" s="91">
        <v>0.17291962021037638</v>
      </c>
      <c r="L42" s="91">
        <v>6.6992502838029586E-2</v>
      </c>
      <c r="M42" s="91">
        <v>8.9627134209090825E-2</v>
      </c>
      <c r="N42" s="91">
        <v>0.10117687230832642</v>
      </c>
      <c r="O42" s="91">
        <v>4.2674517372342395E-2</v>
      </c>
      <c r="P42" s="92"/>
    </row>
    <row r="43" spans="8:16" x14ac:dyDescent="0.25">
      <c r="H43" s="89" t="s">
        <v>44</v>
      </c>
      <c r="I43" s="90" t="s">
        <v>103</v>
      </c>
      <c r="J43" s="91">
        <v>0</v>
      </c>
      <c r="K43" s="91">
        <v>0</v>
      </c>
      <c r="L43" s="91">
        <v>0</v>
      </c>
      <c r="M43" s="91">
        <v>0</v>
      </c>
      <c r="N43" s="91">
        <v>0</v>
      </c>
      <c r="O43" s="91">
        <v>0</v>
      </c>
      <c r="P43" s="92"/>
    </row>
    <row r="44" spans="8:16" x14ac:dyDescent="0.25">
      <c r="H44" s="89" t="s">
        <v>45</v>
      </c>
      <c r="I44" s="90" t="s">
        <v>103</v>
      </c>
      <c r="J44" s="91">
        <v>8.478644235216426E-2</v>
      </c>
      <c r="K44" s="91">
        <v>0.10685960801436953</v>
      </c>
      <c r="L44" s="91">
        <v>8.4786431781368576E-2</v>
      </c>
      <c r="M44" s="91">
        <v>0.10961118325747009</v>
      </c>
      <c r="N44" s="91">
        <v>8.4786439488343579E-2</v>
      </c>
      <c r="O44" s="91">
        <v>0.10306582748229161</v>
      </c>
      <c r="P44" s="92"/>
    </row>
    <row r="45" spans="8:16" x14ac:dyDescent="0.25">
      <c r="H45" s="89" t="s">
        <v>46</v>
      </c>
      <c r="I45" s="90" t="s">
        <v>103</v>
      </c>
      <c r="J45" s="91">
        <v>1.0966892112860502</v>
      </c>
      <c r="K45" s="91">
        <v>1.0966892112861908</v>
      </c>
      <c r="L45" s="91">
        <v>1.0966892112862079</v>
      </c>
      <c r="M45" s="91">
        <v>1.0966892112861888</v>
      </c>
      <c r="N45" s="91">
        <v>1.0966892112860767</v>
      </c>
      <c r="O45" s="91">
        <v>1.0966892112861899</v>
      </c>
      <c r="P45" s="92"/>
    </row>
    <row r="46" spans="8:16" x14ac:dyDescent="0.25">
      <c r="H46" s="89" t="s">
        <v>47</v>
      </c>
      <c r="I46" s="90" t="s">
        <v>103</v>
      </c>
      <c r="J46" s="91">
        <v>8.8796589060791589E-2</v>
      </c>
      <c r="K46" s="91">
        <v>8.9053348892003892E-2</v>
      </c>
      <c r="L46" s="91">
        <v>9.0484551667607244E-2</v>
      </c>
      <c r="M46" s="91">
        <v>9.1108253242521448E-2</v>
      </c>
      <c r="N46" s="91">
        <v>8.9229825965176396E-2</v>
      </c>
      <c r="O46" s="91">
        <v>8.9135698952132858E-2</v>
      </c>
      <c r="P46" s="92"/>
    </row>
    <row r="47" spans="8:16" x14ac:dyDescent="0.25">
      <c r="H47" s="93" t="s">
        <v>48</v>
      </c>
      <c r="I47" s="94" t="s">
        <v>103</v>
      </c>
      <c r="J47" s="95">
        <v>-0.47122626486089936</v>
      </c>
      <c r="K47" s="95">
        <v>-0.47122626486095792</v>
      </c>
      <c r="L47" s="95">
        <v>-0.47122626486103336</v>
      </c>
      <c r="M47" s="95">
        <v>-0.47122626486098323</v>
      </c>
      <c r="N47" s="95">
        <v>-0.47122626486088753</v>
      </c>
      <c r="O47" s="95">
        <v>-0.47122626486099523</v>
      </c>
      <c r="P47" s="96"/>
    </row>
    <row r="48" spans="8:16" x14ac:dyDescent="0.25">
      <c r="H48" s="97" t="s">
        <v>49</v>
      </c>
      <c r="I48" s="98" t="s">
        <v>103</v>
      </c>
      <c r="J48" s="99">
        <v>-0.28024239578473548</v>
      </c>
      <c r="K48" s="99">
        <v>-0.18074339240692819</v>
      </c>
      <c r="L48" s="99">
        <v>-0.72845182978990775</v>
      </c>
      <c r="M48" s="99">
        <v>-0.2068190750618169</v>
      </c>
      <c r="N48" s="99">
        <v>-0.20670139818941127</v>
      </c>
      <c r="O48" s="99">
        <v>-0.12299621040350005</v>
      </c>
      <c r="P48" s="100"/>
    </row>
    <row r="49" spans="8:27" x14ac:dyDescent="0.25">
      <c r="H49" s="101" t="s">
        <v>50</v>
      </c>
      <c r="I49" s="102" t="s">
        <v>103</v>
      </c>
      <c r="J49" s="103">
        <v>-0.56048479156947095</v>
      </c>
      <c r="K49" s="103">
        <v>-0.36148678481385638</v>
      </c>
      <c r="L49" s="103">
        <v>-1.4569036595798155</v>
      </c>
      <c r="M49" s="103">
        <v>-0.41363815012363381</v>
      </c>
      <c r="N49" s="103">
        <v>-0.41340279637882255</v>
      </c>
      <c r="O49" s="103">
        <v>-0.2459924208070001</v>
      </c>
      <c r="P49" s="104"/>
    </row>
    <row r="50" spans="8:27" x14ac:dyDescent="0.25">
      <c r="H50" s="105" t="s">
        <v>51</v>
      </c>
      <c r="I50" s="106" t="s">
        <v>103</v>
      </c>
      <c r="J50" s="107">
        <v>3.1393921748551188</v>
      </c>
      <c r="K50" s="107">
        <v>2.9468957381150891</v>
      </c>
      <c r="L50" s="107">
        <v>3.2345638378279982</v>
      </c>
      <c r="M50" s="107">
        <v>2.5273023149701657</v>
      </c>
      <c r="N50" s="107">
        <v>3.1366350784551114</v>
      </c>
      <c r="O50" s="107">
        <v>2.8896813062287627</v>
      </c>
      <c r="P50" s="108"/>
    </row>
    <row r="51" spans="8:27" x14ac:dyDescent="0.25">
      <c r="H51" s="105" t="s">
        <v>52</v>
      </c>
      <c r="I51" s="106" t="s">
        <v>103</v>
      </c>
      <c r="J51" s="107">
        <v>2.8591497790703833</v>
      </c>
      <c r="K51" s="107">
        <v>2.7661523457081607</v>
      </c>
      <c r="L51" s="107">
        <v>2.5061120080380905</v>
      </c>
      <c r="M51" s="107">
        <v>2.3204832399083486</v>
      </c>
      <c r="N51" s="107">
        <v>2.9299336802656999</v>
      </c>
      <c r="O51" s="107">
        <v>2.7666850958252627</v>
      </c>
      <c r="P51" s="108"/>
    </row>
    <row r="52" spans="8:27" x14ac:dyDescent="0.25">
      <c r="H52" s="109" t="s">
        <v>53</v>
      </c>
      <c r="I52" s="110" t="s">
        <v>103</v>
      </c>
      <c r="J52" s="111">
        <v>2.5789073832856477</v>
      </c>
      <c r="K52" s="111">
        <v>2.5854089533012328</v>
      </c>
      <c r="L52" s="111">
        <v>1.7776601782481827</v>
      </c>
      <c r="M52" s="111">
        <v>2.113664164846532</v>
      </c>
      <c r="N52" s="111">
        <v>2.7232322820762889</v>
      </c>
      <c r="O52" s="111">
        <v>2.6436888854217626</v>
      </c>
      <c r="P52" s="112"/>
    </row>
    <row r="53" spans="8:27" x14ac:dyDescent="0.25">
      <c r="H53" s="113" t="s">
        <v>54</v>
      </c>
      <c r="I53" s="114" t="s">
        <v>103</v>
      </c>
      <c r="J53" s="115">
        <v>3.1393921748551188</v>
      </c>
      <c r="K53" s="115">
        <v>2.9468957381150886</v>
      </c>
      <c r="L53" s="115">
        <v>3.2345638378279991</v>
      </c>
      <c r="M53" s="115">
        <v>2.5273023149701657</v>
      </c>
      <c r="N53" s="115">
        <v>3.1366350784551114</v>
      </c>
      <c r="O53" s="115">
        <v>2.8896813062287632</v>
      </c>
      <c r="P53" s="116"/>
    </row>
    <row r="54" spans="8:27" x14ac:dyDescent="0.25">
      <c r="H54" s="13"/>
      <c r="I54" s="13"/>
      <c r="J54" s="31"/>
      <c r="K54" s="31"/>
      <c r="L54" s="31"/>
      <c r="M54" s="31"/>
      <c r="N54" s="31"/>
      <c r="O54" s="31"/>
    </row>
    <row r="55" spans="8:27" x14ac:dyDescent="0.25">
      <c r="H55" s="117" t="s">
        <v>55</v>
      </c>
      <c r="I55" s="118"/>
      <c r="J55" s="118"/>
      <c r="K55" s="118"/>
      <c r="L55" s="118"/>
      <c r="M55" s="118"/>
      <c r="N55" s="118"/>
      <c r="O55" s="118"/>
      <c r="P55" s="119"/>
      <c r="T55" s="120"/>
      <c r="U55" s="121"/>
      <c r="V55" s="121"/>
      <c r="W55" s="121"/>
      <c r="X55" s="121"/>
      <c r="Y55" s="121"/>
      <c r="Z55" s="121"/>
      <c r="AA55" s="121"/>
    </row>
    <row r="56" spans="8:27" x14ac:dyDescent="0.25">
      <c r="H56" s="122" t="s">
        <v>1</v>
      </c>
      <c r="I56" s="123" t="s">
        <v>2</v>
      </c>
      <c r="J56" s="124">
        <v>0.94999999999984763</v>
      </c>
      <c r="K56" s="124">
        <v>0.95000000000002349</v>
      </c>
      <c r="L56" s="124">
        <v>0.95000000000023443</v>
      </c>
      <c r="M56" s="124">
        <v>0.94999999999994833</v>
      </c>
      <c r="N56" s="124">
        <v>0.94999999999983054</v>
      </c>
      <c r="O56" s="124">
        <v>0.9499999999999954</v>
      </c>
      <c r="P56" s="125"/>
      <c r="T56" s="24"/>
      <c r="U56" s="126"/>
      <c r="V56" s="127"/>
      <c r="W56" s="127"/>
      <c r="X56" s="127"/>
      <c r="Y56" s="127"/>
      <c r="Z56" s="127"/>
    </row>
    <row r="57" spans="8:27" x14ac:dyDescent="0.25">
      <c r="H57" s="51" t="s">
        <v>56</v>
      </c>
      <c r="I57" s="52" t="s">
        <v>57</v>
      </c>
      <c r="J57" s="128">
        <v>22628325.73231969</v>
      </c>
      <c r="K57" s="128">
        <v>18678119.038586769</v>
      </c>
      <c r="L57" s="128">
        <v>12438786.087485537</v>
      </c>
      <c r="M57" s="128">
        <v>13633644.160447709</v>
      </c>
      <c r="N57" s="128">
        <v>18869466.440633602</v>
      </c>
      <c r="O57" s="128">
        <v>14008011.838307386</v>
      </c>
      <c r="P57" s="129"/>
      <c r="T57" s="24"/>
      <c r="V57" s="127"/>
      <c r="W57" s="127"/>
      <c r="X57" s="127"/>
      <c r="Y57" s="127"/>
      <c r="Z57" s="127"/>
    </row>
    <row r="58" spans="8:27" x14ac:dyDescent="0.25">
      <c r="H58" s="130" t="s">
        <v>58</v>
      </c>
      <c r="I58" s="131" t="s">
        <v>57</v>
      </c>
      <c r="J58" s="132">
        <v>27100882.962882996</v>
      </c>
      <c r="K58" s="132">
        <v>27443578.234804213</v>
      </c>
      <c r="L58" s="132">
        <v>65634460.133458033</v>
      </c>
      <c r="M58" s="132">
        <v>23498839.609588668</v>
      </c>
      <c r="N58" s="132">
        <v>38925746.532303393</v>
      </c>
      <c r="O58" s="132">
        <v>37991359.51187253</v>
      </c>
      <c r="P58" s="133"/>
      <c r="T58" s="120"/>
      <c r="U58" s="121"/>
      <c r="V58" s="121"/>
      <c r="W58" s="121"/>
      <c r="X58" s="121"/>
      <c r="Y58" s="121"/>
      <c r="Z58" s="121"/>
    </row>
    <row r="59" spans="8:27" x14ac:dyDescent="0.25">
      <c r="H59" s="130" t="s">
        <v>59</v>
      </c>
      <c r="I59" s="131" t="s">
        <v>57</v>
      </c>
      <c r="J59" s="132">
        <v>23485731.203218672</v>
      </c>
      <c r="K59" s="132">
        <v>14790065.133040087</v>
      </c>
      <c r="L59" s="132">
        <v>7750000</v>
      </c>
      <c r="M59" s="132">
        <v>7750000</v>
      </c>
      <c r="N59" s="132">
        <v>18012335.564563323</v>
      </c>
      <c r="O59" s="132">
        <v>8409588.3015491385</v>
      </c>
      <c r="P59" s="133"/>
    </row>
    <row r="60" spans="8:27" x14ac:dyDescent="0.25">
      <c r="H60" s="134" t="s">
        <v>60</v>
      </c>
      <c r="I60" s="74" t="s">
        <v>57</v>
      </c>
      <c r="J60" s="135">
        <v>66224.03655627415</v>
      </c>
      <c r="K60" s="135">
        <v>816557.94103333692</v>
      </c>
      <c r="L60" s="135">
        <v>0</v>
      </c>
      <c r="M60" s="135">
        <v>828141.98320265359</v>
      </c>
      <c r="N60" s="135">
        <v>0</v>
      </c>
      <c r="O60" s="135">
        <v>1005351.1526950059</v>
      </c>
      <c r="P60" s="136"/>
    </row>
    <row r="61" spans="8:27" x14ac:dyDescent="0.25">
      <c r="H61" s="134" t="s">
        <v>61</v>
      </c>
      <c r="I61" s="74" t="s">
        <v>57</v>
      </c>
      <c r="J61" s="135">
        <v>0</v>
      </c>
      <c r="K61" s="135">
        <v>845417.59214001219</v>
      </c>
      <c r="L61" s="135">
        <v>0</v>
      </c>
      <c r="M61" s="135">
        <v>603736.65098290902</v>
      </c>
      <c r="N61" s="135">
        <v>0</v>
      </c>
      <c r="O61" s="135">
        <v>1106142.8257517524</v>
      </c>
      <c r="P61" s="136"/>
    </row>
    <row r="62" spans="8:27" x14ac:dyDescent="0.25">
      <c r="H62" s="134" t="s">
        <v>62</v>
      </c>
      <c r="I62" s="74"/>
      <c r="J62" s="135">
        <v>0</v>
      </c>
      <c r="K62" s="135">
        <v>153129.61182210257</v>
      </c>
      <c r="L62" s="135">
        <v>0</v>
      </c>
      <c r="M62" s="135">
        <v>160703.95312320601</v>
      </c>
      <c r="N62" s="135">
        <v>0</v>
      </c>
      <c r="O62" s="135">
        <v>186524.29273123061</v>
      </c>
      <c r="P62" s="136"/>
    </row>
    <row r="63" spans="8:27" x14ac:dyDescent="0.25">
      <c r="H63" s="137" t="s">
        <v>63</v>
      </c>
      <c r="I63" s="138" t="s">
        <v>57</v>
      </c>
      <c r="J63" s="139">
        <v>8528253.4135006126</v>
      </c>
      <c r="K63" s="139">
        <v>11107397.96582105</v>
      </c>
      <c r="L63" s="139">
        <v>8528252.2747229561</v>
      </c>
      <c r="M63" s="139">
        <v>11420631.363008855</v>
      </c>
      <c r="N63" s="139">
        <v>8528253.129798267</v>
      </c>
      <c r="O63" s="139">
        <v>10669960.586321019</v>
      </c>
      <c r="P63" s="140"/>
    </row>
    <row r="64" spans="8:27" x14ac:dyDescent="0.25">
      <c r="H64" s="141" t="s">
        <v>64</v>
      </c>
      <c r="I64" s="142" t="s">
        <v>57</v>
      </c>
      <c r="J64" s="143">
        <v>9623261.6107128076</v>
      </c>
      <c r="K64" s="143">
        <v>10544035.630493267</v>
      </c>
      <c r="L64" s="143">
        <v>9623260.9285581782</v>
      </c>
      <c r="M64" s="143">
        <v>10972603.501972452</v>
      </c>
      <c r="N64" s="143">
        <v>9623261.8403598033</v>
      </c>
      <c r="O64" s="143">
        <v>10459458.312881593</v>
      </c>
      <c r="P64" s="144"/>
    </row>
    <row r="66" spans="8:16" x14ac:dyDescent="0.25">
      <c r="H66" s="145" t="s">
        <v>65</v>
      </c>
      <c r="I66" s="146">
        <v>0.1</v>
      </c>
      <c r="J66" s="146">
        <v>0.15</v>
      </c>
      <c r="K66" s="147" t="s">
        <v>66</v>
      </c>
    </row>
    <row r="67" spans="8:16" x14ac:dyDescent="0.25">
      <c r="H67" s="148" t="s">
        <v>67</v>
      </c>
      <c r="I67" s="149">
        <v>18762.782660000004</v>
      </c>
      <c r="J67" s="149">
        <v>28144.173989999999</v>
      </c>
      <c r="K67" s="150" t="s">
        <v>24</v>
      </c>
    </row>
    <row r="68" spans="8:16" x14ac:dyDescent="0.25">
      <c r="H68" s="61" t="s">
        <v>68</v>
      </c>
      <c r="I68" s="151">
        <v>24296.470417470839</v>
      </c>
      <c r="J68" s="151">
        <v>24296.470417470839</v>
      </c>
      <c r="K68" s="152" t="s">
        <v>24</v>
      </c>
    </row>
    <row r="69" spans="8:16" x14ac:dyDescent="0.25">
      <c r="H69" s="153" t="s">
        <v>69</v>
      </c>
      <c r="I69" s="154">
        <v>5533.6877574708342</v>
      </c>
      <c r="J69" s="154">
        <v>-3847.7035725291607</v>
      </c>
      <c r="K69" s="155" t="s">
        <v>24</v>
      </c>
    </row>
    <row r="71" spans="8:16" x14ac:dyDescent="0.25">
      <c r="H71" s="117" t="s">
        <v>70</v>
      </c>
      <c r="I71" s="118"/>
      <c r="J71" s="118"/>
      <c r="K71" s="118"/>
      <c r="L71" s="118"/>
      <c r="M71" s="118"/>
      <c r="N71" s="118"/>
      <c r="O71" s="118"/>
      <c r="P71" s="119"/>
    </row>
    <row r="72" spans="8:16" x14ac:dyDescent="0.25">
      <c r="H72" s="7" t="s">
        <v>1</v>
      </c>
      <c r="I72" s="8" t="s">
        <v>2</v>
      </c>
      <c r="J72" s="9">
        <v>0.94999999999984763</v>
      </c>
      <c r="K72" s="9">
        <v>0.95000000000002349</v>
      </c>
      <c r="L72" s="9">
        <v>0.95000000000023443</v>
      </c>
      <c r="M72" s="9">
        <v>0.94999999999994833</v>
      </c>
      <c r="N72" s="9">
        <v>0.94999999999983054</v>
      </c>
      <c r="O72" s="9">
        <v>0.9499999999999954</v>
      </c>
      <c r="P72" s="10"/>
    </row>
    <row r="73" spans="8:16" x14ac:dyDescent="0.25">
      <c r="H73" s="51" t="s">
        <v>71</v>
      </c>
      <c r="I73" s="156"/>
      <c r="J73" s="157">
        <v>41178.936959409293</v>
      </c>
      <c r="K73" s="157">
        <v>24260.558766472619</v>
      </c>
      <c r="L73" s="157">
        <v>25678.175999892937</v>
      </c>
      <c r="M73" s="157">
        <v>17991.3048765938</v>
      </c>
      <c r="N73" s="157">
        <v>16481.621565891794</v>
      </c>
      <c r="O73" s="157">
        <v>6991.7706443869993</v>
      </c>
      <c r="P73" s="158"/>
    </row>
    <row r="74" spans="8:16" x14ac:dyDescent="0.25">
      <c r="H74" s="130" t="s">
        <v>72</v>
      </c>
      <c r="I74" s="159"/>
      <c r="J74" s="160">
        <v>9483.5495882307368</v>
      </c>
      <c r="K74" s="160">
        <v>8414.4034238428248</v>
      </c>
      <c r="L74" s="160">
        <v>106012.03783798008</v>
      </c>
      <c r="M74" s="160">
        <v>19397.643996658917</v>
      </c>
      <c r="N74" s="160">
        <v>20886.053570575124</v>
      </c>
      <c r="O74" s="160">
        <v>15243.601122002396</v>
      </c>
      <c r="P74" s="161"/>
    </row>
    <row r="75" spans="8:16" x14ac:dyDescent="0.25">
      <c r="H75" s="130" t="s">
        <v>73</v>
      </c>
      <c r="I75" s="159" t="s">
        <v>2</v>
      </c>
      <c r="J75" s="162">
        <v>0.37712356874011688</v>
      </c>
      <c r="K75" s="162">
        <v>0.26917122190926118</v>
      </c>
      <c r="L75" s="162">
        <v>0.38057817736272936</v>
      </c>
      <c r="M75" s="162">
        <v>0.24328112660460419</v>
      </c>
      <c r="N75" s="162">
        <v>0.30860748202968796</v>
      </c>
      <c r="O75" s="162">
        <v>0.17635054509643353</v>
      </c>
      <c r="P75" s="163"/>
    </row>
    <row r="76" spans="8:16" x14ac:dyDescent="0.25">
      <c r="H76" s="130" t="s">
        <v>74</v>
      </c>
      <c r="I76" s="159" t="s">
        <v>2</v>
      </c>
      <c r="J76" s="162">
        <v>0.26765237164659261</v>
      </c>
      <c r="K76" s="162">
        <v>0.23451261593685091</v>
      </c>
      <c r="L76" s="162">
        <v>0.67650305690750978</v>
      </c>
      <c r="M76" s="162">
        <v>0.34573955233188969</v>
      </c>
      <c r="N76" s="162">
        <v>0.27222897189667544</v>
      </c>
      <c r="O76" s="162">
        <v>0.20357181416053702</v>
      </c>
      <c r="P76" s="163"/>
    </row>
    <row r="77" spans="8:16" x14ac:dyDescent="0.25">
      <c r="H77" s="164" t="s">
        <v>75</v>
      </c>
      <c r="I77" s="165" t="s">
        <v>2</v>
      </c>
      <c r="J77" s="166">
        <v>0.35030362739739407</v>
      </c>
      <c r="K77" s="166">
        <v>0.25930252388784802</v>
      </c>
      <c r="L77" s="166">
        <v>0.58743747416013903</v>
      </c>
      <c r="M77" s="166">
        <v>0.28748009363228855</v>
      </c>
      <c r="N77" s="166">
        <v>0.28715914955434696</v>
      </c>
      <c r="O77" s="166">
        <v>0.19414840254120233</v>
      </c>
      <c r="P77" s="167"/>
    </row>
    <row r="78" spans="8:16" x14ac:dyDescent="0.25">
      <c r="H78" s="168" t="s">
        <v>76</v>
      </c>
      <c r="I78" s="169"/>
      <c r="J78" s="170">
        <v>110.3009757512137</v>
      </c>
      <c r="K78" s="170">
        <v>89.638447327470061</v>
      </c>
      <c r="L78" s="170">
        <v>115.9156761361324</v>
      </c>
      <c r="M78" s="170">
        <v>63.815807882980742</v>
      </c>
      <c r="N78" s="170">
        <v>110.21363346699924</v>
      </c>
      <c r="O78" s="170">
        <v>86.542261338556401</v>
      </c>
      <c r="P78" s="171"/>
    </row>
    <row r="79" spans="8:16" x14ac:dyDescent="0.25">
      <c r="H79" s="172" t="s">
        <v>77</v>
      </c>
      <c r="I79" s="173"/>
      <c r="J79" s="174">
        <v>93.771684932190325</v>
      </c>
      <c r="K79" s="174">
        <v>78.977818737194369</v>
      </c>
      <c r="L79" s="174">
        <v>72.950042372813996</v>
      </c>
      <c r="M79" s="174">
        <v>51.617180230499962</v>
      </c>
      <c r="N79" s="174">
        <v>98.021946646008871</v>
      </c>
      <c r="O79" s="174">
        <v>79.287684008443094</v>
      </c>
      <c r="P79" s="175"/>
    </row>
    <row r="80" spans="8:16" x14ac:dyDescent="0.25">
      <c r="H80" s="172" t="s">
        <v>78</v>
      </c>
      <c r="I80" s="173"/>
      <c r="J80" s="174">
        <v>77.242394113166952</v>
      </c>
      <c r="K80" s="174">
        <v>68.317190146918676</v>
      </c>
      <c r="L80" s="174">
        <v>29.984408609495588</v>
      </c>
      <c r="M80" s="174">
        <v>39.418552578019167</v>
      </c>
      <c r="N80" s="174">
        <v>85.830259825018501</v>
      </c>
      <c r="O80" s="174">
        <v>72.033106678329801</v>
      </c>
      <c r="P80" s="175"/>
    </row>
    <row r="81" spans="8:16" x14ac:dyDescent="0.25">
      <c r="H81" s="73" t="s">
        <v>79</v>
      </c>
      <c r="I81" s="176"/>
      <c r="J81" s="177">
        <v>71.117122446738932</v>
      </c>
      <c r="K81" s="177">
        <v>66.136543212891553</v>
      </c>
      <c r="L81" s="177">
        <v>47.659015686261071</v>
      </c>
      <c r="M81" s="177">
        <v>45.368163444928364</v>
      </c>
      <c r="N81" s="177">
        <v>78.366362028574741</v>
      </c>
      <c r="O81" s="177">
        <v>69.689901918658975</v>
      </c>
      <c r="P81" s="178"/>
    </row>
    <row r="82" spans="8:16" x14ac:dyDescent="0.25">
      <c r="H82" s="134" t="s">
        <v>80</v>
      </c>
      <c r="I82" s="176"/>
      <c r="J82" s="177">
        <v>60.459777023198484</v>
      </c>
      <c r="K82" s="177">
        <v>58.270977214613843</v>
      </c>
      <c r="L82" s="177">
        <v>29.993589561400242</v>
      </c>
      <c r="M82" s="177">
        <v>36.695871241774</v>
      </c>
      <c r="N82" s="177">
        <v>69.697578384500332</v>
      </c>
      <c r="O82" s="177">
        <v>63.848007163689353</v>
      </c>
      <c r="P82" s="178"/>
    </row>
    <row r="83" spans="8:16" x14ac:dyDescent="0.25">
      <c r="H83" s="179" t="s">
        <v>81</v>
      </c>
      <c r="I83" s="180"/>
      <c r="J83" s="181">
        <v>49.802431599658036</v>
      </c>
      <c r="K83" s="181">
        <v>50.405411216336141</v>
      </c>
      <c r="L83" s="181">
        <v>12.328163436539413</v>
      </c>
      <c r="M83" s="181">
        <v>28.023579038619626</v>
      </c>
      <c r="N83" s="181">
        <v>61.02879474042593</v>
      </c>
      <c r="O83" s="181">
        <v>58.006112408719737</v>
      </c>
      <c r="P83" s="182"/>
    </row>
    <row r="84" spans="8:16" x14ac:dyDescent="0.25">
      <c r="H84" s="183" t="s">
        <v>82</v>
      </c>
      <c r="I84" s="184" t="s">
        <v>12</v>
      </c>
      <c r="J84" s="185">
        <v>2.5612466631990407</v>
      </c>
      <c r="K84" s="185">
        <v>1.9540545748712816</v>
      </c>
      <c r="L84" s="185">
        <v>1.5375294554861227</v>
      </c>
      <c r="M84" s="185">
        <v>1.4027797538887772</v>
      </c>
      <c r="N84" s="185">
        <v>2.355646672285447</v>
      </c>
      <c r="O84" s="185">
        <v>1.4814874481427465</v>
      </c>
      <c r="P84" s="186"/>
    </row>
    <row r="86" spans="8:16" x14ac:dyDescent="0.25">
      <c r="I86" s="443" t="s">
        <v>83</v>
      </c>
      <c r="J86" s="444"/>
      <c r="K86" s="187" t="s">
        <v>84</v>
      </c>
    </row>
    <row r="87" spans="8:16" x14ac:dyDescent="0.25">
      <c r="I87" s="445" t="s">
        <v>111</v>
      </c>
      <c r="J87" s="446"/>
      <c r="K87" s="188" t="s">
        <v>85</v>
      </c>
    </row>
    <row r="88" spans="8:16" ht="18" x14ac:dyDescent="0.25">
      <c r="H88" s="189" t="s">
        <v>86</v>
      </c>
      <c r="I88" s="191">
        <v>420</v>
      </c>
      <c r="J88" s="191">
        <v>1400</v>
      </c>
      <c r="K88" s="363">
        <v>20</v>
      </c>
      <c r="L88" s="237" t="s">
        <v>110</v>
      </c>
      <c r="M88" s="238">
        <v>400</v>
      </c>
      <c r="N88" s="239" t="s">
        <v>104</v>
      </c>
    </row>
    <row r="89" spans="8:16" x14ac:dyDescent="0.25">
      <c r="H89" s="190" t="s">
        <v>87</v>
      </c>
      <c r="I89" s="191">
        <v>380</v>
      </c>
      <c r="J89" s="191">
        <v>650</v>
      </c>
      <c r="K89" s="192">
        <v>25</v>
      </c>
    </row>
    <row r="90" spans="8:16" x14ac:dyDescent="0.25">
      <c r="H90" s="193" t="s">
        <v>88</v>
      </c>
      <c r="I90" s="242">
        <v>89</v>
      </c>
      <c r="J90" s="242">
        <v>169</v>
      </c>
      <c r="K90" s="236">
        <v>20</v>
      </c>
    </row>
    <row r="92" spans="8:16" x14ac:dyDescent="0.25">
      <c r="H92" s="226" t="s">
        <v>1</v>
      </c>
      <c r="I92" s="227"/>
      <c r="J92" s="228">
        <f t="shared" ref="J92:O92" si="6">J5</f>
        <v>0.94999999999984763</v>
      </c>
      <c r="K92" s="228">
        <f t="shared" si="6"/>
        <v>0.95000000000002349</v>
      </c>
      <c r="L92" s="228">
        <f t="shared" si="6"/>
        <v>0.95000000000023443</v>
      </c>
      <c r="M92" s="228">
        <f t="shared" si="6"/>
        <v>0.94999999999994833</v>
      </c>
      <c r="N92" s="228">
        <f t="shared" si="6"/>
        <v>0.94999999999983054</v>
      </c>
      <c r="O92" s="228">
        <f t="shared" si="6"/>
        <v>0.9499999999999954</v>
      </c>
      <c r="P92" s="229"/>
    </row>
    <row r="93" spans="8:16" ht="18" x14ac:dyDescent="0.25">
      <c r="H93" s="148" t="s">
        <v>89</v>
      </c>
      <c r="I93" s="194" t="s">
        <v>104</v>
      </c>
      <c r="J93" s="195">
        <f>IF(J22&gt;0,  $I$88*(J6*1000)/(J22*1000)/$K$88*1000, 0)</f>
        <v>14.22193973145713</v>
      </c>
      <c r="K93" s="195">
        <f t="shared" ref="K93:O93" si="7">IF(K22&gt;0,  $I$88*(K6*1000)/(K22*1000)/$K$88*1000, 0)</f>
        <v>14.22193973145713</v>
      </c>
      <c r="L93" s="195">
        <f t="shared" si="7"/>
        <v>12.651894976007691</v>
      </c>
      <c r="M93" s="195">
        <f t="shared" si="7"/>
        <v>12.651894976007711</v>
      </c>
      <c r="N93" s="195">
        <f t="shared" si="7"/>
        <v>24.247334366121258</v>
      </c>
      <c r="O93" s="195">
        <f t="shared" si="7"/>
        <v>24.247334366121223</v>
      </c>
      <c r="P93" s="195"/>
    </row>
    <row r="94" spans="8:16" ht="18" x14ac:dyDescent="0.25">
      <c r="H94" s="61" t="s">
        <v>90</v>
      </c>
      <c r="I94" s="230" t="s">
        <v>104</v>
      </c>
      <c r="J94" s="231">
        <f>IF(J23&gt;0,$I$89*(J7*1000)/(J23*1000)/$K$89*1000,0)</f>
        <v>11.625916654409705</v>
      </c>
      <c r="K94" s="231">
        <f t="shared" ref="K94:O94" si="8">IF(K23&gt;0,$I$89*(K7*1000)/(K23*1000)/$K$89*1000,0)</f>
        <v>11.625916654409631</v>
      </c>
      <c r="L94" s="231">
        <f t="shared" si="8"/>
        <v>6.3663437674559455</v>
      </c>
      <c r="M94" s="231">
        <f t="shared" si="8"/>
        <v>6.3663437674559393</v>
      </c>
      <c r="N94" s="231">
        <f t="shared" si="8"/>
        <v>3.1489785954175549</v>
      </c>
      <c r="O94" s="231">
        <f t="shared" si="8"/>
        <v>3.1489785954175464</v>
      </c>
      <c r="P94" s="231"/>
    </row>
    <row r="95" spans="8:16" ht="18" x14ac:dyDescent="0.25">
      <c r="H95" s="153" t="s">
        <v>99</v>
      </c>
      <c r="I95" s="197" t="s">
        <v>104</v>
      </c>
      <c r="J95" s="198">
        <f>IF(-J26&gt;0,$I$90*(J8*1000)/(-J26*1000)/$K$90*1000,0)</f>
        <v>24.76176615910488</v>
      </c>
      <c r="K95" s="198">
        <f t="shared" ref="K95:O95" si="9">IF(-K26&gt;0,$I$90*(K8*1000)/(-K26*1000)/$K$90*1000,0)</f>
        <v>22.638633654966352</v>
      </c>
      <c r="L95" s="198">
        <f t="shared" si="9"/>
        <v>30.619627094345969</v>
      </c>
      <c r="M95" s="198">
        <f t="shared" si="9"/>
        <v>22.886879884298295</v>
      </c>
      <c r="N95" s="198">
        <f t="shared" si="9"/>
        <v>47.120856660039998</v>
      </c>
      <c r="O95" s="198">
        <f t="shared" si="9"/>
        <v>52.159151153334008</v>
      </c>
      <c r="P95" s="198"/>
    </row>
    <row r="96" spans="8:16" ht="18" x14ac:dyDescent="0.25">
      <c r="H96" s="233" t="s">
        <v>105</v>
      </c>
      <c r="I96" s="234"/>
      <c r="J96" s="234"/>
      <c r="K96" s="234"/>
      <c r="L96" s="234"/>
      <c r="M96" s="234"/>
      <c r="N96" s="234"/>
      <c r="O96" s="234"/>
      <c r="P96" s="235"/>
    </row>
    <row r="97" spans="8:16" x14ac:dyDescent="0.25">
      <c r="H97" s="7" t="s">
        <v>1</v>
      </c>
      <c r="I97" s="8" t="s">
        <v>2</v>
      </c>
      <c r="J97" s="9">
        <f t="shared" ref="J97:O97" si="10">J5</f>
        <v>0.94999999999984763</v>
      </c>
      <c r="K97" s="9">
        <f t="shared" si="10"/>
        <v>0.95000000000002349</v>
      </c>
      <c r="L97" s="9">
        <f t="shared" si="10"/>
        <v>0.95000000000023443</v>
      </c>
      <c r="M97" s="9">
        <f t="shared" si="10"/>
        <v>0.94999999999994833</v>
      </c>
      <c r="N97" s="9">
        <f t="shared" si="10"/>
        <v>0.94999999999983054</v>
      </c>
      <c r="O97" s="9">
        <f t="shared" si="10"/>
        <v>0.9499999999999954</v>
      </c>
      <c r="P97" s="10"/>
    </row>
    <row r="98" spans="8:16" ht="18" x14ac:dyDescent="0.25">
      <c r="H98" s="200" t="s">
        <v>91</v>
      </c>
      <c r="I98" s="201" t="s">
        <v>106</v>
      </c>
      <c r="J98" s="202">
        <f t="shared" ref="J98:O98" si="11">$M$88/1000*J24*1000</f>
        <v>1935797.5048785466</v>
      </c>
      <c r="K98" s="202">
        <f t="shared" si="11"/>
        <v>1935797.5048756707</v>
      </c>
      <c r="L98" s="202">
        <f t="shared" si="11"/>
        <v>1935797.5048747205</v>
      </c>
      <c r="M98" s="202">
        <f t="shared" si="11"/>
        <v>1935797.5048765049</v>
      </c>
      <c r="N98" s="202">
        <f t="shared" si="11"/>
        <v>1935797.504871499</v>
      </c>
      <c r="O98" s="202">
        <f t="shared" si="11"/>
        <v>1935797.5048747805</v>
      </c>
      <c r="P98" s="203"/>
    </row>
    <row r="99" spans="8:16" ht="18" x14ac:dyDescent="0.25">
      <c r="H99" s="204" t="s">
        <v>92</v>
      </c>
      <c r="I99" s="13" t="s">
        <v>106</v>
      </c>
      <c r="J99" s="31">
        <f t="shared" ref="J99:L100" si="12">J93/1000*J22*1000</f>
        <v>1552924.3149631158</v>
      </c>
      <c r="K99" s="31">
        <f t="shared" si="12"/>
        <v>1281831.698726543</v>
      </c>
      <c r="L99" s="31">
        <f t="shared" si="12"/>
        <v>853642.18247449759</v>
      </c>
      <c r="M99" s="31">
        <f t="shared" ref="M99:O100" si="13">M93/1000*M22*1000</f>
        <v>935642.24630523496</v>
      </c>
      <c r="N99" s="31">
        <f t="shared" si="13"/>
        <v>1294963.3831807373</v>
      </c>
      <c r="O99" s="31">
        <f t="shared" si="13"/>
        <v>961334.14576619293</v>
      </c>
      <c r="P99" s="62"/>
    </row>
    <row r="100" spans="8:16" ht="18" x14ac:dyDescent="0.25">
      <c r="H100" s="204" t="s">
        <v>93</v>
      </c>
      <c r="I100" s="13" t="s">
        <v>106</v>
      </c>
      <c r="J100" s="31">
        <f t="shared" si="12"/>
        <v>411933.42103582161</v>
      </c>
      <c r="K100" s="31">
        <f t="shared" si="12"/>
        <v>417142.38916902401</v>
      </c>
      <c r="L100" s="31">
        <f t="shared" si="12"/>
        <v>997643.79402856203</v>
      </c>
      <c r="M100" s="31">
        <f t="shared" si="13"/>
        <v>357182.36206574785</v>
      </c>
      <c r="N100" s="31">
        <f t="shared" si="13"/>
        <v>241597.12016782837</v>
      </c>
      <c r="O100" s="31">
        <f t="shared" si="13"/>
        <v>235797.73972252454</v>
      </c>
      <c r="P100" s="62"/>
    </row>
    <row r="101" spans="8:16" ht="18" x14ac:dyDescent="0.25">
      <c r="H101" s="204" t="s">
        <v>94</v>
      </c>
      <c r="I101" s="13" t="s">
        <v>106</v>
      </c>
      <c r="J101" s="31">
        <f t="shared" ref="J101:O101" si="14">J95/1000*(-J26)*1000</f>
        <v>842834.70850260556</v>
      </c>
      <c r="K101" s="31">
        <f t="shared" si="14"/>
        <v>530772.49872603535</v>
      </c>
      <c r="L101" s="31">
        <f t="shared" si="14"/>
        <v>278125</v>
      </c>
      <c r="M101" s="31">
        <f t="shared" si="14"/>
        <v>278125</v>
      </c>
      <c r="N101" s="31">
        <f t="shared" si="14"/>
        <v>646410.42953473225</v>
      </c>
      <c r="O101" s="31">
        <f t="shared" si="14"/>
        <v>301795.7092088199</v>
      </c>
      <c r="P101" s="62"/>
    </row>
    <row r="102" spans="8:16" ht="18" x14ac:dyDescent="0.25">
      <c r="H102" s="204" t="s">
        <v>95</v>
      </c>
      <c r="I102" s="13" t="s">
        <v>106</v>
      </c>
      <c r="J102" s="31">
        <f>$B$125*10</f>
        <v>16303103.764790881</v>
      </c>
      <c r="K102" s="31">
        <f t="shared" ref="K102:O102" si="15">$B$125*10</f>
        <v>16303103.764790881</v>
      </c>
      <c r="L102" s="31">
        <f t="shared" si="15"/>
        <v>16303103.764790881</v>
      </c>
      <c r="M102" s="31">
        <f t="shared" si="15"/>
        <v>16303103.764790881</v>
      </c>
      <c r="N102" s="31">
        <f t="shared" si="15"/>
        <v>16303103.764790881</v>
      </c>
      <c r="O102" s="31">
        <f t="shared" si="15"/>
        <v>16303103.764790881</v>
      </c>
      <c r="P102" s="62"/>
    </row>
    <row r="103" spans="8:16" ht="18" x14ac:dyDescent="0.25">
      <c r="H103" s="240" t="s">
        <v>96</v>
      </c>
      <c r="I103" s="241" t="s">
        <v>106</v>
      </c>
      <c r="J103" s="27">
        <f>$B$126*10</f>
        <v>51113239.103365555</v>
      </c>
      <c r="K103" s="27">
        <f t="shared" ref="K103:O103" si="16">$B$126*10</f>
        <v>51113239.103365555</v>
      </c>
      <c r="L103" s="27">
        <f t="shared" si="16"/>
        <v>51113239.103365555</v>
      </c>
      <c r="M103" s="27">
        <f t="shared" si="16"/>
        <v>51113239.103365555</v>
      </c>
      <c r="N103" s="27">
        <f t="shared" si="16"/>
        <v>51113239.103365555</v>
      </c>
      <c r="O103" s="27">
        <f t="shared" si="16"/>
        <v>51113239.103365555</v>
      </c>
      <c r="P103" s="28"/>
    </row>
    <row r="104" spans="8:16" ht="18" x14ac:dyDescent="0.25">
      <c r="H104" s="205" t="s">
        <v>97</v>
      </c>
      <c r="I104" s="206" t="s">
        <v>107</v>
      </c>
      <c r="J104" s="207">
        <f>$B$127*10</f>
        <v>5423428.5007911213</v>
      </c>
      <c r="K104" s="207">
        <f t="shared" ref="K104:O104" si="17">$B$127*10</f>
        <v>5423428.5007911213</v>
      </c>
      <c r="L104" s="207">
        <f t="shared" si="17"/>
        <v>5423428.5007911213</v>
      </c>
      <c r="M104" s="207">
        <f t="shared" si="17"/>
        <v>5423428.5007911213</v>
      </c>
      <c r="N104" s="207">
        <f t="shared" si="17"/>
        <v>5423428.5007911213</v>
      </c>
      <c r="O104" s="207">
        <f t="shared" si="17"/>
        <v>5423428.5007911213</v>
      </c>
      <c r="P104" s="208"/>
    </row>
    <row r="105" spans="8:16" ht="18" x14ac:dyDescent="0.25">
      <c r="H105" s="209" t="s">
        <v>98</v>
      </c>
      <c r="I105" s="210" t="s">
        <v>108</v>
      </c>
      <c r="J105" s="211">
        <f t="shared" ref="J105:O105" si="18">J98/J104</f>
        <v>0.35693242837001904</v>
      </c>
      <c r="K105" s="211">
        <f t="shared" si="18"/>
        <v>0.35693242836948874</v>
      </c>
      <c r="L105" s="211">
        <f t="shared" si="18"/>
        <v>0.35693242836931355</v>
      </c>
      <c r="M105" s="211">
        <f t="shared" si="18"/>
        <v>0.35693242836964256</v>
      </c>
      <c r="N105" s="211">
        <f t="shared" si="18"/>
        <v>0.35693242836871958</v>
      </c>
      <c r="O105" s="211">
        <f t="shared" si="18"/>
        <v>0.35693242836932465</v>
      </c>
      <c r="P105" s="212"/>
    </row>
    <row r="106" spans="8:16" ht="18" x14ac:dyDescent="0.25">
      <c r="H106" s="213" t="s">
        <v>89</v>
      </c>
      <c r="I106" s="214" t="s">
        <v>109</v>
      </c>
      <c r="J106" s="215">
        <f t="shared" ref="J106:O106" si="19">J99/J104</f>
        <v>0.28633627505858872</v>
      </c>
      <c r="K106" s="215">
        <f t="shared" si="19"/>
        <v>0.23635080623623245</v>
      </c>
      <c r="L106" s="215">
        <f t="shared" si="19"/>
        <v>0.15739899260218437</v>
      </c>
      <c r="M106" s="215">
        <f t="shared" si="19"/>
        <v>0.17251859154568958</v>
      </c>
      <c r="N106" s="215">
        <f t="shared" si="19"/>
        <v>0.23877209462461607</v>
      </c>
      <c r="O106" s="215">
        <f t="shared" si="19"/>
        <v>0.17725579780870387</v>
      </c>
      <c r="P106" s="216"/>
    </row>
    <row r="107" spans="8:16" ht="18" x14ac:dyDescent="0.25">
      <c r="H107" s="213" t="s">
        <v>90</v>
      </c>
      <c r="I107" s="214" t="s">
        <v>109</v>
      </c>
      <c r="J107" s="215">
        <f t="shared" ref="J107:O107" si="20">J100/J104</f>
        <v>7.5954430112931778E-2</v>
      </c>
      <c r="K107" s="215">
        <f t="shared" si="20"/>
        <v>7.6914886793137405E-2</v>
      </c>
      <c r="L107" s="215">
        <f t="shared" si="20"/>
        <v>0.18395075990824525</v>
      </c>
      <c r="M107" s="215">
        <f t="shared" si="20"/>
        <v>6.5859144637685413E-2</v>
      </c>
      <c r="N107" s="215">
        <f t="shared" si="20"/>
        <v>4.4546935602190814E-2</v>
      </c>
      <c r="O107" s="215">
        <f t="shared" si="20"/>
        <v>4.3477615624162552E-2</v>
      </c>
      <c r="P107" s="216"/>
    </row>
    <row r="108" spans="8:16" ht="18" x14ac:dyDescent="0.25">
      <c r="H108" s="213" t="s">
        <v>99</v>
      </c>
      <c r="I108" s="214" t="s">
        <v>109</v>
      </c>
      <c r="J108" s="215">
        <f t="shared" ref="J108:O108" si="21">J101/J104</f>
        <v>0.15540625425036217</v>
      </c>
      <c r="K108" s="215">
        <f t="shared" si="21"/>
        <v>9.7866598342471189E-2</v>
      </c>
      <c r="L108" s="215">
        <f t="shared" si="21"/>
        <v>5.1282136375436611E-2</v>
      </c>
      <c r="M108" s="215">
        <f t="shared" si="21"/>
        <v>5.1282136375436611E-2</v>
      </c>
      <c r="N108" s="215">
        <f t="shared" si="21"/>
        <v>0.11918852243381464</v>
      </c>
      <c r="O108" s="215">
        <f t="shared" si="21"/>
        <v>5.5646665050492809E-2</v>
      </c>
      <c r="P108" s="216"/>
    </row>
    <row r="109" spans="8:16" ht="18" x14ac:dyDescent="0.25">
      <c r="H109" s="213" t="s">
        <v>100</v>
      </c>
      <c r="I109" s="214" t="s">
        <v>108</v>
      </c>
      <c r="J109" s="215">
        <f t="shared" ref="J109:O109" si="22">-J103/J104</f>
        <v>-9.4245252972192066</v>
      </c>
      <c r="K109" s="215">
        <f t="shared" si="22"/>
        <v>-9.4245252972192066</v>
      </c>
      <c r="L109" s="215">
        <f t="shared" si="22"/>
        <v>-9.4245252972192066</v>
      </c>
      <c r="M109" s="215">
        <f t="shared" si="22"/>
        <v>-9.4245252972192066</v>
      </c>
      <c r="N109" s="215">
        <f t="shared" si="22"/>
        <v>-9.4245252972192066</v>
      </c>
      <c r="O109" s="215">
        <f t="shared" si="22"/>
        <v>-9.4245252972192066</v>
      </c>
      <c r="P109" s="216"/>
    </row>
    <row r="110" spans="8:16" ht="18" x14ac:dyDescent="0.25">
      <c r="H110" s="217" t="s">
        <v>101</v>
      </c>
      <c r="I110" s="218" t="s">
        <v>108</v>
      </c>
      <c r="J110" s="219">
        <f t="shared" ref="J110:O110" si="23">SUM(J105:J109)</f>
        <v>-8.5498959094273044</v>
      </c>
      <c r="K110" s="219">
        <f t="shared" si="23"/>
        <v>-8.6564605774778762</v>
      </c>
      <c r="L110" s="219">
        <f t="shared" si="23"/>
        <v>-8.6749609799640268</v>
      </c>
      <c r="M110" s="219">
        <f t="shared" si="23"/>
        <v>-8.7779329962907529</v>
      </c>
      <c r="N110" s="219">
        <f t="shared" si="23"/>
        <v>-8.6650853161898649</v>
      </c>
      <c r="O110" s="219">
        <f t="shared" si="23"/>
        <v>-8.7912127903665223</v>
      </c>
      <c r="P110" s="220"/>
    </row>
    <row r="111" spans="8:16" x14ac:dyDescent="0.25">
      <c r="H111" s="221"/>
      <c r="I111" s="6"/>
      <c r="J111" s="222"/>
      <c r="K111" s="222"/>
      <c r="L111" s="222"/>
      <c r="M111" s="222"/>
      <c r="N111" s="222"/>
      <c r="O111" s="222"/>
    </row>
    <row r="112" spans="8:16" x14ac:dyDescent="0.25">
      <c r="H112" s="283" t="s">
        <v>133</v>
      </c>
      <c r="I112" s="70"/>
      <c r="J112" s="284">
        <f t="shared" ref="J112:O112" si="24">(J31+J37)*J104/J22</f>
        <v>24.78680924624928</v>
      </c>
      <c r="K112" s="284">
        <f t="shared" si="24"/>
        <v>24.786809246252457</v>
      </c>
      <c r="L112" s="284">
        <f t="shared" si="24"/>
        <v>22.050445529612503</v>
      </c>
      <c r="M112" s="284">
        <f t="shared" si="24"/>
        <v>22.050445529612151</v>
      </c>
      <c r="N112" s="284">
        <f t="shared" si="24"/>
        <v>42.259639895233121</v>
      </c>
      <c r="O112" s="284">
        <f t="shared" si="24"/>
        <v>42.259639895237434</v>
      </c>
      <c r="P112" s="285"/>
    </row>
    <row r="113" spans="1:16" x14ac:dyDescent="0.25">
      <c r="H113" s="286" t="s">
        <v>134</v>
      </c>
      <c r="I113" s="287"/>
      <c r="J113" s="181">
        <f t="shared" ref="J113:O113" si="25">IF(J32&gt;0,(J32+J38)*J104/J23,0)</f>
        <v>91.783552534796499</v>
      </c>
      <c r="K113" s="181">
        <f t="shared" si="25"/>
        <v>91.783552534807711</v>
      </c>
      <c r="L113" s="181">
        <f t="shared" si="25"/>
        <v>50.260608690439611</v>
      </c>
      <c r="M113" s="181">
        <f t="shared" si="25"/>
        <v>50.26060869043868</v>
      </c>
      <c r="N113" s="181">
        <f t="shared" si="25"/>
        <v>67.309417477039418</v>
      </c>
      <c r="O113" s="181">
        <f t="shared" si="25"/>
        <v>67.309417477046182</v>
      </c>
      <c r="P113" s="182"/>
    </row>
    <row r="114" spans="1:16" x14ac:dyDescent="0.25">
      <c r="H114" s="221"/>
      <c r="I114" s="6"/>
      <c r="J114" s="22"/>
      <c r="K114" s="222"/>
      <c r="L114" s="222"/>
      <c r="M114" s="222"/>
      <c r="N114" s="222"/>
      <c r="O114" s="222"/>
    </row>
    <row r="115" spans="1:16" x14ac:dyDescent="0.25">
      <c r="H115" s="226" t="s">
        <v>1</v>
      </c>
      <c r="I115" s="227"/>
      <c r="J115" s="228">
        <f>J28</f>
        <v>-7.6288415584713221E-9</v>
      </c>
      <c r="K115" s="228">
        <f t="shared" ref="K115:O115" si="26">K28</f>
        <v>2.2992026060819626E-9</v>
      </c>
      <c r="L115" s="228">
        <f t="shared" si="26"/>
        <v>2.0785591914318502E-8</v>
      </c>
      <c r="M115" s="228">
        <f t="shared" si="26"/>
        <v>-3.396053216420114E-9</v>
      </c>
      <c r="N115" s="228">
        <f t="shared" si="26"/>
        <v>-2.6882844395004213E-8</v>
      </c>
      <c r="O115" s="228">
        <f t="shared" si="26"/>
        <v>-2.965862222481519E-9</v>
      </c>
      <c r="P115" s="229"/>
    </row>
    <row r="116" spans="1:16" ht="18" x14ac:dyDescent="0.25">
      <c r="H116" s="148" t="s">
        <v>89</v>
      </c>
      <c r="I116" s="194" t="s">
        <v>104</v>
      </c>
      <c r="J116" s="195">
        <f>IF(J22&gt;0,  $J$88*(J6*1000)/(J22*1000)/$K$88*1000, 0)</f>
        <v>47.40646577152377</v>
      </c>
      <c r="K116" s="195">
        <f t="shared" ref="K116:O116" si="27">IF(K22&gt;0,  $J$88*(K6*1000)/(K22*1000)/$K$88*1000, 0)</f>
        <v>47.40646577152377</v>
      </c>
      <c r="L116" s="195">
        <f t="shared" si="27"/>
        <v>42.172983253358979</v>
      </c>
      <c r="M116" s="195">
        <f t="shared" si="27"/>
        <v>42.172983253359035</v>
      </c>
      <c r="N116" s="195">
        <f t="shared" si="27"/>
        <v>80.82444788707086</v>
      </c>
      <c r="O116" s="195">
        <f t="shared" si="27"/>
        <v>80.824447887070747</v>
      </c>
      <c r="P116" s="196"/>
    </row>
    <row r="117" spans="1:16" ht="18" x14ac:dyDescent="0.25">
      <c r="H117" s="61" t="s">
        <v>90</v>
      </c>
      <c r="I117" s="230" t="s">
        <v>104</v>
      </c>
      <c r="J117" s="231">
        <f t="shared" ref="J117:O117" si="28">IF(J23&gt;0,$J$89*(J7*1000)/(J23*1000)/$K$89*1000,0)</f>
        <v>19.886436382542918</v>
      </c>
      <c r="K117" s="231">
        <f t="shared" si="28"/>
        <v>19.88643638254279</v>
      </c>
      <c r="L117" s="231">
        <f t="shared" si="28"/>
        <v>10.889798549595694</v>
      </c>
      <c r="M117" s="231">
        <f t="shared" si="28"/>
        <v>10.889798549595683</v>
      </c>
      <c r="N117" s="231">
        <f t="shared" si="28"/>
        <v>5.3864107553195009</v>
      </c>
      <c r="O117" s="231">
        <f t="shared" si="28"/>
        <v>5.3864107553194867</v>
      </c>
      <c r="P117" s="232"/>
    </row>
    <row r="118" spans="1:16" ht="18" x14ac:dyDescent="0.25">
      <c r="H118" s="153" t="s">
        <v>99</v>
      </c>
      <c r="I118" s="197" t="s">
        <v>104</v>
      </c>
      <c r="J118" s="198">
        <f t="shared" ref="J118:O118" si="29">IF(-J26&gt;0,$J$90*(J8*1000)/(-J26*1000)/$K$90*1000,0)</f>
        <v>47.019533493131746</v>
      </c>
      <c r="K118" s="198">
        <f t="shared" si="29"/>
        <v>42.987967277408025</v>
      </c>
      <c r="L118" s="198">
        <f t="shared" si="29"/>
        <v>58.142887403870432</v>
      </c>
      <c r="M118" s="198">
        <f t="shared" si="29"/>
        <v>43.459356184791147</v>
      </c>
      <c r="N118" s="198">
        <f t="shared" si="29"/>
        <v>89.476682871311894</v>
      </c>
      <c r="O118" s="198">
        <f t="shared" si="29"/>
        <v>99.043781403521848</v>
      </c>
      <c r="P118" s="199"/>
    </row>
    <row r="119" spans="1:16" ht="18" x14ac:dyDescent="0.25">
      <c r="H119" s="233" t="s">
        <v>188</v>
      </c>
      <c r="I119" s="234"/>
      <c r="J119" s="234"/>
      <c r="K119" s="234"/>
      <c r="L119" s="234"/>
      <c r="M119" s="234"/>
      <c r="N119" s="234"/>
      <c r="O119" s="234"/>
      <c r="P119" s="235"/>
    </row>
    <row r="120" spans="1:16" x14ac:dyDescent="0.25">
      <c r="H120" s="7" t="s">
        <v>1</v>
      </c>
      <c r="I120" s="8" t="s">
        <v>2</v>
      </c>
      <c r="J120" s="9">
        <f t="shared" ref="J120:O120" si="30">J28</f>
        <v>-7.6288415584713221E-9</v>
      </c>
      <c r="K120" s="9">
        <f t="shared" si="30"/>
        <v>2.2992026060819626E-9</v>
      </c>
      <c r="L120" s="9">
        <f t="shared" si="30"/>
        <v>2.0785591914318502E-8</v>
      </c>
      <c r="M120" s="9">
        <f t="shared" si="30"/>
        <v>-3.396053216420114E-9</v>
      </c>
      <c r="N120" s="9">
        <f t="shared" si="30"/>
        <v>-2.6882844395004213E-8</v>
      </c>
      <c r="O120" s="9">
        <f t="shared" si="30"/>
        <v>-2.965862222481519E-9</v>
      </c>
      <c r="P120" s="10"/>
    </row>
    <row r="121" spans="1:16" ht="18" x14ac:dyDescent="0.25">
      <c r="H121" s="200" t="s">
        <v>91</v>
      </c>
      <c r="I121" s="201" t="s">
        <v>106</v>
      </c>
      <c r="J121" s="202">
        <f>$M$88/1000*J24*1000</f>
        <v>1935797.5048785466</v>
      </c>
      <c r="K121" s="202">
        <f t="shared" ref="K121:O121" si="31">$M$88/1000*K24*1000</f>
        <v>1935797.5048756707</v>
      </c>
      <c r="L121" s="202">
        <f t="shared" si="31"/>
        <v>1935797.5048747205</v>
      </c>
      <c r="M121" s="202">
        <f t="shared" si="31"/>
        <v>1935797.5048765049</v>
      </c>
      <c r="N121" s="202">
        <f t="shared" si="31"/>
        <v>1935797.504871499</v>
      </c>
      <c r="O121" s="202">
        <f t="shared" si="31"/>
        <v>1935797.5048747805</v>
      </c>
      <c r="P121" s="203"/>
    </row>
    <row r="122" spans="1:16" ht="18" x14ac:dyDescent="0.25">
      <c r="H122" s="204" t="s">
        <v>92</v>
      </c>
      <c r="I122" s="13" t="s">
        <v>106</v>
      </c>
      <c r="J122" s="31">
        <f>J116/1000*J22*1000</f>
        <v>5176414.3832103861</v>
      </c>
      <c r="K122" s="31">
        <f t="shared" ref="K122:O123" si="32">K116/1000*K22*1000</f>
        <v>4272772.3290884765</v>
      </c>
      <c r="L122" s="31">
        <f t="shared" si="32"/>
        <v>2845473.941581659</v>
      </c>
      <c r="M122" s="31">
        <f t="shared" si="32"/>
        <v>3118807.4876841167</v>
      </c>
      <c r="N122" s="31">
        <f t="shared" si="32"/>
        <v>4316544.6106024571</v>
      </c>
      <c r="O122" s="31">
        <f t="shared" si="32"/>
        <v>3204447.1525539765</v>
      </c>
      <c r="P122" s="62"/>
    </row>
    <row r="123" spans="1:16" ht="18" x14ac:dyDescent="0.25">
      <c r="H123" s="204" t="s">
        <v>93</v>
      </c>
      <c r="I123" s="13" t="s">
        <v>106</v>
      </c>
      <c r="J123" s="31">
        <f>J117/1000*J23*1000</f>
        <v>704622.95703495806</v>
      </c>
      <c r="K123" s="31">
        <f t="shared" si="32"/>
        <v>713533.03410490952</v>
      </c>
      <c r="L123" s="31">
        <f t="shared" si="32"/>
        <v>1706495.9634699088</v>
      </c>
      <c r="M123" s="31">
        <f t="shared" si="32"/>
        <v>610969.82984930545</v>
      </c>
      <c r="N123" s="31">
        <f t="shared" si="32"/>
        <v>413258.23186602211</v>
      </c>
      <c r="O123" s="31">
        <f t="shared" si="32"/>
        <v>403338.23899905506</v>
      </c>
      <c r="P123" s="62"/>
    </row>
    <row r="124" spans="1:16" ht="18.75" thickBot="1" x14ac:dyDescent="0.3">
      <c r="H124" s="204" t="s">
        <v>94</v>
      </c>
      <c r="I124" s="13" t="s">
        <v>106</v>
      </c>
      <c r="J124" s="31">
        <f>J118/1000*(-J26)*1000</f>
        <v>1600438.9408644983</v>
      </c>
      <c r="K124" s="31">
        <f t="shared" ref="K124:O124" si="33">K118/1000*(-K26)*1000</f>
        <v>1007871.3739853932</v>
      </c>
      <c r="L124" s="31">
        <f t="shared" si="33"/>
        <v>528125</v>
      </c>
      <c r="M124" s="31">
        <f t="shared" si="33"/>
        <v>528125</v>
      </c>
      <c r="N124" s="31">
        <f t="shared" si="33"/>
        <v>1227453.5122625811</v>
      </c>
      <c r="O124" s="31">
        <f t="shared" si="33"/>
        <v>573072.7511942758</v>
      </c>
      <c r="P124" s="62"/>
    </row>
    <row r="125" spans="1:16" ht="18" x14ac:dyDescent="0.25">
      <c r="A125" s="433" t="s">
        <v>95</v>
      </c>
      <c r="B125" s="434">
        <v>1630310.3764790881</v>
      </c>
      <c r="H125" s="204" t="s">
        <v>95</v>
      </c>
      <c r="I125" s="13" t="s">
        <v>106</v>
      </c>
      <c r="J125" s="31">
        <f>$B$125*10</f>
        <v>16303103.764790881</v>
      </c>
      <c r="K125" s="31">
        <f t="shared" ref="K125:O125" si="34">$B$125*10</f>
        <v>16303103.764790881</v>
      </c>
      <c r="L125" s="31">
        <f t="shared" si="34"/>
        <v>16303103.764790881</v>
      </c>
      <c r="M125" s="31">
        <f t="shared" si="34"/>
        <v>16303103.764790881</v>
      </c>
      <c r="N125" s="31">
        <f t="shared" si="34"/>
        <v>16303103.764790881</v>
      </c>
      <c r="O125" s="31">
        <f t="shared" si="34"/>
        <v>16303103.764790881</v>
      </c>
      <c r="P125" s="62"/>
    </row>
    <row r="126" spans="1:16" ht="18" x14ac:dyDescent="0.25">
      <c r="A126" s="435" t="s">
        <v>96</v>
      </c>
      <c r="B126" s="436">
        <v>5111323.9103365559</v>
      </c>
      <c r="H126" s="240" t="s">
        <v>96</v>
      </c>
      <c r="I126" s="241" t="s">
        <v>106</v>
      </c>
      <c r="J126" s="27">
        <f>$B$126*10</f>
        <v>51113239.103365555</v>
      </c>
      <c r="K126" s="27">
        <f t="shared" ref="K126:O126" si="35">$B$126*10</f>
        <v>51113239.103365555</v>
      </c>
      <c r="L126" s="27">
        <f t="shared" si="35"/>
        <v>51113239.103365555</v>
      </c>
      <c r="M126" s="27">
        <f t="shared" si="35"/>
        <v>51113239.103365555</v>
      </c>
      <c r="N126" s="27">
        <f t="shared" si="35"/>
        <v>51113239.103365555</v>
      </c>
      <c r="O126" s="27">
        <f t="shared" si="35"/>
        <v>51113239.103365555</v>
      </c>
      <c r="P126" s="28"/>
    </row>
    <row r="127" spans="1:16" ht="18.75" thickBot="1" x14ac:dyDescent="0.3">
      <c r="A127" s="437" t="s">
        <v>97</v>
      </c>
      <c r="B127" s="438">
        <v>542342.8500791121</v>
      </c>
      <c r="H127" s="205" t="s">
        <v>97</v>
      </c>
      <c r="I127" s="206" t="s">
        <v>107</v>
      </c>
      <c r="J127" s="207">
        <f>$B$127*10</f>
        <v>5423428.5007911213</v>
      </c>
      <c r="K127" s="207">
        <f t="shared" ref="K127:O127" si="36">$B$127*10</f>
        <v>5423428.5007911213</v>
      </c>
      <c r="L127" s="207">
        <f t="shared" si="36"/>
        <v>5423428.5007911213</v>
      </c>
      <c r="M127" s="207">
        <f t="shared" si="36"/>
        <v>5423428.5007911213</v>
      </c>
      <c r="N127" s="207">
        <f t="shared" si="36"/>
        <v>5423428.5007911213</v>
      </c>
      <c r="O127" s="207">
        <f t="shared" si="36"/>
        <v>5423428.5007911213</v>
      </c>
      <c r="P127" s="208"/>
    </row>
    <row r="128" spans="1:16" ht="18" x14ac:dyDescent="0.25">
      <c r="H128" s="209" t="s">
        <v>98</v>
      </c>
      <c r="I128" s="210" t="s">
        <v>108</v>
      </c>
      <c r="J128" s="211">
        <f t="shared" ref="J128:O128" si="37">J121/J127</f>
        <v>0.35693242837001904</v>
      </c>
      <c r="K128" s="211">
        <f t="shared" si="37"/>
        <v>0.35693242836948874</v>
      </c>
      <c r="L128" s="211">
        <f t="shared" si="37"/>
        <v>0.35693242836931355</v>
      </c>
      <c r="M128" s="211">
        <f t="shared" si="37"/>
        <v>0.35693242836964256</v>
      </c>
      <c r="N128" s="211">
        <f t="shared" si="37"/>
        <v>0.35693242836871958</v>
      </c>
      <c r="O128" s="211">
        <f t="shared" si="37"/>
        <v>0.35693242836932465</v>
      </c>
      <c r="P128" s="212"/>
    </row>
    <row r="129" spans="8:16" ht="18" x14ac:dyDescent="0.25">
      <c r="H129" s="213" t="s">
        <v>89</v>
      </c>
      <c r="I129" s="214" t="s">
        <v>109</v>
      </c>
      <c r="J129" s="215">
        <f t="shared" ref="J129:O129" si="38">J122/J127</f>
        <v>0.95445425019529562</v>
      </c>
      <c r="K129" s="215">
        <f t="shared" si="38"/>
        <v>0.78783602078744153</v>
      </c>
      <c r="L129" s="215">
        <f t="shared" si="38"/>
        <v>0.52466330867394795</v>
      </c>
      <c r="M129" s="215">
        <f t="shared" si="38"/>
        <v>0.57506197181896523</v>
      </c>
      <c r="N129" s="215">
        <f t="shared" si="38"/>
        <v>0.79590698208205346</v>
      </c>
      <c r="O129" s="215">
        <f t="shared" si="38"/>
        <v>0.59085265936234621</v>
      </c>
      <c r="P129" s="216"/>
    </row>
    <row r="130" spans="8:16" ht="18" x14ac:dyDescent="0.25">
      <c r="H130" s="213" t="s">
        <v>90</v>
      </c>
      <c r="I130" s="214" t="s">
        <v>109</v>
      </c>
      <c r="J130" s="215">
        <f t="shared" ref="J130:O130" si="39">J123/J127</f>
        <v>0.12992205150896227</v>
      </c>
      <c r="K130" s="215">
        <f t="shared" si="39"/>
        <v>0.13156493793562979</v>
      </c>
      <c r="L130" s="215">
        <f t="shared" si="39"/>
        <v>0.31465261563252478</v>
      </c>
      <c r="M130" s="215">
        <f t="shared" si="39"/>
        <v>0.1126538000381461</v>
      </c>
      <c r="N130" s="215">
        <f t="shared" si="39"/>
        <v>7.619870563532638E-2</v>
      </c>
      <c r="O130" s="215">
        <f t="shared" si="39"/>
        <v>7.4369605672909608E-2</v>
      </c>
      <c r="P130" s="216"/>
    </row>
    <row r="131" spans="8:16" ht="18" x14ac:dyDescent="0.25">
      <c r="H131" s="213" t="s">
        <v>99</v>
      </c>
      <c r="I131" s="214" t="s">
        <v>109</v>
      </c>
      <c r="J131" s="215">
        <f>J124/J127</f>
        <v>0.29509726930686753</v>
      </c>
      <c r="K131" s="215">
        <f t="shared" ref="K131:O131" si="40">K124/K127</f>
        <v>0.18583657438064757</v>
      </c>
      <c r="L131" s="215">
        <f t="shared" si="40"/>
        <v>9.737843873537963E-2</v>
      </c>
      <c r="M131" s="215">
        <f t="shared" si="40"/>
        <v>9.737843873537963E-2</v>
      </c>
      <c r="N131" s="215">
        <f t="shared" si="40"/>
        <v>0.22632427293611987</v>
      </c>
      <c r="O131" s="215">
        <f t="shared" si="40"/>
        <v>0.10566613925318294</v>
      </c>
      <c r="P131" s="216"/>
    </row>
    <row r="132" spans="8:16" ht="18" x14ac:dyDescent="0.25">
      <c r="H132" s="213" t="s">
        <v>100</v>
      </c>
      <c r="I132" s="214" t="s">
        <v>108</v>
      </c>
      <c r="J132" s="215">
        <f>-J126/J127</f>
        <v>-9.4245252972192066</v>
      </c>
      <c r="K132" s="215">
        <f t="shared" ref="K132:O132" si="41">-K126/K127</f>
        <v>-9.4245252972192066</v>
      </c>
      <c r="L132" s="215">
        <f t="shared" si="41"/>
        <v>-9.4245252972192066</v>
      </c>
      <c r="M132" s="215">
        <f t="shared" si="41"/>
        <v>-9.4245252972192066</v>
      </c>
      <c r="N132" s="215">
        <f t="shared" si="41"/>
        <v>-9.4245252972192066</v>
      </c>
      <c r="O132" s="215">
        <f t="shared" si="41"/>
        <v>-9.4245252972192066</v>
      </c>
      <c r="P132" s="216"/>
    </row>
    <row r="133" spans="8:16" ht="18" x14ac:dyDescent="0.25">
      <c r="H133" s="217" t="s">
        <v>101</v>
      </c>
      <c r="I133" s="218" t="s">
        <v>108</v>
      </c>
      <c r="J133" s="219">
        <f t="shared" ref="J133:O133" si="42">SUM(J128:J132)</f>
        <v>-7.6881192978380621</v>
      </c>
      <c r="K133" s="219">
        <f t="shared" si="42"/>
        <v>-7.9623553357459986</v>
      </c>
      <c r="L133" s="219">
        <f t="shared" si="42"/>
        <v>-8.130898505808041</v>
      </c>
      <c r="M133" s="219">
        <f t="shared" si="42"/>
        <v>-8.2824986582570723</v>
      </c>
      <c r="N133" s="219">
        <f t="shared" si="42"/>
        <v>-7.9691629081969868</v>
      </c>
      <c r="O133" s="219">
        <f t="shared" si="42"/>
        <v>-8.2967044645614436</v>
      </c>
      <c r="P133" s="220"/>
    </row>
    <row r="134" spans="8:16" x14ac:dyDescent="0.25">
      <c r="J134" s="31"/>
      <c r="K134" s="31"/>
      <c r="L134" s="31"/>
      <c r="M134" s="31"/>
      <c r="N134" s="31"/>
    </row>
    <row r="136" spans="8:16" ht="18" x14ac:dyDescent="0.25">
      <c r="H136" s="364" t="s">
        <v>192</v>
      </c>
      <c r="I136" s="365" t="s">
        <v>190</v>
      </c>
      <c r="J136" s="366">
        <f>SUM(J106:J108)</f>
        <v>0.51769695942188265</v>
      </c>
      <c r="K136" s="366">
        <f t="shared" ref="K136:O136" si="43">SUM(K106:K108)</f>
        <v>0.41113229137184104</v>
      </c>
      <c r="L136" s="366">
        <f t="shared" si="43"/>
        <v>0.39263188888586625</v>
      </c>
      <c r="M136" s="366">
        <f t="shared" si="43"/>
        <v>0.28965987255881159</v>
      </c>
      <c r="N136" s="366">
        <f t="shared" si="43"/>
        <v>0.40250755266062155</v>
      </c>
      <c r="O136" s="366">
        <f t="shared" si="43"/>
        <v>0.27638007848335922</v>
      </c>
      <c r="P136" s="367"/>
    </row>
    <row r="137" spans="8:16" ht="18" x14ac:dyDescent="0.25">
      <c r="H137" s="368" t="s">
        <v>193</v>
      </c>
      <c r="I137" s="369" t="s">
        <v>191</v>
      </c>
      <c r="J137" s="289">
        <f>SUM(J129:J131)</f>
        <v>1.3794735710111254</v>
      </c>
      <c r="K137" s="289">
        <f t="shared" ref="K137:O137" si="44">SUM(K129:K131)</f>
        <v>1.105237533103719</v>
      </c>
      <c r="L137" s="289">
        <f t="shared" si="44"/>
        <v>0.93669436304185238</v>
      </c>
      <c r="M137" s="289">
        <f t="shared" si="44"/>
        <v>0.78509421059249096</v>
      </c>
      <c r="N137" s="289">
        <f t="shared" si="44"/>
        <v>1.0984299606534997</v>
      </c>
      <c r="O137" s="289">
        <f t="shared" si="44"/>
        <v>0.77088840428843874</v>
      </c>
      <c r="P137" s="370"/>
    </row>
    <row r="138" spans="8:16" ht="18" x14ac:dyDescent="0.25">
      <c r="H138" s="368" t="s">
        <v>189</v>
      </c>
      <c r="I138" s="369" t="s">
        <v>190</v>
      </c>
      <c r="J138" s="289">
        <f>J128</f>
        <v>0.35693242837001904</v>
      </c>
      <c r="K138" s="289">
        <f t="shared" ref="K138:O138" si="45">K128</f>
        <v>0.35693242836948874</v>
      </c>
      <c r="L138" s="289">
        <f t="shared" si="45"/>
        <v>0.35693242836931355</v>
      </c>
      <c r="M138" s="289">
        <f t="shared" si="45"/>
        <v>0.35693242836964256</v>
      </c>
      <c r="N138" s="289">
        <f t="shared" si="45"/>
        <v>0.35693242836871958</v>
      </c>
      <c r="O138" s="289">
        <f t="shared" si="45"/>
        <v>0.35693242836932465</v>
      </c>
      <c r="P138" s="370"/>
    </row>
    <row r="139" spans="8:16" ht="18" x14ac:dyDescent="0.25">
      <c r="H139" s="371" t="s">
        <v>100</v>
      </c>
      <c r="I139" s="369" t="s">
        <v>190</v>
      </c>
      <c r="J139" s="289">
        <f>J132</f>
        <v>-9.4245252972192066</v>
      </c>
      <c r="K139" s="289">
        <f t="shared" ref="K139:O139" si="46">K132</f>
        <v>-9.4245252972192066</v>
      </c>
      <c r="L139" s="289">
        <f t="shared" si="46"/>
        <v>-9.4245252972192066</v>
      </c>
      <c r="M139" s="289">
        <f t="shared" si="46"/>
        <v>-9.4245252972192066</v>
      </c>
      <c r="N139" s="289">
        <f t="shared" si="46"/>
        <v>-9.4245252972192066</v>
      </c>
      <c r="O139" s="289">
        <f t="shared" si="46"/>
        <v>-9.4245252972192066</v>
      </c>
      <c r="P139" s="370"/>
    </row>
    <row r="140" spans="8:16" ht="18" x14ac:dyDescent="0.25">
      <c r="H140" s="371" t="s">
        <v>194</v>
      </c>
      <c r="I140" s="369" t="s">
        <v>191</v>
      </c>
      <c r="J140" s="289">
        <f>J136+J138+J139</f>
        <v>-8.5498959094273044</v>
      </c>
      <c r="K140" s="289">
        <f t="shared" ref="K140:O140" si="47">K136+K138+K139</f>
        <v>-8.6564605774778762</v>
      </c>
      <c r="L140" s="289">
        <f t="shared" si="47"/>
        <v>-8.6749609799640268</v>
      </c>
      <c r="M140" s="289">
        <f t="shared" si="47"/>
        <v>-8.7779329962907529</v>
      </c>
      <c r="N140" s="289">
        <f t="shared" si="47"/>
        <v>-8.6650853161898649</v>
      </c>
      <c r="O140" s="289">
        <f t="shared" si="47"/>
        <v>-8.7912127903665223</v>
      </c>
      <c r="P140" s="370"/>
    </row>
    <row r="141" spans="8:16" ht="18" x14ac:dyDescent="0.25">
      <c r="H141" s="372" t="s">
        <v>195</v>
      </c>
      <c r="I141" s="373" t="s">
        <v>191</v>
      </c>
      <c r="J141" s="374">
        <f>J137+J138+J139</f>
        <v>-7.6881192978380621</v>
      </c>
      <c r="K141" s="374">
        <f t="shared" ref="K141:O141" si="48">K137+K138+K139</f>
        <v>-7.9623553357459986</v>
      </c>
      <c r="L141" s="374">
        <f t="shared" si="48"/>
        <v>-8.130898505808041</v>
      </c>
      <c r="M141" s="374">
        <f t="shared" si="48"/>
        <v>-8.2824986582570723</v>
      </c>
      <c r="N141" s="374">
        <f t="shared" si="48"/>
        <v>-7.9691629081969868</v>
      </c>
      <c r="O141" s="374">
        <f t="shared" si="48"/>
        <v>-8.2967044645614436</v>
      </c>
      <c r="P141" s="375"/>
    </row>
    <row r="142" spans="8:16" x14ac:dyDescent="0.25">
      <c r="H142" s="376" t="s">
        <v>196</v>
      </c>
      <c r="I142" s="377"/>
      <c r="J142" s="378">
        <f>J140-J110</f>
        <v>0</v>
      </c>
      <c r="K142" s="378">
        <f t="shared" ref="K142:O142" si="49">K140-K110</f>
        <v>0</v>
      </c>
      <c r="L142" s="378">
        <f t="shared" si="49"/>
        <v>0</v>
      </c>
      <c r="M142" s="378">
        <f t="shared" si="49"/>
        <v>0</v>
      </c>
      <c r="N142" s="378">
        <f t="shared" si="49"/>
        <v>0</v>
      </c>
      <c r="O142" s="378">
        <f t="shared" si="49"/>
        <v>0</v>
      </c>
      <c r="P142" s="379"/>
    </row>
    <row r="143" spans="8:16" x14ac:dyDescent="0.25">
      <c r="H143" s="380" t="s">
        <v>197</v>
      </c>
      <c r="I143" s="381"/>
      <c r="J143" s="382">
        <f>J141-J133</f>
        <v>0</v>
      </c>
      <c r="K143" s="382">
        <f t="shared" ref="K143:O143" si="50">K141-K133</f>
        <v>0</v>
      </c>
      <c r="L143" s="382">
        <f t="shared" si="50"/>
        <v>0</v>
      </c>
      <c r="M143" s="382">
        <f t="shared" si="50"/>
        <v>0</v>
      </c>
      <c r="N143" s="382">
        <f t="shared" si="50"/>
        <v>0</v>
      </c>
      <c r="O143" s="382">
        <f t="shared" si="50"/>
        <v>0</v>
      </c>
      <c r="P143" s="383"/>
    </row>
    <row r="144" spans="8:16" x14ac:dyDescent="0.25">
      <c r="H144" s="224"/>
      <c r="J144" s="22"/>
      <c r="K144" s="22"/>
      <c r="L144" s="22"/>
      <c r="M144" s="22"/>
      <c r="N144" s="22"/>
    </row>
    <row r="145" spans="8:14" x14ac:dyDescent="0.25">
      <c r="H145" s="224"/>
      <c r="J145" s="22"/>
      <c r="K145" s="22"/>
      <c r="L145" s="22"/>
      <c r="M145" s="22"/>
      <c r="N145" s="22"/>
    </row>
    <row r="146" spans="8:14" x14ac:dyDescent="0.25">
      <c r="H146" s="224"/>
      <c r="J146" s="22"/>
      <c r="K146" s="22"/>
      <c r="L146" s="22"/>
      <c r="M146" s="22"/>
      <c r="N146" s="22"/>
    </row>
    <row r="147" spans="8:14" x14ac:dyDescent="0.25">
      <c r="H147" s="224"/>
      <c r="J147" s="22"/>
      <c r="K147" s="22"/>
      <c r="L147" s="22"/>
      <c r="M147" s="22"/>
      <c r="N147" s="22"/>
    </row>
    <row r="148" spans="8:14" x14ac:dyDescent="0.25">
      <c r="H148" s="224"/>
      <c r="J148" s="22"/>
      <c r="K148" s="22"/>
      <c r="L148" s="22"/>
      <c r="M148" s="22"/>
      <c r="N148" s="22"/>
    </row>
    <row r="149" spans="8:14" x14ac:dyDescent="0.25">
      <c r="J149" s="22"/>
      <c r="K149" s="22"/>
      <c r="L149" s="22"/>
      <c r="M149" s="22"/>
      <c r="N149" s="22"/>
    </row>
    <row r="150" spans="8:14" x14ac:dyDescent="0.25">
      <c r="H150" s="224"/>
      <c r="J150" s="22"/>
      <c r="K150" s="22"/>
      <c r="L150" s="22"/>
      <c r="M150" s="22"/>
      <c r="N150" s="22"/>
    </row>
    <row r="151" spans="8:14" x14ac:dyDescent="0.25">
      <c r="H151" s="224"/>
      <c r="J151" s="22"/>
      <c r="K151" s="22"/>
      <c r="L151" s="22"/>
      <c r="M151" s="22"/>
      <c r="N151" s="22"/>
    </row>
  </sheetData>
  <mergeCells count="2">
    <mergeCell ref="I86:J86"/>
    <mergeCell ref="I87:J87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opiaIncolla">
                <anchor moveWithCells="1" sizeWithCells="1">
                  <from>
                    <xdr:col>2</xdr:col>
                    <xdr:colOff>438150</xdr:colOff>
                    <xdr:row>5</xdr:row>
                    <xdr:rowOff>66675</xdr:rowOff>
                  </from>
                  <to>
                    <xdr:col>4</xdr:col>
                    <xdr:colOff>95250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36895-56D9-46FB-8C49-F5E287550459}">
  <sheetPr codeName="Foglio4"/>
  <dimension ref="H2:AB152"/>
  <sheetViews>
    <sheetView tabSelected="1" zoomScale="25" zoomScaleNormal="25" workbookViewId="0">
      <selection activeCell="AK157" sqref="AK157"/>
    </sheetView>
  </sheetViews>
  <sheetFormatPr defaultRowHeight="15" x14ac:dyDescent="0.25"/>
  <cols>
    <col min="8" max="8" width="49.28515625" bestFit="1" customWidth="1"/>
    <col min="9" max="9" width="24.28515625" bestFit="1" customWidth="1"/>
    <col min="10" max="10" width="15" bestFit="1" customWidth="1"/>
    <col min="11" max="11" width="15.28515625" bestFit="1" customWidth="1"/>
    <col min="12" max="12" width="15" bestFit="1" customWidth="1"/>
    <col min="13" max="13" width="15.28515625" bestFit="1" customWidth="1"/>
    <col min="14" max="14" width="13.28515625" bestFit="1" customWidth="1"/>
    <col min="15" max="15" width="15" bestFit="1" customWidth="1"/>
    <col min="16" max="16" width="15.28515625" bestFit="1" customWidth="1"/>
    <col min="17" max="17" width="15" bestFit="1" customWidth="1"/>
    <col min="18" max="19" width="14.7109375" bestFit="1" customWidth="1"/>
    <col min="20" max="20" width="13.5703125" bestFit="1" customWidth="1"/>
    <col min="21" max="21" width="15" bestFit="1" customWidth="1"/>
    <col min="22" max="22" width="15.28515625" bestFit="1" customWidth="1"/>
    <col min="23" max="23" width="15" bestFit="1" customWidth="1"/>
    <col min="24" max="24" width="15.42578125" bestFit="1" customWidth="1"/>
    <col min="25" max="25" width="15.28515625" bestFit="1" customWidth="1"/>
    <col min="26" max="26" width="15" bestFit="1" customWidth="1"/>
    <col min="27" max="27" width="15.28515625" bestFit="1" customWidth="1"/>
    <col min="28" max="28" width="14.28515625" bestFit="1" customWidth="1"/>
    <col min="30" max="30" width="13.85546875" bestFit="1" customWidth="1"/>
    <col min="31" max="31" width="14.28515625" bestFit="1" customWidth="1"/>
    <col min="33" max="34" width="15.140625" bestFit="1" customWidth="1"/>
    <col min="36" max="37" width="15.140625" bestFit="1" customWidth="1"/>
    <col min="39" max="39" width="15.140625" bestFit="1" customWidth="1"/>
    <col min="40" max="40" width="16.140625" bestFit="1" customWidth="1"/>
    <col min="42" max="43" width="15.140625" bestFit="1" customWidth="1"/>
    <col min="45" max="46" width="15.140625" bestFit="1" customWidth="1"/>
    <col min="48" max="49" width="15.140625" bestFit="1" customWidth="1"/>
    <col min="51" max="51" width="13.85546875" bestFit="1" customWidth="1"/>
    <col min="52" max="52" width="13.42578125" bestFit="1" customWidth="1"/>
    <col min="54" max="55" width="15.140625" bestFit="1" customWidth="1"/>
    <col min="57" max="58" width="15.140625" bestFit="1" customWidth="1"/>
    <col min="60" max="61" width="14.85546875" bestFit="1" customWidth="1"/>
  </cols>
  <sheetData>
    <row r="2" spans="9:28" x14ac:dyDescent="0.25">
      <c r="I2" t="s">
        <v>205</v>
      </c>
      <c r="J2" s="22">
        <f>J32+J33+J34+J38+J39+J40+J43</f>
        <v>4.5640597670532035</v>
      </c>
      <c r="K2" s="22">
        <f t="shared" ref="K2:U2" si="0">K32+K33+K34+K38+K39+K40+K43</f>
        <v>3.2767022425768393</v>
      </c>
      <c r="L2" s="22">
        <f t="shared" si="0"/>
        <v>3.3953318837200199</v>
      </c>
      <c r="M2" s="22">
        <f t="shared" si="0"/>
        <v>2.4060938886229759</v>
      </c>
      <c r="N2" s="22">
        <f t="shared" si="0"/>
        <v>3.4994158646601781</v>
      </c>
      <c r="O2" s="22">
        <f t="shared" si="0"/>
        <v>2.2492384402790138</v>
      </c>
      <c r="P2" s="22">
        <f t="shared" si="0"/>
        <v>1.8700750877789232</v>
      </c>
      <c r="Q2" s="22">
        <f t="shared" si="0"/>
        <v>1.5534922286265676</v>
      </c>
      <c r="R2" s="22">
        <f t="shared" si="0"/>
        <v>1.3291835363601332</v>
      </c>
      <c r="S2" s="22">
        <f t="shared" si="0"/>
        <v>1.1272139495770248</v>
      </c>
      <c r="T2" s="22">
        <f t="shared" si="0"/>
        <v>1.9288704777897372</v>
      </c>
      <c r="U2" s="22">
        <f t="shared" si="0"/>
        <v>1.5511409224392805</v>
      </c>
    </row>
    <row r="3" spans="9:28" x14ac:dyDescent="0.25">
      <c r="Y3" s="457"/>
      <c r="Z3" s="457"/>
      <c r="AA3" s="457"/>
      <c r="AB3" s="457"/>
    </row>
    <row r="4" spans="9:28" x14ac:dyDescent="0.25">
      <c r="I4" t="s">
        <v>206</v>
      </c>
      <c r="J4" s="22">
        <f>J6+J7</f>
        <v>3.1920454437793762</v>
      </c>
      <c r="K4" s="22">
        <f t="shared" ref="K4:O4" si="1">K6+K7</f>
        <v>2.4019350833035578</v>
      </c>
      <c r="L4" s="22">
        <f t="shared" si="1"/>
        <v>2.3304384781256728</v>
      </c>
      <c r="M4" s="22">
        <f t="shared" si="1"/>
        <v>1.7483515825326259</v>
      </c>
      <c r="N4" s="22">
        <f t="shared" si="1"/>
        <v>2.565329818130115</v>
      </c>
      <c r="O4" s="22">
        <f t="shared" si="1"/>
        <v>1.6533703568767955</v>
      </c>
      <c r="P4" s="22">
        <f>P6+P7</f>
        <v>1.3499754722117809</v>
      </c>
      <c r="Q4" s="22">
        <f t="shared" ref="Q4:U4" si="2">Q6+Q7</f>
        <v>1.1351085181335878</v>
      </c>
      <c r="R4" s="22">
        <f t="shared" si="2"/>
        <v>0.90628431829973055</v>
      </c>
      <c r="S4" s="22">
        <f t="shared" si="2"/>
        <v>0.81127339563437584</v>
      </c>
      <c r="T4" s="22">
        <f t="shared" si="2"/>
        <v>1.397693815949109</v>
      </c>
      <c r="U4" s="22">
        <f t="shared" si="2"/>
        <v>1.1276878619757591</v>
      </c>
      <c r="Y4" s="457"/>
      <c r="Z4" s="457"/>
      <c r="AA4" s="457"/>
      <c r="AB4" s="457"/>
    </row>
    <row r="5" spans="9:28" x14ac:dyDescent="0.25">
      <c r="Y5" s="457"/>
      <c r="Z5" s="457"/>
      <c r="AA5" s="457"/>
      <c r="AB5" s="457"/>
    </row>
    <row r="6" spans="9:28" x14ac:dyDescent="0.25">
      <c r="I6" t="s">
        <v>202</v>
      </c>
      <c r="J6" s="22">
        <f>J32+J33</f>
        <v>2.1556360440629589</v>
      </c>
      <c r="K6" s="22">
        <f t="shared" ref="K6:U6" si="3">K32+K33</f>
        <v>1.9338499219117131</v>
      </c>
      <c r="L6" s="22">
        <f t="shared" si="3"/>
        <v>1.4643814530973938</v>
      </c>
      <c r="M6" s="22">
        <f t="shared" si="3"/>
        <v>1.3669719291333076</v>
      </c>
      <c r="N6" s="22">
        <f t="shared" si="3"/>
        <v>1.9448243627652271</v>
      </c>
      <c r="O6" s="22">
        <f t="shared" si="3"/>
        <v>1.5539527974395348</v>
      </c>
      <c r="P6" s="22">
        <f t="shared" si="3"/>
        <v>0.91693326388145846</v>
      </c>
      <c r="Q6" s="22">
        <f t="shared" si="3"/>
        <v>0.82993205841986795</v>
      </c>
      <c r="R6" s="22">
        <f t="shared" si="3"/>
        <v>0.55716050622298852</v>
      </c>
      <c r="S6" s="22">
        <f t="shared" si="3"/>
        <v>0.5872679119850257</v>
      </c>
      <c r="T6" s="22">
        <f t="shared" si="3"/>
        <v>1.0650052017433793</v>
      </c>
      <c r="U6" s="22">
        <f t="shared" si="3"/>
        <v>0.95855281231054601</v>
      </c>
      <c r="Y6" s="457"/>
      <c r="Z6" s="457"/>
      <c r="AA6" s="457"/>
      <c r="AB6" s="457"/>
    </row>
    <row r="7" spans="9:28" x14ac:dyDescent="0.25">
      <c r="I7" t="s">
        <v>203</v>
      </c>
      <c r="J7" s="22">
        <f>J34</f>
        <v>1.0364093997164174</v>
      </c>
      <c r="K7" s="22">
        <f t="shared" ref="K7:U7" si="4">K34</f>
        <v>0.46808516139184447</v>
      </c>
      <c r="L7" s="22">
        <f t="shared" si="4"/>
        <v>0.86605702502827919</v>
      </c>
      <c r="M7" s="22">
        <f t="shared" si="4"/>
        <v>0.38137965339931834</v>
      </c>
      <c r="N7" s="22">
        <f t="shared" si="4"/>
        <v>0.62050545536488777</v>
      </c>
      <c r="O7" s="22">
        <f t="shared" si="4"/>
        <v>9.9417559437260591E-2</v>
      </c>
      <c r="P7" s="22">
        <f t="shared" si="4"/>
        <v>0.43304220833032248</v>
      </c>
      <c r="Q7" s="22">
        <f t="shared" si="4"/>
        <v>0.30517645971371982</v>
      </c>
      <c r="R7" s="22">
        <f t="shared" si="4"/>
        <v>0.34912381207674203</v>
      </c>
      <c r="S7" s="22">
        <f t="shared" si="4"/>
        <v>0.22400548364935011</v>
      </c>
      <c r="T7" s="22">
        <f t="shared" si="4"/>
        <v>0.33268861420572976</v>
      </c>
      <c r="U7" s="22">
        <f t="shared" si="4"/>
        <v>0.1691350496652132</v>
      </c>
      <c r="Y7" s="457"/>
      <c r="Z7" s="457"/>
      <c r="AA7" s="457"/>
      <c r="AB7" s="457"/>
    </row>
    <row r="8" spans="9:28" x14ac:dyDescent="0.25">
      <c r="Y8" s="457"/>
      <c r="Z8" s="457"/>
      <c r="AA8" s="457"/>
      <c r="AB8" s="457"/>
    </row>
    <row r="9" spans="9:28" x14ac:dyDescent="0.25">
      <c r="I9" t="s">
        <v>204</v>
      </c>
      <c r="J9" s="22">
        <f>SUM(J43:J47)</f>
        <v>2.6744971456737971</v>
      </c>
      <c r="K9" s="22">
        <f t="shared" ref="K9:U9" si="5">SUM(K43:K47)</f>
        <v>2.4010888043081655</v>
      </c>
      <c r="L9" s="22">
        <f t="shared" si="5"/>
        <v>2.596379149471276</v>
      </c>
      <c r="M9" s="22">
        <f t="shared" si="5"/>
        <v>2.3541226006662819</v>
      </c>
      <c r="N9" s="22">
        <f t="shared" si="5"/>
        <v>2.2654670735742433</v>
      </c>
      <c r="O9" s="22">
        <f t="shared" si="5"/>
        <v>2.1621986129521793</v>
      </c>
      <c r="P9" s="22">
        <f t="shared" si="5"/>
        <v>2.3282464291831619</v>
      </c>
      <c r="Q9" s="22">
        <f t="shared" si="5"/>
        <v>2.2872989984841068</v>
      </c>
      <c r="R9" s="22">
        <f t="shared" si="5"/>
        <v>2.3205656105994339</v>
      </c>
      <c r="S9" s="22">
        <f t="shared" si="5"/>
        <v>2.2463683931391096</v>
      </c>
      <c r="T9" s="22">
        <f t="shared" si="5"/>
        <v>2.1810909633515969</v>
      </c>
      <c r="U9" s="22">
        <f t="shared" si="5"/>
        <v>2.1439170947587614</v>
      </c>
      <c r="V9" s="311"/>
      <c r="W9" s="311"/>
      <c r="X9" s="311"/>
      <c r="Y9" s="488"/>
      <c r="Z9" s="488"/>
      <c r="AA9" s="457"/>
      <c r="AB9" s="457"/>
    </row>
    <row r="10" spans="9:28" x14ac:dyDescent="0.25">
      <c r="Y10" s="457"/>
      <c r="Z10" s="457"/>
      <c r="AA10" s="457"/>
      <c r="AB10" s="457"/>
    </row>
    <row r="11" spans="9:28" x14ac:dyDescent="0.25">
      <c r="I11" t="s">
        <v>207</v>
      </c>
      <c r="J11" s="441">
        <f>(J54-K54)/J54</f>
        <v>0.12101344633791071</v>
      </c>
      <c r="K11" s="441"/>
      <c r="L11" s="441">
        <f t="shared" ref="L11:T11" si="6">(L54-M54)/L54</f>
        <v>0.11144740697954145</v>
      </c>
      <c r="M11" s="441"/>
      <c r="N11" s="441">
        <f t="shared" si="6"/>
        <v>0.16412121717236303</v>
      </c>
      <c r="O11" s="441"/>
      <c r="P11" s="441">
        <f t="shared" si="6"/>
        <v>2.6458333436088003E-2</v>
      </c>
      <c r="Q11" s="441"/>
      <c r="R11" s="441">
        <f>(R54-S54)/R54</f>
        <v>9.9344884388404917E-3</v>
      </c>
      <c r="S11" s="441"/>
      <c r="T11" s="441">
        <f t="shared" si="6"/>
        <v>4.1041066744243973E-2</v>
      </c>
      <c r="U11" s="441"/>
      <c r="V11" s="1"/>
      <c r="W11" s="1"/>
      <c r="X11" s="1"/>
      <c r="Y11" s="489"/>
      <c r="Z11" s="489"/>
      <c r="AA11" s="457"/>
      <c r="AB11" s="457"/>
    </row>
    <row r="12" spans="9:28" x14ac:dyDescent="0.25">
      <c r="Y12" s="457"/>
      <c r="Z12" s="457"/>
      <c r="AA12" s="457"/>
      <c r="AB12" s="457"/>
    </row>
    <row r="13" spans="9:28" x14ac:dyDescent="0.25">
      <c r="Y13" s="457"/>
      <c r="Z13" s="457"/>
      <c r="AA13" s="457"/>
      <c r="AB13" s="457"/>
    </row>
    <row r="14" spans="9:28" ht="15.75" thickBot="1" x14ac:dyDescent="0.3">
      <c r="Y14" s="457"/>
      <c r="Z14" s="457"/>
      <c r="AA14" s="457"/>
      <c r="AB14" s="457"/>
    </row>
    <row r="15" spans="9:28" ht="18.75" thickBot="1" x14ac:dyDescent="0.3">
      <c r="I15" s="13"/>
      <c r="J15" s="449" t="s">
        <v>200</v>
      </c>
      <c r="K15" s="450"/>
      <c r="L15" s="450"/>
      <c r="M15" s="450"/>
      <c r="N15" s="450"/>
      <c r="O15" s="450"/>
      <c r="P15" s="450"/>
      <c r="Q15" s="450"/>
      <c r="R15" s="450"/>
      <c r="S15" s="450"/>
      <c r="T15" s="450"/>
      <c r="U15" s="451"/>
      <c r="V15" s="386"/>
      <c r="W15" s="386"/>
      <c r="X15" s="386"/>
      <c r="Y15" s="490"/>
      <c r="Z15" s="490"/>
      <c r="AA15" s="457"/>
      <c r="AB15" s="457"/>
    </row>
    <row r="16" spans="9:28" ht="15.75" x14ac:dyDescent="0.25">
      <c r="J16" s="452" t="s">
        <v>198</v>
      </c>
      <c r="K16" s="453"/>
      <c r="L16" s="453"/>
      <c r="M16" s="453"/>
      <c r="N16" s="453"/>
      <c r="O16" s="454"/>
      <c r="P16" s="452" t="s">
        <v>199</v>
      </c>
      <c r="Q16" s="453"/>
      <c r="R16" s="453"/>
      <c r="S16" s="453"/>
      <c r="T16" s="453"/>
      <c r="U16" s="454"/>
      <c r="V16" s="387"/>
      <c r="W16" s="387"/>
      <c r="X16" s="387"/>
      <c r="Y16" s="457"/>
      <c r="Z16" s="457"/>
      <c r="AA16" s="457"/>
      <c r="AB16" s="457"/>
    </row>
    <row r="17" spans="8:28" ht="15.75" x14ac:dyDescent="0.25">
      <c r="J17" s="447" t="s">
        <v>151</v>
      </c>
      <c r="K17" s="448"/>
      <c r="L17" s="455" t="s">
        <v>152</v>
      </c>
      <c r="M17" s="455"/>
      <c r="N17" s="448" t="s">
        <v>135</v>
      </c>
      <c r="O17" s="456"/>
      <c r="P17" s="447" t="s">
        <v>151</v>
      </c>
      <c r="Q17" s="491"/>
      <c r="R17" s="491" t="s">
        <v>152</v>
      </c>
      <c r="S17" s="491"/>
      <c r="T17" s="491" t="s">
        <v>135</v>
      </c>
      <c r="U17" s="456"/>
      <c r="V17" s="384"/>
      <c r="Y17" s="457"/>
      <c r="Z17" s="457"/>
      <c r="AA17" s="457"/>
      <c r="AB17" s="457"/>
    </row>
    <row r="18" spans="8:28" ht="15.75" x14ac:dyDescent="0.25">
      <c r="J18" s="388" t="s">
        <v>158</v>
      </c>
      <c r="K18" s="384" t="s">
        <v>159</v>
      </c>
      <c r="L18" s="384" t="s">
        <v>158</v>
      </c>
      <c r="M18" s="384" t="s">
        <v>159</v>
      </c>
      <c r="N18" s="384" t="s">
        <v>158</v>
      </c>
      <c r="O18" s="389" t="s">
        <v>159</v>
      </c>
      <c r="P18" s="388" t="s">
        <v>158</v>
      </c>
      <c r="Q18" s="492" t="s">
        <v>159</v>
      </c>
      <c r="R18" s="492" t="s">
        <v>158</v>
      </c>
      <c r="S18" s="492" t="s">
        <v>159</v>
      </c>
      <c r="T18" s="492" t="s">
        <v>158</v>
      </c>
      <c r="U18" s="389" t="s">
        <v>159</v>
      </c>
      <c r="V18" s="385"/>
      <c r="Y18" s="457"/>
      <c r="Z18" s="457"/>
      <c r="AA18" s="457"/>
      <c r="AB18" s="457"/>
    </row>
    <row r="19" spans="8:28" x14ac:dyDescent="0.25">
      <c r="H19" s="267" t="str">
        <f>BGfix_1!H18</f>
        <v>Annual energy balance</v>
      </c>
      <c r="I19" s="268"/>
      <c r="J19" s="390"/>
      <c r="K19" s="269"/>
      <c r="L19" s="269"/>
      <c r="M19" s="269"/>
      <c r="N19" s="269"/>
      <c r="O19" s="391"/>
      <c r="P19" s="390"/>
      <c r="Q19" s="269"/>
      <c r="R19" s="269"/>
      <c r="S19" s="269"/>
      <c r="T19" s="269"/>
      <c r="U19" s="391"/>
      <c r="V19" s="485"/>
      <c r="W19" s="461"/>
      <c r="X19" s="461"/>
      <c r="Y19" s="461"/>
      <c r="Z19" s="461"/>
      <c r="AA19" s="485"/>
      <c r="AB19" s="457"/>
    </row>
    <row r="20" spans="8:28" x14ac:dyDescent="0.25">
      <c r="H20" s="50" t="str">
        <f>BGfix_1!H19</f>
        <v>Renewable Energy Share</v>
      </c>
      <c r="I20" s="9" t="str">
        <f>BGfix_1!I19</f>
        <v>%</v>
      </c>
      <c r="J20" s="392">
        <f>BGfix_1!O5</f>
        <v>0.94999999999980522</v>
      </c>
      <c r="K20" s="9">
        <f>BGSY_1!O19</f>
        <v>0.94999999999996454</v>
      </c>
      <c r="L20" s="9">
        <f>BGfix_b!O19</f>
        <v>0.94999999999985107</v>
      </c>
      <c r="M20" s="9">
        <f>BGSY_b!O19</f>
        <v>0.95000000000007079</v>
      </c>
      <c r="N20" s="9">
        <f>BGfix_d!N19</f>
        <v>0.95000000000001505</v>
      </c>
      <c r="O20" s="393">
        <f>BGSY_d!N19</f>
        <v>0.95000000000000062</v>
      </c>
      <c r="P20" s="392">
        <f>BGSY_big!J19</f>
        <v>0.94999999999983187</v>
      </c>
      <c r="Q20" s="9">
        <f>BGSY_big!K19</f>
        <v>0.94999999999998841</v>
      </c>
      <c r="R20" s="9">
        <f>BGSY_big!L19</f>
        <v>0.94999999999988327</v>
      </c>
      <c r="S20" s="9">
        <f>BGSY_big!M19</f>
        <v>0.95000000000000362</v>
      </c>
      <c r="T20" s="9">
        <f>BGSY_big!N19</f>
        <v>0.94999999999964058</v>
      </c>
      <c r="U20" s="393">
        <f>BGSY_big!O19</f>
        <v>0.94999999999995777</v>
      </c>
      <c r="V20" s="121"/>
      <c r="W20" s="461"/>
      <c r="X20" s="461"/>
      <c r="Y20" s="461"/>
      <c r="Z20" s="461"/>
      <c r="AA20" s="121"/>
      <c r="AB20" s="457"/>
    </row>
    <row r="21" spans="8:28" x14ac:dyDescent="0.25">
      <c r="H21" s="51" t="str">
        <f>BGfix_1!H20</f>
        <v>Plant load 1+2</v>
      </c>
      <c r="I21" s="264" t="str">
        <f>BGfix_1!I20</f>
        <v>MWh/year</v>
      </c>
      <c r="J21" s="394">
        <f>BGfix_1!O20</f>
        <v>-9678.9875243785882</v>
      </c>
      <c r="K21" s="53">
        <f>BGSY_1!O20</f>
        <v>-9678.9875243788338</v>
      </c>
      <c r="L21" s="53">
        <f>BGfix_b!O20</f>
        <v>-9678.98752437849</v>
      </c>
      <c r="M21" s="53">
        <f>BGSY_b!O20</f>
        <v>-9678.9875243782644</v>
      </c>
      <c r="N21" s="53">
        <f>BGfix_d!N20</f>
        <v>-9678.9875243790466</v>
      </c>
      <c r="O21" s="395">
        <f>BGSY_d!N20</f>
        <v>-9678.98752437843</v>
      </c>
      <c r="P21" s="394">
        <f>BGSY_big!J20</f>
        <v>-96789.875243789866</v>
      </c>
      <c r="Q21" s="53">
        <f>BGSY_big!K20</f>
        <v>-96789.875243788643</v>
      </c>
      <c r="R21" s="53">
        <f>BGSY_big!L20</f>
        <v>-96789.87524378649</v>
      </c>
      <c r="S21" s="53">
        <f>BGSY_big!M20</f>
        <v>-96789.875243785573</v>
      </c>
      <c r="T21" s="53">
        <f>BGSY_big!N20</f>
        <v>-96789.875243793838</v>
      </c>
      <c r="U21" s="395">
        <f>BGSY_big!O20</f>
        <v>-96789.875243793649</v>
      </c>
      <c r="V21" s="475"/>
      <c r="W21" s="461"/>
      <c r="X21" s="461"/>
      <c r="Y21" s="461"/>
      <c r="Z21" s="461"/>
      <c r="AA21" s="475"/>
      <c r="AB21" s="457"/>
    </row>
    <row r="22" spans="8:28" x14ac:dyDescent="0.25">
      <c r="H22" s="56" t="str">
        <f>BGfix_1!H21</f>
        <v>Plant load 2</v>
      </c>
      <c r="I22" s="265" t="str">
        <f>BGfix_1!I21</f>
        <v>MWh/year</v>
      </c>
      <c r="J22" s="396">
        <f>BGfix_1!O21</f>
        <v>-1702.5570878063763</v>
      </c>
      <c r="K22" s="58">
        <f>BGSY_1!O21</f>
        <v>-1702.557087806638</v>
      </c>
      <c r="L22" s="58">
        <f>BGfix_b!O21</f>
        <v>-1702.5570878069002</v>
      </c>
      <c r="M22" s="58">
        <f>BGSY_b!O21</f>
        <v>-1702.557087806508</v>
      </c>
      <c r="N22" s="58">
        <f>BGfix_d!N21</f>
        <v>-1702.5570878063465</v>
      </c>
      <c r="O22" s="397">
        <f>BGSY_d!N21</f>
        <v>-1702.5570878066317</v>
      </c>
      <c r="P22" s="396">
        <f>BGSY_big!J21</f>
        <v>-17025.570878064995</v>
      </c>
      <c r="Q22" s="58">
        <f>BGSY_big!K21</f>
        <v>-17025.5708780682</v>
      </c>
      <c r="R22" s="58">
        <f>BGSY_big!L21</f>
        <v>-17025.570878067116</v>
      </c>
      <c r="S22" s="58">
        <f>BGSY_big!M21</f>
        <v>-17025.570878067934</v>
      </c>
      <c r="T22" s="58">
        <f>BGSY_big!N21</f>
        <v>-17025.570878064347</v>
      </c>
      <c r="U22" s="397">
        <f>BGSY_big!O21</f>
        <v>-17025.570878068873</v>
      </c>
      <c r="V22" s="475"/>
      <c r="W22" s="461"/>
      <c r="X22" s="461"/>
      <c r="Y22" s="461"/>
      <c r="Z22" s="461"/>
      <c r="AA22" s="475"/>
    </row>
    <row r="23" spans="8:28" x14ac:dyDescent="0.25">
      <c r="H23" s="148" t="str">
        <f>BGfix_1!H22</f>
        <v>From PV</v>
      </c>
      <c r="I23" s="272" t="str">
        <f>BGfix_1!I22</f>
        <v>MWh/year</v>
      </c>
      <c r="J23" s="398">
        <f>BGfix_1!O22</f>
        <v>7721.1000171749974</v>
      </c>
      <c r="K23" s="202">
        <f>BGSY_1!O22</f>
        <v>6353.3588021494907</v>
      </c>
      <c r="L23" s="202">
        <f>BGfix_b!O22</f>
        <v>6416.6617817374399</v>
      </c>
      <c r="M23" s="202">
        <f>BGSY_b!O22</f>
        <v>5547.301917888095</v>
      </c>
      <c r="N23" s="202">
        <f>BGfix_d!N22</f>
        <v>2424.7966550166088</v>
      </c>
      <c r="O23" s="399">
        <f>BGSY_d!N22</f>
        <v>1353.558135116022</v>
      </c>
      <c r="P23" s="398">
        <f>BGSY_big!J22</f>
        <v>77376.096806634116</v>
      </c>
      <c r="Q23" s="202">
        <f>BGSY_big!K22</f>
        <v>63905.760852430773</v>
      </c>
      <c r="R23" s="202">
        <f>BGSY_big!L22</f>
        <v>49549.120294724475</v>
      </c>
      <c r="S23" s="202">
        <f>BGSY_big!M22</f>
        <v>58758.438928406431</v>
      </c>
      <c r="T23" s="202">
        <f>BGSY_big!N22</f>
        <v>24245.019740545158</v>
      </c>
      <c r="U23" s="399">
        <f>BGSY_big!O22</f>
        <v>13759.428687931357</v>
      </c>
      <c r="V23" s="475"/>
      <c r="W23" s="461"/>
      <c r="X23" s="461"/>
      <c r="Y23" s="461"/>
      <c r="Z23" s="461"/>
      <c r="AA23" s="475"/>
    </row>
    <row r="24" spans="8:28" x14ac:dyDescent="0.25">
      <c r="H24" s="61" t="str">
        <f>BGfix_1!H23</f>
        <v>From wind</v>
      </c>
      <c r="I24" s="291" t="str">
        <f>BGfix_1!I23</f>
        <v>MWh/year</v>
      </c>
      <c r="J24" s="400">
        <f>BGfix_1!O23</f>
        <v>6543.8628369104636</v>
      </c>
      <c r="K24" s="31">
        <f>BGSY_1!O23</f>
        <v>6141.3374264068416</v>
      </c>
      <c r="L24" s="31">
        <f>BGfix_b!O23</f>
        <v>7718.6252231351955</v>
      </c>
      <c r="M24" s="31">
        <f>BGSY_b!O23</f>
        <v>7544.6803793195068</v>
      </c>
      <c r="N24" s="31">
        <f>BGfix_d!N23</f>
        <v>14454.271906422266</v>
      </c>
      <c r="O24" s="401">
        <f>BGSY_d!N23</f>
        <v>13074.744514647831</v>
      </c>
      <c r="P24" s="400">
        <f>BGSY_big!J23</f>
        <v>65342.778132775697</v>
      </c>
      <c r="Q24" s="481">
        <f>BGSY_big!K23</f>
        <v>59473.257522580163</v>
      </c>
      <c r="R24" s="481">
        <f>BGSY_big!L23</f>
        <v>165596.46802364747</v>
      </c>
      <c r="S24" s="481">
        <f>BGSY_big!M23</f>
        <v>70022.345451545625</v>
      </c>
      <c r="T24" s="481">
        <f>BGSY_big!N23</f>
        <v>144568.61192300959</v>
      </c>
      <c r="U24" s="401">
        <f>BGSY_big!O23</f>
        <v>129516.36378973663</v>
      </c>
      <c r="V24" s="475"/>
      <c r="W24" s="461"/>
      <c r="X24" s="461"/>
      <c r="Y24" s="461"/>
      <c r="Z24" s="461"/>
      <c r="AA24" s="475"/>
    </row>
    <row r="25" spans="8:28" x14ac:dyDescent="0.25">
      <c r="H25" s="61" t="str">
        <f>BGfix_1!H24</f>
        <v>From grid</v>
      </c>
      <c r="I25" s="291" t="str">
        <f>BGfix_1!I24</f>
        <v>MWh/year</v>
      </c>
      <c r="J25" s="400">
        <f>BGfix_1!O24</f>
        <v>483.94937621926783</v>
      </c>
      <c r="K25" s="31">
        <f>BGSY_1!O24</f>
        <v>483.94937621879745</v>
      </c>
      <c r="L25" s="31">
        <f>BGfix_b!O24</f>
        <v>483.94937621952045</v>
      </c>
      <c r="M25" s="31">
        <f>BGSY_b!O24</f>
        <v>483.94937621891995</v>
      </c>
      <c r="N25" s="31">
        <f>BGfix_d!N24</f>
        <v>483.94937621679196</v>
      </c>
      <c r="O25" s="401">
        <f>BGSY_d!N24</f>
        <v>483.94937621893439</v>
      </c>
      <c r="P25" s="400">
        <f>BGSY_big!J24</f>
        <v>4839.4937621886857</v>
      </c>
      <c r="Q25" s="481">
        <f>BGSY_big!K24</f>
        <v>4839.4937621857543</v>
      </c>
      <c r="R25" s="481">
        <f>BGSY_big!L24</f>
        <v>4839.4937621730096</v>
      </c>
      <c r="S25" s="481">
        <f>BGSY_big!M24</f>
        <v>4839.4937621878998</v>
      </c>
      <c r="T25" s="481">
        <f>BGSY_big!N24</f>
        <v>4839.4937621969029</v>
      </c>
      <c r="U25" s="401">
        <f>BGSY_big!O24</f>
        <v>4839.4937621908412</v>
      </c>
      <c r="V25" s="475"/>
      <c r="W25" s="461"/>
      <c r="X25" s="461"/>
      <c r="Y25" s="461"/>
      <c r="Z25" s="461"/>
      <c r="AA25" s="475"/>
    </row>
    <row r="26" spans="8:28" x14ac:dyDescent="0.25">
      <c r="H26" s="61" t="str">
        <f>BGfix_1!H25</f>
        <v>To grid</v>
      </c>
      <c r="I26" s="291" t="str">
        <f>BGfix_1!I25</f>
        <v>MWh/year</v>
      </c>
      <c r="J26" s="400">
        <f>BGfix_1!O25</f>
        <v>-4933.5797689475712</v>
      </c>
      <c r="K26" s="31">
        <f>BGSY_1!O25</f>
        <v>-3238.2669933739471</v>
      </c>
      <c r="L26" s="31">
        <f>BGfix_b!O25</f>
        <v>-4823.5736334261519</v>
      </c>
      <c r="M26" s="31">
        <f>BGSY_b!O25</f>
        <v>-3845.7177349524895</v>
      </c>
      <c r="N26" s="31">
        <f>BGfix_d!N25</f>
        <v>-7648.5596090241215</v>
      </c>
      <c r="O26" s="401">
        <f>BGSY_d!N25</f>
        <v>-5227.5070235872099</v>
      </c>
      <c r="P26" s="400">
        <f>BGSY_big!J25</f>
        <v>-49403.611373104264</v>
      </c>
      <c r="Q26" s="481">
        <f>BGSY_big!K25</f>
        <v>-30816.473327447704</v>
      </c>
      <c r="R26" s="481">
        <f>BGSY_big!L25</f>
        <v>-122675.72774925134</v>
      </c>
      <c r="S26" s="481">
        <f>BGSY_big!M25</f>
        <v>-36358.116399760518</v>
      </c>
      <c r="T26" s="481">
        <f>BGSY_big!N25</f>
        <v>-76508.649839684615</v>
      </c>
      <c r="U26" s="401">
        <f>BGSY_big!O25</f>
        <v>-51265.72868458258</v>
      </c>
      <c r="V26" s="475"/>
      <c r="W26" s="461"/>
      <c r="X26" s="461"/>
      <c r="Y26" s="461"/>
      <c r="Z26" s="461"/>
      <c r="AA26" s="475"/>
    </row>
    <row r="27" spans="8:28" x14ac:dyDescent="0.25">
      <c r="H27" s="61" t="str">
        <f>BGfix_1!H26</f>
        <v>To battery</v>
      </c>
      <c r="I27" s="291" t="str">
        <f>BGfix_1!I26</f>
        <v>MWh/year</v>
      </c>
      <c r="J27" s="400">
        <f>BGfix_1!O26</f>
        <v>-2307.0209302895055</v>
      </c>
      <c r="K27" s="31">
        <f>BGSY_1!O26</f>
        <v>-1038.7662778821048</v>
      </c>
      <c r="L27" s="31">
        <f>BGfix_b!O26</f>
        <v>-1974.2000556406585</v>
      </c>
      <c r="M27" s="31">
        <f>BGSY_b!O26</f>
        <v>-866.77519619414261</v>
      </c>
      <c r="N27" s="31">
        <f>BGfix_d!N26</f>
        <v>-600.18281310512145</v>
      </c>
      <c r="O27" s="401">
        <f>BGSY_d!N26</f>
        <v>-97.419255788981559</v>
      </c>
      <c r="P27" s="400">
        <f>BGSY_big!J26</f>
        <v>-23094.451518129641</v>
      </c>
      <c r="Q27" s="481">
        <f>BGSY_big!K26</f>
        <v>-10358.097562861039</v>
      </c>
      <c r="R27" s="481">
        <f>BGSY_big!L26</f>
        <v>-8789.8322763912802</v>
      </c>
      <c r="S27" s="481">
        <f>BGSY_big!M26</f>
        <v>-7991.3113129424009</v>
      </c>
      <c r="T27" s="481">
        <f>BGSY_big!N26</f>
        <v>-6000.0057918917519</v>
      </c>
      <c r="U27" s="401">
        <f>BGSY_big!O26</f>
        <v>-1009.8529862186</v>
      </c>
      <c r="V27" s="475"/>
      <c r="W27" s="461"/>
      <c r="X27" s="461"/>
      <c r="Y27" s="461"/>
      <c r="Z27" s="461"/>
      <c r="AA27" s="475"/>
    </row>
    <row r="28" spans="8:28" x14ac:dyDescent="0.25">
      <c r="H28" s="153" t="str">
        <f>BGfix_1!H27</f>
        <v>From battery</v>
      </c>
      <c r="I28" s="271" t="str">
        <f>BGfix_1!I27</f>
        <v>MWh/year</v>
      </c>
      <c r="J28" s="402">
        <f>BGfix_1!O27</f>
        <v>2170.6759933093904</v>
      </c>
      <c r="K28" s="27">
        <f>BGSY_1!O27</f>
        <v>977.37519085926942</v>
      </c>
      <c r="L28" s="27">
        <f>BGfix_b!O27</f>
        <v>1857.5248323522965</v>
      </c>
      <c r="M28" s="27">
        <f>BGSY_b!O27</f>
        <v>815.54878209906667</v>
      </c>
      <c r="N28" s="27">
        <f>BGfix_d!N27</f>
        <v>564.71200885061012</v>
      </c>
      <c r="O28" s="403">
        <f>BGSY_d!N27</f>
        <v>91.661777771852726</v>
      </c>
      <c r="P28" s="402">
        <f>BGSY_big!J27</f>
        <v>21729.569433408215</v>
      </c>
      <c r="Q28" s="27">
        <f>BGSY_big!K27</f>
        <v>9745.9339968959175</v>
      </c>
      <c r="R28" s="27">
        <f>BGSY_big!L27</f>
        <v>8270.3531888565467</v>
      </c>
      <c r="S28" s="27">
        <f>BGSY_big!M27</f>
        <v>7519.0248143475137</v>
      </c>
      <c r="T28" s="27">
        <f>BGSY_big!N27</f>
        <v>5645.4054495909604</v>
      </c>
      <c r="U28" s="403">
        <f>BGSY_big!O27</f>
        <v>950.17067473308111</v>
      </c>
      <c r="V28" s="475"/>
      <c r="W28" s="461"/>
      <c r="X28" s="461"/>
      <c r="Y28" s="461"/>
      <c r="Z28" s="461"/>
      <c r="AA28" s="475"/>
    </row>
    <row r="29" spans="8:28" x14ac:dyDescent="0.25">
      <c r="H29" s="270" t="str">
        <f>BGfix_1!H28</f>
        <v>sum</v>
      </c>
      <c r="I29" s="266" t="str">
        <f>BGfix_1!I28</f>
        <v>MWh/year</v>
      </c>
      <c r="J29" s="404">
        <f>BGfix_1!O28</f>
        <v>-1.5456862456630915E-9</v>
      </c>
      <c r="K29" s="66">
        <f>BGSY_1!O28</f>
        <v>-4.8635229177307338E-10</v>
      </c>
      <c r="L29" s="66">
        <f>BGfix_b!O28</f>
        <v>-8.4787643572781235E-10</v>
      </c>
      <c r="M29" s="66">
        <f>BGSY_b!O28</f>
        <v>6.9178440753603354E-10</v>
      </c>
      <c r="N29" s="66">
        <f>BGfix_d!N28</f>
        <v>-2.0123707145103253E-9</v>
      </c>
      <c r="O29" s="405">
        <f>BGSY_d!N28</f>
        <v>1.8317791727895383E-11</v>
      </c>
      <c r="P29" s="404">
        <f>BGSY_big!J28</f>
        <v>-1.7058482626453042E-8</v>
      </c>
      <c r="Q29" s="66">
        <f>BGSY_big!K28</f>
        <v>-4.7803041525185108E-9</v>
      </c>
      <c r="R29" s="66">
        <f>BGSY_big!L28</f>
        <v>-2.7614078135229647E-8</v>
      </c>
      <c r="S29" s="66">
        <f>BGSY_big!M28</f>
        <v>-1.0222720447927713E-9</v>
      </c>
      <c r="T29" s="66">
        <f>BGSY_big!N28</f>
        <v>-2.7588612283580005E-8</v>
      </c>
      <c r="U29" s="405">
        <f>BGSY_big!O28</f>
        <v>-2.92232016363414E-9</v>
      </c>
      <c r="V29" s="475"/>
      <c r="W29" s="461"/>
      <c r="X29" s="461"/>
      <c r="Y29" s="461"/>
      <c r="Z29" s="461"/>
      <c r="AA29" s="475"/>
    </row>
    <row r="30" spans="8:28" x14ac:dyDescent="0.25">
      <c r="J30" s="400"/>
      <c r="K30" s="31"/>
      <c r="L30" s="31">
        <f>BGfix_b!O29</f>
        <v>0</v>
      </c>
      <c r="M30" s="31">
        <f>BGSY_b!O29</f>
        <v>0</v>
      </c>
      <c r="N30" s="31">
        <f>BGfix_d!N29</f>
        <v>0</v>
      </c>
      <c r="O30" s="401">
        <f>BGSY_d!N29</f>
        <v>0</v>
      </c>
      <c r="P30" s="400">
        <f>BGSY_big!J29</f>
        <v>0</v>
      </c>
      <c r="Q30" s="481">
        <f>BGSY_big!K29</f>
        <v>0</v>
      </c>
      <c r="R30" s="481">
        <f>BGSY_big!L29</f>
        <v>0</v>
      </c>
      <c r="S30" s="481">
        <f>BGSY_big!M29</f>
        <v>0</v>
      </c>
      <c r="T30" s="481">
        <f>BGSY_big!N29</f>
        <v>0</v>
      </c>
      <c r="U30" s="401">
        <f>BGSY_big!O29</f>
        <v>0</v>
      </c>
      <c r="V30" s="475"/>
      <c r="W30" s="461"/>
      <c r="X30" s="461"/>
      <c r="Y30" s="461"/>
      <c r="Z30" s="461"/>
      <c r="AA30" s="475"/>
    </row>
    <row r="31" spans="8:28" x14ac:dyDescent="0.25">
      <c r="H31" s="274" t="str">
        <f>BGfix_1!H30</f>
        <v>Hydrogen production cost</v>
      </c>
      <c r="I31" s="275"/>
      <c r="J31" s="406"/>
      <c r="K31" s="276"/>
      <c r="L31" s="276"/>
      <c r="M31" s="276"/>
      <c r="N31" s="276"/>
      <c r="O31" s="407"/>
      <c r="P31" s="406"/>
      <c r="Q31" s="276"/>
      <c r="R31" s="276"/>
      <c r="S31" s="276"/>
      <c r="T31" s="276"/>
      <c r="U31" s="407"/>
      <c r="V31" s="486"/>
      <c r="W31" s="461"/>
      <c r="X31" s="461"/>
      <c r="Y31" s="461"/>
      <c r="Z31" s="461"/>
      <c r="AA31" s="486"/>
    </row>
    <row r="32" spans="8:28" x14ac:dyDescent="0.25">
      <c r="H32" s="73" t="str">
        <f>BGfix_1!H31</f>
        <v>PV Capex</v>
      </c>
      <c r="I32" s="74" t="str">
        <f>BGfix_1!I31</f>
        <v>€/kgH2</v>
      </c>
      <c r="J32" s="408">
        <f>BGfix_1!O31</f>
        <v>0.7713203423243955</v>
      </c>
      <c r="K32" s="177">
        <f>BGSY_1!O31</f>
        <v>0.63468610370065326</v>
      </c>
      <c r="L32" s="177">
        <f>BGfix_b!O31</f>
        <v>0.57024501820299933</v>
      </c>
      <c r="M32" s="177">
        <f>BGSY_b!O31</f>
        <v>0.49298551033914501</v>
      </c>
      <c r="N32" s="177">
        <f>BGfix_d!N31</f>
        <v>0.59263595970055882</v>
      </c>
      <c r="O32" s="409">
        <f>BGSY_d!N31</f>
        <v>0.33081834831612422</v>
      </c>
      <c r="P32" s="408">
        <f>BGfix_2!O31</f>
        <v>0.41723291742169816</v>
      </c>
      <c r="Q32" s="458">
        <f>BGSY_2!O31</f>
        <v>0.34415246982085862</v>
      </c>
      <c r="R32" s="458">
        <f>BGfix_b2!O31</f>
        <v>0.27775260685060937</v>
      </c>
      <c r="S32" s="458">
        <f>BGSY_b2!O31</f>
        <v>0.26559972922430419</v>
      </c>
      <c r="T32" s="458">
        <f>BGfix_d2!N31</f>
        <v>0.36705860273234681</v>
      </c>
      <c r="U32" s="409">
        <f>BGSY_d2!N31</f>
        <v>0.27052535694205032</v>
      </c>
      <c r="V32" s="476"/>
      <c r="W32" s="461"/>
      <c r="X32" s="461"/>
      <c r="Y32" s="461"/>
      <c r="Z32" s="461"/>
      <c r="AA32" s="476"/>
    </row>
    <row r="33" spans="8:27" x14ac:dyDescent="0.25">
      <c r="H33" s="73" t="str">
        <f>BGfix_1!H32</f>
        <v>Wind Capex</v>
      </c>
      <c r="I33" s="74" t="str">
        <f>BGfix_1!I32</f>
        <v>€/kgH2</v>
      </c>
      <c r="J33" s="408">
        <f>BGfix_1!O32</f>
        <v>1.3843157017385634</v>
      </c>
      <c r="K33" s="177">
        <f>BGSY_1!O32</f>
        <v>1.2991638182110599</v>
      </c>
      <c r="L33" s="177">
        <f>BGfix_b!O32</f>
        <v>0.89413643489439443</v>
      </c>
      <c r="M33" s="177">
        <f>BGSY_b!O32</f>
        <v>0.8739864187941625</v>
      </c>
      <c r="N33" s="177">
        <f>BGfix_d!N32</f>
        <v>1.3521884030646683</v>
      </c>
      <c r="O33" s="409">
        <f>BGSY_d!N32</f>
        <v>1.2231344491234106</v>
      </c>
      <c r="P33" s="408">
        <f>BGfix_2!O32</f>
        <v>0.49970034645976025</v>
      </c>
      <c r="Q33" s="458">
        <f>BGSY_2!O32</f>
        <v>0.48577958859900927</v>
      </c>
      <c r="R33" s="458">
        <f>BGfix_b2!O32</f>
        <v>0.2794078993723792</v>
      </c>
      <c r="S33" s="458">
        <f>BGSY_b2!O32</f>
        <v>0.32166818276072151</v>
      </c>
      <c r="T33" s="458">
        <f>BGfix_d2!N32</f>
        <v>0.69794659901103251</v>
      </c>
      <c r="U33" s="409">
        <f>BGSY_d2!N32</f>
        <v>0.68802745536849563</v>
      </c>
      <c r="V33" s="476"/>
      <c r="W33" s="461"/>
      <c r="X33" s="461"/>
      <c r="Y33" s="461"/>
      <c r="Z33" s="461"/>
      <c r="AA33" s="476"/>
    </row>
    <row r="34" spans="8:27" x14ac:dyDescent="0.25">
      <c r="H34" s="73" t="str">
        <f>BGfix_1!H33</f>
        <v>BESS Capex</v>
      </c>
      <c r="I34" s="74" t="str">
        <f>BGfix_1!I33</f>
        <v>€/kgH2</v>
      </c>
      <c r="J34" s="408">
        <f>BGfix_1!O33</f>
        <v>1.0364093997164174</v>
      </c>
      <c r="K34" s="177">
        <f>BGSY_1!O33</f>
        <v>0.46808516139184447</v>
      </c>
      <c r="L34" s="177">
        <f>BGfix_b!O33</f>
        <v>0.86605702502827919</v>
      </c>
      <c r="M34" s="177">
        <f>BGSY_b!O33</f>
        <v>0.38137965339931834</v>
      </c>
      <c r="N34" s="177">
        <f>BGfix_d!N33</f>
        <v>0.62050545536488777</v>
      </c>
      <c r="O34" s="409">
        <f>BGSY_d!N33</f>
        <v>9.9417559437260591E-2</v>
      </c>
      <c r="P34" s="408">
        <f>BGfix_2!O33</f>
        <v>0.43304220833032248</v>
      </c>
      <c r="Q34" s="458">
        <f>BGSY_2!O33</f>
        <v>0.30517645971371982</v>
      </c>
      <c r="R34" s="458">
        <f>BGfix_b2!O33</f>
        <v>0.34912381207674203</v>
      </c>
      <c r="S34" s="458">
        <f>BGSY_b2!O33</f>
        <v>0.22400548364935011</v>
      </c>
      <c r="T34" s="458">
        <f>BGfix_d2!N33</f>
        <v>0.33268861420572976</v>
      </c>
      <c r="U34" s="409">
        <f>BGSY_d2!N33</f>
        <v>0.1691350496652132</v>
      </c>
      <c r="V34" s="476"/>
      <c r="W34" s="461"/>
      <c r="X34" s="461"/>
      <c r="Y34" s="461"/>
      <c r="Z34" s="461"/>
      <c r="AA34" s="476"/>
    </row>
    <row r="35" spans="8:27" x14ac:dyDescent="0.25">
      <c r="H35" s="73" t="str">
        <f>BGfix_1!H34</f>
        <v>Gas storage Capex</v>
      </c>
      <c r="I35" s="74" t="str">
        <f>BGfix_1!I34</f>
        <v>€/kgH2</v>
      </c>
      <c r="J35" s="408">
        <f>BGfix_1!O34</f>
        <v>0</v>
      </c>
      <c r="K35" s="177">
        <f>BGSY_1!O34</f>
        <v>0.10391346787661164</v>
      </c>
      <c r="L35" s="177">
        <f>BGfix_b!O34</f>
        <v>0</v>
      </c>
      <c r="M35" s="177">
        <f>BGSY_b!O34</f>
        <v>0.11224816141579569</v>
      </c>
      <c r="N35" s="177">
        <f>BGfix_d!N34</f>
        <v>0</v>
      </c>
      <c r="O35" s="409">
        <f>BGSY_d!N34</f>
        <v>0.11385053019929012</v>
      </c>
      <c r="P35" s="408">
        <f>BGfix_2!O34</f>
        <v>0</v>
      </c>
      <c r="Q35" s="458">
        <f>BGSY_2!O34</f>
        <v>6.273051398852568E-2</v>
      </c>
      <c r="R35" s="458">
        <f>BGfix_b2!O34</f>
        <v>0</v>
      </c>
      <c r="S35" s="458">
        <f>BGSY_b2!O34</f>
        <v>4.8006709384207182E-2</v>
      </c>
      <c r="T35" s="458">
        <f>BGfix_d2!N34</f>
        <v>0</v>
      </c>
      <c r="U35" s="409">
        <f>BGSY_d2!N34</f>
        <v>7.5548564160394807E-2</v>
      </c>
      <c r="V35" s="476"/>
      <c r="W35" s="461"/>
      <c r="X35" s="461"/>
      <c r="Y35" s="461"/>
      <c r="Z35" s="461"/>
      <c r="AA35" s="476"/>
    </row>
    <row r="36" spans="8:27" x14ac:dyDescent="0.25">
      <c r="H36" s="73">
        <f>BGfix_1!H35</f>
        <v>0</v>
      </c>
      <c r="I36" s="74">
        <f>BGfix_1!I35</f>
        <v>0</v>
      </c>
      <c r="J36" s="408">
        <f>BGfix_1!O35</f>
        <v>0</v>
      </c>
      <c r="K36" s="177">
        <f>BGSY_1!O35</f>
        <v>0</v>
      </c>
      <c r="L36" s="177">
        <f>BGfix_b!O35</f>
        <v>0</v>
      </c>
      <c r="M36" s="177">
        <f>BGSY_b!O35</f>
        <v>0</v>
      </c>
      <c r="N36" s="177">
        <f>BGfix_d!N35</f>
        <v>0</v>
      </c>
      <c r="O36" s="409">
        <f>BGSY_d!N35</f>
        <v>0</v>
      </c>
      <c r="P36" s="408">
        <f>BGfix_2!O35</f>
        <v>0</v>
      </c>
      <c r="Q36" s="458">
        <f>BGSY_2!O35</f>
        <v>0</v>
      </c>
      <c r="R36" s="458">
        <f>BGfix_b2!O35</f>
        <v>0</v>
      </c>
      <c r="S36" s="458">
        <f>BGSY_b2!O35</f>
        <v>0</v>
      </c>
      <c r="T36" s="458">
        <f>BGfix_d2!N35</f>
        <v>0</v>
      </c>
      <c r="U36" s="409">
        <f>BGSY_d2!N35</f>
        <v>0</v>
      </c>
      <c r="V36" s="476"/>
      <c r="W36" s="461"/>
      <c r="X36" s="461"/>
      <c r="Y36" s="461"/>
      <c r="Z36" s="461"/>
      <c r="AA36" s="476"/>
    </row>
    <row r="37" spans="8:27" x14ac:dyDescent="0.25">
      <c r="H37" s="73" t="str">
        <f>BGfix_1!H36</f>
        <v>BGRw Capex</v>
      </c>
      <c r="I37" s="74" t="str">
        <f>BGfix_1!I36</f>
        <v>€/kgH2</v>
      </c>
      <c r="J37" s="408">
        <f>BGfix_1!O36</f>
        <v>0.64259042395864097</v>
      </c>
      <c r="K37" s="177">
        <f>BGSY_1!O36</f>
        <v>0.82861261530632024</v>
      </c>
      <c r="L37" s="177">
        <f>BGfix_b!O36</f>
        <v>0.64258601204418686</v>
      </c>
      <c r="M37" s="177">
        <f>BGSY_b!O36</f>
        <v>0.75606363247904607</v>
      </c>
      <c r="N37" s="177">
        <f>BGfix_d!N36</f>
        <v>0.64258540339218639</v>
      </c>
      <c r="O37" s="409">
        <f>BGSY_d!N36</f>
        <v>0.70170611423063034</v>
      </c>
      <c r="P37" s="408">
        <f>BGfix_2!O36</f>
        <v>0.64258536738640193</v>
      </c>
      <c r="Q37" s="458">
        <f>BGSY_2!O36</f>
        <v>0.71052229543683221</v>
      </c>
      <c r="R37" s="458">
        <f>BGfix_b2!O36</f>
        <v>0.64258579014436612</v>
      </c>
      <c r="S37" s="458">
        <f>BGSY_b2!O36</f>
        <v>0.70190481336029742</v>
      </c>
      <c r="T37" s="458">
        <f>BGfix_d2!N36</f>
        <v>0.64258542498226079</v>
      </c>
      <c r="U37" s="409">
        <f>BGSY_d2!N36</f>
        <v>0.6964614041711793</v>
      </c>
      <c r="V37" s="476"/>
      <c r="W37" s="461"/>
      <c r="X37" s="461"/>
      <c r="Y37" s="461"/>
      <c r="Z37" s="461"/>
      <c r="AA37" s="476"/>
    </row>
    <row r="38" spans="8:27" x14ac:dyDescent="0.25">
      <c r="H38" s="77" t="str">
        <f>BGfix_1!H37</f>
        <v>PV fOpex</v>
      </c>
      <c r="I38" s="78" t="str">
        <f>BGfix_1!I37</f>
        <v>€/kgH2</v>
      </c>
      <c r="J38" s="410">
        <f>BGfix_1!O37</f>
        <v>0.14462256418582414</v>
      </c>
      <c r="K38" s="277">
        <f>BGSY_1!O37</f>
        <v>0.11900364444387247</v>
      </c>
      <c r="L38" s="277">
        <f>BGfix_b!O37</f>
        <v>0.10692094091306235</v>
      </c>
      <c r="M38" s="277">
        <f>BGSY_b!O37</f>
        <v>9.2434783188589678E-2</v>
      </c>
      <c r="N38" s="277">
        <f>BGfix_d!N37</f>
        <v>7.7435012155996366E-2</v>
      </c>
      <c r="O38" s="411">
        <f>BGSY_d!N37</f>
        <v>4.3225393943744451E-2</v>
      </c>
      <c r="P38" s="410">
        <f>BGfix_2!O37</f>
        <v>8.1810375965038859E-2</v>
      </c>
      <c r="Q38" s="277">
        <f>BGSY_2!O37</f>
        <v>6.7480876435462453E-2</v>
      </c>
      <c r="R38" s="277">
        <f>BGfix_b2!O37</f>
        <v>5.4461295460903801E-2</v>
      </c>
      <c r="S38" s="277">
        <f>BGSY_b2!O37</f>
        <v>5.2078378279275327E-2</v>
      </c>
      <c r="T38" s="277">
        <f>BGfix_d2!N37</f>
        <v>7.1972275045558198E-2</v>
      </c>
      <c r="U38" s="411">
        <f>BGSY_d2!N37</f>
        <v>5.3044187635696134E-2</v>
      </c>
      <c r="V38" s="476"/>
      <c r="W38" s="461"/>
      <c r="X38" s="461"/>
      <c r="Y38" s="461"/>
      <c r="Z38" s="461"/>
      <c r="AA38" s="476"/>
    </row>
    <row r="39" spans="8:27" x14ac:dyDescent="0.25">
      <c r="H39" s="81" t="str">
        <f>BGfix_1!H38</f>
        <v>Wind fOpex</v>
      </c>
      <c r="I39" s="82" t="str">
        <f>BGfix_1!I38</f>
        <v>€/kgH2</v>
      </c>
      <c r="J39" s="412">
        <f>BGfix_1!O38</f>
        <v>0.41529471052156913</v>
      </c>
      <c r="K39" s="288">
        <f>BGSY_1!O38</f>
        <v>0.38974914546331785</v>
      </c>
      <c r="L39" s="288">
        <f>BGfix_b!O38</f>
        <v>0.26824093046831837</v>
      </c>
      <c r="M39" s="288">
        <f>BGSY_b!O38</f>
        <v>0.26219592563824873</v>
      </c>
      <c r="N39" s="288">
        <f>BGfix_d!N38</f>
        <v>0.55766038672736418</v>
      </c>
      <c r="O39" s="413">
        <f>BGSY_d!N38</f>
        <v>0.50443682875240703</v>
      </c>
      <c r="P39" s="412">
        <f>BGfix_2!O38</f>
        <v>9.9940069291952038E-2</v>
      </c>
      <c r="Q39" s="482">
        <f>BGSY_2!O38</f>
        <v>9.7155917719801824E-2</v>
      </c>
      <c r="R39" s="482">
        <f>BGfix_b2!O38</f>
        <v>5.588157987447584E-2</v>
      </c>
      <c r="S39" s="482">
        <f>BGSY_b2!O38</f>
        <v>6.4333636552144288E-2</v>
      </c>
      <c r="T39" s="482">
        <f>BGfix_d2!N38</f>
        <v>0.28784241118870668</v>
      </c>
      <c r="U39" s="413">
        <f>BGSY_d2!N38</f>
        <v>0.28375162512134772</v>
      </c>
      <c r="V39" s="476"/>
      <c r="W39" s="461"/>
      <c r="X39" s="461"/>
      <c r="Y39" s="461"/>
      <c r="Z39" s="461"/>
      <c r="AA39" s="476"/>
    </row>
    <row r="40" spans="8:27" x14ac:dyDescent="0.25">
      <c r="H40" s="81" t="str">
        <f>BGfix_1!H39</f>
        <v>BESS fOpex</v>
      </c>
      <c r="I40" s="82" t="str">
        <f>BGfix_1!I39</f>
        <v>€/kgH2</v>
      </c>
      <c r="J40" s="412">
        <f>BGfix_1!O39</f>
        <v>0.25910234992910436</v>
      </c>
      <c r="K40" s="288">
        <f>BGSY_1!O39</f>
        <v>0.1170212903479611</v>
      </c>
      <c r="L40" s="288">
        <f>BGfix_b!O39</f>
        <v>0.2165142562570698</v>
      </c>
      <c r="M40" s="288">
        <f>BGSY_b!O39</f>
        <v>9.5344913349829585E-2</v>
      </c>
      <c r="N40" s="288">
        <f>BGfix_d!N39</f>
        <v>0.15512636384122194</v>
      </c>
      <c r="O40" s="413">
        <f>BGSY_d!N39</f>
        <v>2.4854389859315148E-2</v>
      </c>
      <c r="P40" s="412">
        <f>BGfix_2!O39</f>
        <v>8.7306896840790821E-2</v>
      </c>
      <c r="Q40" s="482">
        <f>BGSY_2!O39</f>
        <v>6.1527512039056403E-2</v>
      </c>
      <c r="R40" s="482">
        <f>BGfix_b2!O39</f>
        <v>7.038786533805283E-2</v>
      </c>
      <c r="S40" s="482">
        <f>BGSY_b2!O39</f>
        <v>4.5162395897046397E-2</v>
      </c>
      <c r="T40" s="482">
        <f>BGfix_d2!N39</f>
        <v>6.7074317380187445E-2</v>
      </c>
      <c r="U40" s="413">
        <f>BGSY_d2!N39</f>
        <v>3.409980840024459E-2</v>
      </c>
      <c r="V40" s="476"/>
      <c r="W40" s="461"/>
      <c r="X40" s="461"/>
      <c r="Y40" s="461"/>
      <c r="Z40" s="461"/>
      <c r="AA40" s="476"/>
    </row>
    <row r="41" spans="8:27" x14ac:dyDescent="0.25">
      <c r="H41" s="81" t="str">
        <f>BGfix_1!H40</f>
        <v>eBGRw+storage fOpex</v>
      </c>
      <c r="I41" s="82" t="str">
        <f>BGfix_1!I40</f>
        <v>€/kgH2</v>
      </c>
      <c r="J41" s="412">
        <f>BGfix_1!O40</f>
        <v>0.25703616958345638</v>
      </c>
      <c r="K41" s="288">
        <f>BGSY_1!O40</f>
        <v>0.36297963216242451</v>
      </c>
      <c r="L41" s="288">
        <f>BGfix_b!O40</f>
        <v>0.25703440481767476</v>
      </c>
      <c r="M41" s="288">
        <f>BGSY_b!O40</f>
        <v>0.33458733596727797</v>
      </c>
      <c r="N41" s="288">
        <f>BGfix_d!N40</f>
        <v>0.25703416135687451</v>
      </c>
      <c r="O41" s="413">
        <f>BGSY_d!N40</f>
        <v>0.32415913924413242</v>
      </c>
      <c r="P41" s="412">
        <f>BGfix_2!O40</f>
        <v>0.25703414695456078</v>
      </c>
      <c r="Q41" s="482">
        <f>BGSY_2!O40</f>
        <v>0.30863802874668111</v>
      </c>
      <c r="R41" s="482">
        <f>BGfix_b2!O40</f>
        <v>0.25703431605774646</v>
      </c>
      <c r="S41" s="482">
        <f>BGSY_b2!O40</f>
        <v>0.29972170488378946</v>
      </c>
      <c r="T41" s="482">
        <f>BGfix_d2!N40</f>
        <v>0.25703416999290435</v>
      </c>
      <c r="U41" s="413">
        <f>BGSY_d2!N40</f>
        <v>0.30781967617580602</v>
      </c>
      <c r="V41" s="476"/>
      <c r="W41" s="461"/>
      <c r="X41" s="461"/>
      <c r="Y41" s="461"/>
      <c r="Z41" s="461"/>
      <c r="AA41" s="476"/>
    </row>
    <row r="42" spans="8:27" x14ac:dyDescent="0.25">
      <c r="H42" s="85" t="str">
        <f>BGfix_1!H41</f>
        <v>Hydrogen storage fOpex</v>
      </c>
      <c r="I42" s="86" t="str">
        <f>BGfix_1!I41</f>
        <v>€/kgH2</v>
      </c>
      <c r="J42" s="414">
        <f>BGfix_1!O41</f>
        <v>0</v>
      </c>
      <c r="K42" s="278">
        <f>BGSY_1!O41</f>
        <v>0</v>
      </c>
      <c r="L42" s="278">
        <f>BGfix_b!O41</f>
        <v>0</v>
      </c>
      <c r="M42" s="278">
        <f>BGSY_b!O41</f>
        <v>0</v>
      </c>
      <c r="N42" s="278">
        <f>BGfix_d!N41</f>
        <v>0</v>
      </c>
      <c r="O42" s="415">
        <f>BGSY_d!N41</f>
        <v>0</v>
      </c>
      <c r="P42" s="414">
        <f>BGfix_2!O41</f>
        <v>0</v>
      </c>
      <c r="Q42" s="278">
        <f>BGSY_2!O41</f>
        <v>6.6309502346198674E-4</v>
      </c>
      <c r="R42" s="278">
        <f>BGfix_b2!O41</f>
        <v>0</v>
      </c>
      <c r="S42" s="278">
        <f>BGSY_b2!O41</f>
        <v>2.4290421401234786E-4</v>
      </c>
      <c r="T42" s="278">
        <f>BGfix_d2!N41</f>
        <v>0</v>
      </c>
      <c r="U42" s="415">
        <f>BGSY_d2!N41</f>
        <v>9.8431115682362253E-4</v>
      </c>
      <c r="V42" s="476"/>
      <c r="W42" s="461"/>
      <c r="X42" s="461"/>
      <c r="Y42" s="461"/>
      <c r="Z42" s="461"/>
      <c r="AA42" s="476"/>
    </row>
    <row r="43" spans="8:27" x14ac:dyDescent="0.25">
      <c r="H43" s="89" t="str">
        <f>BGfix_1!H42</f>
        <v>Battery vOpex</v>
      </c>
      <c r="I43" s="90" t="str">
        <f>BGfix_1!I42</f>
        <v>€/kgH2</v>
      </c>
      <c r="J43" s="416">
        <f>BGfix_1!O42</f>
        <v>0.55299469863732897</v>
      </c>
      <c r="K43" s="289">
        <f>BGSY_1!O42</f>
        <v>0.24899307901812998</v>
      </c>
      <c r="L43" s="289">
        <f>BGfix_b!O42</f>
        <v>0.47321727795589641</v>
      </c>
      <c r="M43" s="289">
        <f>BGSY_b!O42</f>
        <v>0.20776668391368189</v>
      </c>
      <c r="N43" s="289">
        <f>BGfix_d!N42</f>
        <v>0.14386428380548008</v>
      </c>
      <c r="O43" s="417">
        <f>BGSY_d!N42</f>
        <v>2.335147084675215E-2</v>
      </c>
      <c r="P43" s="416">
        <f>BGfix_2!O42</f>
        <v>0.25104227346936042</v>
      </c>
      <c r="Q43" s="483">
        <f>BGSY_2!O42</f>
        <v>0.19221940429865905</v>
      </c>
      <c r="R43" s="483">
        <f>BGfix_b2!O42</f>
        <v>0.2421684773869702</v>
      </c>
      <c r="S43" s="483">
        <f>BGSY_b2!O42</f>
        <v>0.15436614321418296</v>
      </c>
      <c r="T43" s="483">
        <f>BGfix_d2!N42</f>
        <v>0.10428765822617549</v>
      </c>
      <c r="U43" s="417">
        <f>BGSY_d2!N42</f>
        <v>5.2557439306232974E-2</v>
      </c>
      <c r="V43" s="476"/>
      <c r="W43" s="461"/>
      <c r="X43" s="461"/>
      <c r="Y43" s="461"/>
      <c r="Z43" s="461"/>
      <c r="AA43" s="476"/>
    </row>
    <row r="44" spans="8:27" x14ac:dyDescent="0.25">
      <c r="H44" s="89" t="str">
        <f>BGfix_1!H43</f>
        <v>Hydrogen storage vOpex</v>
      </c>
      <c r="I44" s="90" t="str">
        <f>BGfix_1!I43</f>
        <v>€/kgH2</v>
      </c>
      <c r="J44" s="416">
        <f>BGfix_1!O43</f>
        <v>0</v>
      </c>
      <c r="K44" s="289">
        <f>BGSY_1!O43</f>
        <v>0</v>
      </c>
      <c r="L44" s="289">
        <f>BGfix_b!O43</f>
        <v>0</v>
      </c>
      <c r="M44" s="289">
        <f>BGSY_b!O43</f>
        <v>0</v>
      </c>
      <c r="N44" s="289">
        <f>BGfix_d!N43</f>
        <v>0</v>
      </c>
      <c r="O44" s="417">
        <f>BGSY_d!N43</f>
        <v>0</v>
      </c>
      <c r="P44" s="416">
        <f>BGfix_2!O43</f>
        <v>0</v>
      </c>
      <c r="Q44" s="483">
        <f>BGSY_2!O43</f>
        <v>0</v>
      </c>
      <c r="R44" s="483">
        <f>BGfix_b2!O43</f>
        <v>0</v>
      </c>
      <c r="S44" s="483">
        <f>BGSY_b2!O43</f>
        <v>0</v>
      </c>
      <c r="T44" s="483">
        <f>BGfix_d2!N43</f>
        <v>0</v>
      </c>
      <c r="U44" s="417">
        <f>BGSY_d2!N43</f>
        <v>0</v>
      </c>
      <c r="V44" s="476"/>
      <c r="W44" s="461"/>
      <c r="X44" s="461"/>
      <c r="Y44" s="461"/>
      <c r="Z44" s="461"/>
      <c r="AA44" s="476"/>
    </row>
    <row r="45" spans="8:27" x14ac:dyDescent="0.25">
      <c r="H45" s="89" t="str">
        <f>BGfix_1!H44</f>
        <v>eBGRw vOpex</v>
      </c>
      <c r="I45" s="90" t="str">
        <f>BGfix_1!I44</f>
        <v>€/kgH2</v>
      </c>
      <c r="J45" s="416">
        <f>BGfix_1!O44</f>
        <v>8.4787488861776547E-2</v>
      </c>
      <c r="K45" s="289">
        <f>BGSY_1!O44</f>
        <v>0.11577891757226888</v>
      </c>
      <c r="L45" s="289">
        <f>BGfix_b!O44</f>
        <v>8.4786537489415545E-2</v>
      </c>
      <c r="M45" s="289">
        <f>BGSY_b!O44</f>
        <v>0.10777846421497228</v>
      </c>
      <c r="N45" s="289">
        <f>BGfix_d!N44</f>
        <v>8.4786436868742543E-2</v>
      </c>
      <c r="O45" s="417">
        <f>BGSY_d!N44</f>
        <v>0.10201941657998792</v>
      </c>
      <c r="P45" s="416">
        <f>BGfix_2!O44</f>
        <v>8.4786431781360944E-2</v>
      </c>
      <c r="Q45" s="483">
        <f>BGSY_2!O44</f>
        <v>0.10294153307316345</v>
      </c>
      <c r="R45" s="483">
        <f>BGfix_b2!O44</f>
        <v>8.4786537489430033E-2</v>
      </c>
      <c r="S45" s="483">
        <f>BGSY_b2!O44</f>
        <v>0.10204019924545374</v>
      </c>
      <c r="T45" s="483">
        <f>BGfix_d2!N44</f>
        <v>8.4786439353369603E-2</v>
      </c>
      <c r="U45" s="417">
        <f>BGSY_d2!N44</f>
        <v>9.936871674023165E-2</v>
      </c>
      <c r="V45" s="476"/>
      <c r="W45" s="461"/>
      <c r="X45" s="461"/>
      <c r="Y45" s="461"/>
      <c r="Z45" s="461"/>
      <c r="AA45" s="476"/>
    </row>
    <row r="46" spans="8:27" x14ac:dyDescent="0.25">
      <c r="H46" s="89" t="str">
        <f>BGfix_1!H45</f>
        <v>Biogas</v>
      </c>
      <c r="I46" s="90" t="str">
        <f>BGfix_1!I45</f>
        <v>€/kgH2</v>
      </c>
      <c r="J46" s="416">
        <f>BGfix_1!O45</f>
        <v>1.9027730795183002</v>
      </c>
      <c r="K46" s="289">
        <f>BGSY_1!O45</f>
        <v>1.9027730795183668</v>
      </c>
      <c r="L46" s="289">
        <f>BGfix_b!O45</f>
        <v>1.9027730795184319</v>
      </c>
      <c r="M46" s="289">
        <f>BGSY_b!O45</f>
        <v>1.9027730795183657</v>
      </c>
      <c r="N46" s="289">
        <f>BGfix_d!N45</f>
        <v>1.9027730795181921</v>
      </c>
      <c r="O46" s="417">
        <f>BGSY_d!N45</f>
        <v>1.9027730795183599</v>
      </c>
      <c r="P46" s="416">
        <f>BGfix_2!O45</f>
        <v>1.9027730795181843</v>
      </c>
      <c r="Q46" s="483">
        <f>BGSY_2!O45</f>
        <v>1.9027730795183755</v>
      </c>
      <c r="R46" s="483">
        <f>BGfix_b2!O45</f>
        <v>1.9027730795187165</v>
      </c>
      <c r="S46" s="483">
        <f>BGSY_b2!O45</f>
        <v>1.9027730795183677</v>
      </c>
      <c r="T46" s="483">
        <f>BGfix_d2!N45</f>
        <v>1.9027730795184359</v>
      </c>
      <c r="U46" s="417">
        <f>BGSY_d2!N45</f>
        <v>1.9027730795183784</v>
      </c>
      <c r="V46" s="476"/>
      <c r="W46" s="461"/>
      <c r="X46" s="461"/>
      <c r="Y46" s="461"/>
      <c r="Z46" s="461"/>
      <c r="AA46" s="476"/>
    </row>
    <row r="47" spans="8:27" x14ac:dyDescent="0.25">
      <c r="H47" s="89" t="str">
        <f>BGfix_1!H46</f>
        <v>Electricity from grid</v>
      </c>
      <c r="I47" s="90" t="str">
        <f>BGfix_1!I46</f>
        <v>€/kgH2</v>
      </c>
      <c r="J47" s="416">
        <f>BGfix_1!O46</f>
        <v>0.13394187865639123</v>
      </c>
      <c r="K47" s="289">
        <f>BGSY_1!O46</f>
        <v>0.13354372819939991</v>
      </c>
      <c r="L47" s="289">
        <f>BGfix_b!O46</f>
        <v>0.13560225450753188</v>
      </c>
      <c r="M47" s="289">
        <f>BGSY_b!O46</f>
        <v>0.13580437301926185</v>
      </c>
      <c r="N47" s="289">
        <f>BGfix_d!N46</f>
        <v>0.13404327338182828</v>
      </c>
      <c r="O47" s="417">
        <f>BGSY_d!N46</f>
        <v>0.13405464600707942</v>
      </c>
      <c r="P47" s="416">
        <f>BGfix_2!O46</f>
        <v>8.9644644414255903E-2</v>
      </c>
      <c r="Q47" s="483">
        <f>BGSY_2!O46</f>
        <v>8.9364981593908821E-2</v>
      </c>
      <c r="R47" s="483">
        <f>BGfix_b2!O46</f>
        <v>9.0837516204317167E-2</v>
      </c>
      <c r="S47" s="483">
        <f>BGSY_b2!O46</f>
        <v>8.7188971161105328E-2</v>
      </c>
      <c r="T47" s="483">
        <f>BGfix_d2!N46</f>
        <v>8.924378625361569E-2</v>
      </c>
      <c r="U47" s="417">
        <f>BGSY_d2!N46</f>
        <v>8.9217859193918239E-2</v>
      </c>
      <c r="V47" s="476"/>
      <c r="W47" s="461"/>
      <c r="X47" s="461"/>
      <c r="Y47" s="461"/>
      <c r="Z47" s="461"/>
      <c r="AA47" s="476"/>
    </row>
    <row r="48" spans="8:27" x14ac:dyDescent="0.25">
      <c r="H48" s="93" t="str">
        <f>BGfix_1!H47</f>
        <v>CO2 credits</v>
      </c>
      <c r="I48" s="94" t="str">
        <f>BGfix_1!I47</f>
        <v>€/kgH2</v>
      </c>
      <c r="J48" s="418">
        <f>BGfix_1!O47</f>
        <v>-0.47122626486099783</v>
      </c>
      <c r="K48" s="279">
        <f>BGSY_1!O47</f>
        <v>-0.47122626486095842</v>
      </c>
      <c r="L48" s="279">
        <f>BGfix_b!O47</f>
        <v>-0.47122626486107472</v>
      </c>
      <c r="M48" s="279">
        <f>BGSY_b!O47</f>
        <v>-0.47122626486097496</v>
      </c>
      <c r="N48" s="279">
        <f>BGfix_d!N47</f>
        <v>-0.47122626486100555</v>
      </c>
      <c r="O48" s="419">
        <f>BGSY_d!N47</f>
        <v>-0.47122626486104713</v>
      </c>
      <c r="P48" s="418">
        <f>BGfix_2!O47</f>
        <v>-0.47122626486093483</v>
      </c>
      <c r="Q48" s="279">
        <f>BGSY_2!O47</f>
        <v>-0.47122626486095531</v>
      </c>
      <c r="R48" s="279">
        <f>BGfix_b2!O47</f>
        <v>-0.47122626486105129</v>
      </c>
      <c r="S48" s="279">
        <f>BGSY_b2!O47</f>
        <v>-0.47122626486095925</v>
      </c>
      <c r="T48" s="279">
        <f>BGfix_d2!N47</f>
        <v>-0.47122626486094693</v>
      </c>
      <c r="U48" s="419">
        <f>BGSY_d2!N47</f>
        <v>-0.47122626486093294</v>
      </c>
      <c r="V48" s="476"/>
      <c r="W48" s="461"/>
      <c r="X48" s="461"/>
      <c r="Y48" s="461"/>
      <c r="Z48" s="461"/>
      <c r="AA48" s="476"/>
    </row>
    <row r="49" spans="8:27" x14ac:dyDescent="0.25">
      <c r="H49" s="97" t="str">
        <f>BGfix_1!H48</f>
        <v>Electricity sold to grid 30</v>
      </c>
      <c r="I49" s="98" t="str">
        <f>BGfix_1!I48</f>
        <v>€/kgH2</v>
      </c>
      <c r="J49" s="420">
        <f>BGfix_1!O48</f>
        <v>-0.27290374169554149</v>
      </c>
      <c r="K49" s="280">
        <f>BGSY_1!O48</f>
        <v>-0.17912656133853702</v>
      </c>
      <c r="L49" s="280">
        <f>BGfix_b!O48</f>
        <v>-0.26681869039422745</v>
      </c>
      <c r="M49" s="280">
        <f>BGSY_b!O48</f>
        <v>-0.21272804100162634</v>
      </c>
      <c r="N49" s="280">
        <f>BGfix_d!N48</f>
        <v>-0.42308437962668599</v>
      </c>
      <c r="O49" s="421">
        <f>BGSY_d!N48</f>
        <v>-0.28916249321758519</v>
      </c>
      <c r="P49" s="420">
        <f>BGfix_2!O48</f>
        <v>-0.28024254025116635</v>
      </c>
      <c r="Q49" s="280">
        <f>BGSY_2!O48</f>
        <v>-0.17159565533681573</v>
      </c>
      <c r="R49" s="280">
        <f>BGfix_b2!O48</f>
        <v>-0.13275031535994067</v>
      </c>
      <c r="S49" s="280">
        <f>BGSY_b2!O48</f>
        <v>-0.14713559528202802</v>
      </c>
      <c r="T49" s="280">
        <f>BGfix_d2!N48</f>
        <v>-0.21110989963136775</v>
      </c>
      <c r="U49" s="421">
        <f>BGSY_d2!N48</f>
        <v>-0.12557199556048382</v>
      </c>
      <c r="V49" s="476"/>
      <c r="W49" s="461"/>
      <c r="X49" s="461"/>
      <c r="Y49" s="461"/>
      <c r="Z49" s="461"/>
      <c r="AA49" s="476"/>
    </row>
    <row r="50" spans="8:27" x14ac:dyDescent="0.25">
      <c r="H50" s="101" t="str">
        <f>BGfix_1!H49</f>
        <v>Electricity sold to grid 60</v>
      </c>
      <c r="I50" s="102" t="str">
        <f>BGfix_1!I49</f>
        <v>€/kgH2</v>
      </c>
      <c r="J50" s="422">
        <f>BGfix_1!O49</f>
        <v>-0.54580748339108298</v>
      </c>
      <c r="K50" s="281">
        <f>BGSY_1!O49</f>
        <v>-0.35825312267707404</v>
      </c>
      <c r="L50" s="281">
        <f>BGfix_b!O49</f>
        <v>-0.53363738078845491</v>
      </c>
      <c r="M50" s="281">
        <f>BGSY_b!O49</f>
        <v>-0.42545608200325269</v>
      </c>
      <c r="N50" s="281">
        <f>BGfix_d!N49</f>
        <v>-0.84616875925337198</v>
      </c>
      <c r="O50" s="423">
        <f>BGSY_d!N49</f>
        <v>-0.57832498643517039</v>
      </c>
      <c r="P50" s="422">
        <f>BGfix_2!O49</f>
        <v>-0.5604850805023327</v>
      </c>
      <c r="Q50" s="281">
        <f>BGSY_2!O49</f>
        <v>-0.34319131067363146</v>
      </c>
      <c r="R50" s="281">
        <f>BGfix_b2!O49</f>
        <v>-0.26550063071988134</v>
      </c>
      <c r="S50" s="281">
        <f>BGSY_b2!O49</f>
        <v>-0.29427119056405604</v>
      </c>
      <c r="T50" s="281">
        <f>BGfix_d2!N49</f>
        <v>-0.42221979926273551</v>
      </c>
      <c r="U50" s="423">
        <f>BGSY_d2!N49</f>
        <v>-0.25114399112096764</v>
      </c>
      <c r="V50" s="476"/>
      <c r="W50" s="461"/>
      <c r="X50" s="461"/>
      <c r="Y50" s="461"/>
      <c r="Z50" s="461"/>
      <c r="AA50" s="476"/>
    </row>
    <row r="51" spans="8:27" x14ac:dyDescent="0.25">
      <c r="H51" s="105" t="str">
        <f>BGfix_1!H50</f>
        <v>H2 production cost</v>
      </c>
      <c r="I51" s="106" t="str">
        <f>BGfix_1!I50</f>
        <v>€/kgH2</v>
      </c>
      <c r="J51" s="424">
        <f>BGfix_1!O50</f>
        <v>7.1139625427707704</v>
      </c>
      <c r="K51" s="290">
        <f>BGSY_1!O50</f>
        <v>6.253077418351273</v>
      </c>
      <c r="L51" s="290">
        <f>BGfix_b!O50</f>
        <v>5.946887907236186</v>
      </c>
      <c r="M51" s="290">
        <f>BGSY_b!O50</f>
        <v>5.2841226703767212</v>
      </c>
      <c r="N51" s="290">
        <f>BGfix_d!N50</f>
        <v>6.0494119543169962</v>
      </c>
      <c r="O51" s="425">
        <f>BGSY_d!N50</f>
        <v>5.0565751011974474</v>
      </c>
      <c r="P51" s="424">
        <f>BGfix_2!O50</f>
        <v>4.3756724929727513</v>
      </c>
      <c r="Q51" s="484">
        <f>BGSY_2!O50</f>
        <v>4.2598994911465624</v>
      </c>
      <c r="R51" s="484">
        <f>BGfix_b2!O50</f>
        <v>3.8359745109136578</v>
      </c>
      <c r="S51" s="484">
        <f>BGSY_b2!O50</f>
        <v>3.7978660664833002</v>
      </c>
      <c r="T51" s="484">
        <f>BGfix_d2!N50</f>
        <v>4.4340671130293758</v>
      </c>
      <c r="U51" s="425">
        <f>BGSY_d2!N50</f>
        <v>4.2520882686950801</v>
      </c>
      <c r="V51" s="476"/>
      <c r="W51" s="461"/>
      <c r="X51" s="461"/>
      <c r="Y51" s="461"/>
      <c r="Z51" s="461"/>
      <c r="AA51" s="476"/>
    </row>
    <row r="52" spans="8:27" x14ac:dyDescent="0.25">
      <c r="H52" s="105" t="str">
        <f>BGfix_1!H51</f>
        <v>H2 production cost (30)</v>
      </c>
      <c r="I52" s="106" t="str">
        <f>BGfix_1!I51</f>
        <v>€/kgH2</v>
      </c>
      <c r="J52" s="424">
        <f>BGfix_1!O51</f>
        <v>6.8410588010752287</v>
      </c>
      <c r="K52" s="290">
        <f>BGSY_1!O51</f>
        <v>6.0739508570127363</v>
      </c>
      <c r="L52" s="290">
        <f>BGfix_b!O51</f>
        <v>5.6800692168419582</v>
      </c>
      <c r="M52" s="290">
        <f>BGSY_b!O51</f>
        <v>5.0713946293750949</v>
      </c>
      <c r="N52" s="290">
        <f>BGfix_d!N51</f>
        <v>5.6263275746903103</v>
      </c>
      <c r="O52" s="425">
        <f>BGSY_d!N51</f>
        <v>4.7674126079798622</v>
      </c>
      <c r="P52" s="424">
        <f>BGfix_2!O51</f>
        <v>4.0954299527215845</v>
      </c>
      <c r="Q52" s="484">
        <f>BGSY_2!O51</f>
        <v>4.0883038358097465</v>
      </c>
      <c r="R52" s="484">
        <f>BGfix_b2!O51</f>
        <v>3.7032241955537173</v>
      </c>
      <c r="S52" s="484">
        <f>BGSY_b2!O51</f>
        <v>3.650730471201272</v>
      </c>
      <c r="T52" s="484">
        <f>BGfix_d2!N51</f>
        <v>4.2229572133980078</v>
      </c>
      <c r="U52" s="425">
        <f>BGSY_d2!N51</f>
        <v>4.1265162731345963</v>
      </c>
      <c r="V52" s="476"/>
      <c r="W52" s="461"/>
      <c r="X52" s="461"/>
      <c r="Y52" s="461"/>
      <c r="Z52" s="461"/>
      <c r="AA52" s="476"/>
    </row>
    <row r="53" spans="8:27" x14ac:dyDescent="0.25">
      <c r="H53" s="109" t="str">
        <f>BGfix_1!H52</f>
        <v>H2 production cost (60)</v>
      </c>
      <c r="I53" s="110" t="str">
        <f>BGfix_1!I52</f>
        <v>€/kgH2</v>
      </c>
      <c r="J53" s="426">
        <f>BGfix_1!O52</f>
        <v>6.5681550593796878</v>
      </c>
      <c r="K53" s="282">
        <f>BGSY_1!O52</f>
        <v>5.8948242956741987</v>
      </c>
      <c r="L53" s="282">
        <f>BGfix_b!O52</f>
        <v>5.4132505264477313</v>
      </c>
      <c r="M53" s="282">
        <f>BGSY_b!O52</f>
        <v>4.8586665883734685</v>
      </c>
      <c r="N53" s="282">
        <f>BGfix_d!N52</f>
        <v>5.2032431950636244</v>
      </c>
      <c r="O53" s="427">
        <f>BGSY_d!N52</f>
        <v>4.4782501147622771</v>
      </c>
      <c r="P53" s="426">
        <f>BGfix_2!O52</f>
        <v>3.8151874124704186</v>
      </c>
      <c r="Q53" s="282">
        <f>BGSY_2!O52</f>
        <v>3.9167081804729311</v>
      </c>
      <c r="R53" s="282">
        <f>BGfix_b2!O52</f>
        <v>3.5704738801937763</v>
      </c>
      <c r="S53" s="282">
        <f>BGSY_b2!O52</f>
        <v>3.5035948759192443</v>
      </c>
      <c r="T53" s="282">
        <f>BGfix_d2!N52</f>
        <v>4.0118473137666406</v>
      </c>
      <c r="U53" s="427">
        <f>BGSY_d2!N52</f>
        <v>4.0009442775741126</v>
      </c>
      <c r="V53" s="476"/>
      <c r="W53" s="461"/>
      <c r="X53" s="461"/>
      <c r="Y53" s="461"/>
      <c r="Z53" s="461"/>
      <c r="AA53" s="476"/>
    </row>
    <row r="54" spans="8:27" ht="15.75" thickBot="1" x14ac:dyDescent="0.3">
      <c r="H54" s="113" t="str">
        <f>BGfix_1!H53</f>
        <v>H2 cost check</v>
      </c>
      <c r="I54" s="114" t="str">
        <f>BGfix_1!I53</f>
        <v>€/kgH2</v>
      </c>
      <c r="J54" s="428">
        <f>SUM(J32:J48)</f>
        <v>7.1139625427707704</v>
      </c>
      <c r="K54" s="429">
        <f>SUM(K32:K48)</f>
        <v>6.253077418351273</v>
      </c>
      <c r="L54" s="429">
        <f>BGfix_b!O53</f>
        <v>5.946887907236186</v>
      </c>
      <c r="M54" s="429">
        <f>BGSY_b!O53</f>
        <v>5.2841226703767212</v>
      </c>
      <c r="N54" s="429">
        <f>BGfix_d!N53</f>
        <v>6.0494119543169962</v>
      </c>
      <c r="O54" s="430">
        <f>BGSY_d!N53</f>
        <v>5.0565751011974474</v>
      </c>
      <c r="P54" s="428">
        <f>BGfix_2!O53</f>
        <v>4.3756724929727531</v>
      </c>
      <c r="Q54" s="429">
        <f>BGSY_2!O53</f>
        <v>4.2598994911465615</v>
      </c>
      <c r="R54" s="429">
        <f>BGfix_b2!O53</f>
        <v>3.8359745109136578</v>
      </c>
      <c r="S54" s="429">
        <f>BGSY_b2!O53</f>
        <v>3.7978660664832993</v>
      </c>
      <c r="T54" s="429">
        <f>BGfix_d2!N53</f>
        <v>4.4340671130293758</v>
      </c>
      <c r="U54" s="430">
        <f>BGSY_d2!N53</f>
        <v>4.2520882686950801</v>
      </c>
      <c r="V54" s="487"/>
      <c r="W54" s="461"/>
      <c r="X54" s="461"/>
      <c r="Y54" s="461"/>
      <c r="Z54" s="461"/>
      <c r="AA54" s="487"/>
    </row>
    <row r="55" spans="8:27" x14ac:dyDescent="0.25">
      <c r="H55" s="13"/>
      <c r="I55" s="13"/>
      <c r="L55" s="31"/>
      <c r="M55" s="31"/>
      <c r="O55" s="31"/>
      <c r="R55" s="31"/>
      <c r="U55" s="31"/>
      <c r="V55" s="475"/>
      <c r="W55" s="461"/>
      <c r="X55" s="475"/>
      <c r="Y55" s="461"/>
      <c r="Z55" s="461"/>
      <c r="AA55" s="475"/>
    </row>
    <row r="56" spans="8:27" x14ac:dyDescent="0.25">
      <c r="H56" s="459"/>
      <c r="I56" s="459"/>
      <c r="J56" s="459"/>
      <c r="K56" s="459"/>
      <c r="L56" s="459"/>
      <c r="M56" s="459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9"/>
      <c r="Y56" s="459"/>
      <c r="Z56" s="459"/>
      <c r="AA56" s="459"/>
    </row>
    <row r="57" spans="8:27" x14ac:dyDescent="0.25">
      <c r="H57" s="460"/>
      <c r="I57" s="459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</row>
    <row r="58" spans="8:27" x14ac:dyDescent="0.25">
      <c r="H58" s="461"/>
      <c r="I58" s="462"/>
      <c r="J58" s="463"/>
      <c r="K58" s="463"/>
      <c r="L58" s="463"/>
      <c r="M58" s="463"/>
      <c r="N58" s="463"/>
      <c r="O58" s="463"/>
      <c r="P58" s="463"/>
      <c r="Q58" s="463"/>
      <c r="R58" s="463"/>
      <c r="S58" s="463"/>
      <c r="T58" s="463"/>
      <c r="U58" s="463"/>
      <c r="V58" s="463"/>
      <c r="W58" s="463"/>
      <c r="X58" s="463"/>
      <c r="Y58" s="463"/>
      <c r="Z58" s="463"/>
      <c r="AA58" s="464"/>
    </row>
    <row r="59" spans="8:27" x14ac:dyDescent="0.25">
      <c r="H59" s="461"/>
      <c r="I59" s="462"/>
      <c r="J59" s="463"/>
      <c r="K59" s="463"/>
      <c r="L59" s="463"/>
      <c r="M59" s="463"/>
      <c r="N59" s="463"/>
      <c r="O59" s="463"/>
      <c r="P59" s="463"/>
      <c r="Q59" s="463"/>
      <c r="R59" s="463"/>
      <c r="S59" s="463"/>
      <c r="T59" s="463"/>
      <c r="U59" s="463"/>
      <c r="V59" s="463"/>
      <c r="W59" s="463"/>
      <c r="X59" s="463"/>
      <c r="Y59" s="463"/>
      <c r="Z59" s="463"/>
      <c r="AA59" s="464"/>
    </row>
    <row r="60" spans="8:27" x14ac:dyDescent="0.25">
      <c r="H60" s="461"/>
      <c r="I60" s="462"/>
      <c r="J60" s="463"/>
      <c r="K60" s="463"/>
      <c r="L60" s="463"/>
      <c r="M60" s="463"/>
      <c r="N60" s="463"/>
      <c r="O60" s="463"/>
      <c r="P60" s="463"/>
      <c r="Q60" s="463"/>
      <c r="R60" s="463"/>
      <c r="S60" s="463"/>
      <c r="T60" s="463"/>
      <c r="U60" s="463"/>
      <c r="V60" s="463"/>
      <c r="W60" s="463"/>
      <c r="X60" s="463"/>
      <c r="Y60" s="463"/>
      <c r="Z60" s="463"/>
      <c r="AA60" s="464"/>
    </row>
    <row r="61" spans="8:27" x14ac:dyDescent="0.25">
      <c r="H61" s="461"/>
      <c r="I61" s="462"/>
      <c r="J61" s="463"/>
      <c r="K61" s="463"/>
      <c r="L61" s="463"/>
      <c r="M61" s="463"/>
      <c r="N61" s="463"/>
      <c r="O61" s="463"/>
      <c r="P61" s="463"/>
      <c r="Q61" s="463"/>
      <c r="R61" s="463"/>
      <c r="S61" s="463"/>
      <c r="T61" s="463"/>
      <c r="U61" s="463"/>
      <c r="V61" s="463"/>
      <c r="W61" s="463"/>
      <c r="X61" s="463"/>
      <c r="Y61" s="463"/>
      <c r="Z61" s="463"/>
      <c r="AA61" s="464"/>
    </row>
    <row r="62" spans="8:27" x14ac:dyDescent="0.25">
      <c r="H62" s="461"/>
      <c r="I62" s="462"/>
      <c r="J62" s="463"/>
      <c r="K62" s="463"/>
      <c r="L62" s="463"/>
      <c r="M62" s="463"/>
      <c r="N62" s="463"/>
      <c r="O62" s="463"/>
      <c r="P62" s="463"/>
      <c r="Q62" s="463"/>
      <c r="R62" s="463"/>
      <c r="S62" s="463"/>
      <c r="T62" s="463"/>
      <c r="U62" s="463"/>
      <c r="V62" s="463"/>
      <c r="W62" s="463"/>
      <c r="X62" s="463"/>
      <c r="Y62" s="463"/>
      <c r="Z62" s="463"/>
      <c r="AA62" s="464"/>
    </row>
    <row r="63" spans="8:27" x14ac:dyDescent="0.25">
      <c r="H63" s="461"/>
      <c r="I63" s="462"/>
      <c r="J63" s="463"/>
      <c r="K63" s="463"/>
      <c r="L63" s="463"/>
      <c r="M63" s="463"/>
      <c r="N63" s="463"/>
      <c r="O63" s="463"/>
      <c r="P63" s="463"/>
      <c r="Q63" s="463"/>
      <c r="R63" s="463"/>
      <c r="S63" s="463"/>
      <c r="T63" s="463"/>
      <c r="U63" s="463"/>
      <c r="V63" s="463"/>
      <c r="W63" s="463"/>
      <c r="X63" s="463"/>
      <c r="Y63" s="463"/>
      <c r="Z63" s="463"/>
      <c r="AA63" s="464"/>
    </row>
    <row r="64" spans="8:27" x14ac:dyDescent="0.25">
      <c r="H64" s="461"/>
      <c r="I64" s="462"/>
      <c r="J64" s="463"/>
      <c r="K64" s="463"/>
      <c r="L64" s="463"/>
      <c r="M64" s="463"/>
      <c r="N64" s="463"/>
      <c r="O64" s="463"/>
      <c r="P64" s="463"/>
      <c r="Q64" s="463"/>
      <c r="R64" s="463"/>
      <c r="S64" s="463"/>
      <c r="T64" s="463"/>
      <c r="U64" s="463"/>
      <c r="V64" s="463"/>
      <c r="W64" s="463"/>
      <c r="X64" s="463"/>
      <c r="Y64" s="463"/>
      <c r="Z64" s="463"/>
      <c r="AA64" s="464"/>
    </row>
    <row r="65" spans="8:27" x14ac:dyDescent="0.25">
      <c r="H65" s="461"/>
      <c r="I65" s="462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4"/>
    </row>
    <row r="66" spans="8:27" x14ac:dyDescent="0.25">
      <c r="H66" s="461"/>
      <c r="I66" s="461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6"/>
    </row>
    <row r="67" spans="8:27" x14ac:dyDescent="0.25">
      <c r="H67" s="467"/>
      <c r="I67" s="121"/>
      <c r="J67" s="461"/>
      <c r="K67" s="461"/>
      <c r="L67" s="461"/>
      <c r="M67" s="462"/>
      <c r="N67" s="461"/>
      <c r="O67" s="461"/>
      <c r="P67" s="461"/>
      <c r="Q67" s="461"/>
      <c r="R67" s="461"/>
      <c r="S67" s="461"/>
      <c r="T67" s="461"/>
      <c r="U67" s="461"/>
      <c r="V67" s="462"/>
      <c r="W67" s="461"/>
      <c r="X67" s="461"/>
      <c r="Y67" s="461"/>
      <c r="Z67" s="461"/>
      <c r="AA67" s="461"/>
    </row>
    <row r="68" spans="8:27" x14ac:dyDescent="0.25">
      <c r="H68" s="461"/>
      <c r="I68" s="468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  <c r="W68" s="309"/>
      <c r="X68" s="309"/>
      <c r="Y68" s="309"/>
      <c r="Z68" s="309"/>
      <c r="AA68" s="461"/>
    </row>
    <row r="69" spans="8:27" x14ac:dyDescent="0.25">
      <c r="H69" s="461"/>
      <c r="I69" s="468"/>
      <c r="J69" s="461"/>
      <c r="K69" s="461"/>
      <c r="L69" s="461"/>
      <c r="M69" s="462"/>
      <c r="N69" s="461"/>
      <c r="O69" s="461"/>
      <c r="P69" s="461"/>
      <c r="Q69" s="461"/>
      <c r="R69" s="461"/>
      <c r="S69" s="461"/>
      <c r="T69" s="461"/>
      <c r="U69" s="461"/>
      <c r="V69" s="462"/>
      <c r="W69" s="461"/>
      <c r="X69" s="461"/>
      <c r="Y69" s="461"/>
      <c r="Z69" s="461"/>
      <c r="AA69" s="461"/>
    </row>
    <row r="70" spans="8:27" x14ac:dyDescent="0.25">
      <c r="H70" s="461"/>
      <c r="I70" s="468"/>
      <c r="J70" s="461"/>
      <c r="K70" s="461"/>
      <c r="L70" s="461"/>
      <c r="M70" s="462"/>
      <c r="N70" s="461"/>
      <c r="O70" s="461"/>
      <c r="P70" s="461"/>
      <c r="Q70" s="461"/>
      <c r="R70" s="461"/>
      <c r="S70" s="461"/>
      <c r="T70" s="461"/>
      <c r="U70" s="461"/>
      <c r="V70" s="462"/>
      <c r="W70" s="461"/>
      <c r="X70" s="461"/>
      <c r="Y70" s="461"/>
      <c r="Z70" s="461"/>
      <c r="AA70" s="461"/>
    </row>
    <row r="71" spans="8:27" x14ac:dyDescent="0.25"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</row>
    <row r="72" spans="8:27" x14ac:dyDescent="0.25">
      <c r="H72" s="459"/>
      <c r="I72" s="459"/>
      <c r="J72" s="459"/>
      <c r="K72" s="459"/>
      <c r="L72" s="459"/>
      <c r="M72" s="459"/>
      <c r="N72" s="459"/>
      <c r="O72" s="459"/>
      <c r="P72" s="459"/>
      <c r="Q72" s="459"/>
      <c r="R72" s="459"/>
      <c r="S72" s="459"/>
      <c r="T72" s="459"/>
      <c r="U72" s="459"/>
      <c r="V72" s="459"/>
      <c r="W72" s="459"/>
      <c r="X72" s="459"/>
      <c r="Y72" s="459"/>
      <c r="Z72" s="459"/>
      <c r="AA72" s="459"/>
    </row>
    <row r="73" spans="8:27" x14ac:dyDescent="0.25">
      <c r="H73" s="469"/>
      <c r="I73" s="459"/>
      <c r="J73" s="470"/>
      <c r="K73" s="470"/>
      <c r="L73" s="470"/>
      <c r="M73" s="470"/>
      <c r="N73" s="470"/>
      <c r="O73" s="470"/>
      <c r="P73" s="470"/>
      <c r="Q73" s="470"/>
      <c r="R73" s="470"/>
      <c r="S73" s="470"/>
      <c r="T73" s="470"/>
      <c r="U73" s="470"/>
      <c r="V73" s="470"/>
      <c r="W73" s="470"/>
      <c r="X73" s="470"/>
      <c r="Y73" s="470"/>
      <c r="Z73" s="470"/>
      <c r="AA73" s="470"/>
    </row>
    <row r="74" spans="8:27" x14ac:dyDescent="0.25">
      <c r="H74" s="461"/>
      <c r="I74" s="471"/>
      <c r="J74" s="304"/>
      <c r="K74" s="304"/>
      <c r="L74" s="304"/>
      <c r="M74" s="304"/>
      <c r="N74" s="304"/>
      <c r="O74" s="304"/>
      <c r="P74" s="304"/>
      <c r="Q74" s="304"/>
      <c r="R74" s="304"/>
      <c r="S74" s="304"/>
      <c r="T74" s="304"/>
      <c r="U74" s="304"/>
      <c r="V74" s="304"/>
      <c r="W74" s="304"/>
      <c r="X74" s="304"/>
      <c r="Y74" s="304"/>
      <c r="Z74" s="304"/>
      <c r="AA74" s="304"/>
    </row>
    <row r="75" spans="8:27" x14ac:dyDescent="0.25">
      <c r="H75" s="461"/>
      <c r="I75" s="471"/>
      <c r="J75" s="304"/>
      <c r="K75" s="304"/>
      <c r="L75" s="304"/>
      <c r="M75" s="304"/>
      <c r="N75" s="304"/>
      <c r="O75" s="304"/>
      <c r="P75" s="304"/>
      <c r="Q75" s="304"/>
      <c r="R75" s="304"/>
      <c r="S75" s="304"/>
      <c r="T75" s="304"/>
      <c r="U75" s="304"/>
      <c r="V75" s="304"/>
      <c r="W75" s="304"/>
      <c r="X75" s="304"/>
      <c r="Y75" s="304"/>
      <c r="Z75" s="304"/>
      <c r="AA75" s="304"/>
    </row>
    <row r="76" spans="8:27" x14ac:dyDescent="0.25">
      <c r="H76" s="461"/>
      <c r="I76" s="47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</row>
    <row r="77" spans="8:27" x14ac:dyDescent="0.25">
      <c r="H77" s="461"/>
      <c r="I77" s="47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</row>
    <row r="78" spans="8:27" x14ac:dyDescent="0.25">
      <c r="H78" s="467"/>
      <c r="I78" s="472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</row>
    <row r="79" spans="8:27" x14ac:dyDescent="0.25">
      <c r="H79" s="474"/>
      <c r="I79" s="459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5"/>
      <c r="V79" s="475"/>
      <c r="W79" s="475"/>
      <c r="X79" s="475"/>
      <c r="Y79" s="475"/>
      <c r="Z79" s="475"/>
      <c r="AA79" s="475"/>
    </row>
    <row r="80" spans="8:27" x14ac:dyDescent="0.25">
      <c r="H80" s="461"/>
      <c r="I80" s="461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5"/>
      <c r="V80" s="475"/>
      <c r="W80" s="475"/>
      <c r="X80" s="475"/>
      <c r="Y80" s="475"/>
      <c r="Z80" s="475"/>
      <c r="AA80" s="475"/>
    </row>
    <row r="81" spans="8:27" x14ac:dyDescent="0.25">
      <c r="H81" s="461"/>
      <c r="I81" s="461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5"/>
      <c r="AA81" s="475"/>
    </row>
    <row r="82" spans="8:27" x14ac:dyDescent="0.25">
      <c r="H82" s="474"/>
      <c r="I82" s="461"/>
      <c r="J82" s="476"/>
      <c r="K82" s="476"/>
      <c r="L82" s="476"/>
      <c r="M82" s="476"/>
      <c r="N82" s="476"/>
      <c r="O82" s="476"/>
      <c r="P82" s="476"/>
      <c r="Q82" s="476"/>
      <c r="R82" s="476"/>
      <c r="S82" s="476"/>
      <c r="T82" s="476"/>
      <c r="U82" s="476"/>
      <c r="V82" s="476"/>
      <c r="W82" s="476"/>
      <c r="X82" s="476"/>
      <c r="Y82" s="476"/>
      <c r="Z82" s="476"/>
      <c r="AA82" s="476"/>
    </row>
    <row r="83" spans="8:27" x14ac:dyDescent="0.25">
      <c r="H83" s="461"/>
      <c r="I83" s="461"/>
      <c r="J83" s="476"/>
      <c r="K83" s="476"/>
      <c r="L83" s="476"/>
      <c r="M83" s="476"/>
      <c r="N83" s="476"/>
      <c r="O83" s="476"/>
      <c r="P83" s="476"/>
      <c r="Q83" s="476"/>
      <c r="R83" s="476"/>
      <c r="S83" s="476"/>
      <c r="T83" s="476"/>
      <c r="U83" s="476"/>
      <c r="V83" s="476"/>
      <c r="W83" s="476"/>
      <c r="X83" s="476"/>
      <c r="Y83" s="476"/>
      <c r="Z83" s="476"/>
      <c r="AA83" s="476"/>
    </row>
    <row r="84" spans="8:27" x14ac:dyDescent="0.25">
      <c r="H84" s="461"/>
      <c r="I84" s="461"/>
      <c r="J84" s="476"/>
      <c r="K84" s="476"/>
      <c r="L84" s="476"/>
      <c r="M84" s="476"/>
      <c r="N84" s="476"/>
      <c r="O84" s="476"/>
      <c r="P84" s="476"/>
      <c r="Q84" s="476"/>
      <c r="R84" s="476"/>
      <c r="S84" s="476"/>
      <c r="T84" s="476"/>
      <c r="U84" s="476"/>
      <c r="V84" s="476"/>
      <c r="W84" s="476"/>
      <c r="X84" s="476"/>
      <c r="Y84" s="476"/>
      <c r="Z84" s="476"/>
      <c r="AA84" s="476"/>
    </row>
    <row r="85" spans="8:27" x14ac:dyDescent="0.25">
      <c r="H85" s="461"/>
      <c r="I85" s="461"/>
      <c r="J85" s="476"/>
      <c r="K85" s="476"/>
      <c r="L85" s="476"/>
      <c r="M85" s="476"/>
      <c r="N85" s="476"/>
      <c r="O85" s="476"/>
      <c r="P85" s="476"/>
      <c r="Q85" s="476"/>
      <c r="R85" s="476"/>
      <c r="S85" s="476"/>
      <c r="T85" s="476"/>
      <c r="U85" s="476"/>
      <c r="V85" s="476"/>
      <c r="W85" s="476"/>
      <c r="X85" s="476"/>
      <c r="Y85" s="476"/>
      <c r="Z85" s="476"/>
      <c r="AA85" s="476"/>
    </row>
    <row r="87" spans="8:27" x14ac:dyDescent="0.25">
      <c r="I87" s="1"/>
      <c r="J87" s="302"/>
    </row>
    <row r="88" spans="8:27" x14ac:dyDescent="0.25">
      <c r="I88" s="303"/>
      <c r="J88" s="6"/>
    </row>
    <row r="89" spans="8:27" x14ac:dyDescent="0.25">
      <c r="I89" s="6"/>
      <c r="J89" s="31"/>
    </row>
    <row r="90" spans="8:27" x14ac:dyDescent="0.25">
      <c r="I90" s="6"/>
      <c r="J90" s="304"/>
    </row>
    <row r="91" spans="8:27" x14ac:dyDescent="0.25">
      <c r="I91" s="6"/>
      <c r="J91" s="304"/>
    </row>
    <row r="93" spans="8:27" x14ac:dyDescent="0.25">
      <c r="H93" s="460"/>
      <c r="I93" s="459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U93" s="121"/>
      <c r="V93" s="121"/>
      <c r="X93" s="121"/>
      <c r="Y93" s="121"/>
      <c r="Z93" s="121"/>
      <c r="AA93" s="121"/>
    </row>
    <row r="94" spans="8:27" x14ac:dyDescent="0.25">
      <c r="H94" s="461"/>
      <c r="I94" s="477"/>
      <c r="J94" s="307"/>
      <c r="K94" s="307"/>
      <c r="L94" s="307"/>
      <c r="M94" s="307"/>
      <c r="N94" s="307"/>
      <c r="O94" s="307"/>
      <c r="P94" s="307"/>
      <c r="Q94" s="307"/>
      <c r="R94" s="307"/>
      <c r="S94" s="307"/>
      <c r="U94" s="307"/>
      <c r="V94" s="307"/>
      <c r="X94" s="307"/>
      <c r="Y94" s="307"/>
      <c r="Z94" s="307"/>
      <c r="AA94" s="307"/>
    </row>
    <row r="95" spans="8:27" x14ac:dyDescent="0.25">
      <c r="H95" s="461"/>
      <c r="I95" s="477"/>
      <c r="J95" s="307"/>
      <c r="K95" s="307"/>
      <c r="L95" s="307"/>
      <c r="M95" s="307"/>
      <c r="N95" s="307"/>
      <c r="O95" s="307"/>
      <c r="P95" s="307"/>
      <c r="Q95" s="307"/>
      <c r="R95" s="307"/>
      <c r="S95" s="307"/>
      <c r="U95" s="307"/>
      <c r="V95" s="307"/>
      <c r="X95" s="307"/>
      <c r="Y95" s="307"/>
      <c r="Z95" s="307"/>
      <c r="AA95" s="307"/>
    </row>
    <row r="96" spans="8:27" x14ac:dyDescent="0.25">
      <c r="H96" s="461"/>
      <c r="I96" s="477"/>
      <c r="J96" s="307"/>
      <c r="K96" s="307"/>
      <c r="L96" s="307"/>
      <c r="M96" s="307"/>
      <c r="N96" s="307"/>
      <c r="O96" s="307"/>
      <c r="P96" s="307"/>
      <c r="Q96" s="307"/>
      <c r="R96" s="307"/>
      <c r="S96" s="307"/>
      <c r="U96" s="307"/>
      <c r="V96" s="307"/>
      <c r="X96" s="307"/>
      <c r="Y96" s="307"/>
      <c r="Z96" s="307"/>
      <c r="AA96" s="307"/>
    </row>
    <row r="97" spans="8:27" x14ac:dyDescent="0.25">
      <c r="H97" s="459"/>
      <c r="I97" s="459"/>
      <c r="J97" s="252"/>
      <c r="K97" s="252"/>
      <c r="L97" s="252"/>
      <c r="M97" s="252"/>
      <c r="N97" s="252"/>
      <c r="O97" s="252"/>
      <c r="P97" s="252"/>
      <c r="Q97" s="252"/>
      <c r="R97" s="252"/>
      <c r="S97" s="252"/>
      <c r="U97" s="252"/>
      <c r="V97" s="252"/>
      <c r="X97" s="252"/>
      <c r="Y97" s="252"/>
      <c r="Z97" s="252"/>
      <c r="AA97" s="252"/>
    </row>
    <row r="98" spans="8:27" x14ac:dyDescent="0.25">
      <c r="H98" s="460"/>
      <c r="I98" s="459"/>
      <c r="J98" s="308"/>
      <c r="K98" s="308"/>
      <c r="L98" s="308"/>
      <c r="M98" s="308"/>
      <c r="N98" s="308"/>
      <c r="O98" s="308"/>
      <c r="P98" s="308"/>
      <c r="Q98" s="308"/>
      <c r="R98" s="308"/>
      <c r="S98" s="308"/>
      <c r="U98" s="308"/>
      <c r="V98" s="308"/>
      <c r="X98" s="308"/>
      <c r="Y98" s="308"/>
      <c r="Z98" s="308"/>
      <c r="AA98" s="308"/>
    </row>
    <row r="99" spans="8:27" x14ac:dyDescent="0.25">
      <c r="H99" s="478"/>
      <c r="I99" s="478"/>
      <c r="J99" s="31"/>
      <c r="K99" s="31"/>
      <c r="L99" s="31"/>
      <c r="M99" s="31"/>
      <c r="N99" s="31"/>
      <c r="O99" s="31"/>
      <c r="P99" s="31"/>
      <c r="Q99" s="31"/>
      <c r="R99" s="31"/>
      <c r="S99" s="31"/>
      <c r="U99" s="31"/>
      <c r="V99" s="31"/>
      <c r="X99" s="31"/>
      <c r="Y99" s="31"/>
      <c r="Z99" s="31"/>
      <c r="AA99" s="31"/>
    </row>
    <row r="100" spans="8:27" x14ac:dyDescent="0.25">
      <c r="H100" s="478"/>
      <c r="I100" s="478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U100" s="31"/>
      <c r="V100" s="31"/>
      <c r="X100" s="31"/>
      <c r="Y100" s="31"/>
      <c r="Z100" s="31"/>
      <c r="AA100" s="31"/>
    </row>
    <row r="101" spans="8:27" x14ac:dyDescent="0.25">
      <c r="H101" s="478"/>
      <c r="I101" s="478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U101" s="31"/>
      <c r="V101" s="31"/>
      <c r="X101" s="31"/>
      <c r="Y101" s="31"/>
      <c r="Z101" s="31"/>
      <c r="AA101" s="31"/>
    </row>
    <row r="102" spans="8:27" x14ac:dyDescent="0.25">
      <c r="H102" s="478"/>
      <c r="I102" s="478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U102" s="31"/>
      <c r="V102" s="31"/>
      <c r="X102" s="31"/>
      <c r="Y102" s="31"/>
      <c r="Z102" s="31"/>
      <c r="AA102" s="31"/>
    </row>
    <row r="103" spans="8:27" x14ac:dyDescent="0.25">
      <c r="H103" s="478"/>
      <c r="I103" s="478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U103" s="31"/>
      <c r="V103" s="31"/>
      <c r="X103" s="31"/>
      <c r="Y103" s="31"/>
      <c r="Z103" s="31"/>
      <c r="AA103" s="31"/>
    </row>
    <row r="104" spans="8:27" x14ac:dyDescent="0.25">
      <c r="H104" s="478"/>
      <c r="I104" s="478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U104" s="31"/>
      <c r="V104" s="31"/>
      <c r="X104" s="31"/>
      <c r="Y104" s="31"/>
      <c r="Z104" s="31"/>
      <c r="AA104" s="31"/>
    </row>
    <row r="105" spans="8:27" x14ac:dyDescent="0.25">
      <c r="H105" s="478"/>
      <c r="I105" s="478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U105" s="31"/>
      <c r="V105" s="31"/>
      <c r="X105" s="31"/>
      <c r="Y105" s="31"/>
      <c r="Z105" s="31"/>
      <c r="AA105" s="31"/>
    </row>
    <row r="106" spans="8:27" x14ac:dyDescent="0.25">
      <c r="H106" s="479"/>
      <c r="I106" s="480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U106" s="22"/>
      <c r="V106" s="22"/>
      <c r="X106" s="22"/>
      <c r="Y106" s="22"/>
      <c r="Z106" s="22"/>
      <c r="AA106" s="22"/>
    </row>
    <row r="107" spans="8:27" x14ac:dyDescent="0.25">
      <c r="H107" s="479"/>
      <c r="I107" s="480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U107" s="22"/>
      <c r="V107" s="22"/>
      <c r="X107" s="22"/>
      <c r="Y107" s="22"/>
      <c r="Z107" s="22"/>
      <c r="AA107" s="22"/>
    </row>
    <row r="108" spans="8:27" x14ac:dyDescent="0.25">
      <c r="H108" s="479"/>
      <c r="I108" s="480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U108" s="22"/>
      <c r="V108" s="22"/>
      <c r="X108" s="22"/>
      <c r="Y108" s="22"/>
      <c r="Z108" s="22"/>
      <c r="AA108" s="22"/>
    </row>
    <row r="109" spans="8:27" x14ac:dyDescent="0.25">
      <c r="H109" s="479"/>
      <c r="I109" s="480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U109" s="22"/>
      <c r="V109" s="22"/>
      <c r="X109" s="22"/>
      <c r="Y109" s="22"/>
      <c r="Z109" s="22"/>
      <c r="AA109" s="22"/>
    </row>
    <row r="110" spans="8:27" x14ac:dyDescent="0.25">
      <c r="H110" s="479"/>
      <c r="I110" s="480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U110" s="22"/>
      <c r="V110" s="22"/>
      <c r="X110" s="22"/>
      <c r="Y110" s="22"/>
      <c r="Z110" s="22"/>
      <c r="AA110" s="22"/>
    </row>
    <row r="111" spans="8:27" x14ac:dyDescent="0.25">
      <c r="H111" s="479"/>
      <c r="I111" s="480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U111" s="22"/>
      <c r="V111" s="22"/>
      <c r="X111" s="22"/>
      <c r="Y111" s="22"/>
      <c r="Z111" s="22"/>
      <c r="AA111" s="22"/>
    </row>
    <row r="112" spans="8:27" x14ac:dyDescent="0.25">
      <c r="H112" s="273"/>
    </row>
    <row r="113" spans="8:13" x14ac:dyDescent="0.25">
      <c r="H113" s="273"/>
    </row>
    <row r="114" spans="8:13" x14ac:dyDescent="0.25">
      <c r="H114" s="273"/>
    </row>
    <row r="115" spans="8:13" x14ac:dyDescent="0.25">
      <c r="H115" s="273"/>
      <c r="J115" s="252"/>
      <c r="K115" s="252"/>
      <c r="L115" s="252"/>
      <c r="M115" s="252"/>
    </row>
    <row r="116" spans="8:13" x14ac:dyDescent="0.25">
      <c r="H116" s="223"/>
      <c r="I116" s="6"/>
      <c r="J116" s="6"/>
      <c r="K116" s="6"/>
      <c r="L116" s="6"/>
      <c r="M116" s="6"/>
    </row>
    <row r="117" spans="8:13" x14ac:dyDescent="0.25">
      <c r="H117" s="24"/>
      <c r="I117" s="6"/>
      <c r="J117" s="6"/>
      <c r="K117" s="6"/>
      <c r="L117" s="6"/>
      <c r="M117" s="6"/>
    </row>
    <row r="118" spans="8:13" x14ac:dyDescent="0.25">
      <c r="H118" s="223"/>
      <c r="I118" s="6"/>
      <c r="J118" s="6"/>
      <c r="K118" s="6"/>
      <c r="L118" s="6"/>
      <c r="M118" s="6"/>
    </row>
    <row r="119" spans="8:13" x14ac:dyDescent="0.25">
      <c r="H119" s="223"/>
      <c r="I119" s="6"/>
      <c r="J119" s="299"/>
      <c r="K119" s="299"/>
      <c r="L119" s="299"/>
      <c r="M119" s="299"/>
    </row>
    <row r="120" spans="8:13" x14ac:dyDescent="0.25">
      <c r="H120" s="223"/>
      <c r="I120" s="6"/>
      <c r="J120" s="31"/>
      <c r="K120" s="31"/>
      <c r="L120" s="31"/>
      <c r="M120" s="31"/>
    </row>
    <row r="121" spans="8:13" x14ac:dyDescent="0.25">
      <c r="H121" s="300"/>
      <c r="I121" s="6"/>
      <c r="J121" s="22"/>
      <c r="K121" s="22"/>
      <c r="L121" s="22"/>
      <c r="M121" s="22"/>
    </row>
    <row r="122" spans="8:13" x14ac:dyDescent="0.25">
      <c r="H122" s="24"/>
      <c r="I122" s="6"/>
      <c r="J122" s="6"/>
      <c r="K122" s="6"/>
      <c r="L122" s="6"/>
      <c r="M122" s="6"/>
    </row>
    <row r="123" spans="8:13" x14ac:dyDescent="0.25">
      <c r="H123" s="223"/>
      <c r="I123" s="6"/>
      <c r="J123" s="6"/>
      <c r="K123" s="6"/>
      <c r="L123" s="6"/>
      <c r="M123" s="6"/>
    </row>
    <row r="124" spans="8:13" x14ac:dyDescent="0.25">
      <c r="H124" s="223"/>
      <c r="I124" s="6"/>
      <c r="J124" s="299"/>
      <c r="K124" s="299"/>
      <c r="L124" s="299"/>
      <c r="M124" s="299"/>
    </row>
    <row r="125" spans="8:13" x14ac:dyDescent="0.25">
      <c r="H125" s="223"/>
      <c r="I125" s="6"/>
      <c r="J125" s="31"/>
      <c r="K125" s="31"/>
      <c r="L125" s="31"/>
      <c r="M125" s="31"/>
    </row>
    <row r="126" spans="8:13" x14ac:dyDescent="0.25">
      <c r="H126" s="300"/>
      <c r="I126" s="6"/>
      <c r="J126" s="22"/>
      <c r="K126" s="22"/>
      <c r="L126" s="22"/>
      <c r="M126" s="22"/>
    </row>
    <row r="127" spans="8:13" x14ac:dyDescent="0.25">
      <c r="H127" s="24"/>
      <c r="I127" s="6"/>
      <c r="J127" s="6"/>
      <c r="K127" s="6"/>
      <c r="L127" s="6"/>
      <c r="M127" s="6"/>
    </row>
    <row r="128" spans="8:13" x14ac:dyDescent="0.25">
      <c r="H128" s="223"/>
      <c r="I128" s="6"/>
      <c r="J128" s="6"/>
      <c r="K128" s="6"/>
      <c r="L128" s="6"/>
      <c r="M128" s="6"/>
    </row>
    <row r="129" spans="8:21" x14ac:dyDescent="0.25">
      <c r="H129" s="223"/>
      <c r="I129" s="6"/>
      <c r="J129" s="31"/>
      <c r="K129" s="31"/>
      <c r="L129" s="31"/>
      <c r="M129" s="31"/>
    </row>
    <row r="130" spans="8:21" x14ac:dyDescent="0.25">
      <c r="H130" s="223"/>
      <c r="I130" s="6"/>
      <c r="J130" s="31"/>
      <c r="K130" s="31"/>
      <c r="L130" s="31"/>
      <c r="M130" s="31"/>
    </row>
    <row r="131" spans="8:21" x14ac:dyDescent="0.25">
      <c r="H131" s="300"/>
      <c r="I131" s="6"/>
      <c r="J131" s="22"/>
      <c r="K131" s="22"/>
      <c r="L131" s="22"/>
      <c r="M131" s="22"/>
    </row>
    <row r="132" spans="8:21" x14ac:dyDescent="0.25">
      <c r="H132" s="273"/>
      <c r="I132" s="6"/>
      <c r="J132" s="6"/>
      <c r="K132" s="6"/>
      <c r="L132" s="6"/>
      <c r="M132" s="6"/>
    </row>
    <row r="133" spans="8:21" x14ac:dyDescent="0.25">
      <c r="H133" s="273"/>
      <c r="I133" s="6"/>
      <c r="J133" s="301"/>
      <c r="K133" s="301"/>
      <c r="L133" s="301"/>
      <c r="M133" s="301"/>
    </row>
    <row r="134" spans="8:21" x14ac:dyDescent="0.25">
      <c r="H134" s="223"/>
      <c r="I134" s="6"/>
      <c r="J134" s="301"/>
      <c r="K134" s="301"/>
      <c r="L134" s="301"/>
      <c r="M134" s="301"/>
    </row>
    <row r="135" spans="8:21" x14ac:dyDescent="0.25">
      <c r="H135" s="300"/>
      <c r="I135" s="6"/>
      <c r="J135" s="22"/>
      <c r="K135" s="22"/>
      <c r="L135" s="22"/>
      <c r="M135" s="22"/>
    </row>
    <row r="136" spans="8:21" x14ac:dyDescent="0.25">
      <c r="H136" s="300"/>
      <c r="I136" s="6"/>
      <c r="J136" s="22"/>
      <c r="K136" s="22"/>
      <c r="L136" s="22"/>
      <c r="M136" s="22"/>
    </row>
    <row r="138" spans="8:21" x14ac:dyDescent="0.25">
      <c r="H138" s="273"/>
    </row>
    <row r="139" spans="8:21" x14ac:dyDescent="0.25">
      <c r="H139" s="273"/>
    </row>
    <row r="140" spans="8:21" x14ac:dyDescent="0.25">
      <c r="H140" s="120"/>
      <c r="J140" s="309"/>
      <c r="K140" s="309"/>
      <c r="L140" s="309"/>
      <c r="M140" s="309"/>
      <c r="N140" s="309"/>
      <c r="O140" s="309"/>
      <c r="P140" s="309"/>
      <c r="Q140" s="309"/>
      <c r="R140" s="309"/>
      <c r="S140" s="309"/>
      <c r="T140" s="309"/>
      <c r="U140" s="309"/>
    </row>
    <row r="141" spans="8:21" x14ac:dyDescent="0.25">
      <c r="H141" s="24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</row>
    <row r="142" spans="8:21" x14ac:dyDescent="0.25">
      <c r="H142" s="24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</row>
    <row r="143" spans="8:21" x14ac:dyDescent="0.25">
      <c r="H143" s="24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</row>
    <row r="144" spans="8:21" x14ac:dyDescent="0.25">
      <c r="H144" s="120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</row>
    <row r="145" spans="8:21" x14ac:dyDescent="0.25">
      <c r="H145" s="24"/>
      <c r="I145" s="22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</row>
    <row r="146" spans="8:21" x14ac:dyDescent="0.25">
      <c r="H146" s="24"/>
      <c r="I146" s="22"/>
      <c r="J146" s="310"/>
      <c r="K146" s="310"/>
      <c r="L146" s="310"/>
      <c r="M146" s="310"/>
      <c r="N146" s="310"/>
      <c r="O146" s="310"/>
      <c r="P146" s="310"/>
      <c r="Q146" s="310"/>
      <c r="R146" s="310"/>
      <c r="S146" s="310"/>
      <c r="T146" s="310"/>
      <c r="U146" s="310"/>
    </row>
    <row r="147" spans="8:21" x14ac:dyDescent="0.25">
      <c r="H147" s="24"/>
      <c r="I147" s="22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</row>
    <row r="148" spans="8:21" x14ac:dyDescent="0.25">
      <c r="H148" s="24"/>
      <c r="I148" s="22"/>
      <c r="J148" s="310"/>
      <c r="K148" s="310"/>
      <c r="L148" s="310"/>
      <c r="M148" s="310"/>
      <c r="N148" s="310"/>
      <c r="O148" s="310"/>
      <c r="P148" s="310"/>
      <c r="Q148" s="310"/>
      <c r="R148" s="310"/>
      <c r="S148" s="310"/>
      <c r="T148" s="310"/>
      <c r="U148" s="310"/>
    </row>
    <row r="149" spans="8:21" x14ac:dyDescent="0.25">
      <c r="H149" s="37"/>
      <c r="I149" s="6"/>
      <c r="J149" s="310"/>
      <c r="K149" s="310"/>
      <c r="L149" s="310"/>
      <c r="M149" s="310"/>
      <c r="N149" s="310"/>
      <c r="O149" s="310"/>
      <c r="P149" s="310"/>
      <c r="Q149" s="310"/>
      <c r="R149" s="310"/>
      <c r="S149" s="310"/>
      <c r="T149" s="310"/>
      <c r="U149" s="310"/>
    </row>
    <row r="150" spans="8:21" x14ac:dyDescent="0.25">
      <c r="H150" s="24"/>
      <c r="I150" s="22"/>
      <c r="J150" s="310"/>
      <c r="K150" s="310"/>
      <c r="L150" s="310"/>
      <c r="M150" s="310"/>
      <c r="N150" s="310"/>
      <c r="O150" s="310"/>
      <c r="P150" s="310"/>
      <c r="Q150" s="310"/>
      <c r="R150" s="310"/>
      <c r="S150" s="310"/>
      <c r="T150" s="310"/>
      <c r="U150" s="310"/>
    </row>
    <row r="151" spans="8:21" x14ac:dyDescent="0.25">
      <c r="H151" s="37"/>
      <c r="I151" s="6"/>
      <c r="J151" s="309"/>
      <c r="K151" s="309"/>
      <c r="L151" s="309"/>
      <c r="M151" s="309"/>
      <c r="N151" s="309"/>
      <c r="O151" s="309"/>
      <c r="P151" s="309"/>
      <c r="Q151" s="309"/>
      <c r="R151" s="309"/>
      <c r="S151" s="309"/>
      <c r="T151" s="309"/>
      <c r="U151" s="309"/>
    </row>
    <row r="152" spans="8:21" x14ac:dyDescent="0.25">
      <c r="H152" s="24"/>
      <c r="I152" s="6"/>
      <c r="J152" s="309"/>
      <c r="K152" s="309"/>
      <c r="L152" s="309"/>
      <c r="M152" s="309"/>
      <c r="N152" s="309"/>
      <c r="O152" s="309"/>
      <c r="P152" s="309"/>
      <c r="Q152" s="309"/>
      <c r="R152" s="309"/>
      <c r="S152" s="309"/>
      <c r="T152" s="309"/>
      <c r="U152" s="309"/>
    </row>
  </sheetData>
  <mergeCells count="9">
    <mergeCell ref="J17:K17"/>
    <mergeCell ref="P17:Q17"/>
    <mergeCell ref="J15:U15"/>
    <mergeCell ref="J16:O16"/>
    <mergeCell ref="P16:U16"/>
    <mergeCell ref="L17:M17"/>
    <mergeCell ref="N17:O17"/>
    <mergeCell ref="R17:S17"/>
    <mergeCell ref="T17:U17"/>
  </mergeCells>
  <conditionalFormatting sqref="J6:U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U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9:U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U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U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91F3B-A46F-484B-8943-BBDDA8957C4B}">
  <sheetPr codeName="Foglio6"/>
  <dimension ref="H2:AB152"/>
  <sheetViews>
    <sheetView topLeftCell="A57" zoomScale="55" zoomScaleNormal="55" workbookViewId="0">
      <selection activeCell="H115" sqref="H115:M136"/>
    </sheetView>
  </sheetViews>
  <sheetFormatPr defaultRowHeight="15" x14ac:dyDescent="0.25"/>
  <cols>
    <col min="8" max="8" width="49.28515625" bestFit="1" customWidth="1"/>
    <col min="9" max="9" width="18.28515625" bestFit="1" customWidth="1"/>
    <col min="10" max="10" width="15" bestFit="1" customWidth="1"/>
    <col min="11" max="11" width="15.28515625" bestFit="1" customWidth="1"/>
    <col min="12" max="12" width="15" bestFit="1" customWidth="1"/>
    <col min="13" max="13" width="15.28515625" bestFit="1" customWidth="1"/>
    <col min="14" max="14" width="13.28515625" bestFit="1" customWidth="1"/>
    <col min="15" max="15" width="15" bestFit="1" customWidth="1"/>
    <col min="16" max="16" width="15.28515625" bestFit="1" customWidth="1"/>
    <col min="17" max="17" width="15" bestFit="1" customWidth="1"/>
    <col min="18" max="19" width="14.7109375" bestFit="1" customWidth="1"/>
    <col min="20" max="20" width="13.5703125" bestFit="1" customWidth="1"/>
    <col min="21" max="21" width="15" bestFit="1" customWidth="1"/>
    <col min="22" max="22" width="15.28515625" bestFit="1" customWidth="1"/>
    <col min="23" max="23" width="15" bestFit="1" customWidth="1"/>
    <col min="24" max="24" width="15.42578125" bestFit="1" customWidth="1"/>
    <col min="25" max="25" width="15.28515625" bestFit="1" customWidth="1"/>
    <col min="26" max="26" width="15" bestFit="1" customWidth="1"/>
    <col min="27" max="27" width="15.28515625" bestFit="1" customWidth="1"/>
    <col min="28" max="28" width="14.28515625" bestFit="1" customWidth="1"/>
    <col min="30" max="30" width="13.85546875" bestFit="1" customWidth="1"/>
    <col min="31" max="31" width="14.28515625" bestFit="1" customWidth="1"/>
    <col min="33" max="34" width="15.140625" bestFit="1" customWidth="1"/>
    <col min="36" max="37" width="15.140625" bestFit="1" customWidth="1"/>
    <col min="39" max="39" width="15.140625" bestFit="1" customWidth="1"/>
    <col min="40" max="40" width="16.140625" bestFit="1" customWidth="1"/>
    <col min="42" max="43" width="15.140625" bestFit="1" customWidth="1"/>
    <col min="45" max="46" width="15.140625" bestFit="1" customWidth="1"/>
    <col min="48" max="49" width="15.140625" bestFit="1" customWidth="1"/>
    <col min="51" max="51" width="13.85546875" bestFit="1" customWidth="1"/>
    <col min="52" max="52" width="13.42578125" bestFit="1" customWidth="1"/>
    <col min="54" max="55" width="15.140625" bestFit="1" customWidth="1"/>
    <col min="57" max="58" width="15.140625" bestFit="1" customWidth="1"/>
    <col min="60" max="61" width="14.85546875" bestFit="1" customWidth="1"/>
  </cols>
  <sheetData>
    <row r="2" spans="9:28" x14ac:dyDescent="0.25">
      <c r="I2" t="s">
        <v>205</v>
      </c>
      <c r="J2" s="22">
        <f>J32+J33+J34+J38+J39+J40+J43</f>
        <v>4.5641400026565631</v>
      </c>
      <c r="K2" s="22">
        <f t="shared" ref="K2:U2" si="0">K32+K33+K34+K38+K39+K40+K43</f>
        <v>3.2252900880856896</v>
      </c>
      <c r="L2" s="22">
        <f t="shared" si="0"/>
        <v>3.803581383797078</v>
      </c>
      <c r="M2" s="22">
        <f t="shared" si="0"/>
        <v>2.3275759832927481</v>
      </c>
      <c r="N2" s="22">
        <f t="shared" si="0"/>
        <v>3.4994158702459273</v>
      </c>
      <c r="O2" s="22">
        <f t="shared" si="0"/>
        <v>2.2448298437172354</v>
      </c>
      <c r="P2" s="22">
        <f t="shared" si="0"/>
        <v>1.8700747685036194</v>
      </c>
      <c r="Q2" s="22">
        <f t="shared" si="0"/>
        <v>1.5197562622935068</v>
      </c>
      <c r="R2" s="22">
        <f t="shared" si="0"/>
        <v>1.965268029044859</v>
      </c>
      <c r="S2" s="22">
        <f t="shared" si="0"/>
        <v>1.0819517356115538</v>
      </c>
      <c r="T2" s="22">
        <f t="shared" si="0"/>
        <v>1.868593942057432</v>
      </c>
      <c r="U2" s="22">
        <f t="shared" si="0"/>
        <v>1.467262626067497</v>
      </c>
      <c r="V2" s="461"/>
      <c r="W2" s="461"/>
      <c r="X2" s="461"/>
      <c r="Y2" s="461"/>
      <c r="Z2" s="461"/>
      <c r="AA2" s="461"/>
      <c r="AB2" s="461"/>
    </row>
    <row r="3" spans="9:28" x14ac:dyDescent="0.25">
      <c r="V3" s="461"/>
      <c r="W3" s="461"/>
      <c r="X3" s="461"/>
      <c r="Y3" s="461"/>
      <c r="Z3" s="461"/>
      <c r="AA3" s="461"/>
      <c r="AB3" s="461"/>
    </row>
    <row r="4" spans="9:28" x14ac:dyDescent="0.25">
      <c r="I4" t="s">
        <v>206</v>
      </c>
      <c r="J4" s="22">
        <f>J6+J7</f>
        <v>3.1918083321532036</v>
      </c>
      <c r="K4" s="22">
        <f t="shared" ref="K4:O4" si="1">K6+K7</f>
        <v>2.3631998813689035</v>
      </c>
      <c r="L4" s="22">
        <f t="shared" si="1"/>
        <v>2.8195960345638236</v>
      </c>
      <c r="M4" s="22">
        <f t="shared" si="1"/>
        <v>1.7024821003294537</v>
      </c>
      <c r="N4" s="22">
        <f t="shared" si="1"/>
        <v>2.5653264193432954</v>
      </c>
      <c r="O4" s="22">
        <f t="shared" si="1"/>
        <v>1.6511783394609969</v>
      </c>
      <c r="P4" s="22">
        <f>P6+P7</f>
        <v>1.3499752027288254</v>
      </c>
      <c r="Q4" s="22">
        <f t="shared" ref="Q4:U4" si="2">Q6+Q7</f>
        <v>1.1231228068654793</v>
      </c>
      <c r="R4" s="22">
        <f t="shared" si="2"/>
        <v>1.582453722924916</v>
      </c>
      <c r="S4" s="22">
        <f t="shared" si="2"/>
        <v>0.8275666170114846</v>
      </c>
      <c r="T4" s="22">
        <f t="shared" si="2"/>
        <v>1.3977790714200438</v>
      </c>
      <c r="U4" s="22">
        <f t="shared" si="2"/>
        <v>1.1138518677422165</v>
      </c>
      <c r="V4" s="461"/>
      <c r="W4" s="461"/>
      <c r="X4" s="461"/>
      <c r="Y4" s="461"/>
      <c r="Z4" s="461"/>
      <c r="AA4" s="461"/>
      <c r="AB4" s="461"/>
    </row>
    <row r="5" spans="9:28" x14ac:dyDescent="0.25">
      <c r="V5" s="461"/>
      <c r="W5" s="461"/>
      <c r="X5" s="461"/>
      <c r="Y5" s="461"/>
      <c r="Z5" s="461"/>
      <c r="AA5" s="461"/>
      <c r="AB5" s="461"/>
    </row>
    <row r="6" spans="9:28" x14ac:dyDescent="0.25">
      <c r="I6" t="s">
        <v>202</v>
      </c>
      <c r="J6" s="22">
        <f>J32+J33</f>
        <v>2.1552576665361705</v>
      </c>
      <c r="K6" s="22">
        <f t="shared" ref="K6:U6" si="3">K32+K33</f>
        <v>1.896525815127204</v>
      </c>
      <c r="L6" s="22">
        <f t="shared" si="3"/>
        <v>2.3586330109644171</v>
      </c>
      <c r="M6" s="22">
        <f t="shared" si="3"/>
        <v>1.3333315735831475</v>
      </c>
      <c r="N6" s="22">
        <f t="shared" si="3"/>
        <v>1.9449945669650539</v>
      </c>
      <c r="O6" s="22">
        <f t="shared" si="3"/>
        <v>1.5479070791852005</v>
      </c>
      <c r="P6" s="22">
        <f t="shared" si="3"/>
        <v>0.91693305605373887</v>
      </c>
      <c r="Q6" s="22">
        <f t="shared" si="3"/>
        <v>0.85041588114714806</v>
      </c>
      <c r="R6" s="22">
        <f t="shared" si="3"/>
        <v>1.4395551856090985</v>
      </c>
      <c r="S6" s="22">
        <f t="shared" si="3"/>
        <v>0.68466807969566956</v>
      </c>
      <c r="T6" s="22">
        <f t="shared" si="3"/>
        <v>1.0656582448629508</v>
      </c>
      <c r="U6" s="22">
        <f t="shared" si="3"/>
        <v>0.95879149771388583</v>
      </c>
      <c r="V6" s="461"/>
      <c r="W6" s="461"/>
      <c r="X6" s="461"/>
      <c r="Y6" s="461"/>
      <c r="Z6" s="461"/>
      <c r="AA6" s="461"/>
      <c r="AB6" s="461"/>
    </row>
    <row r="7" spans="9:28" x14ac:dyDescent="0.25">
      <c r="I7" t="s">
        <v>203</v>
      </c>
      <c r="J7" s="22">
        <f>J34</f>
        <v>1.0365506656170334</v>
      </c>
      <c r="K7" s="22">
        <f t="shared" ref="K7:U7" si="4">K34</f>
        <v>0.4666740662416996</v>
      </c>
      <c r="L7" s="22">
        <f t="shared" si="4"/>
        <v>0.46096302359940622</v>
      </c>
      <c r="M7" s="22">
        <f t="shared" si="4"/>
        <v>0.36915052674630622</v>
      </c>
      <c r="N7" s="22">
        <f t="shared" si="4"/>
        <v>0.62033185237824151</v>
      </c>
      <c r="O7" s="22">
        <f t="shared" si="4"/>
        <v>0.10327126027579631</v>
      </c>
      <c r="P7" s="22">
        <f t="shared" si="4"/>
        <v>0.43304214667508656</v>
      </c>
      <c r="Q7" s="22">
        <f t="shared" si="4"/>
        <v>0.27270692571833127</v>
      </c>
      <c r="R7" s="22">
        <f t="shared" si="4"/>
        <v>0.1428985373158175</v>
      </c>
      <c r="S7" s="22">
        <f t="shared" si="4"/>
        <v>0.14289853731581503</v>
      </c>
      <c r="T7" s="22">
        <f t="shared" si="4"/>
        <v>0.33212082655709302</v>
      </c>
      <c r="U7" s="22">
        <f t="shared" si="4"/>
        <v>0.15506037002833062</v>
      </c>
      <c r="V7" s="461"/>
      <c r="W7" s="461"/>
      <c r="X7" s="461"/>
      <c r="Y7" s="461"/>
      <c r="Z7" s="461"/>
      <c r="AA7" s="461"/>
      <c r="AB7" s="461"/>
    </row>
    <row r="8" spans="9:28" x14ac:dyDescent="0.25">
      <c r="V8" s="461"/>
      <c r="W8" s="461"/>
      <c r="X8" s="461"/>
      <c r="Y8" s="461"/>
      <c r="Z8" s="461"/>
      <c r="AA8" s="461"/>
      <c r="AB8" s="461"/>
    </row>
    <row r="9" spans="9:28" x14ac:dyDescent="0.25">
      <c r="I9" t="s">
        <v>204</v>
      </c>
      <c r="J9" s="22">
        <f>SUM(J43:J47)</f>
        <v>1.8687884732191675</v>
      </c>
      <c r="K9" s="22">
        <f t="shared" ref="K9:U9" si="5">SUM(K43:K47)</f>
        <v>1.599134286376334</v>
      </c>
      <c r="L9" s="22">
        <f t="shared" si="5"/>
        <v>1.527353656267558</v>
      </c>
      <c r="M9" s="22">
        <f t="shared" si="5"/>
        <v>1.5404282071206403</v>
      </c>
      <c r="N9" s="22">
        <f t="shared" si="5"/>
        <v>1.4589418816806505</v>
      </c>
      <c r="O9" s="22">
        <f t="shared" si="5"/>
        <v>1.3569082009263957</v>
      </c>
      <c r="P9" s="22">
        <f t="shared" si="5"/>
        <v>1.5213145201388012</v>
      </c>
      <c r="Q9" s="22">
        <f t="shared" si="5"/>
        <v>1.4655217884029406</v>
      </c>
      <c r="R9" s="22">
        <f t="shared" si="5"/>
        <v>1.3389526975732133</v>
      </c>
      <c r="S9" s="22">
        <f t="shared" si="5"/>
        <v>1.387035781995271</v>
      </c>
      <c r="T9" s="22">
        <f t="shared" si="5"/>
        <v>1.3718823490479231</v>
      </c>
      <c r="U9" s="22">
        <f t="shared" si="5"/>
        <v>1.3315652550929566</v>
      </c>
      <c r="V9" s="493"/>
      <c r="W9" s="493"/>
      <c r="X9" s="493"/>
      <c r="Y9" s="493"/>
      <c r="Z9" s="493"/>
      <c r="AA9" s="461"/>
      <c r="AB9" s="461"/>
    </row>
    <row r="10" spans="9:28" x14ac:dyDescent="0.25">
      <c r="V10" s="461"/>
      <c r="W10" s="461"/>
      <c r="X10" s="461"/>
      <c r="Y10" s="461"/>
      <c r="Z10" s="461"/>
      <c r="AA10" s="461"/>
      <c r="AB10" s="461"/>
    </row>
    <row r="11" spans="9:28" x14ac:dyDescent="0.25">
      <c r="I11" t="s">
        <v>207</v>
      </c>
      <c r="J11" s="441">
        <f>(J54-K54)/J54</f>
        <v>0.17256495901403079</v>
      </c>
      <c r="K11" s="441"/>
      <c r="L11" s="441">
        <f t="shared" ref="L11:T11" si="6">(L54-M54)/L54</f>
        <v>0.23274745488500032</v>
      </c>
      <c r="M11" s="441"/>
      <c r="N11" s="441">
        <f t="shared" si="6"/>
        <v>0.21839997791979165</v>
      </c>
      <c r="O11" s="441"/>
      <c r="P11" s="441">
        <f t="shared" si="6"/>
        <v>6.1316467016075731E-2</v>
      </c>
      <c r="Q11" s="441"/>
      <c r="R11" s="441">
        <f>(R54-S54)/R54</f>
        <v>0.2186574630515741</v>
      </c>
      <c r="S11" s="441"/>
      <c r="T11" s="441">
        <f t="shared" si="6"/>
        <v>7.8732069893186443E-2</v>
      </c>
      <c r="U11" s="441"/>
      <c r="V11" s="494"/>
      <c r="W11" s="494"/>
      <c r="X11" s="494"/>
      <c r="Y11" s="494"/>
      <c r="Z11" s="494"/>
      <c r="AA11" s="461"/>
      <c r="AB11" s="461"/>
    </row>
    <row r="12" spans="9:28" x14ac:dyDescent="0.25">
      <c r="J12" s="440"/>
      <c r="V12" s="461"/>
      <c r="W12" s="461"/>
      <c r="X12" s="461"/>
      <c r="Y12" s="461"/>
      <c r="Z12" s="461"/>
      <c r="AA12" s="461"/>
      <c r="AB12" s="461"/>
    </row>
    <row r="13" spans="9:28" x14ac:dyDescent="0.25">
      <c r="V13" s="461"/>
      <c r="W13" s="461"/>
      <c r="X13" s="461"/>
      <c r="Y13" s="461"/>
      <c r="Z13" s="461"/>
      <c r="AA13" s="461"/>
      <c r="AB13" s="461"/>
    </row>
    <row r="14" spans="9:28" ht="15.75" thickBot="1" x14ac:dyDescent="0.3">
      <c r="V14" s="461"/>
      <c r="W14" s="461"/>
      <c r="X14" s="461"/>
      <c r="Y14" s="461"/>
      <c r="Z14" s="461"/>
      <c r="AA14" s="461"/>
      <c r="AB14" s="461"/>
    </row>
    <row r="15" spans="9:28" ht="18.75" thickBot="1" x14ac:dyDescent="0.3">
      <c r="I15" s="13"/>
      <c r="J15" s="449" t="s">
        <v>201</v>
      </c>
      <c r="K15" s="450"/>
      <c r="L15" s="450"/>
      <c r="M15" s="450"/>
      <c r="N15" s="450"/>
      <c r="O15" s="450"/>
      <c r="P15" s="450"/>
      <c r="Q15" s="450"/>
      <c r="R15" s="450"/>
      <c r="S15" s="450"/>
      <c r="T15" s="450"/>
      <c r="U15" s="451"/>
      <c r="V15" s="495"/>
      <c r="W15" s="495"/>
      <c r="X15" s="495"/>
      <c r="Y15" s="495"/>
      <c r="Z15" s="495"/>
      <c r="AA15" s="461"/>
      <c r="AB15" s="461"/>
    </row>
    <row r="16" spans="9:28" ht="15.75" x14ac:dyDescent="0.25">
      <c r="J16" s="452" t="s">
        <v>198</v>
      </c>
      <c r="K16" s="453"/>
      <c r="L16" s="453"/>
      <c r="M16" s="453"/>
      <c r="N16" s="453"/>
      <c r="O16" s="454"/>
      <c r="P16" s="452" t="s">
        <v>199</v>
      </c>
      <c r="Q16" s="453"/>
      <c r="R16" s="453"/>
      <c r="S16" s="453"/>
      <c r="T16" s="453"/>
      <c r="U16" s="454"/>
      <c r="V16" s="496"/>
      <c r="W16" s="496"/>
      <c r="X16" s="496"/>
      <c r="Y16" s="461"/>
      <c r="Z16" s="461"/>
      <c r="AA16" s="461"/>
      <c r="AB16" s="461"/>
    </row>
    <row r="17" spans="8:28" ht="15.75" x14ac:dyDescent="0.25">
      <c r="J17" s="447" t="s">
        <v>151</v>
      </c>
      <c r="K17" s="491"/>
      <c r="L17" s="502" t="s">
        <v>152</v>
      </c>
      <c r="M17" s="502"/>
      <c r="N17" s="491" t="s">
        <v>135</v>
      </c>
      <c r="O17" s="456"/>
      <c r="P17" s="447" t="s">
        <v>151</v>
      </c>
      <c r="Q17" s="491"/>
      <c r="R17" s="491" t="s">
        <v>152</v>
      </c>
      <c r="S17" s="491"/>
      <c r="T17" s="491" t="s">
        <v>135</v>
      </c>
      <c r="U17" s="456"/>
      <c r="V17" s="497"/>
      <c r="W17" s="461"/>
      <c r="X17" s="461"/>
      <c r="Y17" s="461"/>
      <c r="Z17" s="461"/>
      <c r="AA17" s="461"/>
      <c r="AB17" s="461"/>
    </row>
    <row r="18" spans="8:28" ht="15.75" x14ac:dyDescent="0.25">
      <c r="J18" s="388" t="s">
        <v>158</v>
      </c>
      <c r="K18" s="492" t="s">
        <v>159</v>
      </c>
      <c r="L18" s="492" t="s">
        <v>158</v>
      </c>
      <c r="M18" s="492" t="s">
        <v>159</v>
      </c>
      <c r="N18" s="492" t="s">
        <v>158</v>
      </c>
      <c r="O18" s="389" t="s">
        <v>159</v>
      </c>
      <c r="P18" s="388" t="s">
        <v>158</v>
      </c>
      <c r="Q18" s="492" t="s">
        <v>159</v>
      </c>
      <c r="R18" s="492" t="s">
        <v>158</v>
      </c>
      <c r="S18" s="492" t="s">
        <v>159</v>
      </c>
      <c r="T18" s="492" t="s">
        <v>158</v>
      </c>
      <c r="U18" s="389" t="s">
        <v>159</v>
      </c>
      <c r="V18" s="498"/>
      <c r="W18" s="461"/>
      <c r="X18" s="461"/>
      <c r="Y18" s="461"/>
      <c r="Z18" s="461"/>
      <c r="AA18" s="461"/>
      <c r="AB18" s="461"/>
    </row>
    <row r="19" spans="8:28" x14ac:dyDescent="0.25">
      <c r="H19" s="267" t="str">
        <f>BGfix_1!H18</f>
        <v>Annual energy balance</v>
      </c>
      <c r="I19" s="268"/>
      <c r="J19" s="390"/>
      <c r="K19" s="269"/>
      <c r="L19" s="269"/>
      <c r="M19" s="269"/>
      <c r="N19" s="269"/>
      <c r="O19" s="391"/>
      <c r="P19" s="390"/>
      <c r="Q19" s="269"/>
      <c r="R19" s="269"/>
      <c r="S19" s="269"/>
      <c r="T19" s="269"/>
      <c r="U19" s="391"/>
      <c r="V19" s="485"/>
      <c r="W19" s="461"/>
      <c r="X19" s="461"/>
      <c r="Y19" s="461"/>
      <c r="Z19" s="461"/>
      <c r="AA19" s="485"/>
      <c r="AB19" s="461"/>
    </row>
    <row r="20" spans="8:28" x14ac:dyDescent="0.25">
      <c r="H20" s="50" t="str">
        <f>BGfix_1!H19</f>
        <v>Renewable Energy Share</v>
      </c>
      <c r="I20" s="9" t="str">
        <f>BGfix_1!I19</f>
        <v>%</v>
      </c>
      <c r="J20" s="392">
        <f>BGfix_1!O5</f>
        <v>0.94999999999980522</v>
      </c>
      <c r="K20" s="9">
        <f>BGSY_1!O19</f>
        <v>0.94999999999996454</v>
      </c>
      <c r="L20" s="9">
        <f>BGfix_b!O19</f>
        <v>0.94999999999985107</v>
      </c>
      <c r="M20" s="9">
        <f>BGSY_b!O19</f>
        <v>0.95000000000007079</v>
      </c>
      <c r="N20" s="9">
        <f>BGfix_d!N19</f>
        <v>0.95000000000001505</v>
      </c>
      <c r="O20" s="393">
        <f>BGSY_d!N19</f>
        <v>0.95000000000000062</v>
      </c>
      <c r="P20" s="392">
        <f>BGSY_big!J19</f>
        <v>0.94999999999983187</v>
      </c>
      <c r="Q20" s="9">
        <f>BGSY_big!K19</f>
        <v>0.94999999999998841</v>
      </c>
      <c r="R20" s="9">
        <f>BGSY_big!L19</f>
        <v>0.94999999999988327</v>
      </c>
      <c r="S20" s="9">
        <f>BGSY_big!M19</f>
        <v>0.95000000000000362</v>
      </c>
      <c r="T20" s="9">
        <f>BGSY_big!N19</f>
        <v>0.94999999999964058</v>
      </c>
      <c r="U20" s="393">
        <f>BGSY_big!O19</f>
        <v>0.94999999999995777</v>
      </c>
      <c r="V20" s="121"/>
      <c r="W20" s="461"/>
      <c r="X20" s="461"/>
      <c r="Y20" s="461"/>
      <c r="Z20" s="461"/>
      <c r="AA20" s="121"/>
      <c r="AB20" s="461"/>
    </row>
    <row r="21" spans="8:28" x14ac:dyDescent="0.25">
      <c r="H21" s="51" t="str">
        <f>BGfix_1!H20</f>
        <v>Plant load 1+2</v>
      </c>
      <c r="I21" s="264" t="str">
        <f>BGfix_1!I20</f>
        <v>MWh/year</v>
      </c>
      <c r="J21" s="394">
        <f>BGfix_1!O20</f>
        <v>-9678.9875243785882</v>
      </c>
      <c r="K21" s="53">
        <f>BGSY_1!O20</f>
        <v>-9678.9875243788338</v>
      </c>
      <c r="L21" s="53">
        <f>BGfix_b!O20</f>
        <v>-9678.98752437849</v>
      </c>
      <c r="M21" s="53">
        <f>BGSY_b!O20</f>
        <v>-9678.9875243782644</v>
      </c>
      <c r="N21" s="53">
        <f>BGfix_d!N20</f>
        <v>-9678.9875243790466</v>
      </c>
      <c r="O21" s="395">
        <f>BGSY_d!N20</f>
        <v>-9678.98752437843</v>
      </c>
      <c r="P21" s="394">
        <f>BGSY_big!J20</f>
        <v>-96789.875243789866</v>
      </c>
      <c r="Q21" s="53">
        <f>BGSY_big!K20</f>
        <v>-96789.875243788643</v>
      </c>
      <c r="R21" s="53">
        <f>BGSY_big!L20</f>
        <v>-96789.87524378649</v>
      </c>
      <c r="S21" s="53">
        <f>BGSY_big!M20</f>
        <v>-96789.875243785573</v>
      </c>
      <c r="T21" s="53">
        <f>BGSY_big!N20</f>
        <v>-96789.875243793838</v>
      </c>
      <c r="U21" s="395">
        <f>BGSY_big!O20</f>
        <v>-96789.875243793649</v>
      </c>
      <c r="V21" s="475"/>
      <c r="W21" s="461"/>
      <c r="X21" s="461"/>
      <c r="Y21" s="461"/>
      <c r="Z21" s="461"/>
      <c r="AA21" s="475"/>
      <c r="AB21" s="461"/>
    </row>
    <row r="22" spans="8:28" x14ac:dyDescent="0.25">
      <c r="H22" s="56" t="str">
        <f>BGfix_1!H21</f>
        <v>Plant load 2</v>
      </c>
      <c r="I22" s="265" t="str">
        <f>BGfix_1!I21</f>
        <v>MWh/year</v>
      </c>
      <c r="J22" s="396">
        <f>BGfix_1!O21</f>
        <v>-1702.5570878063763</v>
      </c>
      <c r="K22" s="58">
        <f>BGSY_1!O21</f>
        <v>-1702.557087806638</v>
      </c>
      <c r="L22" s="58">
        <f>BGfix_b!O21</f>
        <v>-1702.5570878069002</v>
      </c>
      <c r="M22" s="58">
        <f>BGSY_b!O21</f>
        <v>-1702.557087806508</v>
      </c>
      <c r="N22" s="58">
        <f>BGfix_d!N21</f>
        <v>-1702.5570878063465</v>
      </c>
      <c r="O22" s="397">
        <f>BGSY_d!N21</f>
        <v>-1702.5570878066317</v>
      </c>
      <c r="P22" s="396">
        <f>BGSY_big!J21</f>
        <v>-17025.570878064995</v>
      </c>
      <c r="Q22" s="58">
        <f>BGSY_big!K21</f>
        <v>-17025.5708780682</v>
      </c>
      <c r="R22" s="58">
        <f>BGSY_big!L21</f>
        <v>-17025.570878067116</v>
      </c>
      <c r="S22" s="58">
        <f>BGSY_big!M21</f>
        <v>-17025.570878067934</v>
      </c>
      <c r="T22" s="58">
        <f>BGSY_big!N21</f>
        <v>-17025.570878064347</v>
      </c>
      <c r="U22" s="397">
        <f>BGSY_big!O21</f>
        <v>-17025.570878068873</v>
      </c>
      <c r="V22" s="475"/>
      <c r="W22" s="461"/>
      <c r="X22" s="461"/>
      <c r="Y22" s="461"/>
      <c r="Z22" s="461"/>
      <c r="AA22" s="475"/>
      <c r="AB22" s="461"/>
    </row>
    <row r="23" spans="8:28" x14ac:dyDescent="0.25">
      <c r="H23" s="148" t="str">
        <f>BGfix_1!H22</f>
        <v>From PV</v>
      </c>
      <c r="I23" s="272" t="str">
        <f>BGfix_1!I22</f>
        <v>MWh/year</v>
      </c>
      <c r="J23" s="398">
        <f>BGfix_1!O22</f>
        <v>7721.1000171749974</v>
      </c>
      <c r="K23" s="202">
        <f>BGSY_1!O22</f>
        <v>6353.3588021494907</v>
      </c>
      <c r="L23" s="202">
        <f>BGfix_b!O22</f>
        <v>6416.6617817374399</v>
      </c>
      <c r="M23" s="202">
        <f>BGSY_b!O22</f>
        <v>5547.301917888095</v>
      </c>
      <c r="N23" s="202">
        <f>BGfix_d!N22</f>
        <v>2424.7966550166088</v>
      </c>
      <c r="O23" s="399">
        <f>BGSY_d!N22</f>
        <v>1353.558135116022</v>
      </c>
      <c r="P23" s="398">
        <f>BGSY_big!J22</f>
        <v>77376.096806634116</v>
      </c>
      <c r="Q23" s="202">
        <f>BGSY_big!K22</f>
        <v>63905.760852430773</v>
      </c>
      <c r="R23" s="202">
        <f>BGSY_big!L22</f>
        <v>49549.120294724475</v>
      </c>
      <c r="S23" s="202">
        <f>BGSY_big!M22</f>
        <v>58758.438928406431</v>
      </c>
      <c r="T23" s="202">
        <f>BGSY_big!N22</f>
        <v>24245.019740545158</v>
      </c>
      <c r="U23" s="399">
        <f>BGSY_big!O22</f>
        <v>13759.428687931357</v>
      </c>
      <c r="V23" s="475"/>
      <c r="W23" s="461"/>
      <c r="X23" s="461"/>
      <c r="Y23" s="461"/>
      <c r="Z23" s="461"/>
      <c r="AA23" s="475"/>
      <c r="AB23" s="461"/>
    </row>
    <row r="24" spans="8:28" x14ac:dyDescent="0.25">
      <c r="H24" s="61" t="str">
        <f>BGfix_1!H23</f>
        <v>From wind</v>
      </c>
      <c r="I24" s="291" t="str">
        <f>BGfix_1!I23</f>
        <v>MWh/year</v>
      </c>
      <c r="J24" s="400">
        <f>BGfix_1!O23</f>
        <v>6543.8628369104636</v>
      </c>
      <c r="K24" s="481">
        <f>BGSY_1!O23</f>
        <v>6141.3374264068416</v>
      </c>
      <c r="L24" s="481">
        <f>BGfix_b!O23</f>
        <v>7718.6252231351955</v>
      </c>
      <c r="M24" s="481">
        <f>BGSY_b!O23</f>
        <v>7544.6803793195068</v>
      </c>
      <c r="N24" s="481">
        <f>BGfix_d!N23</f>
        <v>14454.271906422266</v>
      </c>
      <c r="O24" s="401">
        <f>BGSY_d!N23</f>
        <v>13074.744514647831</v>
      </c>
      <c r="P24" s="400">
        <f>BGSY_big!J23</f>
        <v>65342.778132775697</v>
      </c>
      <c r="Q24" s="481">
        <f>BGSY_big!K23</f>
        <v>59473.257522580163</v>
      </c>
      <c r="R24" s="481">
        <f>BGSY_big!L23</f>
        <v>165596.46802364747</v>
      </c>
      <c r="S24" s="481">
        <f>BGSY_big!M23</f>
        <v>70022.345451545625</v>
      </c>
      <c r="T24" s="481">
        <f>BGSY_big!N23</f>
        <v>144568.61192300959</v>
      </c>
      <c r="U24" s="401">
        <f>BGSY_big!O23</f>
        <v>129516.36378973663</v>
      </c>
      <c r="V24" s="475"/>
      <c r="W24" s="461"/>
      <c r="X24" s="461"/>
      <c r="Y24" s="461"/>
      <c r="Z24" s="461"/>
      <c r="AA24" s="475"/>
      <c r="AB24" s="461"/>
    </row>
    <row r="25" spans="8:28" x14ac:dyDescent="0.25">
      <c r="H25" s="61" t="str">
        <f>BGfix_1!H24</f>
        <v>From grid</v>
      </c>
      <c r="I25" s="291" t="str">
        <f>BGfix_1!I24</f>
        <v>MWh/year</v>
      </c>
      <c r="J25" s="400">
        <f>BGfix_1!O24</f>
        <v>483.94937621926783</v>
      </c>
      <c r="K25" s="481">
        <f>BGSY_1!O24</f>
        <v>483.94937621879745</v>
      </c>
      <c r="L25" s="481">
        <f>BGfix_b!O24</f>
        <v>483.94937621952045</v>
      </c>
      <c r="M25" s="481">
        <f>BGSY_b!O24</f>
        <v>483.94937621891995</v>
      </c>
      <c r="N25" s="481">
        <f>BGfix_d!N24</f>
        <v>483.94937621679196</v>
      </c>
      <c r="O25" s="401">
        <f>BGSY_d!N24</f>
        <v>483.94937621893439</v>
      </c>
      <c r="P25" s="400">
        <f>BGSY_big!J24</f>
        <v>4839.4937621886857</v>
      </c>
      <c r="Q25" s="481">
        <f>BGSY_big!K24</f>
        <v>4839.4937621857543</v>
      </c>
      <c r="R25" s="481">
        <f>BGSY_big!L24</f>
        <v>4839.4937621730096</v>
      </c>
      <c r="S25" s="481">
        <f>BGSY_big!M24</f>
        <v>4839.4937621878998</v>
      </c>
      <c r="T25" s="481">
        <f>BGSY_big!N24</f>
        <v>4839.4937621969029</v>
      </c>
      <c r="U25" s="401">
        <f>BGSY_big!O24</f>
        <v>4839.4937621908412</v>
      </c>
      <c r="V25" s="475"/>
      <c r="W25" s="461"/>
      <c r="X25" s="461"/>
      <c r="Y25" s="461"/>
      <c r="Z25" s="461"/>
      <c r="AA25" s="475"/>
      <c r="AB25" s="461"/>
    </row>
    <row r="26" spans="8:28" x14ac:dyDescent="0.25">
      <c r="H26" s="61" t="str">
        <f>BGfix_1!H25</f>
        <v>To grid</v>
      </c>
      <c r="I26" s="291" t="str">
        <f>BGfix_1!I25</f>
        <v>MWh/year</v>
      </c>
      <c r="J26" s="400">
        <f>BGfix_1!O25</f>
        <v>-4933.5797689475712</v>
      </c>
      <c r="K26" s="481">
        <f>BGSY_1!O25</f>
        <v>-3238.2669933739471</v>
      </c>
      <c r="L26" s="481">
        <f>BGfix_b!O25</f>
        <v>-4823.5736334261519</v>
      </c>
      <c r="M26" s="481">
        <f>BGSY_b!O25</f>
        <v>-3845.7177349524895</v>
      </c>
      <c r="N26" s="481">
        <f>BGfix_d!N25</f>
        <v>-7648.5596090241215</v>
      </c>
      <c r="O26" s="401">
        <f>BGSY_d!N25</f>
        <v>-5227.5070235872099</v>
      </c>
      <c r="P26" s="400">
        <f>BGSY_big!J25</f>
        <v>-49403.611373104264</v>
      </c>
      <c r="Q26" s="481">
        <f>BGSY_big!K25</f>
        <v>-30816.473327447704</v>
      </c>
      <c r="R26" s="481">
        <f>BGSY_big!L25</f>
        <v>-122675.72774925134</v>
      </c>
      <c r="S26" s="481">
        <f>BGSY_big!M25</f>
        <v>-36358.116399760518</v>
      </c>
      <c r="T26" s="481">
        <f>BGSY_big!N25</f>
        <v>-76508.649839684615</v>
      </c>
      <c r="U26" s="401">
        <f>BGSY_big!O25</f>
        <v>-51265.72868458258</v>
      </c>
      <c r="V26" s="475"/>
      <c r="W26" s="461"/>
      <c r="X26" s="461"/>
      <c r="Y26" s="461"/>
      <c r="Z26" s="461"/>
      <c r="AA26" s="475"/>
      <c r="AB26" s="461"/>
    </row>
    <row r="27" spans="8:28" x14ac:dyDescent="0.25">
      <c r="H27" s="61" t="str">
        <f>BGfix_1!H26</f>
        <v>To battery</v>
      </c>
      <c r="I27" s="291" t="str">
        <f>BGfix_1!I26</f>
        <v>MWh/year</v>
      </c>
      <c r="J27" s="400">
        <f>BGfix_1!O26</f>
        <v>-2307.0209302895055</v>
      </c>
      <c r="K27" s="481">
        <f>BGSY_1!O26</f>
        <v>-1038.7662778821048</v>
      </c>
      <c r="L27" s="481">
        <f>BGfix_b!O26</f>
        <v>-1974.2000556406585</v>
      </c>
      <c r="M27" s="481">
        <f>BGSY_b!O26</f>
        <v>-866.77519619414261</v>
      </c>
      <c r="N27" s="481">
        <f>BGfix_d!N26</f>
        <v>-600.18281310512145</v>
      </c>
      <c r="O27" s="401">
        <f>BGSY_d!N26</f>
        <v>-97.419255788981559</v>
      </c>
      <c r="P27" s="400">
        <f>BGSY_big!J26</f>
        <v>-23094.451518129641</v>
      </c>
      <c r="Q27" s="481">
        <f>BGSY_big!K26</f>
        <v>-10358.097562861039</v>
      </c>
      <c r="R27" s="481">
        <f>BGSY_big!L26</f>
        <v>-8789.8322763912802</v>
      </c>
      <c r="S27" s="481">
        <f>BGSY_big!M26</f>
        <v>-7991.3113129424009</v>
      </c>
      <c r="T27" s="481">
        <f>BGSY_big!N26</f>
        <v>-6000.0057918917519</v>
      </c>
      <c r="U27" s="401">
        <f>BGSY_big!O26</f>
        <v>-1009.8529862186</v>
      </c>
      <c r="V27" s="475"/>
      <c r="W27" s="461"/>
      <c r="X27" s="461"/>
      <c r="Y27" s="461"/>
      <c r="Z27" s="461"/>
      <c r="AA27" s="475"/>
      <c r="AB27" s="461"/>
    </row>
    <row r="28" spans="8:28" x14ac:dyDescent="0.25">
      <c r="H28" s="153" t="str">
        <f>BGfix_1!H27</f>
        <v>From battery</v>
      </c>
      <c r="I28" s="271" t="str">
        <f>BGfix_1!I27</f>
        <v>MWh/year</v>
      </c>
      <c r="J28" s="402">
        <f>BGfix_1!O27</f>
        <v>2170.6759933093904</v>
      </c>
      <c r="K28" s="27">
        <f>BGSY_1!O27</f>
        <v>977.37519085926942</v>
      </c>
      <c r="L28" s="27">
        <f>BGfix_b!O27</f>
        <v>1857.5248323522965</v>
      </c>
      <c r="M28" s="27">
        <f>BGSY_b!O27</f>
        <v>815.54878209906667</v>
      </c>
      <c r="N28" s="27">
        <f>BGfix_d!N27</f>
        <v>564.71200885061012</v>
      </c>
      <c r="O28" s="403">
        <f>BGSY_d!N27</f>
        <v>91.661777771852726</v>
      </c>
      <c r="P28" s="402">
        <f>BGSY_big!J27</f>
        <v>21729.569433408215</v>
      </c>
      <c r="Q28" s="27">
        <f>BGSY_big!K27</f>
        <v>9745.9339968959175</v>
      </c>
      <c r="R28" s="27">
        <f>BGSY_big!L27</f>
        <v>8270.3531888565467</v>
      </c>
      <c r="S28" s="27">
        <f>BGSY_big!M27</f>
        <v>7519.0248143475137</v>
      </c>
      <c r="T28" s="27">
        <f>BGSY_big!N27</f>
        <v>5645.4054495909604</v>
      </c>
      <c r="U28" s="403">
        <f>BGSY_big!O27</f>
        <v>950.17067473308111</v>
      </c>
      <c r="V28" s="475"/>
      <c r="W28" s="461"/>
      <c r="X28" s="461"/>
      <c r="Y28" s="461"/>
      <c r="Z28" s="461"/>
      <c r="AA28" s="475"/>
      <c r="AB28" s="461"/>
    </row>
    <row r="29" spans="8:28" x14ac:dyDescent="0.25">
      <c r="H29" s="270" t="str">
        <f>BGfix_1!H28</f>
        <v>sum</v>
      </c>
      <c r="I29" s="266" t="str">
        <f>BGfix_1!I28</f>
        <v>MWh/year</v>
      </c>
      <c r="J29" s="404">
        <f>BGfix_1!O28</f>
        <v>-1.5456862456630915E-9</v>
      </c>
      <c r="K29" s="66">
        <f>BGSY_1!O28</f>
        <v>-4.8635229177307338E-10</v>
      </c>
      <c r="L29" s="66">
        <f>BGfix_b!O28</f>
        <v>-8.4787643572781235E-10</v>
      </c>
      <c r="M29" s="66">
        <f>BGSY_b!O28</f>
        <v>6.9178440753603354E-10</v>
      </c>
      <c r="N29" s="66">
        <f>BGfix_d!N28</f>
        <v>-2.0123707145103253E-9</v>
      </c>
      <c r="O29" s="405">
        <f>BGSY_d!N28</f>
        <v>1.8317791727895383E-11</v>
      </c>
      <c r="P29" s="404">
        <f>BGSY_big!J28</f>
        <v>-1.7058482626453042E-8</v>
      </c>
      <c r="Q29" s="66">
        <f>BGSY_big!K28</f>
        <v>-4.7803041525185108E-9</v>
      </c>
      <c r="R29" s="66">
        <f>BGSY_big!L28</f>
        <v>-2.7614078135229647E-8</v>
      </c>
      <c r="S29" s="66">
        <f>BGSY_big!M28</f>
        <v>-1.0222720447927713E-9</v>
      </c>
      <c r="T29" s="66">
        <f>BGSY_big!N28</f>
        <v>-2.7588612283580005E-8</v>
      </c>
      <c r="U29" s="405">
        <f>BGSY_big!O28</f>
        <v>-2.92232016363414E-9</v>
      </c>
      <c r="V29" s="475"/>
      <c r="W29" s="461"/>
      <c r="X29" s="461"/>
      <c r="Y29" s="461"/>
      <c r="Z29" s="461"/>
      <c r="AA29" s="475"/>
      <c r="AB29" s="461"/>
    </row>
    <row r="30" spans="8:28" x14ac:dyDescent="0.25">
      <c r="J30" s="400"/>
      <c r="K30" s="481"/>
      <c r="L30" s="481">
        <f>BGfix_b!O29</f>
        <v>0</v>
      </c>
      <c r="M30" s="481">
        <f>BGSY_b!O29</f>
        <v>0</v>
      </c>
      <c r="N30" s="481">
        <f>BGfix_d!N29</f>
        <v>0</v>
      </c>
      <c r="O30" s="401">
        <f>BGSY_d!N29</f>
        <v>0</v>
      </c>
      <c r="P30" s="400">
        <f>BGSY_big!J29</f>
        <v>0</v>
      </c>
      <c r="Q30" s="481">
        <f>BGSY_big!K29</f>
        <v>0</v>
      </c>
      <c r="R30" s="481">
        <f>BGSY_big!L29</f>
        <v>0</v>
      </c>
      <c r="S30" s="481">
        <f>BGSY_big!M29</f>
        <v>0</v>
      </c>
      <c r="T30" s="481">
        <f>BGSY_big!N29</f>
        <v>0</v>
      </c>
      <c r="U30" s="401">
        <f>BGSY_big!O29</f>
        <v>0</v>
      </c>
      <c r="V30" s="475"/>
      <c r="W30" s="461"/>
      <c r="X30" s="461"/>
      <c r="Y30" s="461"/>
      <c r="Z30" s="461"/>
      <c r="AA30" s="475"/>
      <c r="AB30" s="461"/>
    </row>
    <row r="31" spans="8:28" x14ac:dyDescent="0.25">
      <c r="H31" s="274" t="str">
        <f>BGfix_1!H30</f>
        <v>Hydrogen production cost</v>
      </c>
      <c r="I31" s="275"/>
      <c r="J31" s="406"/>
      <c r="K31" s="276"/>
      <c r="L31" s="276"/>
      <c r="M31" s="276"/>
      <c r="N31" s="276"/>
      <c r="O31" s="407"/>
      <c r="P31" s="406"/>
      <c r="Q31" s="276"/>
      <c r="R31" s="276"/>
      <c r="S31" s="276"/>
      <c r="T31" s="276"/>
      <c r="U31" s="407"/>
      <c r="V31" s="486"/>
      <c r="W31" s="461"/>
      <c r="X31" s="461"/>
      <c r="Y31" s="461"/>
      <c r="Z31" s="461"/>
      <c r="AA31" s="486"/>
      <c r="AB31" s="461"/>
    </row>
    <row r="32" spans="8:28" x14ac:dyDescent="0.25">
      <c r="H32" s="73" t="str">
        <f>BGfix_1!H31</f>
        <v>PV Capex</v>
      </c>
      <c r="I32" s="74" t="str">
        <f>BGfix_1!I31</f>
        <v>€/kgH2</v>
      </c>
      <c r="J32" s="408">
        <f>BGSY_big!J31</f>
        <v>0.77296962018193793</v>
      </c>
      <c r="K32" s="458">
        <f>BGSY_big!K31</f>
        <v>0.63840402569003973</v>
      </c>
      <c r="L32" s="458">
        <f>BGSY_big!L31</f>
        <v>0.44034016386564484</v>
      </c>
      <c r="M32" s="458">
        <f>BGSY_big!M31</f>
        <v>0.52218284547382143</v>
      </c>
      <c r="N32" s="458">
        <f>BGSY_big!N31</f>
        <v>0.59256393777073413</v>
      </c>
      <c r="O32" s="409">
        <f>BGSY_big!O31</f>
        <v>0.33628932176782861</v>
      </c>
      <c r="P32" s="408">
        <f>BGSY_2big!J31</f>
        <v>0.41723285794243792</v>
      </c>
      <c r="Q32" s="458">
        <f>BGSY_2big!K31</f>
        <v>0.34439688908706206</v>
      </c>
      <c r="R32" s="458">
        <f>BGSY_2big!L31</f>
        <v>0.22935281779174499</v>
      </c>
      <c r="S32" s="458">
        <f>BGSY_2big!M31</f>
        <v>0.25138423339513299</v>
      </c>
      <c r="T32" s="458">
        <f>BGSY_2big!N31</f>
        <v>0.3479250521672419</v>
      </c>
      <c r="U32" s="409">
        <f>BGSY_2big!O31</f>
        <v>0.25828701966409662</v>
      </c>
      <c r="V32" s="476"/>
      <c r="W32" s="461"/>
      <c r="X32" s="461"/>
      <c r="Y32" s="461"/>
      <c r="Z32" s="461"/>
      <c r="AA32" s="476"/>
      <c r="AB32" s="461"/>
    </row>
    <row r="33" spans="8:28" x14ac:dyDescent="0.25">
      <c r="H33" s="73" t="str">
        <f>BGfix_1!H32</f>
        <v>Wind Capex</v>
      </c>
      <c r="I33" s="74" t="str">
        <f>BGfix_1!I32</f>
        <v>€/kgH2</v>
      </c>
      <c r="J33" s="408">
        <f>BGSY_big!J32</f>
        <v>1.3822880463542326</v>
      </c>
      <c r="K33" s="458">
        <f>BGSY_big!K32</f>
        <v>1.2581217894371644</v>
      </c>
      <c r="L33" s="458">
        <f>BGSY_big!L32</f>
        <v>1.9182928470987723</v>
      </c>
      <c r="M33" s="458">
        <f>BGSY_big!M32</f>
        <v>0.81114872810932592</v>
      </c>
      <c r="N33" s="458">
        <f>BGSY_big!N32</f>
        <v>1.3524306291943198</v>
      </c>
      <c r="O33" s="409">
        <f>BGSY_big!O32</f>
        <v>1.2116177574173719</v>
      </c>
      <c r="P33" s="408">
        <f>BGSY_2big!J32</f>
        <v>0.49970019811130095</v>
      </c>
      <c r="Q33" s="458">
        <f>BGSY_2big!K32</f>
        <v>0.50601899206008594</v>
      </c>
      <c r="R33" s="458">
        <f>BGSY_2big!L32</f>
        <v>1.2102023678173535</v>
      </c>
      <c r="S33" s="458">
        <f>BGSY_2big!M32</f>
        <v>0.43328384630053657</v>
      </c>
      <c r="T33" s="458">
        <f>BGSY_2big!N32</f>
        <v>0.71773319269570901</v>
      </c>
      <c r="U33" s="409">
        <f>BGSY_2big!O32</f>
        <v>0.70050447804978921</v>
      </c>
      <c r="V33" s="476"/>
      <c r="W33" s="461"/>
      <c r="X33" s="461"/>
      <c r="Y33" s="461"/>
      <c r="Z33" s="461"/>
      <c r="AA33" s="476"/>
      <c r="AB33" s="461"/>
    </row>
    <row r="34" spans="8:28" x14ac:dyDescent="0.25">
      <c r="H34" s="73" t="str">
        <f>BGfix_1!H33</f>
        <v>BESS Capex</v>
      </c>
      <c r="I34" s="74" t="str">
        <f>BGfix_1!I33</f>
        <v>€/kgH2</v>
      </c>
      <c r="J34" s="408">
        <f>BGSY_big!J33</f>
        <v>1.0365506656170334</v>
      </c>
      <c r="K34" s="458">
        <f>BGSY_big!K33</f>
        <v>0.4666740662416996</v>
      </c>
      <c r="L34" s="458">
        <f>BGSY_big!L33</f>
        <v>0.46096302359940622</v>
      </c>
      <c r="M34" s="458">
        <f>BGSY_big!M33</f>
        <v>0.36915052674630622</v>
      </c>
      <c r="N34" s="458">
        <f>BGSY_big!N33</f>
        <v>0.62033185237824151</v>
      </c>
      <c r="O34" s="409">
        <f>BGSY_big!O33</f>
        <v>0.10327126027579631</v>
      </c>
      <c r="P34" s="408">
        <f>BGSY_2big!J33</f>
        <v>0.43304214667508656</v>
      </c>
      <c r="Q34" s="458">
        <f>BGSY_2big!K33</f>
        <v>0.27270692571833127</v>
      </c>
      <c r="R34" s="458">
        <f>BGSY_2big!L33</f>
        <v>0.1428985373158175</v>
      </c>
      <c r="S34" s="458">
        <f>BGSY_2big!M33</f>
        <v>0.14289853731581503</v>
      </c>
      <c r="T34" s="458">
        <f>BGSY_2big!N33</f>
        <v>0.33212082655709302</v>
      </c>
      <c r="U34" s="409">
        <f>BGSY_2big!O33</f>
        <v>0.15506037002833062</v>
      </c>
      <c r="V34" s="476"/>
      <c r="W34" s="461"/>
      <c r="X34" s="461"/>
      <c r="Y34" s="461"/>
      <c r="Z34" s="461"/>
      <c r="AA34" s="476"/>
      <c r="AB34" s="461"/>
    </row>
    <row r="35" spans="8:28" x14ac:dyDescent="0.25">
      <c r="H35" s="73" t="str">
        <f>BGfix_1!H34</f>
        <v>Gas storage Capex</v>
      </c>
      <c r="I35" s="74" t="str">
        <f>BGfix_1!I34</f>
        <v>€/kgH2</v>
      </c>
      <c r="J35" s="408">
        <f>BGSY_big!J34</f>
        <v>1.2210720077163889E-3</v>
      </c>
      <c r="K35" s="458">
        <f>BGSY_big!K34</f>
        <v>8.9173183073899459E-2</v>
      </c>
      <c r="L35" s="458">
        <f>BGSY_big!L34</f>
        <v>0</v>
      </c>
      <c r="M35" s="458">
        <f>BGSY_big!M34</f>
        <v>7.5847725319306808E-2</v>
      </c>
      <c r="N35" s="458">
        <f>BGSY_big!N34</f>
        <v>0</v>
      </c>
      <c r="O35" s="409">
        <f>BGSY_big!O34</f>
        <v>9.4091316526536406E-2</v>
      </c>
      <c r="P35" s="408">
        <f>BGSY_2big!J34</f>
        <v>1.2210732850373475E-3</v>
      </c>
      <c r="Q35" s="458">
        <f>BGSY_2big!K34</f>
        <v>3.3467854231517533E-2</v>
      </c>
      <c r="R35" s="458">
        <f>BGSY_2big!L34</f>
        <v>0</v>
      </c>
      <c r="S35" s="458">
        <f>BGSY_2big!M34</f>
        <v>2.9364867391104426E-2</v>
      </c>
      <c r="T35" s="458">
        <f>BGSY_2big!N34</f>
        <v>0</v>
      </c>
      <c r="U35" s="409">
        <f>BGSY_2big!O34</f>
        <v>4.2372058022755218E-2</v>
      </c>
      <c r="V35" s="476"/>
      <c r="W35" s="461"/>
      <c r="X35" s="461"/>
      <c r="Y35" s="461"/>
      <c r="Z35" s="461"/>
      <c r="AA35" s="476"/>
      <c r="AB35" s="461"/>
    </row>
    <row r="36" spans="8:28" x14ac:dyDescent="0.25">
      <c r="H36" s="73">
        <f>BGfix_1!H35</f>
        <v>0</v>
      </c>
      <c r="I36" s="74">
        <f>BGfix_1!I35</f>
        <v>0</v>
      </c>
      <c r="J36" s="408">
        <f>BGSY_big!J35</f>
        <v>0</v>
      </c>
      <c r="K36" s="458">
        <f>BGSY_big!K35</f>
        <v>0</v>
      </c>
      <c r="L36" s="458">
        <f>BGSY_big!L35</f>
        <v>0</v>
      </c>
      <c r="M36" s="458">
        <f>BGSY_big!M35</f>
        <v>0</v>
      </c>
      <c r="N36" s="458">
        <f>BGSY_big!N35</f>
        <v>0</v>
      </c>
      <c r="O36" s="409">
        <f>BGSY_big!O35</f>
        <v>0</v>
      </c>
      <c r="P36" s="408">
        <f>BGSY_2big!J35</f>
        <v>0</v>
      </c>
      <c r="Q36" s="458">
        <f>BGSY_2big!K35</f>
        <v>0</v>
      </c>
      <c r="R36" s="458">
        <f>BGSY_2big!L35</f>
        <v>0</v>
      </c>
      <c r="S36" s="458">
        <f>BGSY_2big!M35</f>
        <v>0</v>
      </c>
      <c r="T36" s="458">
        <f>BGSY_2big!N35</f>
        <v>0</v>
      </c>
      <c r="U36" s="409">
        <f>BGSY_2big!O35</f>
        <v>0</v>
      </c>
      <c r="V36" s="476"/>
      <c r="W36" s="461"/>
      <c r="X36" s="461"/>
      <c r="Y36" s="461"/>
      <c r="Z36" s="461"/>
      <c r="AA36" s="476"/>
      <c r="AB36" s="461"/>
    </row>
    <row r="37" spans="8:28" x14ac:dyDescent="0.25">
      <c r="H37" s="73" t="str">
        <f>BGfix_1!H36</f>
        <v>BGRw Capex</v>
      </c>
      <c r="I37" s="74" t="str">
        <f>BGfix_1!I36</f>
        <v>€/kgH2</v>
      </c>
      <c r="J37" s="408">
        <f>BGSY_big!J36</f>
        <v>0.33468709383204764</v>
      </c>
      <c r="K37" s="458">
        <f>BGSY_big!K36</f>
        <v>0.46351365734603833</v>
      </c>
      <c r="L37" s="458">
        <f>BGSY_big!L36</f>
        <v>0.33468709394150531</v>
      </c>
      <c r="M37" s="458">
        <f>BGSY_big!M36</f>
        <v>0.44625049923852111</v>
      </c>
      <c r="N37" s="458">
        <f>BGSY_big!N36</f>
        <v>0.33468707796555253</v>
      </c>
      <c r="O37" s="409">
        <f>BGSY_big!O36</f>
        <v>0.3765218465469391</v>
      </c>
      <c r="P37" s="408">
        <f>BGSY_2big!J36</f>
        <v>0.33468708993881424</v>
      </c>
      <c r="Q37" s="458">
        <f>BGSY_2big!K36</f>
        <v>0.3992204118327507</v>
      </c>
      <c r="R37" s="458">
        <f>BGSY_2big!L36</f>
        <v>0.33468705636356433</v>
      </c>
      <c r="S37" s="458">
        <f>BGSY_2big!M36</f>
        <v>0.41289813006133441</v>
      </c>
      <c r="T37" s="458">
        <f>BGSY_2big!N36</f>
        <v>0.33468708894212168</v>
      </c>
      <c r="U37" s="409">
        <f>BGSY_2big!O36</f>
        <v>0.38959523290699294</v>
      </c>
      <c r="V37" s="476"/>
      <c r="W37" s="461"/>
      <c r="X37" s="461"/>
      <c r="Y37" s="461"/>
      <c r="Z37" s="461"/>
      <c r="AA37" s="476"/>
      <c r="AB37" s="461"/>
    </row>
    <row r="38" spans="8:28" x14ac:dyDescent="0.25">
      <c r="H38" s="77" t="str">
        <f>BGfix_1!H37</f>
        <v>PV fOpex</v>
      </c>
      <c r="I38" s="78" t="str">
        <f>BGfix_1!I37</f>
        <v>€/kgH2</v>
      </c>
      <c r="J38" s="410">
        <f>BGSY_big!J37</f>
        <v>0.14493180378411336</v>
      </c>
      <c r="K38" s="277">
        <f>BGSY_big!K37</f>
        <v>0.11970075481688244</v>
      </c>
      <c r="L38" s="277">
        <f>BGSY_big!L37</f>
        <v>8.2563780724808397E-2</v>
      </c>
      <c r="M38" s="277">
        <f>BGSY_big!M37</f>
        <v>9.7909283526341526E-2</v>
      </c>
      <c r="N38" s="277">
        <f>BGSY_big!N37</f>
        <v>7.7425601625095916E-2</v>
      </c>
      <c r="O38" s="411">
        <f>BGSY_big!O37</f>
        <v>4.3940242391266808E-2</v>
      </c>
      <c r="P38" s="410">
        <f>BGSY_2big!J37</f>
        <v>8.1810364302438807E-2</v>
      </c>
      <c r="Q38" s="277">
        <f>BGSY_2big!K37</f>
        <v>6.7528801781776879E-2</v>
      </c>
      <c r="R38" s="277">
        <f>BGSY_2big!L37</f>
        <v>4.497114074347941E-2</v>
      </c>
      <c r="S38" s="277">
        <f>BGSY_2big!M37</f>
        <v>4.9291026155908427E-2</v>
      </c>
      <c r="T38" s="277">
        <f>BGSY_2big!N37</f>
        <v>6.8220598464165061E-2</v>
      </c>
      <c r="U38" s="411">
        <f>BGSY_2big!O37</f>
        <v>5.0644513659626779E-2</v>
      </c>
      <c r="V38" s="476"/>
      <c r="W38" s="461"/>
      <c r="X38" s="461"/>
      <c r="Y38" s="461"/>
      <c r="Z38" s="461"/>
      <c r="AA38" s="476"/>
      <c r="AB38" s="461"/>
    </row>
    <row r="39" spans="8:28" x14ac:dyDescent="0.25">
      <c r="H39" s="81" t="str">
        <f>BGfix_1!H38</f>
        <v>Wind fOpex</v>
      </c>
      <c r="I39" s="82" t="str">
        <f>BGfix_1!I38</f>
        <v>€/kgH2</v>
      </c>
      <c r="J39" s="412">
        <f>BGSY_big!J38</f>
        <v>0.4146864139062697</v>
      </c>
      <c r="K39" s="482">
        <f>BGSY_big!K38</f>
        <v>0.37743653683114936</v>
      </c>
      <c r="L39" s="482">
        <f>BGSY_big!L38</f>
        <v>0.57548785412963177</v>
      </c>
      <c r="M39" s="482">
        <f>BGSY_big!M38</f>
        <v>0.24334461843279778</v>
      </c>
      <c r="N39" s="482">
        <f>BGSY_big!N38</f>
        <v>0.55776028398785749</v>
      </c>
      <c r="O39" s="413">
        <f>BGSY_big!O38</f>
        <v>0.49968719272827511</v>
      </c>
      <c r="P39" s="412">
        <f>BGSY_2big!J38</f>
        <v>9.9940039622260182E-2</v>
      </c>
      <c r="Q39" s="482">
        <f>BGSY_2big!K38</f>
        <v>0.10120379841201717</v>
      </c>
      <c r="R39" s="482">
        <f>BGSY_2big!L38</f>
        <v>0.24204047356347066</v>
      </c>
      <c r="S39" s="482">
        <f>BGSY_2big!M38</f>
        <v>8.6656769260107319E-2</v>
      </c>
      <c r="T39" s="482">
        <f>BGSY_2big!N38</f>
        <v>0.23445755580096664</v>
      </c>
      <c r="U39" s="413">
        <f>BGSY_2big!O38</f>
        <v>0.22882955591663187</v>
      </c>
      <c r="V39" s="476"/>
      <c r="W39" s="461"/>
      <c r="X39" s="461"/>
      <c r="Y39" s="461"/>
      <c r="Z39" s="461"/>
      <c r="AA39" s="476"/>
      <c r="AB39" s="461"/>
    </row>
    <row r="40" spans="8:28" x14ac:dyDescent="0.25">
      <c r="H40" s="81" t="str">
        <f>BGfix_1!H39</f>
        <v>BESS fOpex</v>
      </c>
      <c r="I40" s="82" t="str">
        <f>BGfix_1!I39</f>
        <v>€/kgH2</v>
      </c>
      <c r="J40" s="412">
        <f>BGSY_big!J39</f>
        <v>0.25913766640425834</v>
      </c>
      <c r="K40" s="482">
        <f>BGSY_big!K39</f>
        <v>0.11666851656042487</v>
      </c>
      <c r="L40" s="482">
        <f>BGSY_big!L39</f>
        <v>0.11524075589985155</v>
      </c>
      <c r="M40" s="482">
        <f>BGSY_big!M39</f>
        <v>9.2287631686576554E-2</v>
      </c>
      <c r="N40" s="482">
        <f>BGSY_big!N39</f>
        <v>0.15508296309456035</v>
      </c>
      <c r="O40" s="413">
        <f>BGSY_big!O39</f>
        <v>2.5817815068949077E-2</v>
      </c>
      <c r="P40" s="412">
        <f>BGSY_2big!J39</f>
        <v>8.7306884410299712E-2</v>
      </c>
      <c r="Q40" s="482">
        <f>BGSY_2big!K39</f>
        <v>5.4981235023857114E-2</v>
      </c>
      <c r="R40" s="482">
        <f>BGSY_2big!L39</f>
        <v>2.8810188974963204E-2</v>
      </c>
      <c r="S40" s="482">
        <f>BGSY_2big!M39</f>
        <v>2.8810188974962705E-2</v>
      </c>
      <c r="T40" s="482">
        <f>BGSY_2big!N39</f>
        <v>6.6959844063930046E-2</v>
      </c>
      <c r="U40" s="413">
        <f>BGSY_2big!O39</f>
        <v>3.1262171376679561E-2</v>
      </c>
      <c r="V40" s="476"/>
      <c r="W40" s="461"/>
      <c r="X40" s="461"/>
      <c r="Y40" s="461"/>
      <c r="Z40" s="461"/>
      <c r="AA40" s="476"/>
      <c r="AB40" s="461"/>
    </row>
    <row r="41" spans="8:28" x14ac:dyDescent="0.25">
      <c r="H41" s="81" t="str">
        <f>BGfix_1!H40</f>
        <v>eBGRw+storage fOpex</v>
      </c>
      <c r="I41" s="82" t="str">
        <f>BGfix_1!I40</f>
        <v>€/kgH2</v>
      </c>
      <c r="J41" s="412">
        <f>BGSY_big!J40</f>
        <v>0.13436326633590559</v>
      </c>
      <c r="K41" s="482">
        <f>BGSY_big!K40</f>
        <v>0.20639182004540715</v>
      </c>
      <c r="L41" s="482">
        <f>BGSY_big!L40</f>
        <v>0.13387483757660212</v>
      </c>
      <c r="M41" s="482">
        <f>BGSY_big!M40</f>
        <v>0.19915075137048266</v>
      </c>
      <c r="N41" s="482">
        <f>BGSY_big!N40</f>
        <v>0.13387483118622098</v>
      </c>
      <c r="O41" s="413">
        <f>BGSY_big!O40</f>
        <v>0.1840411932666268</v>
      </c>
      <c r="P41" s="412">
        <f>BGSY_2big!J40</f>
        <v>0.13436326528954062</v>
      </c>
      <c r="Q41" s="482">
        <f>BGSY_2big!K40</f>
        <v>0.17194591300381737</v>
      </c>
      <c r="R41" s="482">
        <f>BGSY_2big!L40</f>
        <v>0.13387482254542571</v>
      </c>
      <c r="S41" s="482">
        <f>BGSY_2big!M40</f>
        <v>0.17571994169879873</v>
      </c>
      <c r="T41" s="482">
        <f>BGSY_2big!N40</f>
        <v>0.13387483557684865</v>
      </c>
      <c r="U41" s="413">
        <f>BGSY_2big!O40</f>
        <v>0.17141122354066521</v>
      </c>
      <c r="V41" s="476"/>
      <c r="W41" s="461"/>
      <c r="X41" s="461"/>
      <c r="Y41" s="461"/>
      <c r="Z41" s="461"/>
      <c r="AA41" s="476"/>
      <c r="AB41" s="461"/>
    </row>
    <row r="42" spans="8:28" x14ac:dyDescent="0.25">
      <c r="H42" s="85" t="str">
        <f>BGfix_1!H41</f>
        <v>Hydrogen storage fOpex</v>
      </c>
      <c r="I42" s="86" t="str">
        <f>BGfix_1!I41</f>
        <v>€/kgH2</v>
      </c>
      <c r="J42" s="414">
        <f>BGSY_big!J41</f>
        <v>0</v>
      </c>
      <c r="K42" s="278">
        <f>BGSY_big!K41</f>
        <v>0</v>
      </c>
      <c r="L42" s="278">
        <f>BGSY_big!L41</f>
        <v>0</v>
      </c>
      <c r="M42" s="278">
        <f>BGSY_big!M41</f>
        <v>0</v>
      </c>
      <c r="N42" s="278">
        <f>BGSY_big!N41</f>
        <v>0</v>
      </c>
      <c r="O42" s="415">
        <f>BGSY_big!O41</f>
        <v>0</v>
      </c>
      <c r="P42" s="414">
        <f>BGSY_2big!J41</f>
        <v>0</v>
      </c>
      <c r="Q42" s="278">
        <f>BGSY_2big!K41</f>
        <v>1.1293934218899113E-3</v>
      </c>
      <c r="R42" s="278">
        <f>BGSY_2big!L41</f>
        <v>0</v>
      </c>
      <c r="S42" s="278">
        <f>BGSY_2big!M41</f>
        <v>1.185257282176797E-3</v>
      </c>
      <c r="T42" s="278">
        <f>BGSY_2big!N41</f>
        <v>0</v>
      </c>
      <c r="U42" s="415">
        <f>BGSY_2big!O41</f>
        <v>1.3756928312340536E-3</v>
      </c>
      <c r="V42" s="476"/>
      <c r="W42" s="461"/>
      <c r="X42" s="461"/>
      <c r="Y42" s="461"/>
      <c r="Z42" s="461"/>
      <c r="AA42" s="476"/>
      <c r="AB42" s="461"/>
    </row>
    <row r="43" spans="8:28" x14ac:dyDescent="0.25">
      <c r="H43" s="89" t="str">
        <f>BGfix_1!H42</f>
        <v>Battery vOpex</v>
      </c>
      <c r="I43" s="90" t="str">
        <f>BGfix_1!I42</f>
        <v>€/kgH2</v>
      </c>
      <c r="J43" s="416">
        <f>BGSY_big!J42</f>
        <v>0.55357578640871763</v>
      </c>
      <c r="K43" s="483">
        <f>BGSY_big!K42</f>
        <v>0.24828439850832978</v>
      </c>
      <c r="L43" s="483">
        <f>BGSY_big!L42</f>
        <v>0.21069295847896277</v>
      </c>
      <c r="M43" s="483">
        <f>BGSY_big!M42</f>
        <v>0.19155234931757853</v>
      </c>
      <c r="N43" s="483">
        <f>BGSY_big!N42</f>
        <v>0.14382060219511847</v>
      </c>
      <c r="O43" s="417">
        <f>BGSY_big!O42</f>
        <v>2.4206254067747134E-2</v>
      </c>
      <c r="P43" s="416">
        <f>BGSY_2big!J42</f>
        <v>0.25104227743979513</v>
      </c>
      <c r="Q43" s="483">
        <f>BGSY_2big!K42</f>
        <v>0.17291962021037638</v>
      </c>
      <c r="R43" s="483">
        <f>BGSY_2big!L42</f>
        <v>6.6992502838029586E-2</v>
      </c>
      <c r="S43" s="483">
        <f>BGSY_2big!M42</f>
        <v>8.9627134209090825E-2</v>
      </c>
      <c r="T43" s="483">
        <f>BGSY_2big!N42</f>
        <v>0.10117687230832642</v>
      </c>
      <c r="U43" s="417">
        <f>BGSY_2big!O42</f>
        <v>4.2674517372342395E-2</v>
      </c>
      <c r="V43" s="476"/>
      <c r="W43" s="461"/>
      <c r="X43" s="461"/>
      <c r="Y43" s="461"/>
      <c r="Z43" s="461"/>
      <c r="AA43" s="476"/>
      <c r="AB43" s="461"/>
    </row>
    <row r="44" spans="8:28" x14ac:dyDescent="0.25">
      <c r="H44" s="89" t="str">
        <f>BGfix_1!H43</f>
        <v>Hydrogen storage vOpex</v>
      </c>
      <c r="I44" s="90" t="str">
        <f>BGfix_1!I43</f>
        <v>€/kgH2</v>
      </c>
      <c r="J44" s="416">
        <f>BGSY_big!J43</f>
        <v>0</v>
      </c>
      <c r="K44" s="483">
        <f>BGSY_big!K43</f>
        <v>0</v>
      </c>
      <c r="L44" s="483">
        <f>BGSY_big!L43</f>
        <v>0</v>
      </c>
      <c r="M44" s="483">
        <f>BGSY_big!M43</f>
        <v>0</v>
      </c>
      <c r="N44" s="483">
        <f>BGSY_big!N43</f>
        <v>0</v>
      </c>
      <c r="O44" s="417">
        <f>BGSY_big!O43</f>
        <v>0</v>
      </c>
      <c r="P44" s="416">
        <f>BGSY_2big!J43</f>
        <v>0</v>
      </c>
      <c r="Q44" s="483">
        <f>BGSY_2big!K43</f>
        <v>0</v>
      </c>
      <c r="R44" s="483">
        <f>BGSY_2big!L43</f>
        <v>0</v>
      </c>
      <c r="S44" s="483">
        <f>BGSY_2big!M43</f>
        <v>0</v>
      </c>
      <c r="T44" s="483">
        <f>BGSY_2big!N43</f>
        <v>0</v>
      </c>
      <c r="U44" s="417">
        <f>BGSY_2big!O43</f>
        <v>0</v>
      </c>
      <c r="V44" s="476"/>
      <c r="W44" s="461"/>
      <c r="X44" s="461"/>
      <c r="Y44" s="461"/>
      <c r="Z44" s="461"/>
      <c r="AA44" s="476"/>
      <c r="AB44" s="461"/>
    </row>
    <row r="45" spans="8:28" x14ac:dyDescent="0.25">
      <c r="H45" s="89" t="str">
        <f>BGfix_1!H44</f>
        <v>eBGRw vOpex</v>
      </c>
      <c r="I45" s="90" t="str">
        <f>BGfix_1!I44</f>
        <v>€/kgH2</v>
      </c>
      <c r="J45" s="416">
        <f>BGSY_big!J44</f>
        <v>8.4786442352185395E-2</v>
      </c>
      <c r="K45" s="483">
        <f>BGSY_big!K44</f>
        <v>0.12009330756911951</v>
      </c>
      <c r="L45" s="483">
        <f>BGSY_big!L44</f>
        <v>8.4786440797646634E-2</v>
      </c>
      <c r="M45" s="483">
        <f>BGSY_big!M44</f>
        <v>0.11645608953259379</v>
      </c>
      <c r="N45" s="483">
        <f>BGSY_big!N44</f>
        <v>8.4786436891660502E-2</v>
      </c>
      <c r="O45" s="417">
        <f>BGSY_big!O44</f>
        <v>0.10238668833144976</v>
      </c>
      <c r="P45" s="416">
        <f>BGSY_2big!J44</f>
        <v>8.478644235216426E-2</v>
      </c>
      <c r="Q45" s="483">
        <f>BGSY_2big!K44</f>
        <v>0.10685960801436953</v>
      </c>
      <c r="R45" s="483">
        <f>BGSY_2big!L44</f>
        <v>8.4786431781368576E-2</v>
      </c>
      <c r="S45" s="483">
        <f>BGSY_2big!M44</f>
        <v>0.10961118325747009</v>
      </c>
      <c r="T45" s="483">
        <f>BGSY_2big!N44</f>
        <v>8.4786439488343579E-2</v>
      </c>
      <c r="U45" s="417">
        <f>BGSY_2big!O44</f>
        <v>0.10306582748229161</v>
      </c>
      <c r="V45" s="476"/>
      <c r="W45" s="461"/>
      <c r="X45" s="461"/>
      <c r="Y45" s="461"/>
      <c r="Z45" s="461"/>
      <c r="AA45" s="476"/>
      <c r="AB45" s="461"/>
    </row>
    <row r="46" spans="8:28" x14ac:dyDescent="0.25">
      <c r="H46" s="89" t="str">
        <f>BGfix_1!H45</f>
        <v>Biogas</v>
      </c>
      <c r="I46" s="90" t="str">
        <f>BGfix_1!I45</f>
        <v>€/kgH2</v>
      </c>
      <c r="J46" s="416">
        <f>BGSY_big!J45</f>
        <v>1.096689211286269</v>
      </c>
      <c r="K46" s="483">
        <f>BGSY_big!K45</f>
        <v>1.0966892112861883</v>
      </c>
      <c r="L46" s="483">
        <f>BGSY_big!L45</f>
        <v>1.0966892112861957</v>
      </c>
      <c r="M46" s="483">
        <f>BGSY_big!M45</f>
        <v>1.0966892112861895</v>
      </c>
      <c r="N46" s="483">
        <f>BGSY_big!N45</f>
        <v>1.0966892112862807</v>
      </c>
      <c r="O46" s="417">
        <f>BGSY_big!O45</f>
        <v>1.0966892112861928</v>
      </c>
      <c r="P46" s="416">
        <f>BGSY_2big!J45</f>
        <v>1.0966892112860502</v>
      </c>
      <c r="Q46" s="483">
        <f>BGSY_2big!K45</f>
        <v>1.0966892112861908</v>
      </c>
      <c r="R46" s="483">
        <f>BGSY_2big!L45</f>
        <v>1.0966892112862079</v>
      </c>
      <c r="S46" s="483">
        <f>BGSY_2big!M45</f>
        <v>1.0966892112861888</v>
      </c>
      <c r="T46" s="483">
        <f>BGSY_2big!N45</f>
        <v>1.0966892112860767</v>
      </c>
      <c r="U46" s="417">
        <f>BGSY_2big!O45</f>
        <v>1.0966892112861899</v>
      </c>
      <c r="V46" s="476"/>
      <c r="W46" s="461"/>
      <c r="X46" s="461"/>
      <c r="Y46" s="461"/>
      <c r="Z46" s="461"/>
      <c r="AA46" s="476"/>
      <c r="AB46" s="461"/>
    </row>
    <row r="47" spans="8:28" x14ac:dyDescent="0.25">
      <c r="H47" s="89" t="str">
        <f>BGfix_1!H46</f>
        <v>Electricity from grid</v>
      </c>
      <c r="I47" s="90" t="str">
        <f>BGfix_1!I46</f>
        <v>€/kgH2</v>
      </c>
      <c r="J47" s="416">
        <f>BGSY_big!J46</f>
        <v>0.13373703317199565</v>
      </c>
      <c r="K47" s="483">
        <f>BGSY_big!K46</f>
        <v>0.13406736901269642</v>
      </c>
      <c r="L47" s="483">
        <f>BGSY_big!L46</f>
        <v>0.13518504570475301</v>
      </c>
      <c r="M47" s="483">
        <f>BGSY_big!M46</f>
        <v>0.13573055698427858</v>
      </c>
      <c r="N47" s="483">
        <f>BGSY_big!N46</f>
        <v>0.13364563130759083</v>
      </c>
      <c r="O47" s="417">
        <f>BGSY_big!O46</f>
        <v>0.13362604724100605</v>
      </c>
      <c r="P47" s="416">
        <f>BGSY_2big!J46</f>
        <v>8.8796589060791589E-2</v>
      </c>
      <c r="Q47" s="483">
        <f>BGSY_2big!K46</f>
        <v>8.9053348892003892E-2</v>
      </c>
      <c r="R47" s="483">
        <f>BGSY_2big!L46</f>
        <v>9.0484551667607244E-2</v>
      </c>
      <c r="S47" s="483">
        <f>BGSY_2big!M46</f>
        <v>9.1108253242521448E-2</v>
      </c>
      <c r="T47" s="483">
        <f>BGSY_2big!N46</f>
        <v>8.9229825965176396E-2</v>
      </c>
      <c r="U47" s="417">
        <f>BGSY_2big!O46</f>
        <v>8.9135698952132858E-2</v>
      </c>
      <c r="V47" s="476"/>
      <c r="W47" s="461"/>
      <c r="X47" s="461"/>
      <c r="Y47" s="461"/>
      <c r="Z47" s="461"/>
      <c r="AA47" s="476"/>
      <c r="AB47" s="461"/>
    </row>
    <row r="48" spans="8:28" x14ac:dyDescent="0.25">
      <c r="H48" s="93" t="str">
        <f>BGfix_1!H47</f>
        <v>CO2 credits</v>
      </c>
      <c r="I48" s="94" t="str">
        <f>BGfix_1!I47</f>
        <v>€/kgH2</v>
      </c>
      <c r="J48" s="418">
        <f>BGSY_big!J47</f>
        <v>-0.47122626486097724</v>
      </c>
      <c r="K48" s="279">
        <f>BGSY_big!K47</f>
        <v>-0.47122626486103586</v>
      </c>
      <c r="L48" s="279">
        <f>BGSY_big!L47</f>
        <v>-0.47122626486105901</v>
      </c>
      <c r="M48" s="279">
        <f>BGSY_big!M47</f>
        <v>-0.47122626486100383</v>
      </c>
      <c r="N48" s="279">
        <f>BGSY_big!N47</f>
        <v>-0.47122626486098046</v>
      </c>
      <c r="O48" s="419">
        <f>BGSY_big!O47</f>
        <v>-0.47122626486104097</v>
      </c>
      <c r="P48" s="418">
        <f>BGSY_2big!J47</f>
        <v>-0.47122626486089936</v>
      </c>
      <c r="Q48" s="279">
        <f>BGSY_2big!K47</f>
        <v>-0.47122626486095792</v>
      </c>
      <c r="R48" s="279">
        <f>BGSY_2big!L47</f>
        <v>-0.47122626486103336</v>
      </c>
      <c r="S48" s="279">
        <f>BGSY_2big!M47</f>
        <v>-0.47122626486098323</v>
      </c>
      <c r="T48" s="279">
        <f>BGSY_2big!N47</f>
        <v>-0.47122626486088753</v>
      </c>
      <c r="U48" s="419">
        <f>BGSY_2big!O47</f>
        <v>-0.47122626486099523</v>
      </c>
      <c r="V48" s="476"/>
      <c r="W48" s="461"/>
      <c r="X48" s="461"/>
      <c r="Y48" s="461"/>
      <c r="Z48" s="461"/>
      <c r="AA48" s="476"/>
      <c r="AB48" s="461"/>
    </row>
    <row r="49" spans="8:28" x14ac:dyDescent="0.25">
      <c r="H49" s="97" t="str">
        <f>BGfix_1!H48</f>
        <v>Electricity sold to grid 30</v>
      </c>
      <c r="I49" s="98" t="str">
        <f>BGfix_1!I48</f>
        <v>€/kgH2</v>
      </c>
      <c r="J49" s="420">
        <f>BGSY_big!J48</f>
        <v>-0.27327885690333209</v>
      </c>
      <c r="K49" s="280">
        <f>BGSY_big!K48</f>
        <v>-0.17046305666028783</v>
      </c>
      <c r="L49" s="280">
        <f>BGSY_big!L48</f>
        <v>-0.67858769262662977</v>
      </c>
      <c r="M49" s="280">
        <f>BGSY_big!M48</f>
        <v>-0.20111696721615202</v>
      </c>
      <c r="N49" s="280">
        <f>BGSY_big!N48</f>
        <v>-0.42321190273934373</v>
      </c>
      <c r="O49" s="421">
        <f>BGSY_big!O48</f>
        <v>-0.28357926361766317</v>
      </c>
      <c r="P49" s="420">
        <f>BGSY_2big!J48</f>
        <v>-0.28024239578473548</v>
      </c>
      <c r="Q49" s="280">
        <f>BGSY_2big!K48</f>
        <v>-0.18074339240692819</v>
      </c>
      <c r="R49" s="280">
        <f>BGSY_2big!L48</f>
        <v>-0.72845182978990775</v>
      </c>
      <c r="S49" s="280">
        <f>BGSY_2big!M48</f>
        <v>-0.2068190750618169</v>
      </c>
      <c r="T49" s="280">
        <f>BGSY_2big!N48</f>
        <v>-0.20670139818941127</v>
      </c>
      <c r="U49" s="421">
        <f>BGSY_2big!O48</f>
        <v>-0.12299621040350005</v>
      </c>
      <c r="V49" s="476"/>
      <c r="W49" s="461"/>
      <c r="X49" s="461"/>
      <c r="Y49" s="461"/>
      <c r="Z49" s="461"/>
      <c r="AA49" s="476"/>
      <c r="AB49" s="461"/>
    </row>
    <row r="50" spans="8:28" x14ac:dyDescent="0.25">
      <c r="H50" s="101" t="str">
        <f>BGfix_1!H49</f>
        <v>Electricity sold to grid 60</v>
      </c>
      <c r="I50" s="102" t="str">
        <f>BGfix_1!I49</f>
        <v>€/kgH2</v>
      </c>
      <c r="J50" s="422">
        <f>BGSY_big!J49</f>
        <v>-0.54655771380666418</v>
      </c>
      <c r="K50" s="281">
        <f>BGSY_big!K49</f>
        <v>-0.34092611332057565</v>
      </c>
      <c r="L50" s="281">
        <f>BGSY_big!L49</f>
        <v>-1.3571753852532595</v>
      </c>
      <c r="M50" s="281">
        <f>BGSY_big!M49</f>
        <v>-0.40223393443230404</v>
      </c>
      <c r="N50" s="281">
        <f>BGSY_big!N49</f>
        <v>-0.84642380547868745</v>
      </c>
      <c r="O50" s="423">
        <f>BGSY_big!O49</f>
        <v>-0.56715852723532634</v>
      </c>
      <c r="P50" s="422">
        <f>BGSY_2big!J49</f>
        <v>-0.56048479156947095</v>
      </c>
      <c r="Q50" s="281">
        <f>BGSY_2big!K49</f>
        <v>-0.36148678481385638</v>
      </c>
      <c r="R50" s="281">
        <f>BGSY_2big!L49</f>
        <v>-1.4569036595798155</v>
      </c>
      <c r="S50" s="281">
        <f>BGSY_2big!M49</f>
        <v>-0.41363815012363381</v>
      </c>
      <c r="T50" s="281">
        <f>BGSY_2big!N49</f>
        <v>-0.41340279637882255</v>
      </c>
      <c r="U50" s="423">
        <f>BGSY_2big!O49</f>
        <v>-0.2459924208070001</v>
      </c>
      <c r="V50" s="476"/>
      <c r="W50" s="461"/>
      <c r="X50" s="461"/>
      <c r="Y50" s="461"/>
      <c r="Z50" s="461"/>
      <c r="AA50" s="476"/>
      <c r="AB50" s="461"/>
    </row>
    <row r="51" spans="8:28" x14ac:dyDescent="0.25">
      <c r="H51" s="105" t="str">
        <f>BGfix_1!H50</f>
        <v>H2 production cost</v>
      </c>
      <c r="I51" s="106" t="str">
        <f>BGfix_1!I50</f>
        <v>€/kgH2</v>
      </c>
      <c r="J51" s="424">
        <f>BGSY_big!J50</f>
        <v>5.8783978567817039</v>
      </c>
      <c r="K51" s="484">
        <f>BGSY_big!K50</f>
        <v>4.8639923715580036</v>
      </c>
      <c r="L51" s="484">
        <f>BGSY_big!L50</f>
        <v>5.1175777482427209</v>
      </c>
      <c r="M51" s="484">
        <f>BGSY_big!M50</f>
        <v>3.9264745521631168</v>
      </c>
      <c r="N51" s="484">
        <f>BGSY_big!N50</f>
        <v>4.8118727940222517</v>
      </c>
      <c r="O51" s="425">
        <f>BGSY_big!O50</f>
        <v>3.7609598820549448</v>
      </c>
      <c r="P51" s="424">
        <f>BGSY_2big!J50</f>
        <v>3.1393921748551188</v>
      </c>
      <c r="Q51" s="484">
        <f>BGSY_2big!K50</f>
        <v>2.9468957381150891</v>
      </c>
      <c r="R51" s="484">
        <f>BGSY_2big!L50</f>
        <v>3.2345638378279982</v>
      </c>
      <c r="S51" s="484">
        <f>BGSY_2big!M50</f>
        <v>2.5273023149701657</v>
      </c>
      <c r="T51" s="484">
        <f>BGSY_2big!N50</f>
        <v>3.1366350784551114</v>
      </c>
      <c r="U51" s="425">
        <f>BGSY_2big!O50</f>
        <v>2.8896813062287627</v>
      </c>
      <c r="V51" s="476"/>
      <c r="W51" s="461"/>
      <c r="X51" s="461"/>
      <c r="Y51" s="461"/>
      <c r="Z51" s="461"/>
      <c r="AA51" s="476"/>
      <c r="AB51" s="461"/>
    </row>
    <row r="52" spans="8:28" x14ac:dyDescent="0.25">
      <c r="H52" s="105" t="str">
        <f>BGfix_1!H51</f>
        <v>H2 production cost (30)</v>
      </c>
      <c r="I52" s="106" t="str">
        <f>BGfix_1!I51</f>
        <v>€/kgH2</v>
      </c>
      <c r="J52" s="424">
        <f>BGSY_big!J51</f>
        <v>5.6051189998783721</v>
      </c>
      <c r="K52" s="484">
        <f>BGSY_big!K51</f>
        <v>4.6935293148977157</v>
      </c>
      <c r="L52" s="484">
        <f>BGSY_big!L51</f>
        <v>4.4389900556160908</v>
      </c>
      <c r="M52" s="484">
        <f>BGSY_big!M51</f>
        <v>3.7253575849469649</v>
      </c>
      <c r="N52" s="484">
        <f>BGSY_big!N51</f>
        <v>4.3886608912829077</v>
      </c>
      <c r="O52" s="425">
        <f>BGSY_big!O51</f>
        <v>3.4773806184372815</v>
      </c>
      <c r="P52" s="424">
        <f>BGSY_2big!J51</f>
        <v>2.8591497790703833</v>
      </c>
      <c r="Q52" s="484">
        <f>BGSY_2big!K51</f>
        <v>2.7661523457081607</v>
      </c>
      <c r="R52" s="484">
        <f>BGSY_2big!L51</f>
        <v>2.5061120080380905</v>
      </c>
      <c r="S52" s="484">
        <f>BGSY_2big!M51</f>
        <v>2.3204832399083486</v>
      </c>
      <c r="T52" s="484">
        <f>BGSY_2big!N51</f>
        <v>2.9299336802656999</v>
      </c>
      <c r="U52" s="425">
        <f>BGSY_2big!O51</f>
        <v>2.7666850958252627</v>
      </c>
      <c r="V52" s="476"/>
      <c r="W52" s="461"/>
      <c r="X52" s="461"/>
      <c r="Y52" s="461"/>
      <c r="Z52" s="461"/>
      <c r="AA52" s="476"/>
      <c r="AB52" s="461"/>
    </row>
    <row r="53" spans="8:28" x14ac:dyDescent="0.25">
      <c r="H53" s="109" t="str">
        <f>BGfix_1!H52</f>
        <v>H2 production cost (60)</v>
      </c>
      <c r="I53" s="110" t="str">
        <f>BGfix_1!I52</f>
        <v>€/kgH2</v>
      </c>
      <c r="J53" s="426">
        <f>BGSY_big!J52</f>
        <v>5.3318401429750395</v>
      </c>
      <c r="K53" s="282">
        <f>BGSY_big!K52</f>
        <v>4.5230662582374279</v>
      </c>
      <c r="L53" s="282">
        <f>BGSY_big!L52</f>
        <v>3.7604023629894616</v>
      </c>
      <c r="M53" s="282">
        <f>BGSY_big!M52</f>
        <v>3.524240617730813</v>
      </c>
      <c r="N53" s="282">
        <f>BGSY_big!N52</f>
        <v>3.9654489885435642</v>
      </c>
      <c r="O53" s="427">
        <f>BGSY_big!O52</f>
        <v>3.1938013548196187</v>
      </c>
      <c r="P53" s="426">
        <f>BGSY_2big!J52</f>
        <v>2.5789073832856477</v>
      </c>
      <c r="Q53" s="282">
        <f>BGSY_2big!K52</f>
        <v>2.5854089533012328</v>
      </c>
      <c r="R53" s="282">
        <f>BGSY_2big!L52</f>
        <v>1.7776601782481827</v>
      </c>
      <c r="S53" s="282">
        <f>BGSY_2big!M52</f>
        <v>2.113664164846532</v>
      </c>
      <c r="T53" s="282">
        <f>BGSY_2big!N52</f>
        <v>2.7232322820762889</v>
      </c>
      <c r="U53" s="427">
        <f>BGSY_2big!O52</f>
        <v>2.6436888854217626</v>
      </c>
      <c r="V53" s="476"/>
      <c r="W53" s="461"/>
      <c r="X53" s="461"/>
      <c r="Y53" s="461"/>
      <c r="Z53" s="461"/>
      <c r="AA53" s="476"/>
      <c r="AB53" s="461"/>
    </row>
    <row r="54" spans="8:28" ht="15.75" thickBot="1" x14ac:dyDescent="0.3">
      <c r="H54" s="499" t="str">
        <f>BGfix_1!H53</f>
        <v>H2 cost check</v>
      </c>
      <c r="I54" s="500" t="str">
        <f>BGfix_1!I53</f>
        <v>€/kgH2</v>
      </c>
      <c r="J54" s="428">
        <f>BGSY_big!J53</f>
        <v>5.8783978567817039</v>
      </c>
      <c r="K54" s="429">
        <f>BGSY_big!K53</f>
        <v>4.8639923715580027</v>
      </c>
      <c r="L54" s="429">
        <f>BGSY_big!L53</f>
        <v>5.1175777482427209</v>
      </c>
      <c r="M54" s="429">
        <f>BGSY_big!M53</f>
        <v>3.9264745521631168</v>
      </c>
      <c r="N54" s="429">
        <f>BGSY_big!N53</f>
        <v>4.8118727940222517</v>
      </c>
      <c r="O54" s="430">
        <f>BGSY_big!O53</f>
        <v>3.7609598820549457</v>
      </c>
      <c r="P54" s="428">
        <f>BGSY_2big!J53</f>
        <v>3.1393921748551188</v>
      </c>
      <c r="Q54" s="429">
        <f>BGSY_2big!K53</f>
        <v>2.9468957381150886</v>
      </c>
      <c r="R54" s="429">
        <f>BGSY_2big!L53</f>
        <v>3.2345638378279991</v>
      </c>
      <c r="S54" s="429">
        <f>BGSY_2big!M53</f>
        <v>2.5273023149701657</v>
      </c>
      <c r="T54" s="429">
        <f>BGSY_2big!N53</f>
        <v>3.1366350784551114</v>
      </c>
      <c r="U54" s="430">
        <f>BGSY_2big!O53</f>
        <v>2.8896813062287632</v>
      </c>
      <c r="V54" s="487"/>
      <c r="W54" s="461"/>
      <c r="X54" s="461"/>
      <c r="Y54" s="461"/>
      <c r="Z54" s="461"/>
      <c r="AA54" s="487"/>
      <c r="AB54" s="461"/>
    </row>
    <row r="55" spans="8:28" x14ac:dyDescent="0.25">
      <c r="H55" s="478"/>
      <c r="I55" s="478"/>
      <c r="J55" s="461"/>
      <c r="K55" s="461"/>
      <c r="L55" s="475"/>
      <c r="M55" s="475"/>
      <c r="N55" s="461"/>
      <c r="O55" s="475"/>
      <c r="P55" s="461"/>
      <c r="Q55" s="461"/>
      <c r="R55" s="475"/>
      <c r="S55" s="461"/>
      <c r="T55" s="461"/>
      <c r="U55" s="475"/>
      <c r="V55" s="475"/>
      <c r="W55" s="461"/>
      <c r="X55" s="475"/>
      <c r="Y55" s="461"/>
      <c r="Z55" s="461"/>
      <c r="AA55" s="475"/>
      <c r="AB55" s="461"/>
    </row>
    <row r="56" spans="8:28" x14ac:dyDescent="0.25">
      <c r="H56" s="459"/>
      <c r="I56" s="459"/>
      <c r="J56" s="459"/>
      <c r="K56" s="459"/>
      <c r="L56" s="459"/>
      <c r="M56" s="459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9"/>
      <c r="Y56" s="459"/>
      <c r="Z56" s="459"/>
      <c r="AA56" s="459"/>
      <c r="AB56" s="461"/>
    </row>
    <row r="57" spans="8:28" x14ac:dyDescent="0.25">
      <c r="H57" s="460"/>
      <c r="I57" s="459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461"/>
    </row>
    <row r="58" spans="8:28" x14ac:dyDescent="0.25">
      <c r="H58" s="461"/>
      <c r="I58" s="462"/>
      <c r="J58" s="463"/>
      <c r="K58" s="463"/>
      <c r="L58" s="463"/>
      <c r="M58" s="463"/>
      <c r="N58" s="463"/>
      <c r="O58" s="463"/>
      <c r="P58" s="463"/>
      <c r="Q58" s="463"/>
      <c r="R58" s="463"/>
      <c r="S58" s="463"/>
      <c r="T58" s="463"/>
      <c r="U58" s="463"/>
      <c r="V58" s="463"/>
      <c r="W58" s="463"/>
      <c r="X58" s="463"/>
      <c r="Y58" s="463"/>
      <c r="Z58" s="463"/>
      <c r="AA58" s="464"/>
      <c r="AB58" s="461"/>
    </row>
    <row r="59" spans="8:28" x14ac:dyDescent="0.25">
      <c r="H59" s="461"/>
      <c r="I59" s="462"/>
      <c r="J59" s="463"/>
      <c r="K59" s="463"/>
      <c r="L59" s="463"/>
      <c r="M59" s="463"/>
      <c r="N59" s="463"/>
      <c r="O59" s="463"/>
      <c r="P59" s="463"/>
      <c r="Q59" s="463"/>
      <c r="R59" s="463"/>
      <c r="S59" s="463"/>
      <c r="T59" s="463"/>
      <c r="U59" s="463"/>
      <c r="V59" s="463"/>
      <c r="W59" s="463"/>
      <c r="X59" s="463"/>
      <c r="Y59" s="463"/>
      <c r="Z59" s="463"/>
      <c r="AA59" s="464"/>
      <c r="AB59" s="461"/>
    </row>
    <row r="60" spans="8:28" x14ac:dyDescent="0.25">
      <c r="H60" s="461"/>
      <c r="I60" s="462"/>
      <c r="J60" s="463"/>
      <c r="K60" s="463"/>
      <c r="L60" s="463"/>
      <c r="M60" s="463"/>
      <c r="N60" s="463"/>
      <c r="O60" s="463"/>
      <c r="P60" s="463"/>
      <c r="Q60" s="463"/>
      <c r="R60" s="463"/>
      <c r="S60" s="463"/>
      <c r="T60" s="463"/>
      <c r="U60" s="463"/>
      <c r="V60" s="463"/>
      <c r="W60" s="463"/>
      <c r="X60" s="463"/>
      <c r="Y60" s="463"/>
      <c r="Z60" s="463"/>
      <c r="AA60" s="464"/>
      <c r="AB60" s="461"/>
    </row>
    <row r="61" spans="8:28" x14ac:dyDescent="0.25">
      <c r="H61" s="461"/>
      <c r="I61" s="462"/>
      <c r="J61" s="463"/>
      <c r="K61" s="463"/>
      <c r="L61" s="463"/>
      <c r="M61" s="463"/>
      <c r="N61" s="463"/>
      <c r="O61" s="463"/>
      <c r="P61" s="463"/>
      <c r="Q61" s="463"/>
      <c r="R61" s="463"/>
      <c r="S61" s="463"/>
      <c r="T61" s="463"/>
      <c r="U61" s="463"/>
      <c r="V61" s="463"/>
      <c r="W61" s="463"/>
      <c r="X61" s="463"/>
      <c r="Y61" s="463"/>
      <c r="Z61" s="463"/>
      <c r="AA61" s="464"/>
      <c r="AB61" s="461"/>
    </row>
    <row r="62" spans="8:28" x14ac:dyDescent="0.25">
      <c r="H62" s="461"/>
      <c r="I62" s="462"/>
      <c r="J62" s="463"/>
      <c r="K62" s="463"/>
      <c r="L62" s="463"/>
      <c r="M62" s="463"/>
      <c r="N62" s="463"/>
      <c r="O62" s="463"/>
      <c r="P62" s="463"/>
      <c r="Q62" s="463"/>
      <c r="R62" s="463"/>
      <c r="S62" s="463"/>
      <c r="T62" s="463"/>
      <c r="U62" s="463"/>
      <c r="V62" s="463"/>
      <c r="W62" s="463"/>
      <c r="X62" s="463"/>
      <c r="Y62" s="463"/>
      <c r="Z62" s="463"/>
      <c r="AA62" s="464"/>
      <c r="AB62" s="461"/>
    </row>
    <row r="63" spans="8:28" x14ac:dyDescent="0.25">
      <c r="H63" s="461"/>
      <c r="I63" s="462"/>
      <c r="J63" s="463"/>
      <c r="K63" s="463"/>
      <c r="L63" s="463"/>
      <c r="M63" s="463"/>
      <c r="N63" s="463"/>
      <c r="O63" s="463"/>
      <c r="P63" s="463"/>
      <c r="Q63" s="463"/>
      <c r="R63" s="463"/>
      <c r="S63" s="463"/>
      <c r="T63" s="463"/>
      <c r="U63" s="463"/>
      <c r="V63" s="463"/>
      <c r="W63" s="463"/>
      <c r="X63" s="463"/>
      <c r="Y63" s="463"/>
      <c r="Z63" s="463"/>
      <c r="AA63" s="464"/>
      <c r="AB63" s="461"/>
    </row>
    <row r="64" spans="8:28" x14ac:dyDescent="0.25">
      <c r="H64" s="461"/>
      <c r="I64" s="462"/>
      <c r="J64" s="463"/>
      <c r="K64" s="463"/>
      <c r="L64" s="463"/>
      <c r="M64" s="463"/>
      <c r="N64" s="463"/>
      <c r="O64" s="463"/>
      <c r="P64" s="463"/>
      <c r="Q64" s="463"/>
      <c r="R64" s="463"/>
      <c r="S64" s="463"/>
      <c r="T64" s="463"/>
      <c r="U64" s="463"/>
      <c r="V64" s="463"/>
      <c r="W64" s="463"/>
      <c r="X64" s="463"/>
      <c r="Y64" s="463"/>
      <c r="Z64" s="463"/>
      <c r="AA64" s="464"/>
      <c r="AB64" s="461"/>
    </row>
    <row r="65" spans="8:28" x14ac:dyDescent="0.25">
      <c r="H65" s="461"/>
      <c r="I65" s="462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4"/>
      <c r="AB65" s="461"/>
    </row>
    <row r="66" spans="8:28" x14ac:dyDescent="0.25">
      <c r="H66" s="461"/>
      <c r="I66" s="461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6"/>
      <c r="AB66" s="461"/>
    </row>
    <row r="67" spans="8:28" x14ac:dyDescent="0.25">
      <c r="H67" s="467"/>
      <c r="I67" s="121"/>
      <c r="J67" s="461"/>
      <c r="K67" s="461"/>
      <c r="L67" s="461"/>
      <c r="M67" s="462"/>
      <c r="N67" s="461"/>
      <c r="O67" s="461"/>
      <c r="P67" s="461"/>
      <c r="Q67" s="461"/>
      <c r="R67" s="461"/>
      <c r="S67" s="461"/>
      <c r="T67" s="461"/>
      <c r="U67" s="461"/>
      <c r="V67" s="462"/>
      <c r="W67" s="461"/>
      <c r="X67" s="461"/>
      <c r="Y67" s="461"/>
      <c r="Z67" s="461"/>
      <c r="AA67" s="461"/>
      <c r="AB67" s="461"/>
    </row>
    <row r="68" spans="8:28" x14ac:dyDescent="0.25">
      <c r="H68" s="461"/>
      <c r="I68" s="468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  <c r="W68" s="309"/>
      <c r="X68" s="309"/>
      <c r="Y68" s="309"/>
      <c r="Z68" s="309"/>
      <c r="AA68" s="461"/>
      <c r="AB68" s="461"/>
    </row>
    <row r="69" spans="8:28" x14ac:dyDescent="0.25">
      <c r="H69" s="461"/>
      <c r="I69" s="468"/>
      <c r="J69" s="461"/>
      <c r="K69" s="461"/>
      <c r="L69" s="461"/>
      <c r="M69" s="462"/>
      <c r="N69" s="461"/>
      <c r="O69" s="461"/>
      <c r="P69" s="461"/>
      <c r="Q69" s="461"/>
      <c r="R69" s="461"/>
      <c r="S69" s="461"/>
      <c r="T69" s="461"/>
      <c r="U69" s="461"/>
      <c r="V69" s="462"/>
      <c r="W69" s="461"/>
      <c r="X69" s="461"/>
      <c r="Y69" s="461"/>
      <c r="Z69" s="461"/>
      <c r="AA69" s="461"/>
      <c r="AB69" s="461"/>
    </row>
    <row r="70" spans="8:28" x14ac:dyDescent="0.25">
      <c r="H70" s="461"/>
      <c r="I70" s="468"/>
      <c r="J70" s="461"/>
      <c r="K70" s="461"/>
      <c r="L70" s="461"/>
      <c r="M70" s="462"/>
      <c r="N70" s="461"/>
      <c r="O70" s="461"/>
      <c r="P70" s="461"/>
      <c r="Q70" s="461"/>
      <c r="R70" s="461"/>
      <c r="S70" s="461"/>
      <c r="T70" s="461"/>
      <c r="U70" s="461"/>
      <c r="V70" s="462"/>
      <c r="W70" s="461"/>
      <c r="X70" s="461"/>
      <c r="Y70" s="461"/>
      <c r="Z70" s="461"/>
      <c r="AA70" s="461"/>
      <c r="AB70" s="461"/>
    </row>
    <row r="71" spans="8:28" x14ac:dyDescent="0.25"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</row>
    <row r="72" spans="8:28" x14ac:dyDescent="0.25">
      <c r="H72" s="459"/>
      <c r="I72" s="459"/>
      <c r="J72" s="459"/>
      <c r="K72" s="459"/>
      <c r="L72" s="459"/>
      <c r="M72" s="459"/>
      <c r="N72" s="459"/>
      <c r="O72" s="459"/>
      <c r="P72" s="459"/>
      <c r="Q72" s="459"/>
      <c r="R72" s="459"/>
      <c r="S72" s="459"/>
      <c r="T72" s="459"/>
      <c r="U72" s="459"/>
      <c r="V72" s="459"/>
      <c r="W72" s="459"/>
      <c r="X72" s="459"/>
      <c r="Y72" s="459"/>
      <c r="Z72" s="459"/>
      <c r="AA72" s="459"/>
      <c r="AB72" s="461"/>
    </row>
    <row r="73" spans="8:28" x14ac:dyDescent="0.25">
      <c r="H73" s="469"/>
      <c r="I73" s="459"/>
      <c r="J73" s="470"/>
      <c r="K73" s="470"/>
      <c r="L73" s="470"/>
      <c r="M73" s="470"/>
      <c r="N73" s="470"/>
      <c r="O73" s="470"/>
      <c r="P73" s="470"/>
      <c r="Q73" s="470"/>
      <c r="R73" s="470"/>
      <c r="S73" s="470"/>
      <c r="T73" s="470"/>
      <c r="U73" s="470"/>
      <c r="V73" s="470"/>
      <c r="W73" s="470"/>
      <c r="X73" s="470"/>
      <c r="Y73" s="470"/>
      <c r="Z73" s="470"/>
      <c r="AA73" s="470"/>
      <c r="AB73" s="461"/>
    </row>
    <row r="74" spans="8:28" x14ac:dyDescent="0.25">
      <c r="H74" s="461"/>
      <c r="I74" s="471"/>
      <c r="J74" s="304"/>
      <c r="K74" s="304"/>
      <c r="L74" s="304"/>
      <c r="M74" s="304"/>
      <c r="N74" s="304"/>
      <c r="O74" s="304"/>
      <c r="P74" s="304"/>
      <c r="Q74" s="304"/>
      <c r="R74" s="304"/>
      <c r="S74" s="304"/>
      <c r="T74" s="304"/>
      <c r="U74" s="304"/>
      <c r="V74" s="304"/>
      <c r="W74" s="304"/>
      <c r="X74" s="304"/>
      <c r="Y74" s="304"/>
      <c r="Z74" s="304"/>
      <c r="AA74" s="304"/>
      <c r="AB74" s="461"/>
    </row>
    <row r="75" spans="8:28" x14ac:dyDescent="0.25">
      <c r="H75" s="461"/>
      <c r="I75" s="471"/>
      <c r="J75" s="304"/>
      <c r="K75" s="304"/>
      <c r="L75" s="304"/>
      <c r="M75" s="304"/>
      <c r="N75" s="304"/>
      <c r="O75" s="304"/>
      <c r="P75" s="304"/>
      <c r="Q75" s="304"/>
      <c r="R75" s="304"/>
      <c r="S75" s="304"/>
      <c r="T75" s="304"/>
      <c r="U75" s="304"/>
      <c r="V75" s="304"/>
      <c r="W75" s="304"/>
      <c r="X75" s="304"/>
      <c r="Y75" s="304"/>
      <c r="Z75" s="304"/>
      <c r="AA75" s="304"/>
      <c r="AB75" s="461"/>
    </row>
    <row r="76" spans="8:28" x14ac:dyDescent="0.25">
      <c r="H76" s="461"/>
      <c r="I76" s="47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461"/>
    </row>
    <row r="77" spans="8:28" x14ac:dyDescent="0.25">
      <c r="H77" s="461"/>
      <c r="I77" s="47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461"/>
    </row>
    <row r="78" spans="8:28" x14ac:dyDescent="0.25">
      <c r="H78" s="467"/>
      <c r="I78" s="472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61"/>
    </row>
    <row r="79" spans="8:28" x14ac:dyDescent="0.25">
      <c r="H79" s="474"/>
      <c r="I79" s="459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5"/>
      <c r="V79" s="475"/>
      <c r="W79" s="475"/>
      <c r="X79" s="475"/>
      <c r="Y79" s="475"/>
      <c r="Z79" s="475"/>
      <c r="AA79" s="475"/>
      <c r="AB79" s="461"/>
    </row>
    <row r="80" spans="8:28" x14ac:dyDescent="0.25">
      <c r="H80" s="461"/>
      <c r="I80" s="461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5"/>
      <c r="V80" s="475"/>
      <c r="W80" s="475"/>
      <c r="X80" s="475"/>
      <c r="Y80" s="475"/>
      <c r="Z80" s="475"/>
      <c r="AA80" s="475"/>
      <c r="AB80" s="461"/>
    </row>
    <row r="81" spans="8:28" x14ac:dyDescent="0.25">
      <c r="H81" s="461"/>
      <c r="I81" s="461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5"/>
      <c r="AA81" s="475"/>
      <c r="AB81" s="461"/>
    </row>
    <row r="82" spans="8:28" x14ac:dyDescent="0.25">
      <c r="H82" s="474"/>
      <c r="I82" s="461"/>
      <c r="J82" s="476"/>
      <c r="K82" s="476"/>
      <c r="L82" s="476"/>
      <c r="M82" s="476"/>
      <c r="N82" s="476"/>
      <c r="O82" s="476"/>
      <c r="P82" s="476"/>
      <c r="Q82" s="476"/>
      <c r="R82" s="476"/>
      <c r="S82" s="476"/>
      <c r="T82" s="476"/>
      <c r="U82" s="476"/>
      <c r="V82" s="476"/>
      <c r="W82" s="476"/>
      <c r="X82" s="476"/>
      <c r="Y82" s="476"/>
      <c r="Z82" s="476"/>
      <c r="AA82" s="476"/>
      <c r="AB82" s="461"/>
    </row>
    <row r="83" spans="8:28" x14ac:dyDescent="0.25">
      <c r="H83" s="461"/>
      <c r="I83" s="461"/>
      <c r="J83" s="476"/>
      <c r="K83" s="476"/>
      <c r="L83" s="476"/>
      <c r="M83" s="476"/>
      <c r="N83" s="476"/>
      <c r="O83" s="476"/>
      <c r="P83" s="476"/>
      <c r="Q83" s="476"/>
      <c r="R83" s="476"/>
      <c r="S83" s="476"/>
      <c r="T83" s="476"/>
      <c r="U83" s="476"/>
      <c r="V83" s="476"/>
      <c r="W83" s="476"/>
      <c r="X83" s="476"/>
      <c r="Y83" s="476"/>
      <c r="Z83" s="476"/>
      <c r="AA83" s="476"/>
      <c r="AB83" s="461"/>
    </row>
    <row r="84" spans="8:28" x14ac:dyDescent="0.25">
      <c r="H84" s="461"/>
      <c r="I84" s="461"/>
      <c r="J84" s="476"/>
      <c r="K84" s="476"/>
      <c r="L84" s="476"/>
      <c r="M84" s="476"/>
      <c r="N84" s="476"/>
      <c r="O84" s="476"/>
      <c r="P84" s="476"/>
      <c r="Q84" s="476"/>
      <c r="R84" s="476"/>
      <c r="S84" s="476"/>
      <c r="T84" s="476"/>
      <c r="U84" s="476"/>
      <c r="V84" s="476"/>
      <c r="W84" s="476"/>
      <c r="X84" s="476"/>
      <c r="Y84" s="476"/>
      <c r="Z84" s="476"/>
      <c r="AA84" s="476"/>
      <c r="AB84" s="461"/>
    </row>
    <row r="85" spans="8:28" x14ac:dyDescent="0.25">
      <c r="H85" s="461"/>
      <c r="I85" s="461"/>
      <c r="J85" s="476"/>
      <c r="K85" s="476"/>
      <c r="L85" s="476"/>
      <c r="M85" s="476"/>
      <c r="N85" s="476"/>
      <c r="O85" s="476"/>
      <c r="P85" s="476"/>
      <c r="Q85" s="476"/>
      <c r="R85" s="476"/>
      <c r="S85" s="476"/>
      <c r="T85" s="476"/>
      <c r="U85" s="476"/>
      <c r="V85" s="476"/>
      <c r="W85" s="476"/>
      <c r="X85" s="476"/>
      <c r="Y85" s="476"/>
      <c r="Z85" s="476"/>
      <c r="AA85" s="476"/>
      <c r="AB85" s="461"/>
    </row>
    <row r="86" spans="8:28" x14ac:dyDescent="0.25">
      <c r="H86" s="461"/>
      <c r="I86" s="461"/>
      <c r="J86" s="461"/>
      <c r="K86" s="461"/>
      <c r="L86" s="461"/>
      <c r="M86" s="461"/>
      <c r="N86" s="461"/>
      <c r="O86" s="461"/>
      <c r="P86" s="461"/>
      <c r="Q86" s="461"/>
      <c r="R86" s="461"/>
      <c r="S86" s="461"/>
      <c r="T86" s="461"/>
      <c r="U86" s="461"/>
      <c r="V86" s="461"/>
      <c r="W86" s="461"/>
      <c r="X86" s="461"/>
      <c r="Y86" s="461"/>
      <c r="Z86" s="461"/>
      <c r="AA86" s="461"/>
      <c r="AB86" s="461"/>
    </row>
    <row r="87" spans="8:28" x14ac:dyDescent="0.25">
      <c r="H87" s="461"/>
      <c r="I87" s="494"/>
      <c r="J87" s="302"/>
      <c r="K87" s="461"/>
      <c r="L87" s="461"/>
      <c r="M87" s="461"/>
      <c r="N87" s="461"/>
      <c r="O87" s="461"/>
      <c r="P87" s="461"/>
      <c r="Q87" s="461"/>
      <c r="R87" s="461"/>
      <c r="S87" s="461"/>
      <c r="T87" s="461"/>
      <c r="U87" s="461"/>
      <c r="V87" s="461"/>
      <c r="W87" s="461"/>
      <c r="X87" s="461"/>
      <c r="Y87" s="461"/>
      <c r="Z87" s="461"/>
      <c r="AA87" s="461"/>
      <c r="AB87" s="461"/>
    </row>
    <row r="88" spans="8:28" x14ac:dyDescent="0.25">
      <c r="H88" s="461"/>
      <c r="I88" s="303"/>
      <c r="J88" s="462"/>
      <c r="K88" s="461"/>
      <c r="L88" s="461"/>
      <c r="M88" s="461"/>
      <c r="N88" s="461"/>
      <c r="O88" s="461"/>
      <c r="P88" s="461"/>
      <c r="Q88" s="461"/>
      <c r="R88" s="461"/>
      <c r="S88" s="461"/>
      <c r="T88" s="461"/>
      <c r="U88" s="461"/>
      <c r="V88" s="461"/>
      <c r="W88" s="461"/>
      <c r="X88" s="461"/>
      <c r="Y88" s="461"/>
      <c r="Z88" s="461"/>
      <c r="AA88" s="461"/>
      <c r="AB88" s="461"/>
    </row>
    <row r="89" spans="8:28" x14ac:dyDescent="0.25">
      <c r="H89" s="461"/>
      <c r="I89" s="462"/>
      <c r="J89" s="475"/>
      <c r="K89" s="461"/>
      <c r="L89" s="461"/>
      <c r="M89" s="461"/>
      <c r="N89" s="461"/>
      <c r="O89" s="461"/>
      <c r="P89" s="461"/>
      <c r="Q89" s="461"/>
      <c r="R89" s="461"/>
      <c r="S89" s="461"/>
      <c r="T89" s="461"/>
      <c r="U89" s="461"/>
      <c r="V89" s="461"/>
      <c r="W89" s="461"/>
      <c r="X89" s="461"/>
      <c r="Y89" s="461"/>
      <c r="Z89" s="461"/>
      <c r="AA89" s="461"/>
      <c r="AB89" s="461"/>
    </row>
    <row r="90" spans="8:28" x14ac:dyDescent="0.25">
      <c r="H90" s="461"/>
      <c r="I90" s="462"/>
      <c r="J90" s="304"/>
      <c r="K90" s="461"/>
      <c r="L90" s="461"/>
      <c r="M90" s="461"/>
      <c r="N90" s="461"/>
      <c r="O90" s="461"/>
      <c r="P90" s="461"/>
      <c r="Q90" s="461"/>
      <c r="R90" s="461"/>
      <c r="S90" s="461"/>
      <c r="T90" s="461"/>
      <c r="U90" s="461"/>
      <c r="V90" s="461"/>
      <c r="W90" s="461"/>
      <c r="X90" s="461"/>
      <c r="Y90" s="461"/>
      <c r="Z90" s="461"/>
      <c r="AA90" s="461"/>
      <c r="AB90" s="461"/>
    </row>
    <row r="91" spans="8:28" x14ac:dyDescent="0.25">
      <c r="H91" s="461"/>
      <c r="I91" s="462"/>
      <c r="J91" s="304"/>
      <c r="K91" s="461"/>
      <c r="L91" s="461"/>
      <c r="M91" s="461"/>
      <c r="N91" s="461"/>
      <c r="O91" s="461"/>
      <c r="P91" s="461"/>
      <c r="Q91" s="461"/>
      <c r="R91" s="461"/>
      <c r="S91" s="461"/>
      <c r="T91" s="461"/>
      <c r="U91" s="461"/>
      <c r="V91" s="461"/>
      <c r="W91" s="461"/>
      <c r="X91" s="461"/>
      <c r="Y91" s="461"/>
      <c r="Z91" s="461"/>
      <c r="AA91" s="461"/>
      <c r="AB91" s="461"/>
    </row>
    <row r="92" spans="8:28" x14ac:dyDescent="0.25">
      <c r="H92" s="461"/>
      <c r="I92" s="461"/>
      <c r="J92" s="461"/>
      <c r="K92" s="461"/>
      <c r="L92" s="461"/>
      <c r="M92" s="461"/>
      <c r="N92" s="461"/>
      <c r="O92" s="461"/>
      <c r="P92" s="461"/>
      <c r="Q92" s="461"/>
      <c r="R92" s="461"/>
      <c r="S92" s="461"/>
      <c r="T92" s="461"/>
      <c r="U92" s="461"/>
      <c r="V92" s="461"/>
      <c r="W92" s="461"/>
      <c r="X92" s="461"/>
      <c r="Y92" s="461"/>
      <c r="Z92" s="461"/>
      <c r="AA92" s="461"/>
      <c r="AB92" s="461"/>
    </row>
    <row r="93" spans="8:28" x14ac:dyDescent="0.25">
      <c r="H93" s="460"/>
      <c r="I93" s="459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461"/>
      <c r="U93" s="121"/>
      <c r="V93" s="121"/>
      <c r="W93" s="461"/>
      <c r="X93" s="121"/>
      <c r="Y93" s="121"/>
      <c r="Z93" s="121"/>
      <c r="AA93" s="121"/>
      <c r="AB93" s="461"/>
    </row>
    <row r="94" spans="8:28" x14ac:dyDescent="0.25">
      <c r="H94" s="461"/>
      <c r="I94" s="477"/>
      <c r="J94" s="307"/>
      <c r="K94" s="307"/>
      <c r="L94" s="307"/>
      <c r="M94" s="307"/>
      <c r="N94" s="307"/>
      <c r="O94" s="307"/>
      <c r="P94" s="307"/>
      <c r="Q94" s="307"/>
      <c r="R94" s="307"/>
      <c r="S94" s="307"/>
      <c r="T94" s="461"/>
      <c r="U94" s="307"/>
      <c r="V94" s="307"/>
      <c r="W94" s="461"/>
      <c r="X94" s="307"/>
      <c r="Y94" s="307"/>
      <c r="Z94" s="307"/>
      <c r="AA94" s="307"/>
      <c r="AB94" s="461"/>
    </row>
    <row r="95" spans="8:28" x14ac:dyDescent="0.25">
      <c r="H95" s="461"/>
      <c r="I95" s="477"/>
      <c r="J95" s="307"/>
      <c r="K95" s="307"/>
      <c r="L95" s="307"/>
      <c r="M95" s="307"/>
      <c r="N95" s="307"/>
      <c r="O95" s="307"/>
      <c r="P95" s="307"/>
      <c r="Q95" s="307"/>
      <c r="R95" s="307"/>
      <c r="S95" s="307"/>
      <c r="T95" s="461"/>
      <c r="U95" s="307"/>
      <c r="V95" s="307"/>
      <c r="W95" s="461"/>
      <c r="X95" s="307"/>
      <c r="Y95" s="307"/>
      <c r="Z95" s="307"/>
      <c r="AA95" s="307"/>
      <c r="AB95" s="461"/>
    </row>
    <row r="96" spans="8:28" x14ac:dyDescent="0.25">
      <c r="H96" s="461"/>
      <c r="I96" s="477"/>
      <c r="J96" s="307"/>
      <c r="K96" s="307"/>
      <c r="L96" s="307"/>
      <c r="M96" s="307"/>
      <c r="N96" s="307"/>
      <c r="O96" s="307"/>
      <c r="P96" s="307"/>
      <c r="Q96" s="307"/>
      <c r="R96" s="307"/>
      <c r="S96" s="307"/>
      <c r="T96" s="461"/>
      <c r="U96" s="307"/>
      <c r="V96" s="307"/>
      <c r="W96" s="461"/>
      <c r="X96" s="307"/>
      <c r="Y96" s="307"/>
      <c r="Z96" s="307"/>
      <c r="AA96" s="307"/>
      <c r="AB96" s="461"/>
    </row>
    <row r="97" spans="8:28" x14ac:dyDescent="0.25">
      <c r="H97" s="459"/>
      <c r="I97" s="459"/>
      <c r="J97" s="459"/>
      <c r="K97" s="459"/>
      <c r="L97" s="459"/>
      <c r="M97" s="459"/>
      <c r="N97" s="459"/>
      <c r="O97" s="459"/>
      <c r="P97" s="459"/>
      <c r="Q97" s="459"/>
      <c r="R97" s="459"/>
      <c r="S97" s="459"/>
      <c r="T97" s="461"/>
      <c r="U97" s="459"/>
      <c r="V97" s="459"/>
      <c r="W97" s="461"/>
      <c r="X97" s="459"/>
      <c r="Y97" s="459"/>
      <c r="Z97" s="459"/>
      <c r="AA97" s="459"/>
      <c r="AB97" s="461"/>
    </row>
    <row r="98" spans="8:28" x14ac:dyDescent="0.25">
      <c r="H98" s="460"/>
      <c r="I98" s="459"/>
      <c r="J98" s="308"/>
      <c r="K98" s="308"/>
      <c r="L98" s="308"/>
      <c r="M98" s="308"/>
      <c r="N98" s="308"/>
      <c r="O98" s="308"/>
      <c r="P98" s="308"/>
      <c r="Q98" s="308"/>
      <c r="R98" s="308"/>
      <c r="S98" s="308"/>
      <c r="T98" s="461"/>
      <c r="U98" s="308"/>
      <c r="V98" s="308"/>
      <c r="W98" s="461"/>
      <c r="X98" s="308"/>
      <c r="Y98" s="308"/>
      <c r="Z98" s="308"/>
      <c r="AA98" s="308"/>
      <c r="AB98" s="461"/>
    </row>
    <row r="99" spans="8:28" x14ac:dyDescent="0.25">
      <c r="H99" s="478"/>
      <c r="I99" s="478"/>
      <c r="J99" s="475"/>
      <c r="K99" s="475"/>
      <c r="L99" s="475"/>
      <c r="M99" s="475"/>
      <c r="N99" s="475"/>
      <c r="O99" s="475"/>
      <c r="P99" s="475"/>
      <c r="Q99" s="475"/>
      <c r="R99" s="475"/>
      <c r="S99" s="475"/>
      <c r="T99" s="461"/>
      <c r="U99" s="475"/>
      <c r="V99" s="475"/>
      <c r="W99" s="461"/>
      <c r="X99" s="475"/>
      <c r="Y99" s="475"/>
      <c r="Z99" s="475"/>
      <c r="AA99" s="475"/>
      <c r="AB99" s="461"/>
    </row>
    <row r="100" spans="8:28" x14ac:dyDescent="0.25">
      <c r="H100" s="478"/>
      <c r="I100" s="478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61"/>
      <c r="U100" s="475"/>
      <c r="V100" s="475"/>
      <c r="W100" s="461"/>
      <c r="X100" s="475"/>
      <c r="Y100" s="475"/>
      <c r="Z100" s="475"/>
      <c r="AA100" s="475"/>
      <c r="AB100" s="461"/>
    </row>
    <row r="101" spans="8:28" x14ac:dyDescent="0.25">
      <c r="H101" s="478"/>
      <c r="I101" s="478"/>
      <c r="J101" s="475"/>
      <c r="K101" s="475"/>
      <c r="L101" s="475"/>
      <c r="M101" s="475"/>
      <c r="N101" s="475"/>
      <c r="O101" s="475"/>
      <c r="P101" s="475"/>
      <c r="Q101" s="475"/>
      <c r="R101" s="475"/>
      <c r="S101" s="475"/>
      <c r="T101" s="461"/>
      <c r="U101" s="475"/>
      <c r="V101" s="475"/>
      <c r="W101" s="461"/>
      <c r="X101" s="475"/>
      <c r="Y101" s="475"/>
      <c r="Z101" s="475"/>
      <c r="AA101" s="475"/>
      <c r="AB101" s="461"/>
    </row>
    <row r="102" spans="8:28" x14ac:dyDescent="0.25">
      <c r="H102" s="478"/>
      <c r="I102" s="478"/>
      <c r="J102" s="475"/>
      <c r="K102" s="475"/>
      <c r="L102" s="475"/>
      <c r="M102" s="475"/>
      <c r="N102" s="475"/>
      <c r="O102" s="475"/>
      <c r="P102" s="475"/>
      <c r="Q102" s="475"/>
      <c r="R102" s="475"/>
      <c r="S102" s="475"/>
      <c r="T102" s="461"/>
      <c r="U102" s="475"/>
      <c r="V102" s="475"/>
      <c r="W102" s="461"/>
      <c r="X102" s="475"/>
      <c r="Y102" s="475"/>
      <c r="Z102" s="475"/>
      <c r="AA102" s="475"/>
      <c r="AB102" s="461"/>
    </row>
    <row r="103" spans="8:28" x14ac:dyDescent="0.25">
      <c r="H103" s="478"/>
      <c r="I103" s="478"/>
      <c r="J103" s="475"/>
      <c r="K103" s="475"/>
      <c r="L103" s="475"/>
      <c r="M103" s="475"/>
      <c r="N103" s="475"/>
      <c r="O103" s="475"/>
      <c r="P103" s="475"/>
      <c r="Q103" s="475"/>
      <c r="R103" s="475"/>
      <c r="S103" s="475"/>
      <c r="T103" s="461"/>
      <c r="U103" s="475"/>
      <c r="V103" s="475"/>
      <c r="W103" s="461"/>
      <c r="X103" s="475"/>
      <c r="Y103" s="475"/>
      <c r="Z103" s="475"/>
      <c r="AA103" s="475"/>
      <c r="AB103" s="461"/>
    </row>
    <row r="104" spans="8:28" x14ac:dyDescent="0.25">
      <c r="H104" s="478"/>
      <c r="I104" s="478"/>
      <c r="J104" s="475"/>
      <c r="K104" s="475"/>
      <c r="L104" s="475"/>
      <c r="M104" s="475"/>
      <c r="N104" s="475"/>
      <c r="O104" s="475"/>
      <c r="P104" s="475"/>
      <c r="Q104" s="475"/>
      <c r="R104" s="475"/>
      <c r="S104" s="475"/>
      <c r="T104" s="461"/>
      <c r="U104" s="475"/>
      <c r="V104" s="475"/>
      <c r="W104" s="461"/>
      <c r="X104" s="475"/>
      <c r="Y104" s="475"/>
      <c r="Z104" s="475"/>
      <c r="AA104" s="475"/>
      <c r="AB104" s="461"/>
    </row>
    <row r="105" spans="8:28" x14ac:dyDescent="0.25">
      <c r="H105" s="478"/>
      <c r="I105" s="478"/>
      <c r="J105" s="475"/>
      <c r="K105" s="475"/>
      <c r="L105" s="475"/>
      <c r="M105" s="475"/>
      <c r="N105" s="475"/>
      <c r="O105" s="475"/>
      <c r="P105" s="475"/>
      <c r="Q105" s="475"/>
      <c r="R105" s="475"/>
      <c r="S105" s="475"/>
      <c r="T105" s="461"/>
      <c r="U105" s="475"/>
      <c r="V105" s="475"/>
      <c r="W105" s="461"/>
      <c r="X105" s="475"/>
      <c r="Y105" s="475"/>
      <c r="Z105" s="475"/>
      <c r="AA105" s="475"/>
      <c r="AB105" s="461"/>
    </row>
    <row r="106" spans="8:28" x14ac:dyDescent="0.25">
      <c r="H106" s="479"/>
      <c r="I106" s="480"/>
      <c r="J106" s="476"/>
      <c r="K106" s="476"/>
      <c r="L106" s="476"/>
      <c r="M106" s="476"/>
      <c r="N106" s="476"/>
      <c r="O106" s="476"/>
      <c r="P106" s="476"/>
      <c r="Q106" s="476"/>
      <c r="R106" s="476"/>
      <c r="S106" s="476"/>
      <c r="T106" s="461"/>
      <c r="U106" s="476"/>
      <c r="V106" s="476"/>
      <c r="W106" s="461"/>
      <c r="X106" s="476"/>
      <c r="Y106" s="476"/>
      <c r="Z106" s="476"/>
      <c r="AA106" s="476"/>
      <c r="AB106" s="461"/>
    </row>
    <row r="107" spans="8:28" x14ac:dyDescent="0.25">
      <c r="H107" s="479"/>
      <c r="I107" s="480"/>
      <c r="J107" s="476"/>
      <c r="K107" s="476"/>
      <c r="L107" s="476"/>
      <c r="M107" s="476"/>
      <c r="N107" s="476"/>
      <c r="O107" s="476"/>
      <c r="P107" s="476"/>
      <c r="Q107" s="476"/>
      <c r="R107" s="476"/>
      <c r="S107" s="476"/>
      <c r="T107" s="461"/>
      <c r="U107" s="476"/>
      <c r="V107" s="476"/>
      <c r="W107" s="461"/>
      <c r="X107" s="476"/>
      <c r="Y107" s="476"/>
      <c r="Z107" s="476"/>
      <c r="AA107" s="476"/>
      <c r="AB107" s="461"/>
    </row>
    <row r="108" spans="8:28" x14ac:dyDescent="0.25">
      <c r="H108" s="479"/>
      <c r="I108" s="480"/>
      <c r="J108" s="476"/>
      <c r="K108" s="476"/>
      <c r="L108" s="476"/>
      <c r="M108" s="476"/>
      <c r="N108" s="476"/>
      <c r="O108" s="476"/>
      <c r="P108" s="476"/>
      <c r="Q108" s="476"/>
      <c r="R108" s="476"/>
      <c r="S108" s="476"/>
      <c r="T108" s="461"/>
      <c r="U108" s="476"/>
      <c r="V108" s="476"/>
      <c r="W108" s="461"/>
      <c r="X108" s="476"/>
      <c r="Y108" s="476"/>
      <c r="Z108" s="476"/>
      <c r="AA108" s="476"/>
      <c r="AB108" s="461"/>
    </row>
    <row r="109" spans="8:28" x14ac:dyDescent="0.25">
      <c r="H109" s="479"/>
      <c r="I109" s="480"/>
      <c r="J109" s="476"/>
      <c r="K109" s="476"/>
      <c r="L109" s="476"/>
      <c r="M109" s="476"/>
      <c r="N109" s="476"/>
      <c r="O109" s="476"/>
      <c r="P109" s="476"/>
      <c r="Q109" s="476"/>
      <c r="R109" s="476"/>
      <c r="S109" s="476"/>
      <c r="T109" s="461"/>
      <c r="U109" s="476"/>
      <c r="V109" s="476"/>
      <c r="W109" s="461"/>
      <c r="X109" s="476"/>
      <c r="Y109" s="476"/>
      <c r="Z109" s="476"/>
      <c r="AA109" s="476"/>
      <c r="AB109" s="461"/>
    </row>
    <row r="110" spans="8:28" x14ac:dyDescent="0.25">
      <c r="H110" s="479"/>
      <c r="I110" s="480"/>
      <c r="J110" s="476"/>
      <c r="K110" s="476"/>
      <c r="L110" s="476"/>
      <c r="M110" s="476"/>
      <c r="N110" s="476"/>
      <c r="O110" s="476"/>
      <c r="P110" s="476"/>
      <c r="Q110" s="476"/>
      <c r="R110" s="476"/>
      <c r="S110" s="476"/>
      <c r="T110" s="461"/>
      <c r="U110" s="476"/>
      <c r="V110" s="476"/>
      <c r="W110" s="461"/>
      <c r="X110" s="476"/>
      <c r="Y110" s="476"/>
      <c r="Z110" s="476"/>
      <c r="AA110" s="476"/>
      <c r="AB110" s="461"/>
    </row>
    <row r="111" spans="8:28" x14ac:dyDescent="0.25">
      <c r="H111" s="479"/>
      <c r="I111" s="480"/>
      <c r="J111" s="476"/>
      <c r="K111" s="476"/>
      <c r="L111" s="476"/>
      <c r="M111" s="476"/>
      <c r="N111" s="476"/>
      <c r="O111" s="476"/>
      <c r="P111" s="476"/>
      <c r="Q111" s="476"/>
      <c r="R111" s="476"/>
      <c r="S111" s="476"/>
      <c r="T111" s="461"/>
      <c r="U111" s="476"/>
      <c r="V111" s="476"/>
      <c r="W111" s="461"/>
      <c r="X111" s="476"/>
      <c r="Y111" s="476"/>
      <c r="Z111" s="476"/>
      <c r="AA111" s="476"/>
      <c r="AB111" s="461"/>
    </row>
    <row r="112" spans="8:28" x14ac:dyDescent="0.25">
      <c r="H112" s="501"/>
      <c r="I112" s="461"/>
      <c r="J112" s="461"/>
      <c r="K112" s="461"/>
      <c r="L112" s="461"/>
      <c r="M112" s="461"/>
      <c r="N112" s="461"/>
      <c r="O112" s="461"/>
      <c r="P112" s="461"/>
      <c r="Q112" s="461"/>
      <c r="R112" s="461"/>
      <c r="S112" s="461"/>
      <c r="T112" s="461"/>
      <c r="U112" s="461"/>
      <c r="V112" s="461"/>
      <c r="W112" s="461"/>
      <c r="X112" s="461"/>
      <c r="Y112" s="461"/>
      <c r="Z112" s="461"/>
      <c r="AA112" s="461"/>
      <c r="AB112" s="461"/>
    </row>
    <row r="113" spans="8:13" x14ac:dyDescent="0.25">
      <c r="H113" s="273"/>
    </row>
    <row r="114" spans="8:13" x14ac:dyDescent="0.25">
      <c r="H114" s="273"/>
    </row>
    <row r="115" spans="8:13" x14ac:dyDescent="0.25">
      <c r="H115" s="273"/>
      <c r="J115" s="252"/>
      <c r="K115" s="252"/>
      <c r="L115" s="252"/>
      <c r="M115" s="252"/>
    </row>
    <row r="116" spans="8:13" x14ac:dyDescent="0.25">
      <c r="H116" s="223"/>
      <c r="I116" s="6"/>
      <c r="J116" s="6"/>
      <c r="K116" s="6"/>
      <c r="L116" s="6"/>
      <c r="M116" s="6"/>
    </row>
    <row r="117" spans="8:13" x14ac:dyDescent="0.25">
      <c r="H117" s="24"/>
      <c r="I117" s="6"/>
      <c r="J117" s="6"/>
      <c r="K117" s="6"/>
      <c r="L117" s="6"/>
      <c r="M117" s="6"/>
    </row>
    <row r="118" spans="8:13" x14ac:dyDescent="0.25">
      <c r="H118" s="223"/>
      <c r="I118" s="6"/>
      <c r="J118" s="6"/>
      <c r="K118" s="6"/>
      <c r="L118" s="6"/>
      <c r="M118" s="6"/>
    </row>
    <row r="119" spans="8:13" x14ac:dyDescent="0.25">
      <c r="H119" s="223"/>
      <c r="I119" s="6"/>
      <c r="J119" s="299"/>
      <c r="K119" s="299"/>
      <c r="L119" s="299"/>
      <c r="M119" s="299"/>
    </row>
    <row r="120" spans="8:13" x14ac:dyDescent="0.25">
      <c r="H120" s="223"/>
      <c r="I120" s="6"/>
      <c r="J120" s="31"/>
      <c r="K120" s="31"/>
      <c r="L120" s="31"/>
      <c r="M120" s="31"/>
    </row>
    <row r="121" spans="8:13" x14ac:dyDescent="0.25">
      <c r="H121" s="300"/>
      <c r="I121" s="6"/>
      <c r="J121" s="22"/>
      <c r="K121" s="22"/>
      <c r="L121" s="22"/>
      <c r="M121" s="22"/>
    </row>
    <row r="122" spans="8:13" x14ac:dyDescent="0.25">
      <c r="H122" s="24"/>
      <c r="I122" s="6"/>
      <c r="J122" s="6"/>
      <c r="K122" s="6"/>
      <c r="L122" s="6"/>
      <c r="M122" s="6"/>
    </row>
    <row r="123" spans="8:13" x14ac:dyDescent="0.25">
      <c r="H123" s="223"/>
      <c r="I123" s="6"/>
      <c r="J123" s="6"/>
      <c r="K123" s="6"/>
      <c r="L123" s="6"/>
      <c r="M123" s="6"/>
    </row>
    <row r="124" spans="8:13" x14ac:dyDescent="0.25">
      <c r="H124" s="223"/>
      <c r="I124" s="6"/>
      <c r="J124" s="299"/>
      <c r="K124" s="299"/>
      <c r="L124" s="299"/>
      <c r="M124" s="299"/>
    </row>
    <row r="125" spans="8:13" x14ac:dyDescent="0.25">
      <c r="H125" s="223"/>
      <c r="I125" s="6"/>
      <c r="J125" s="31"/>
      <c r="K125" s="31"/>
      <c r="L125" s="31"/>
      <c r="M125" s="31"/>
    </row>
    <row r="126" spans="8:13" x14ac:dyDescent="0.25">
      <c r="H126" s="300"/>
      <c r="I126" s="6"/>
      <c r="J126" s="22"/>
      <c r="K126" s="22"/>
      <c r="L126" s="22"/>
      <c r="M126" s="22"/>
    </row>
    <row r="127" spans="8:13" x14ac:dyDescent="0.25">
      <c r="H127" s="24"/>
      <c r="I127" s="6"/>
      <c r="J127" s="6"/>
      <c r="K127" s="6"/>
      <c r="L127" s="6"/>
      <c r="M127" s="6"/>
    </row>
    <row r="128" spans="8:13" x14ac:dyDescent="0.25">
      <c r="H128" s="223"/>
      <c r="I128" s="6"/>
      <c r="J128" s="6"/>
      <c r="K128" s="6"/>
      <c r="L128" s="6"/>
      <c r="M128" s="6"/>
    </row>
    <row r="129" spans="8:21" x14ac:dyDescent="0.25">
      <c r="H129" s="223"/>
      <c r="I129" s="6"/>
      <c r="J129" s="31"/>
      <c r="K129" s="31"/>
      <c r="L129" s="31"/>
      <c r="M129" s="31"/>
    </row>
    <row r="130" spans="8:21" x14ac:dyDescent="0.25">
      <c r="H130" s="223"/>
      <c r="I130" s="6"/>
      <c r="J130" s="31"/>
      <c r="K130" s="31"/>
      <c r="L130" s="31"/>
      <c r="M130" s="31"/>
    </row>
    <row r="131" spans="8:21" x14ac:dyDescent="0.25">
      <c r="H131" s="300"/>
      <c r="I131" s="6"/>
      <c r="J131" s="22"/>
      <c r="K131" s="22"/>
      <c r="L131" s="22"/>
      <c r="M131" s="22"/>
    </row>
    <row r="132" spans="8:21" x14ac:dyDescent="0.25">
      <c r="H132" s="273"/>
      <c r="I132" s="6"/>
      <c r="J132" s="6"/>
      <c r="K132" s="6"/>
      <c r="L132" s="6"/>
      <c r="M132" s="6"/>
    </row>
    <row r="133" spans="8:21" x14ac:dyDescent="0.25">
      <c r="H133" s="273"/>
      <c r="I133" s="6"/>
      <c r="J133" s="301"/>
      <c r="K133" s="301"/>
      <c r="L133" s="301"/>
      <c r="M133" s="301"/>
    </row>
    <row r="134" spans="8:21" x14ac:dyDescent="0.25">
      <c r="H134" s="223"/>
      <c r="I134" s="6"/>
      <c r="J134" s="301"/>
      <c r="K134" s="301"/>
      <c r="L134" s="301"/>
      <c r="M134" s="301"/>
    </row>
    <row r="135" spans="8:21" x14ac:dyDescent="0.25">
      <c r="H135" s="300"/>
      <c r="I135" s="6"/>
      <c r="J135" s="22"/>
      <c r="K135" s="22"/>
      <c r="L135" s="22"/>
      <c r="M135" s="22"/>
    </row>
    <row r="136" spans="8:21" x14ac:dyDescent="0.25">
      <c r="H136" s="300"/>
      <c r="I136" s="6"/>
      <c r="J136" s="22"/>
      <c r="K136" s="22"/>
      <c r="L136" s="22"/>
      <c r="M136" s="22"/>
    </row>
    <row r="138" spans="8:21" x14ac:dyDescent="0.25">
      <c r="H138" s="273"/>
    </row>
    <row r="139" spans="8:21" x14ac:dyDescent="0.25">
      <c r="H139" s="273"/>
    </row>
    <row r="140" spans="8:21" x14ac:dyDescent="0.25">
      <c r="H140" s="120"/>
      <c r="J140" s="309"/>
      <c r="K140" s="309"/>
      <c r="L140" s="309"/>
      <c r="M140" s="309"/>
      <c r="N140" s="309"/>
      <c r="O140" s="309"/>
      <c r="P140" s="309"/>
      <c r="Q140" s="309"/>
      <c r="R140" s="309"/>
      <c r="S140" s="309"/>
      <c r="T140" s="309"/>
      <c r="U140" s="309"/>
    </row>
    <row r="141" spans="8:21" x14ac:dyDescent="0.25">
      <c r="H141" s="24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</row>
    <row r="142" spans="8:21" x14ac:dyDescent="0.25">
      <c r="H142" s="24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</row>
    <row r="143" spans="8:21" x14ac:dyDescent="0.25">
      <c r="H143" s="24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</row>
    <row r="144" spans="8:21" x14ac:dyDescent="0.25">
      <c r="H144" s="120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</row>
    <row r="145" spans="8:21" x14ac:dyDescent="0.25">
      <c r="H145" s="24"/>
      <c r="I145" s="22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</row>
    <row r="146" spans="8:21" x14ac:dyDescent="0.25">
      <c r="H146" s="24"/>
      <c r="I146" s="22"/>
      <c r="J146" s="310"/>
      <c r="K146" s="310"/>
      <c r="L146" s="310"/>
      <c r="M146" s="310"/>
      <c r="N146" s="310"/>
      <c r="O146" s="310"/>
      <c r="P146" s="310"/>
      <c r="Q146" s="310"/>
      <c r="R146" s="310"/>
      <c r="S146" s="310"/>
      <c r="T146" s="310"/>
      <c r="U146" s="310"/>
    </row>
    <row r="147" spans="8:21" x14ac:dyDescent="0.25">
      <c r="H147" s="24"/>
      <c r="I147" s="22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</row>
    <row r="148" spans="8:21" x14ac:dyDescent="0.25">
      <c r="H148" s="24"/>
      <c r="I148" s="22"/>
      <c r="J148" s="310"/>
      <c r="K148" s="310"/>
      <c r="L148" s="310"/>
      <c r="M148" s="310"/>
      <c r="N148" s="310"/>
      <c r="O148" s="310"/>
      <c r="P148" s="310"/>
      <c r="Q148" s="310"/>
      <c r="R148" s="310"/>
      <c r="S148" s="310"/>
      <c r="T148" s="310"/>
      <c r="U148" s="310"/>
    </row>
    <row r="149" spans="8:21" x14ac:dyDescent="0.25">
      <c r="H149" s="37"/>
      <c r="I149" s="6"/>
      <c r="J149" s="310"/>
      <c r="K149" s="310"/>
      <c r="L149" s="310"/>
      <c r="M149" s="310"/>
      <c r="N149" s="310"/>
      <c r="O149" s="310"/>
      <c r="P149" s="310"/>
      <c r="Q149" s="310"/>
      <c r="R149" s="310"/>
      <c r="S149" s="310"/>
      <c r="T149" s="310"/>
      <c r="U149" s="310"/>
    </row>
    <row r="150" spans="8:21" x14ac:dyDescent="0.25">
      <c r="H150" s="24"/>
      <c r="I150" s="22"/>
      <c r="J150" s="310"/>
      <c r="K150" s="310"/>
      <c r="L150" s="310"/>
      <c r="M150" s="310"/>
      <c r="N150" s="310"/>
      <c r="O150" s="310"/>
      <c r="P150" s="310"/>
      <c r="Q150" s="310"/>
      <c r="R150" s="310"/>
      <c r="S150" s="310"/>
      <c r="T150" s="310"/>
      <c r="U150" s="310"/>
    </row>
    <row r="151" spans="8:21" x14ac:dyDescent="0.25">
      <c r="H151" s="37"/>
      <c r="I151" s="6"/>
      <c r="J151" s="309"/>
      <c r="K151" s="309"/>
      <c r="L151" s="309"/>
      <c r="M151" s="309"/>
      <c r="N151" s="309"/>
      <c r="O151" s="309"/>
      <c r="P151" s="309"/>
      <c r="Q151" s="309"/>
      <c r="R151" s="309"/>
      <c r="S151" s="309"/>
      <c r="T151" s="309"/>
      <c r="U151" s="309"/>
    </row>
    <row r="152" spans="8:21" x14ac:dyDescent="0.25">
      <c r="H152" s="24"/>
      <c r="I152" s="6"/>
      <c r="J152" s="309"/>
      <c r="K152" s="309"/>
      <c r="L152" s="309"/>
      <c r="M152" s="309"/>
      <c r="N152" s="309"/>
      <c r="O152" s="309"/>
      <c r="P152" s="309"/>
      <c r="Q152" s="309"/>
      <c r="R152" s="309"/>
      <c r="S152" s="309"/>
      <c r="T152" s="309"/>
      <c r="U152" s="309"/>
    </row>
  </sheetData>
  <mergeCells count="9">
    <mergeCell ref="J15:U15"/>
    <mergeCell ref="J16:O16"/>
    <mergeCell ref="P16:U16"/>
    <mergeCell ref="J17:K17"/>
    <mergeCell ref="L17:M17"/>
    <mergeCell ref="N17:O17"/>
    <mergeCell ref="P17:Q17"/>
    <mergeCell ref="R17:S17"/>
    <mergeCell ref="T17:U17"/>
  </mergeCells>
  <conditionalFormatting sqref="J6:U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U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9:U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U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U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17</vt:i4>
      </vt:variant>
    </vt:vector>
  </HeadingPairs>
  <TitlesOfParts>
    <vt:vector size="17" baseType="lpstr">
      <vt:lpstr>CFs</vt:lpstr>
      <vt:lpstr>BGfix_1</vt:lpstr>
      <vt:lpstr>BGSY_1</vt:lpstr>
      <vt:lpstr>BGfix_b</vt:lpstr>
      <vt:lpstr>BGSY_b</vt:lpstr>
      <vt:lpstr>BGfix_d</vt:lpstr>
      <vt:lpstr>BGSY_d</vt:lpstr>
      <vt:lpstr>BGfix_2</vt:lpstr>
      <vt:lpstr>BGSY_2</vt:lpstr>
      <vt:lpstr>BGfix_b2</vt:lpstr>
      <vt:lpstr>BGSY_b2</vt:lpstr>
      <vt:lpstr>BGfix_d2</vt:lpstr>
      <vt:lpstr>BGSY_d2</vt:lpstr>
      <vt:lpstr>BGSY_big</vt:lpstr>
      <vt:lpstr>BGSY_2big</vt:lpstr>
      <vt:lpstr>comparison_all_small</vt:lpstr>
      <vt:lpstr>comparison_all_big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Nava</dc:creator>
  <cp:lastModifiedBy>Andrea Nava</cp:lastModifiedBy>
  <dcterms:created xsi:type="dcterms:W3CDTF">2015-06-05T18:19:34Z</dcterms:created>
  <dcterms:modified xsi:type="dcterms:W3CDTF">2024-06-13T09:53:55Z</dcterms:modified>
</cp:coreProperties>
</file>