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<sst xmlns="http://schemas.openxmlformats.org/spreadsheetml/2006/main" count="4585" uniqueCount="4585">
  <si>
    <t>en</t>
  </si>
  <si>
    <t>mt</t>
  </si>
  <si>
    <t xml:space="preserve">What network was designed by the french </t>
  </si>
  <si>
    <t>What fields have increased in influence on pharmacy in the United States?</t>
  </si>
  <si>
    <t>What function do compounds like phenol and acetone serve in the manufacture of many other substances?</t>
  </si>
  <si>
    <t>German citizens when Hitler's secret police demanded to know if they were hiding a Jew in their house</t>
  </si>
  <si>
    <t>Gasquet (1908) claimed that the Latin name atra mors (Black Death) for the 14th-century epidemic first appeared in modern times in 1631 in a book on Danish history by J.I. Pontanus: "Vulgo &amp; ab effectu atram mortem vocatibant. ("Commonly and from its effects, they called it the black death"). The name spread through Scandinavia and then Germany, gradually becoming attached to the mid 14th-century epidemic as a proper name. In England, it was not until 1823 that the medieval epidemic was first called the Black Death.</t>
  </si>
  <si>
    <t>ministers in departments that are selected for questioning that sitting day</t>
  </si>
  <si>
    <t>invasion failed</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</si>
  <si>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</si>
  <si>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What would income differentials be if individual contributions were relevant to the social product?</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</si>
  <si>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</si>
  <si>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Routing a packet requires the node to look up the connection id in a table</t>
  </si>
  <si>
    <t>What project did Harvard halt due to the financial crisis?</t>
  </si>
  <si>
    <t>colonies of British America and New France</t>
  </si>
  <si>
    <t>cytokine TGF-β</t>
  </si>
  <si>
    <t>small portion of the population lives off unearned property income</t>
  </si>
  <si>
    <t>What is lower in countries with more inequality for the top 21 industrialized countries?</t>
  </si>
  <si>
    <t>pull</t>
  </si>
  <si>
    <t>covalent double bond</t>
  </si>
  <si>
    <t>V8 and six cylinder</t>
  </si>
  <si>
    <t>sending an email to the Lebanon</t>
  </si>
  <si>
    <t>What is often misunderstood as the cause of matter rigidity?</t>
  </si>
  <si>
    <t xml:space="preserve">What  things did the network concentrate on </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</si>
  <si>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</si>
  <si>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advances made in the Middle East in botany and chemistry</t>
  </si>
  <si>
    <t>Fresno (/ˈfrɛznoʊ/ FREZ-noh), the county seat of Fresno County, is a city in the U.S. state of California. As of 2015, the city's population was 520,159, making it the fifth-largest city in California, the largest inland city in California and the 34th-largest in the nation. Fresno is in the center of the San Joaquin Valley and is the largest city in the Central Valley, which contains the San Joaquin Valley. It is approximately 220 miles (350 km) northwest of Los Angeles, 170 miles (270 km) south of the state capital, Sacramento, or 185 miles (300 km) south of San Francisco. The name Fresno means "ash tree" in Spanish, and an ash leaf is featured on the city's flag.</t>
  </si>
  <si>
    <t>WHen did ARPNET and SITA become operational</t>
  </si>
  <si>
    <t>drug choice, dose, route, frequency, and duration of therapy</t>
  </si>
  <si>
    <t>Which entity developed the principles of European Union Law?</t>
  </si>
  <si>
    <t>Fresno has three large public parks, two in the city limits and one in county land to the southwest. Woodward Park, which features the Shinzen Japanese Gardens, numerous picnic areas and several miles of trails, is in North Fresno and is adjacent to the San Joaquin River Parkway. Roeding Park, near Downtown Fresno, is home to the Fresno Chaffee Zoo, and Rotary Storyland and Playland. Kearney Park is the largest of the Fresno region's park system and is home to historic Kearney Mansion and plays host to the annual Civil War Revisited, the largest reenactment of the Civil War in the west coast of the U.S.</t>
  </si>
  <si>
    <t>The university's center in Beijing is located next to what school's campus?</t>
  </si>
  <si>
    <t>ambiguous</t>
  </si>
  <si>
    <t>a phylum of animals</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</si>
  <si>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</si>
  <si>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The French and Indian War (1754–1763)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</si>
  <si>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Principles of Geology</t>
  </si>
  <si>
    <t>Napoleon's</t>
  </si>
  <si>
    <t>cramped and unsanitary</t>
  </si>
  <si>
    <t>fund travelers</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</si>
  <si>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</si>
  <si>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New Orangery</t>
  </si>
  <si>
    <t>at least 90% certain</t>
  </si>
  <si>
    <t>What book was Iqbal's seven English lectures published as?</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</si>
  <si>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</si>
  <si>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The economy of Victoria is highly diversified: service sectors including financial and property services, health, education, wholesale, retail, hospitality and manufacturing constitute the majority of employment. Victoria's total gross state product (GSP) is ranked second in Australia, although Victoria is ranked fourth in terms of GSP per capita because of its limited mining activity. Culturally, Melbourne is home to a number of museums, art galleries and theatres and is also described as the "sporting capital of Australia". The Melbourne Cricket Ground is the largest stadium in Australia, and the host of the 1956 Summer Olympics and the 2006 Commonwealth Games. The ground is also considered the "spiritual home" of Australian cricket and Australian rules football, and hosts the grand final of the Australian Football League (AFL) each year, usually drawing crowds of over 95,000 people. Victoria includes eight public universities, with the oldest, the University of Melbourne, having been founded in 1853.</t>
  </si>
  <si>
    <t>proprietary suite of networking protocols</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</si>
  <si>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</si>
  <si>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When did the Wahhabi seized the Grand Mosque in Mecca?</t>
  </si>
  <si>
    <t>What is a secondary goal of pleading not guilty?</t>
  </si>
  <si>
    <t>granted the Huguenots substantial religious, political and military autonomy</t>
  </si>
  <si>
    <t xml:space="preserve">What was Zia-ul-Haq accused of using Islamization to legitimize? </t>
  </si>
  <si>
    <t>What is a ctenophora?</t>
  </si>
  <si>
    <t>How long does it take for the effects to manifest as changes to economic growth?</t>
  </si>
  <si>
    <t>Why might customers order from internet pharmacies?</t>
  </si>
  <si>
    <t>higher returns</t>
  </si>
  <si>
    <t>While acknowledging the central role economic growth can potentially play in human development, poverty reduction and the achievement of the Millennium Development Goals, it is becoming widely understood amongst the development community that special efforts must be made to ensure poorer sections of society are able to participate in economic growth. The effect of economic growth on poverty reduction – the growth elasticity of poverty – can depend on the existing level of inequality. For instance, with low inequality a country with a growth rate of 2% per head and 40% of its population living in poverty, can halve poverty in ten years, but a country with high inequality would take nearly 60 years to achieve the same reduction. In the words of the Secretary General of the United Nations Ban Ki-Moon: "While economic growth is necessary, it is not sufficient for progress on reducing poverty."</t>
  </si>
  <si>
    <t>dispersed population and distance</t>
  </si>
  <si>
    <t>to clean them</t>
  </si>
  <si>
    <t>because many elderly people are now taking numerous medications but continue to live outside of institutional settings</t>
  </si>
  <si>
    <t>Association of American Universities</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</si>
  <si>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</si>
  <si>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Islamist</t>
  </si>
  <si>
    <t xml:space="preserve">What did Davies want to build </t>
  </si>
  <si>
    <t>the head of government would be acting in her or his capacity as public official</t>
  </si>
  <si>
    <t>the mortar and pestle and the ℞ (recipere) character</t>
  </si>
  <si>
    <t>Sieur de La Salle had explored the Ohio Country nearly a century earlier</t>
  </si>
  <si>
    <t>connect host computers (servers)at thousands of large companies, educational institutions, and government agencies</t>
  </si>
  <si>
    <t>When was the drainage basin of the Amazon believed to have split in the middle of South America?</t>
  </si>
  <si>
    <t>females</t>
  </si>
  <si>
    <t>What act set out the Parliament's powers as a devolved legislature?</t>
  </si>
  <si>
    <t>the plague may have entered Europe in two waves</t>
  </si>
  <si>
    <t>Who was made rich and prosperous prior to World War 1</t>
  </si>
  <si>
    <t>the army and the populace</t>
  </si>
  <si>
    <t>interconnection of national X.25 networks</t>
  </si>
  <si>
    <t>1969</t>
  </si>
  <si>
    <t>Fourth Intercolonial War and the Great War for the Empire</t>
  </si>
  <si>
    <t>hosts responsible for reliable delivery of data</t>
  </si>
  <si>
    <t>How much of the European population did the black death kill?</t>
  </si>
  <si>
    <t>Howard Zinn writes, "There may be many times when protesters choose to go to jail, as a way of continuing their protest, as a way of reminding their countrymen of injustice. But that is different than the notion that they must go to jail as part of a rule connected with civil disobedience. The key point is that the spirit of protest should be maintained all the way, whether it is done by remaining in jail, or by evading it. To accept jail penitently as an accession to 'the rules' is to switch suddenly to a spirit of subservience, to demean the seriousness of the protest...In particular, the neo-conservative insistence on a guilty plea should be eliminated."</t>
  </si>
  <si>
    <t>fully human</t>
  </si>
  <si>
    <t>location of Warsaw</t>
  </si>
  <si>
    <t>non-cryogenic</t>
  </si>
  <si>
    <t>what did the UK parliment hear that a subscription to BSkyB was?</t>
  </si>
  <si>
    <t>How sure did the statement say scientists were that temperatures would keep rising?</t>
  </si>
  <si>
    <t>In the laboratory, stratigraphers analyze samples of stratigraphic sections that can be returned from the field, such as those from drill cores. Stratigraphers also analyze data from geophysical surveys that show the locations of stratigraphic units in the subsurface. Geophysical data and well logs can be combined to produce a better view of the subsurface, and stratigraphers often use computer programs to do this in three dimensions. Stratigraphers can then use these data to reconstruct ancient processes occurring on the surface of the Earth, interpret past environments, and locate areas for water, coal, and hydrocarbon extraction.</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</si>
  <si>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</si>
  <si>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What is the observable effect of W and Z boson exchange?</t>
  </si>
  <si>
    <t>courts of member states and the Court of Justice of the European Union</t>
  </si>
  <si>
    <t>Terra preta (black earth), which is distributed over large areas in the Amazon forest, is now widely accepted as a product of indigenous soil management. The development of this fertile soil allowed agriculture and silviculture in the previously hostile environment; meaning that large portions of the Amazon rainforest are probably the result of centuries of human management, rather than naturally occurring as has previously been supposed. In the region of the Xingu tribe, remains of some of these large settlements in the middle of the Amazon forest were found in 2003 by Michael Heckenberger and colleagues of the University of Florida. Among those were evidence of roads, bridges and large plazas.</t>
  </si>
  <si>
    <t>Air</t>
  </si>
  <si>
    <t>Warsaw (Polish: Warszawa [varˈʂava]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</si>
  <si>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when they would be married, and to whom</t>
  </si>
  <si>
    <t>solvability of quadratic equations</t>
  </si>
  <si>
    <t>gelatinous projections edged with cilia</t>
  </si>
  <si>
    <t xml:space="preserve">What is one way in which graphs can be encoded? </t>
  </si>
  <si>
    <t>What did the Italian government fail to do in Francovich v Italy?</t>
  </si>
  <si>
    <t>What was the name of the locomotive that debuted in 1808?</t>
  </si>
  <si>
    <t>fee per unit of information transmitted</t>
  </si>
  <si>
    <t>Black_Death</t>
  </si>
  <si>
    <t>fell significantly</t>
  </si>
  <si>
    <t>The classification of aspects of the Amazon forest is important for mapping what type of emission?</t>
  </si>
  <si>
    <t>native tribes</t>
  </si>
  <si>
    <t>prevent the installation of pagan images</t>
  </si>
  <si>
    <t>ozone layer</t>
  </si>
  <si>
    <t>Which book by Edward Said portrayed the west as being the "others?"</t>
  </si>
  <si>
    <t>In most countries, the dispensary is subject to pharmacy legislation; with requirements for storage conditions, compulsory texts, equipment, etc., specified in legislation. Where it was once the case that pharmacists stayed within the dispensary compounding/dispensing medications, there has been an increasing trend towards the use of trained pharmacy technicians while the pharmacist spends more time communicating with patients. Pharmacy technicians are now more dependent upon automation to assist them in their new role dealing with patients' prescriptions and patient safety issues.</t>
  </si>
  <si>
    <t>smaller, weaker swimmers such as rotifers and mollusc and crustacean larvae.</t>
  </si>
  <si>
    <t>What was used to classify the Amazon population into four categories</t>
  </si>
  <si>
    <t>Peabody Museum of Archaeology and Ethnology</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</si>
  <si>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</si>
  <si>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he moved south, he drove off or captured British traders</t>
  </si>
  <si>
    <t>about four men attending Harvard College for every woman studying at Radcliffe</t>
  </si>
  <si>
    <t>Adolf Hitler's rise to power</t>
  </si>
  <si>
    <t>World Meteorological Organization (WMO) and the United Nations Environment Programme (UNEP),</t>
  </si>
  <si>
    <t>T cell receptor (TCR)</t>
  </si>
  <si>
    <t>forts Shirley had erected at the Oneida Carry</t>
  </si>
  <si>
    <t>Halford Mackinder and Friedrich Ratzel where what kind of geographers?</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</si>
  <si>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</si>
  <si>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Other than the San Jacinto Fault, and the Elsinore Fault, name one other fault.</t>
  </si>
  <si>
    <t>Which book by Edward Said portrayed the east as being the "others?"</t>
  </si>
  <si>
    <t>One in five</t>
  </si>
  <si>
    <t>the Pope and the doctrine of transubstantiation</t>
  </si>
  <si>
    <t>What was AUSTPAC</t>
  </si>
  <si>
    <t>The clinical pharmacist's role involves creating a comprehensive drug therapy plan for patient-specific problems, identifying goals of therapy, and reviewing all prescribed medications prior to dispensing and administration to the patient. The review process often involves an evaluation of the appropriateness of the drug therapy (e.g., drug choice, dose, route, frequency, and duration of therapy) and its efficacy. The pharmacist must also monitor for potential drug interactions, adverse drug reactions, and assess patient drug allergies while designing and initiating a drug therapy plan.</t>
  </si>
  <si>
    <t>St. Lawrence and Mississippi</t>
  </si>
  <si>
    <t>What did Distributed Adaptive Message Block Switching do</t>
  </si>
  <si>
    <t>OC-48c</t>
  </si>
  <si>
    <t>In July 2013, the English High Court of Justice found that Microsoft’s use of the term "SkyDrive" infringed on Sky’s right to the "Sky" trademark. On 31 July 2013, BSkyB and Microsoft announced their settlement, in which Microsoft will not appeal the ruling, and will rename its SkyDrive cloud storage service after an unspecified "reasonable period of time to allow for an orderly transition to a new brand," plus "financial and other terms, the details of which are confidential". On 27 January 2014, Microsoft announced "that SkyDrive will soon become OneDrive" and "SkyDrive Pro" becomes "OneDrive for Business".</t>
  </si>
  <si>
    <t>several hundred</t>
  </si>
  <si>
    <t>the Faroe Islands</t>
  </si>
  <si>
    <t>In the wake of the Jacksonville fire, what did the Florida Governor do?</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</si>
  <si>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</si>
  <si>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typhus, smallpox and respiratory infections</t>
  </si>
  <si>
    <t>This shift has already commenced in some countries; for instance, pharmacists in Australia receive remuneration from the Australian Government for conducting comprehensive Home Medicines Reviews. In Canada, pharmacists in certain provinces have limited prescribing rights (as in Alberta and British Columbia) or are remunerated by their provincial government for expanded services such as medications reviews (Medschecks in Ontario). In the United Kingdom, pharmacists who undertake additional training are obtaining prescribing rights and this is because of pharmacy education. They are also being paid for by the government for medicine use reviews. In Scotland the pharmacist can write prescriptions for Scottish registered patients of their regular medications, for the majority of drugs, except for controlled drugs, when the patient is unable to see their doctor, as could happen if they are away from home or the doctor is unavailable. In the United States, pharmaceutical care or clinical pharmacy has had an evolving influence on the practice of pharmacy. Moreover, the Doctor of Pharmacy (Pharm. D.) degree is now required before entering practice and some pharmacists now complete one or two years of residency or fellowship training following graduation. In addition, consultant pharmacists, who traditionally operated primarily in nursing homes are now expanding into direct consultation with patients, under the banner of "senior care pharmacy."</t>
  </si>
  <si>
    <t>ad valorem property tax policy</t>
  </si>
  <si>
    <t>after 1279</t>
  </si>
  <si>
    <t>What act sets the term for judging the boundaries of sanity to which individuals wishing to sit on the SP must adhere?</t>
  </si>
  <si>
    <t>confirming Britain's position as the dominant colonial power in eastern North America</t>
  </si>
  <si>
    <t>Before World War II, Fresno had many ethnic neighborhoods, including Little Armenia, German Town, Little Italy, and Chinatown. In 1940, the Census Bureau reported Fresno's population as 94.0% white, 3.3% black and 2.7% Asian. (Incongruously, Chinatown was primarily a Japanese neighborhood and today Japanese-American businesses still remain). During 1942, Pinedale, in what is now North Fresno, was the site of the Pinedale Assembly Center, an interim facility for the relocation of Fresno area Japanese Americans to internment camps. The Fresno Fairgrounds was also utilized as an assembly center.</t>
  </si>
  <si>
    <t>Because of their soft, gelatinous bodies, ctenophores are extremely rare as fossils, and fossils that have been interpreted as ctenophores have been found only in lagerstätten, places where the environment was exceptionally suited to preservation of soft tissue. Until the mid-1990s only two specimens good enough for analysis were known, both members of the crown group, from the early Devonian (Emsian) period. Three additional putative species were then found in the Burgess Shale and other Canadian rocks of similar age, about 505 million years ago in the mid-Cambrian period. All three apparently lacked tentacles but had between 24 and 80 comb rows, far more than the 8 typical of living species. They also appear to have had internal organ-like structures unlike anything found in living ctenophores. One of the fossil species first reported in 1996 had a large mouth, apparently surrounded by a folded edge that may have been muscular. Evidence from China a year later suggests that such ctenophores were widespread in the Cambrian, but perhaps very different from modern species – for example one fossil's comb-rows were mounted on prominent vanes. The Ediacaran Eoandromeda could putatively represent a comb jelly.</t>
  </si>
  <si>
    <t>1990s</t>
  </si>
  <si>
    <t>Besides drugs, what else do specialty pharmacies provide?</t>
  </si>
  <si>
    <t>What is an important factor contributing to inequality for individuals?</t>
  </si>
  <si>
    <t>What is the name of the university's core curriculum?</t>
  </si>
  <si>
    <t>Other than the Automobile Club of Southern California, what other AAA Auto Club chose to simplify the divide?</t>
  </si>
  <si>
    <t>he published his findings first</t>
  </si>
  <si>
    <t>One of its earliest massive implementations was brought about by Egyptians against the British occupation in the 1919 Revolution. Civil disobedience is one of the many ways people have rebelled against what they deem to be unfair laws. It has been used in many nonviolent resistance movements in India (Gandhi's campaigns for independence from the British Empire), in Czechoslovakia's Velvet Revolution and in East Germany to oust their communist governments, In South Africa in the fight against apartheid, in the American Civil Rights Movement, in the Singing Revolution to bring independence to the Baltic countries from the Soviet Union, recently with the 2003 Rose Revolution in Georgia and the 2004 Orange Revolution in Ukraine, among other various movements worldwide.</t>
  </si>
  <si>
    <t>existing level of inequality</t>
  </si>
  <si>
    <t>send aid and sometimes to go themselves to fight for their faith</t>
  </si>
  <si>
    <t>North America</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</si>
  <si>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</si>
  <si>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Financial Regulations and Rules of the WMO</t>
  </si>
  <si>
    <t>King Malcolm III of Scotland</t>
  </si>
  <si>
    <t>To what type of organisms is oxygen toxic?</t>
  </si>
  <si>
    <t>when they would be married</t>
  </si>
  <si>
    <t>The principle of cross-cutting relationships</t>
  </si>
  <si>
    <t>weightlessness</t>
  </si>
  <si>
    <t>Polish Academy of Sciences</t>
  </si>
  <si>
    <t>zip" the mouth shut when the animal is not feeding,</t>
  </si>
  <si>
    <t>Where were French North Americans settled?</t>
  </si>
  <si>
    <t>What is an example of illegal disobedience?</t>
  </si>
  <si>
    <t>What dilemma is a good example of moral civil disobedience?</t>
  </si>
  <si>
    <t>What is another term for excessive compression?</t>
  </si>
  <si>
    <t>Due to its central location</t>
  </si>
  <si>
    <t>What does the minister who was the catalyst of the Members Business do by speaking after everyone else?</t>
  </si>
  <si>
    <t>What was Norman Cantor's theory about the plague?</t>
  </si>
  <si>
    <t xml:space="preserve">Why is it important to precisely date rocks within the stratigraphic section? </t>
  </si>
  <si>
    <t>Alex Seropian</t>
  </si>
  <si>
    <t>allowed local area networks to be established ad hoc without the requirement for a centralized router or server</t>
  </si>
  <si>
    <t>help preserve society's tolerance</t>
  </si>
  <si>
    <t>In 2014, economists with the Standard &amp; Poor's rating agency concluded that the widening disparity between the U.S.'s wealthiest citizens and the rest of the nation had slowed its recovery from the 2008-2009 recession and made it more prone to boom-and-bust cycles. To partially remedy the wealth gap and the resulting slow growth, S&amp;P recommended increasing access to education. It estimated that if the average United States worker had completed just one more year of school, it would add an additional $105 billion in growth to the country's economy over five years.</t>
  </si>
  <si>
    <t>"lower lake"</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</si>
  <si>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</si>
  <si>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obtaining cost-effective medication</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</si>
  <si>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</si>
  <si>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autocratic-bureaucratic system</t>
  </si>
  <si>
    <t>There are three major types of rock: igneous, sedimentary, and metamorphic. The rock cycle is an important concept in geology which illustrates the relationships between these three types of rock, and magma. When a rock crystallizes from melt (magma and/or lava), it is an igneous rock. This rock can be weathered and eroded, and then redeposited and lithified into a sedimentary rock, or be turned into a metamorphic rock due to heat and pressure that change the mineral content of the rock which gives it a characteristic fabric. The sedimentary rock can then be subsequently turned into a metamorphic rock due to heat and pressure and is then weathered, eroded, deposited, and lithified, ultimately becoming a sedimentary rock. Sedimentary rock may also be re-eroded and redeposited, and metamorphic rock may also undergo additional metamorphism. All three types of rocks may be re-melted; when this happens, a new magma is formed, from which an igneous rock may once again crystallize.</t>
  </si>
  <si>
    <t>What will a pharmacist who passes the ambulatory pharmacist exam be called?</t>
  </si>
  <si>
    <t>the General Pharmaceutical Council (GPhC) register</t>
  </si>
  <si>
    <t>Climate fluctuations</t>
  </si>
  <si>
    <t>What was the protest in Antigone about?</t>
  </si>
  <si>
    <t>submit to the punishment</t>
  </si>
  <si>
    <t>Although not a fuel  ___ is the chemical compound the generates the most occurrence of explosions.</t>
  </si>
  <si>
    <t>What entities are included in the federal health care system?</t>
  </si>
  <si>
    <t>How many professional schools does the University of Chicago have?</t>
  </si>
  <si>
    <t>algebraic</t>
  </si>
  <si>
    <t>Is it easier or harder to change EU law than stay the same?</t>
  </si>
  <si>
    <t>National Defence University</t>
  </si>
  <si>
    <t>Hypersensitivity is an immune response that damages the body's own tissues. They are divided into four classes (Type I –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</si>
  <si>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type III secretion system</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</si>
  <si>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</si>
  <si>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botany and chemistry</t>
  </si>
  <si>
    <t>patients' prescriptions and patient safety issues</t>
  </si>
  <si>
    <t>What do you get when you figure the sum of forces with vector addition?</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</si>
  <si>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</si>
  <si>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attacked the British column</t>
  </si>
  <si>
    <t>separately from physicians</t>
  </si>
  <si>
    <t>sending an email to the Lebanon, New Hampshire city councilors</t>
  </si>
  <si>
    <t>a certain number of teacher's salaries are paid by the State</t>
  </si>
  <si>
    <t>What organization arranged to founding of school?</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</si>
  <si>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</si>
  <si>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How is unregistered property held in informal form?</t>
  </si>
  <si>
    <t>are prime. Prime numbers of this form are known as factorial primes. Other primes where either p + 1 or p − 1 is of a particular shape include the Sophie Germain primes (primes of the form 2p + 1 with p prime), primorial primes, Fermat primes and Mersenne primes, that is, prime numbers that are of the form 2p − 1, where p is an arbitrary prime. The Lucas–Lehmer test is particularly fast for numbers of this form. This is why the largest known prime has almost always been a Mersenne prime since the dawn of electronic computers.</t>
  </si>
  <si>
    <t>The term "southern" California usually refers to how many of the southern-most counties of the state?</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</si>
  <si>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</si>
  <si>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passive short-term memory or active long-term memory</t>
  </si>
  <si>
    <t>lower levels of inequality</t>
  </si>
  <si>
    <t>Who ordered the Stern Review?</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</si>
  <si>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</si>
  <si>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What does the Urban Education Institute help run?</t>
  </si>
  <si>
    <t>What does Warsaw's mixture of architectural styles reflect?</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</si>
  <si>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</si>
  <si>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diverges</t>
  </si>
  <si>
    <t>the 1978 Supreme Court case of FCC v. Pacifica Foundation</t>
  </si>
  <si>
    <t>enzymes</t>
  </si>
  <si>
    <t>What are the main threats facing the Amazon rainforest in the current century?</t>
  </si>
  <si>
    <t>What philosophy of thought  addresses wealth inequality?</t>
  </si>
  <si>
    <t>connection-oriented operations. But X.25 does it at the network layer of the OSI Model. Frame Relay does it at level two, the data link layer</t>
  </si>
  <si>
    <t>Why did the university eventually leave the conference?</t>
  </si>
  <si>
    <t xml:space="preserve">If the tops of the rock units within the folds remain pointing upwards, they are called what? </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</si>
  <si>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Atatürk.</t>
  </si>
  <si>
    <t>Whose role is to design the works, prepare the specifications and produce construction drawings, administer the contract, tender the works, and manage the works from inception to completion</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</si>
  <si>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</si>
  <si>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P is not equal to NP</t>
  </si>
  <si>
    <t>turbulent history of the city</t>
  </si>
  <si>
    <t>How much windblown dust leaves the Sahara each year?</t>
  </si>
  <si>
    <t>AD 0–1250</t>
  </si>
  <si>
    <t>What do redistribution mechanisms lead to?</t>
  </si>
  <si>
    <t>rebellion is much more destructive</t>
  </si>
  <si>
    <t>What is usually the goal of taking a plea bargain?</t>
  </si>
  <si>
    <t>Wednesdays</t>
  </si>
  <si>
    <t>property damage</t>
  </si>
  <si>
    <t>greatest common divisor is one</t>
  </si>
  <si>
    <t>the first FCC-licensed public data network in the United States</t>
  </si>
  <si>
    <t>in effect</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</si>
  <si>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</si>
  <si>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the world's first man-made, self-sustaining nuclear reaction</t>
  </si>
  <si>
    <t>How did the 2001 IPCC report compare to reality on temperature levels?</t>
  </si>
  <si>
    <t>How did King Louis XV respond to British plans?</t>
  </si>
  <si>
    <t>What is unknown about the complexity classes between L and P that further prevents determining the value relationship between L and P?</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</si>
  <si>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</si>
  <si>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Among the most important classes of organic compounds that contain oxygen are (where "R" is an organic group): alcohols (R-OH); ethers (R-O-R); ketones (R-CO-R); aldehydes (R-CO-H); carboxylic acids (R-COOH); esters (R-COO-R); acid anhydrides (R-CO-O-CO-R); and amides (R-C(O)-NR
2). There are many important organic solvents that contain oxygen, including: acetone, methanol, ethanol, isopropanol, furan, THF, diethyl ether, dioxane, ethyl acetate, DMF, DMSO, acetic acid, and formic acid. Acetone ((CH
3)
2CO) and phenol (C
6H
5OH) are used as feeder materials in the synthesis of many different substances. Other important organic compounds that contain oxygen are: glycerol, formaldehyde, glutaraldehyde, citric acid, acetic anhydride, and acetamide. Epoxides are ethers in which the oxygen atom is part of a ring of three atoms.</t>
  </si>
  <si>
    <t>manage the pharmacy department and specialised areas in pharmacy practice</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</si>
  <si>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</si>
  <si>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is the name of the student improvisational theater troupe?</t>
  </si>
  <si>
    <t>There have been insignificant changes in the Amazon rain forest vegetation through the last what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</si>
  <si>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太祖).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</si>
  <si>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phlogiston theory</t>
  </si>
  <si>
    <t>Sociologist Jake Rosenfield of the University of Washington asserts that the decline of organized labor in the United States has played a more significant role in expanding the income gap than technological changes and globalization, which were also experienced by other industrialized nations that didn't experience steep surges in inequality. He points out that nations with high rates of unionization, particularly in Scandinavia, have very low levels of inequality, and concludes "the historical pattern is clear; the cross-national pattern is clear: high inequality goes hand-in-hand with weak labor movements and vice-versa."</t>
  </si>
  <si>
    <t>What did Mongols worship?</t>
  </si>
  <si>
    <t>The mouth of the Rhine into Lake Constance forms an inland delta. The delta is delimited in the West by the Alter Rhein ("Old Rhine") and in the East by a modern canalized section. Most of the delta is a nature reserve and bird sanctuary. It includes the Austrian towns of Gaißau, Höchst and Fußach. The natural Rhine originally branched into at least two arms and formed small islands by precipitating sediments. In the local Alemannic dialect, the singular is pronounced "Isel" and this is also the local pronunciation of Esel ("Donkey"). Many local fields have an official name containing this element.</t>
  </si>
  <si>
    <t>electric motors and internal combustion</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</si>
  <si>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</si>
  <si>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</si>
  <si>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the Colony of Victoria Act</t>
  </si>
  <si>
    <t>Why would one want to give a speech?</t>
  </si>
  <si>
    <t>What channel replaced Sky Travel?</t>
  </si>
  <si>
    <t>granted the Protestants equality with Catholics</t>
  </si>
  <si>
    <t>community-based</t>
  </si>
  <si>
    <t>How far is Fresno City College from the Tower District?</t>
  </si>
  <si>
    <t>Class I MHC</t>
  </si>
  <si>
    <t>mainstream Indian nationalist and secularist Indian National Congress</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</si>
  <si>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</si>
  <si>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In regard to companies, the Court of Justice held in R (Daily Mail and General Trust plc) v HM Treasury that member states could restrict a company moving its seat of business, without infringing TFEU article 49. This meant the Daily Mail newspaper's parent company could not evade tax by shifting its residence to the Netherlands without first settling its tax bills in the UK. The UK did not need to justify its action, as rules on company seats were not yet harmonised. By contrast, in Centros Ltd v Erhversus-og Selkabssyrelsen the Court of Justice found that a UK limited company operating in Denmark could not be required to comply with Denmark's minimum share capital rules. UK law only required £1 of capital to start a company, while Denmark's legislature took the view companies should only be started up if they had 200,000 Danish krone (around €27,000) to protect creditors if the company failed and went insolvent. The Court of Justice held that Denmark's minimum capital law infringed Centros Ltd's freedom of establishment and could not be justified, because a company in the UK could admittedly provide services in Denmark without being established there, and there were less restrictive means of achieving the aim of creditor protection. This approach was criticised as potentially opening the EU to unjustified regulatory competition, and a race to the bottom in standards, like in the US where the state Delaware attracts most companies and is often argued to have the worst standards of accountability of boards, and low corporate taxes as a result. Similarly in Überseering BV v Nordic Construction GmbH the Court of Justice held that a German court could not deny a Dutch building company the right to enforce a contract in Germany on the basis that it was not validly incorporated in Germany. Although restrictions on freedom of establishment could be justified by creditor protection, labour rights to participate in work, or the public interest in collecting taxes, denial of capacity went too far: it was an "outright negation" of the right of establishment. However, in Cartesio Oktató és Szolgáltató bt the Court of Justice affirmed again that because corporations are created by law, they are in principle subject to any rules for formation that a state of incorporation wishes to impose. This meant that the Hungarian authorities could prevent a company from shifting its central administration to Italy while it still operated and was incorporated in Hungary. Thus, the court draws a distinction between the right of establishment for foreign companies (where restrictions must be justified), and the right of the state to determine conditions for companies incorporated in its territory, although it is not entirely clear why.</t>
  </si>
  <si>
    <t>the destruction of Israel</t>
  </si>
  <si>
    <t>1997 Treaty of Amsterdam</t>
  </si>
  <si>
    <t>the original force</t>
  </si>
  <si>
    <t>What is the comparison in price between Australian private schools versus public?</t>
  </si>
  <si>
    <t>What symbol was employed until early in the 20th century?</t>
  </si>
  <si>
    <t>quality rental units</t>
  </si>
  <si>
    <t>What is the name of the law which imposed the speed limit?</t>
  </si>
  <si>
    <t>The aim of the French competition law was to do what?</t>
  </si>
  <si>
    <t>lower</t>
  </si>
  <si>
    <t>New Collegiate Division</t>
  </si>
  <si>
    <t>All Recognized Student Organizations, from the University of Chicago Scavenger Hunt to Model UN, in addition to academic teams, sports club, arts groups, and more are funded by The University of Chicago Student Government. Student Government is made up of graduate and undergraduate students elected to represent members from their respective academic unit. It is led by an Executive Committee, chaired by a President with the assistance of two Vice Presidents, one for Administration and the other for Student Life, elected together as a slate by the student body each spring. Its annual budget is greater than $2 million.</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</si>
  <si>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Jerónimo de Ayanz y Beaumont received patents in 1606 for fifty steam powered inventions, including a water pump for draining inundated mines. Denis Papin, a Huguenot refugee, did some useful work on the steam digester in 1679, and first used a piston to raise weights in 1690.</t>
  </si>
  <si>
    <t>What is terra preta called?</t>
  </si>
  <si>
    <t>Internet Protocol</t>
  </si>
  <si>
    <t>What are some existing facilities?</t>
  </si>
  <si>
    <t>teacher's salaries are paid by the State</t>
  </si>
  <si>
    <t>open forest and grassland</t>
  </si>
  <si>
    <t>concept of distributed adaptive message block switching</t>
  </si>
  <si>
    <t>travel literature, cartography, geography, and scientific education</t>
  </si>
  <si>
    <t>the convenience of the railroad and worried about flooding</t>
  </si>
  <si>
    <t>What is Pedanius Dioscorides known for?</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</si>
  <si>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</si>
  <si>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In the modern industrialized world, construction usually involves the translation of designs into reality. A formal design team may be assembled to plan the physical proceedings, and to integrate those proceedings with the other parts. The design usually consists of drawings and specifications, usually prepared by a design team including Architect, civil engineers, mechanical engineers, electrical engineers, structural engineers, fire protection engineers, planning consultants, architectural consultants, and archaeological consultants. The design team is most commonly employed by (i.e. in contract with) the property owner. Under this system, once the design is completed by the design team, a number of construction companies or construction management companies may then be asked to make a bid for the work, either based directly on the design, or on the basis of drawings and a bill of quantities provided by a quantity surveyor. Following evaluation of bids, the owner typically awards a contract to the most cost efficient bidder.</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</si>
  <si>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</si>
  <si>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a consortium of several contractors</t>
  </si>
  <si>
    <t>rich and well socially standing</t>
  </si>
  <si>
    <t>hockey stick graph</t>
  </si>
  <si>
    <t xml:space="preserve">What is the name of one algorithm useful for conveniently testing the primality of large numbers? </t>
  </si>
  <si>
    <t>What molecule does the Sun have in higher proportion than Earth?</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</si>
  <si>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</si>
  <si>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standardized interface</t>
  </si>
  <si>
    <t>Cork City</t>
  </si>
  <si>
    <t>pump water out of the mesoglea</t>
  </si>
  <si>
    <t>What skin-related symptom appears from the pneumonic plague?</t>
  </si>
  <si>
    <t>they were accepted and allowed to worship freely</t>
  </si>
  <si>
    <t>to avoid the "inconvenience" of visiting a doctor or to obtain medications which their doctors were unwilling to prescribe</t>
  </si>
  <si>
    <t>eventually decrease</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</si>
  <si>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大元) in the style of a traditional Chinese dynasty. The name of the dynasty originated from the I Ching and describes the "origin of the universe" or a "primal force". Kublai proclaimed Khanbaliq the "Great Capital" or Daidu (Dadu, Chinese: 大都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</si>
  <si>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</si>
  <si>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British researchers Richard G. Wilkinson and Kate Pickett have found higher rates of health and social problems (obesity, mental illness, homicides, teenage births, incarceration, child conflict, drug use), and lower rates of social goods (life expectancy by country, educational performance, trust among strangers, women's status, social mobility, even numbers of patents issued) in countries and states with higher inequality. Using statistics from 23 developed countries and the 50 states of the US, they found social/health problems lower in countries like Japan and Finland and states like Utah and New Hampshire with high levels of equality, than in countries (US and UK) and states (Mississippi and New York) with large differences in household income.</t>
  </si>
  <si>
    <t>Committee on Commerce, Science and Transportation</t>
  </si>
  <si>
    <t>What is the name of one type of modern primality test?</t>
  </si>
  <si>
    <t>an interim facility for the relocation of Fresno area Japanese Americans to internment camps</t>
  </si>
  <si>
    <t>zeolite molecular sieves</t>
  </si>
  <si>
    <t>three types of movement</t>
  </si>
  <si>
    <t>Henry of Navarre</t>
  </si>
  <si>
    <t>build their own dedicated networks</t>
  </si>
  <si>
    <t>Other than Downtown San Bernardino, and University Town, what is the name of another business district in the San Bernardino-Riverside area?</t>
  </si>
  <si>
    <t>between 1.4 and 5.8 °C above 1990 levels</t>
  </si>
  <si>
    <t>the CDC mainframe at Michigan State University in East Lansing</t>
  </si>
  <si>
    <t>Computational_complexity_theory</t>
  </si>
  <si>
    <t>coughing and sneezing</t>
  </si>
  <si>
    <t>secular leanings</t>
  </si>
  <si>
    <t>What serves as a biological barrier by competing for space and food in the GI tract?</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</si>
  <si>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</si>
  <si>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What campaign did the Communist regime initiate after WWII?</t>
  </si>
  <si>
    <t>What happens to the norm when a number is multiplied by p?</t>
  </si>
  <si>
    <t>What was Jacksonville referred to as after the consolidation?</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</si>
  <si>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</si>
  <si>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win an acquittal</t>
  </si>
  <si>
    <t>The reason for the majority rule is the high risk of a conflict of interest and/or the avoidance of absolute powers. Otherwise, the physician has a financial self-interest in "diagnosing" as many conditions as possible, and in exaggerating their seriousness, because he or she can then sell more medications to the patient. Such self-interest directly conflicts with the patient's interest in obtaining cost-effective medication and avoiding the unnecessary use of medication that may have side-effects. This system reflects much similarity to the checks and balances system of the U.S. and many other governments.[citation needed]</t>
  </si>
  <si>
    <t>economists with the Standard &amp; Poor's rating agency</t>
  </si>
  <si>
    <t>Mayor W. Haydon Burns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</si>
  <si>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Normans—formerly of Oursel—led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</si>
  <si>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oxygen supplementation</t>
  </si>
  <si>
    <t>applications such as on-line betting, financial applications</t>
  </si>
  <si>
    <t>University of Chicago scholars have played a major role in the development of various academic disciplines, including: the Chicago school of economics, the Chicago school of sociology, the law and economics movement in legal analysis, the Chicago school of literary criticism, the Chicago school of religion, and the behavioralism school of political science. Chicago's physics department helped develop the world's first man-made, self-sustaining nuclear reaction beneath the university's Stagg Field. Chicago's research pursuits have been aided by unique affiliations with world-renowned institutions like the nearby Fermilab and Argonne National Laboratory, as well as the Marine Biological Laboratory. The university is also home to the University of Chicago Press, the largest university press in the United States. With an estimated completion date of 2020, the Barack Obama Presidential Center will be housed at the university and include both the Obama presidential library and offices of the Obama Foundation.</t>
  </si>
  <si>
    <t>Seismologists can use the arrival times of seismic waves in reverse to image the interior of the Earth. Early advances in this field showed the existence of a liquid outer core (where shear waves were not able to propagate) and a dense solid inner core. These advances led to the development of a layered model of the Earth, with a crust and lithosphere on top, the mantle below (separated within itself by seismic discontinuities at 410 and 660 kilometers), and the outer core and inner core below that. More recently, seismologists have been able to create detailed images of wave speeds inside the earth in the same way a doctor images a body in a CT scan. These images have led to a much more detailed view of the interior of the Earth, and have replaced the simplified layered model with a much more dynamic model.</t>
  </si>
  <si>
    <t>30–60% of Europe's total population</t>
  </si>
  <si>
    <t>What is the only divisor besides 1 that a prime number can have?</t>
  </si>
  <si>
    <t>establishing relationships with other necessary participants</t>
  </si>
  <si>
    <t>the prime number intervals between emergences make it very difficult for predators to evolve that could specialize as predators on Magicicadas</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</si>
  <si>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 ‘’assimilation’’ – were offered, although in reality assimilation was always on the distant horizon. Contrasting from Britain, France sent small numbers of settlers to its colonies, with the only notable exception of Algeria, where French settlers nevertheless always remained a small minority.</t>
  </si>
  <si>
    <t>a plug-n-play system</t>
  </si>
  <si>
    <t>Civil disobedients' refraining from violence is also said to help preserve society's tolerance of civil disobedience</t>
  </si>
  <si>
    <t>already-wealthy individuals</t>
  </si>
  <si>
    <t>Trotsky thought what was needed for a true Russian revolution.</t>
  </si>
  <si>
    <t>Nestorianism and Roman Catholicism</t>
  </si>
  <si>
    <t>The Kronenberg Palace had been an exceptional example of what type of architecture?</t>
  </si>
  <si>
    <t>Hutchinson Hall was designed to look like what Oxford hall?</t>
  </si>
  <si>
    <t>suspect's talking to criminal investigators</t>
  </si>
  <si>
    <t>The development of plate tectonics provided a physical basis for many observations of the solid Earth. Long linear regions of geologic features could be explained as plate boundaries. Mid-ocean ridges, high regions on the seafloor where hydrothermal vents and volcanoes exist, were explained as divergent boundaries, where two plates move apart. Arcs of volcanoes and earthquakes were explained as convergent boundaries, where one plate subducts under another. Transform boundaries, such as the San Andreas fault system, resulted in widespread powerful earthquakes. Plate tectonics also provided a mechanism for Alfred Wegener's theory of continental drift, in which the continents move across the surface of the Earth over geologic time. They also provided a driving force for crustal deformation, and a new setting for the observations of structural geology. The power of the theory of plate tectonics lies in its ability to combine all of these observations into a single theory of how the lithosphere moves over the convecting mantle.</t>
  </si>
  <si>
    <t>second-most populous</t>
  </si>
  <si>
    <t>Jacksonville,_Florida</t>
  </si>
  <si>
    <t>varying regional cost-benefit analysis and burden-sharing conflicts with regard to the distribution of emission reductions</t>
  </si>
  <si>
    <t>the empire fell</t>
  </si>
  <si>
    <t>to share recordings and other media</t>
  </si>
  <si>
    <t>decrease</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</si>
  <si>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</si>
  <si>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How accurate did Guo make the reformed lunisolar calendar?</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</si>
  <si>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</si>
  <si>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Was was the plan for Langlades mission?</t>
  </si>
  <si>
    <t>the VA, the Indian Health Service, and NIH</t>
  </si>
  <si>
    <t>congresses and presidents</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</si>
  <si>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</si>
  <si>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classical position variables</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</si>
  <si>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</si>
  <si>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 xml:space="preserve">What is the Bassin de compensation de Plobsheim in Alsace? </t>
  </si>
  <si>
    <t>show globe</t>
  </si>
  <si>
    <t>What are private schools that charge no tuition called?</t>
  </si>
  <si>
    <t>severely reduced rainfall and increased temperatures</t>
  </si>
  <si>
    <t>the Huguenot rebellions</t>
  </si>
  <si>
    <t>What is most of Warsaw's modern growth based on?</t>
  </si>
  <si>
    <t>Why did French feel they had right to Ohio claim?</t>
  </si>
  <si>
    <t>horizontal</t>
  </si>
  <si>
    <t>published his findings first</t>
  </si>
  <si>
    <t>Lucas–Lehmer test</t>
  </si>
  <si>
    <t>Polonia Warsaw</t>
  </si>
  <si>
    <t>Private Education Student Financial Assistance</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</si>
  <si>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</si>
  <si>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art posters</t>
  </si>
  <si>
    <t>to "ensure that in the interpretation and application of the Treaties the law is observed"</t>
  </si>
  <si>
    <t xml:space="preserve">Near Chur, which direction does the Rhine turn? </t>
  </si>
  <si>
    <t>the mouth of the Monongahela River</t>
  </si>
  <si>
    <t>a problem instance</t>
  </si>
  <si>
    <t>How many types of movements do euplokamis tentilla have?</t>
  </si>
  <si>
    <t>chemical oxygen generators or oxygen candles</t>
  </si>
  <si>
    <t xml:space="preserve">In considering Turing machines and alternate variables, what measurement left unaffected by conversion between machine models? </t>
  </si>
  <si>
    <t>Reducibility Among Combinatorial Problems</t>
  </si>
  <si>
    <t>1677–1683</t>
  </si>
  <si>
    <t>Like much of the south Atlantic region of the United States, Jacksonville has a humid subtropical climate (Köppen Cfa), with mild weather during winters and hot and humid weather during summers. Seasonal rainfall is concentrated in the warmest months from May through September, while the driest months are from November through April. Due to Jacksonville's low latitude and coastal location, the city sees very little cold weather, and winters are typically mild and sunny. Summers can be hot and wet, and summer thunderstorms with torrential but brief downpours are common.</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</si>
  <si>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</si>
  <si>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inauspicious typhoon</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</si>
  <si>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</si>
  <si>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dial-up connections or dedicated async connections</t>
  </si>
  <si>
    <t>Acura</t>
  </si>
  <si>
    <t>What language did the Court of Justice accept to be required to teach in a Dublin college in Groner v Minister for Education?</t>
  </si>
  <si>
    <t>Boycotting, refusing to pay taxes, sit ins, and draft dodging all make what harder?</t>
  </si>
  <si>
    <t>cattle were brought across the river there</t>
  </si>
  <si>
    <t>What are the three main sources of European Union law?</t>
  </si>
  <si>
    <t>uncivilized people</t>
  </si>
  <si>
    <t>air conditioning</t>
  </si>
  <si>
    <t>How many tons of dust are blown from the Sahara each year?</t>
  </si>
  <si>
    <t>Objects of constant density are proportional to volume by what force to define standard weights?.</t>
  </si>
  <si>
    <t>Recognized Student Organizations</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</si>
  <si>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</si>
  <si>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In which case did the Court of Justice hold that a German court couldn't deny a Dutch building company the right to enforce a contract based in Germany?</t>
  </si>
  <si>
    <t>What ranking in terms of busiest airports from international passenger volume is the Los Angeles International Airport?</t>
  </si>
  <si>
    <t>Off-Off Campus</t>
  </si>
  <si>
    <t>What kind of division of power did Kublai's government have?</t>
  </si>
  <si>
    <t>driving Israel out of the Gaza Strip</t>
  </si>
  <si>
    <t>hate</t>
  </si>
  <si>
    <t>communicating with patients</t>
  </si>
  <si>
    <t>Germany and Scandinavia</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</si>
  <si>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</si>
  <si>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work was published first</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</si>
  <si>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</si>
  <si>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The biodiversity of plant species is the highest on Earth with one 2001 study finding a quarter square kilometer (62 acres) of Ecuadorian rainforest supports more than 1,100 tree species. A study in 1999 found one square kilometer (247 acres) of Amazon rainforest can contain about 90,790 tonnes of living plants. The average plant biomass is estimated at 356 ± 47 tonnes per hectare. To date, an estimated 438,000 species of plants of economic and social interest have been registered in the region with many more remaining to be discovered or catalogued. The total number of tree species in the region is estimated at 16,000.</t>
  </si>
  <si>
    <t>In autoimmune disorders, the immune system doesn't distinguish between what types of cells?</t>
  </si>
  <si>
    <t>North American provinces</t>
  </si>
  <si>
    <t>may no longer exist</t>
  </si>
  <si>
    <t>some pre-planning and Christian burials</t>
  </si>
  <si>
    <t>How many courses must undergraduates maintain for full time status?</t>
  </si>
  <si>
    <t xml:space="preserve">WHat did foreign clones of DATAPAC allow for </t>
  </si>
  <si>
    <t>Downtown Fresno</t>
  </si>
  <si>
    <t>How are incomes distributed in Sweden?</t>
  </si>
  <si>
    <t>rainfall in the basin during the LGM was lower</t>
  </si>
  <si>
    <t>black earth</t>
  </si>
  <si>
    <t>returned to New York amid news that a massacre had occurred at Fort William Henry.</t>
  </si>
  <si>
    <t>Newton's Second Law of Motion</t>
  </si>
  <si>
    <t>a fee per unit of information transmitted</t>
  </si>
  <si>
    <t>submit to the punishment prescribed by law</t>
  </si>
  <si>
    <t>Force</t>
  </si>
  <si>
    <t>disadvantage low-income and under-represented minority applicants</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</si>
  <si>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</si>
  <si>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What separates the neuroimmune system and peripheral immune system in humans?</t>
  </si>
  <si>
    <t>Where did these uprisings take place?</t>
  </si>
  <si>
    <t>best, worst and average case complexity</t>
  </si>
  <si>
    <t>What religion's schools does the term 'parochial schools' generally refer to?</t>
  </si>
  <si>
    <t>the role of Yersinia pestis in the Black Death</t>
  </si>
  <si>
    <t>The Social Chapter is a chapter of what treaty?</t>
  </si>
  <si>
    <t>crowd out</t>
  </si>
  <si>
    <t>What was happening to subscriber numbers in other areas of europe?</t>
  </si>
  <si>
    <t>Other than its main central  business district, where are the majority of San Diego's business districts located?</t>
  </si>
  <si>
    <t>What region does use the term 'private schools' to refer to universities?</t>
  </si>
  <si>
    <t>Newtonian equations</t>
  </si>
  <si>
    <t>Brazilian National Institute of Amazonian Research</t>
  </si>
  <si>
    <t>using unreliable datagrams and associated end-to-end protocol mechanisms</t>
  </si>
  <si>
    <t>Standard &amp; Poor</t>
  </si>
  <si>
    <t>The Romans kept eight legions in five bases along the Rhine. The actual number of legions present at any base or in all, depended on whether a state or threat of war existed. Between about AD 14 and 180, the assignment of legions was as follows: for the army of Germania Inferior, two legions at Vetera (Xanten), I Germanica and XX Valeria (Pannonian troops); two legions at oppidum Ubiorum ("town of the Ubii"), which was renamed to Colonia Agrippina, descending to Cologne, V Alaudae, a Celtic legion recruited from Gallia Narbonensis and XXI, possibly a Galatian legion from the other side of the empire.</t>
  </si>
  <si>
    <t>an international data communications network</t>
  </si>
  <si>
    <t>Lorentz's Law</t>
  </si>
  <si>
    <t>In 2005, parts of the Amazon basin experienced the worst drought in one hundred years, and there were indications that 2006 could have been a second successive year of drought. A July 23, 2006 article in the UK newspaper The Independent reported Woods Hole Research Center results showing that the forest in its present form could survive only three years of drought. Scientists at the Brazilian National Institute of Amazonian Research argue in the article that this drought response, coupled with the effects of deforestation on regional climate, are pushing the rainforest towards a "tipping point" where it would irreversibly start to die. It concludes that the forest is on the brink of being turned into savanna or desert, with catastrophic consequences for the world's climate.</t>
  </si>
  <si>
    <t>What contributed to the severity of the plague?</t>
  </si>
  <si>
    <t>to render certain laws ineffective,</t>
  </si>
  <si>
    <t>Federal Minister of the Interior</t>
  </si>
  <si>
    <t>captive import</t>
  </si>
  <si>
    <t>imperialism often divides countries by using which technique?</t>
  </si>
  <si>
    <t>Several commemorative events take place every year. Gatherings of thousands of people on the banks of the Vistula on Midsummer’s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Midsummer’s Eve, apart from the official floating of wreaths, jumping over fires, looking for the fern flower, there are musical performances, dignitaries' speeches, fairs and fireworks by the river bank.</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</si>
  <si>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</si>
  <si>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Why does a lower level of economic growth occur due to high-end consumption?</t>
  </si>
  <si>
    <t>When did building activity occur on St. Kazimierz Church?</t>
  </si>
  <si>
    <t>captured</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</si>
  <si>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</si>
  <si>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DTIME(n2)</t>
  </si>
  <si>
    <t>tuition</t>
  </si>
  <si>
    <t>What denomination is associated with Saint Kentigern College?</t>
  </si>
  <si>
    <t xml:space="preserve">What completed the triad </t>
  </si>
  <si>
    <t>north</t>
  </si>
  <si>
    <t>human capital is neglected</t>
  </si>
  <si>
    <t>second-largest global producer</t>
  </si>
  <si>
    <t>upper lake</t>
  </si>
  <si>
    <t>Larry Roberts</t>
  </si>
  <si>
    <t>What is notable about the Amazon forest when it is seen from space?</t>
  </si>
  <si>
    <t>the colonies of British America and New France</t>
  </si>
  <si>
    <t>How much retail activity does the neighborhood have?</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</si>
  <si>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state’s survival while Mackinder supported Britain’s imperial expansion; these two arguments dominated the discipline for decades.</t>
  </si>
  <si>
    <t>creditor protection, labour rights to participate in work, or the public interest in collecting taxes</t>
  </si>
  <si>
    <t xml:space="preserve">What did DECnet originally do </t>
  </si>
  <si>
    <t>What interfered with Kublai's second invasion of Japan?</t>
  </si>
  <si>
    <t>Lexus</t>
  </si>
  <si>
    <t>The mechanism by which Y. pestis was usually transmitted</t>
  </si>
  <si>
    <t>by those who feel that only doctors can reliably assess contraindications, risk/benefit ratios, and an individual's overall suitability for use of a medication</t>
  </si>
  <si>
    <t>What was Joseph Haas arrested for?</t>
  </si>
  <si>
    <t>The Better Jacksonville Plan</t>
  </si>
  <si>
    <t>Mount Bogong</t>
  </si>
  <si>
    <t>inform the jury and the public of the political circumstances</t>
  </si>
  <si>
    <t>Maria Skłodowska-Curie Institute of Oncology</t>
  </si>
  <si>
    <t>share recordings</t>
  </si>
  <si>
    <t>can produce both eggs and sperm at the same time</t>
  </si>
  <si>
    <t>−11.7 °C (10.9 °F)</t>
  </si>
  <si>
    <t>What is one method of achieving aspirational consumption?</t>
  </si>
  <si>
    <t>a complete list of primes up to  is known</t>
  </si>
  <si>
    <t>anti-communist fervor</t>
  </si>
  <si>
    <t>41 °C</t>
  </si>
  <si>
    <t>Name the other way that the Plowshares organization temporarily closed?</t>
  </si>
  <si>
    <t>The immune system protects organisms against what?</t>
  </si>
  <si>
    <t>melt</t>
  </si>
  <si>
    <t>Some civil disobedients feel it is incumbent upon them to accept punishment because of their belief in the validity of the social contract, which is held to bind all to obey the laws that a government meeting certain standards of legitimacy has established, or else suffer the penalties set out in the law. Other civil disobedients who favor the existence of government still don't believe in the legitimacy of their particular government, or don't believe in the legitimacy of a particular law it has enacted. And still other civil disobedients, being anarchists, don't believe in the legitimacy of any government, and therefore see no need to accept punishment for a violation of criminal law that does not infringe the rights of others.</t>
  </si>
  <si>
    <t>What ends at this bend in the Rhine?</t>
  </si>
  <si>
    <t>Why is Warsaw's flora very rich in species?</t>
  </si>
  <si>
    <t>In addition to English, what language is also often taught in Nepalese private schools?</t>
  </si>
  <si>
    <t>Datanet 1 only referred to the network and the connected users via leased lines</t>
  </si>
  <si>
    <t>The basic unit of territorial division in Poland is a commune (gmina). A city is also a commune – but with the city charter. Both cities and communes are governed by a mayor – but in the communes the mayor is vogt (wójt in Polish), however in the cities – burmistrz. Some bigger cities obtain the entitlements, i.e. tasks and privileges, which are possessed by the units of the second level of the territorial division –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Kraków, Gdańsk, Poznań. In Warsaw, its districts additionally have some of powiat's entitlements – like already mentioned car registration. For example, the district Wola has its own evidence and the district Ursynów – its own (and the cars from Wola have another type of registration number than these from Ursynów). But for instance the districts in Kraków do not have entitlements of powiat, so the registration numbers in Kraków are of the same type for all districts.</t>
  </si>
  <si>
    <t>to emphasize academics over athletics,</t>
  </si>
  <si>
    <t>the founding of new Protestant churches in Catholic-controlled regions</t>
  </si>
  <si>
    <t>women retire at age 60 and men at 65</t>
  </si>
  <si>
    <t>What is the edge of the moraine plateau called?</t>
  </si>
  <si>
    <t>University of Aberdeen</t>
  </si>
  <si>
    <t>In England, in the absence of census figures, historians propose a range of preincident population figures from as high as 7 million to as low as 4 million in 1300, and a postincident population figure as low as 2 million. By the end of 1350, the Black Death subsided, but it never really died out in England. Over the next few hundred years, further outbreaks occurred in 1361–62, 1369, 1379–83, 1389–93, and throughout the first half of the 15th century. An outbreak in 1471 took as much as 10–15% of the population, while the death rate of the plague of 1479–80 could have been as high as 20%. The most general outbreaks in Tudor and Stuart England seem to have begun in 1498, 1535, 1543, 1563, 1589, 1603, 1625, and 1636, and ended with the Great Plague of London in 1665.</t>
  </si>
  <si>
    <t>Sky Three</t>
  </si>
  <si>
    <t>From the Eocene onwards, the ongoing Alpine orogeny caused a N–S rift system to develop in this zone. The main elements of this rift are the Upper Rhine Graben, in southwest Germany and eastern France and the Lower Rhine Embayment, in northwest Germany and the southeastern Netherlands. By the time of the Miocene, a river system had developed in the Upper Rhine Graben, that continued northward and is considered the first Rhine river. At that time, it did not yet carry discharge from the Alps; instead, the watersheds of the Rhone and Danube drained the northern flanks of the Alps.</t>
  </si>
  <si>
    <t>Who invited Washington to dine with him?</t>
  </si>
  <si>
    <t>to make the hosts responsible for reliable delivery of data, rather than the network itself</t>
  </si>
  <si>
    <t>What did historians do in the absence of census figures?</t>
  </si>
  <si>
    <t>explore computer networking</t>
  </si>
  <si>
    <t>declared Japan a "nonfriendly" country</t>
  </si>
  <si>
    <t>raises the productivity of each worker</t>
  </si>
  <si>
    <t>What is the name of the organization in charge of running the clubs at the university?</t>
  </si>
  <si>
    <t>Doc Films</t>
  </si>
  <si>
    <t>lower lake</t>
  </si>
  <si>
    <t>The French population numbered about 75,000 and was heavily concentrated along the St. Lawrence River valley, with some also in Acadia (present-day New Brunswick and parts of Nova Scotia, including Île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</si>
  <si>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How many events occur in an engine cycle?</t>
  </si>
  <si>
    <t>pump</t>
  </si>
  <si>
    <t>A number of researchers (David Rodda, Jacob Vigdor, and Janna Matlack), argue that a shortage of affordable housing – at least in the US – is caused in part by income inequality. David Rodda noted that from 1984 and 1991, the number of quality rental units decreased as the demand for higher quality housing increased (Rhoda 1994:148). Through gentrification of older neighbourhoods, for example, in East New York, rental prices increased rapidly as landlords found new residents willing to pay higher market rate for housing and left lower income families without rental units. The ad valorem property tax policy combined with rising prices made it difficult or impossible for low income residents to keep pace.</t>
  </si>
  <si>
    <t>After reopening, where will the art pieces be located after restoration?</t>
  </si>
  <si>
    <t>Since the 1970s</t>
  </si>
  <si>
    <t>ranked above</t>
  </si>
  <si>
    <t>Who added to Dioscorides' book in the Islamic Golden Age?</t>
  </si>
  <si>
    <t>How are 'un-aided' schools different from 'aided' schools?</t>
  </si>
  <si>
    <t>the United Nations</t>
  </si>
  <si>
    <t>Common Core</t>
  </si>
  <si>
    <t>How do private schools in Ireland differ from most?</t>
  </si>
  <si>
    <t xml:space="preserve">What is Donald Davies credited with </t>
  </si>
  <si>
    <t>non-peer-reviewed sources</t>
  </si>
  <si>
    <t>participant in the IPCC and coordinating lead author of the Fifth Assessment Report</t>
  </si>
  <si>
    <t>a violation of criminal law that does not infringe the rights of others.</t>
  </si>
  <si>
    <t>The uniflow engine is an attempt to fix an issue that arises in what cycle?</t>
  </si>
  <si>
    <t>Several project structures can assist the owner in this integration, including design-build, partnering and construction management. In general, each of these project structures allows the owner to integrate the services of architects, interior designers, engineers and constructors throughout design and construction. In response, many companies are growing beyond traditional offerings of design or construction services alone and are placing more emphasis on establishing relationships with other necessary participants through the design-build process.</t>
  </si>
  <si>
    <t>What happens when a person's capabilities aer lowered, as it relates to their income?</t>
  </si>
  <si>
    <t>the Han Chinese, Khitans, Jurchens, Mongols, and Tibetan Buddhists</t>
  </si>
  <si>
    <t>Where was the Feb 2010 call for change published?</t>
  </si>
  <si>
    <t>Political advantage is an attribute of which state policies?</t>
  </si>
  <si>
    <t>What are other major fatality causes?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</si>
  <si>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</si>
  <si>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WBAI's broadcasting Some of George Carlin's comedy eventually led to what?</t>
  </si>
  <si>
    <t>The IPCC does not carry out research nor does it monitor climate related data. Lead authors of IPCC reports assess the available information about climate change based on published sources. According to IPCC guidelines, authors should give priority to peer-reviewed sources. Authors may refer to non-peer-reviewed sources (the "grey literature"), provided that they are of sufficient quality. Examples of non-peer-reviewed sources include model results, reports from government agencies and non-governmental organizations, and industry journals. Each subsequent IPCC report notes areas where the science has improved since the previous report and also notes areas where further research is required.</t>
  </si>
  <si>
    <t>Geoglyphs dating to what period were found in deforested land along the Amazon River?</t>
  </si>
  <si>
    <t>What is the primary goal of pleading not guilty when arrested for Civil Disobedience?</t>
  </si>
  <si>
    <t>throughout its North American provinces</t>
  </si>
  <si>
    <t>Sky_(United_Kingdom)</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</si>
  <si>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2O(√(n log(n))) for graphs with n vertices.</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</si>
  <si>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</si>
  <si>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What kind of contract is given when the contractor is given a performance specification and must undertake the project from design to construction, while adhering to the performance specifications?</t>
  </si>
  <si>
    <t>What made the student decide to occupy the president's office in protest?</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</si>
  <si>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</si>
  <si>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Wise up or die</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</si>
  <si>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</si>
  <si>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The concept of prime number is so important that it has been generalized in different ways in various branches of mathematics. Generally, "prime" indicates minimality or indecomposability, in an appropriate sense. For example, the prime field is the smallest subfield of a field F containing both 0 and 1. It is either Q or the finite field with p elements, whence the name. Often a second, additional meaning is intended by using the word prime, namely that any object can be, essentially uniquely, decomposed into its prime components. For example, in knot theory, a prime knot is a knot that is indecomposable in the sense that it cannot be written as the knot sum of two nontrivial knots. Any knot can be uniquely expressed as a connected sum of prime knots. Prime models and prime 3-manifolds are other examples of this type.</t>
  </si>
  <si>
    <t>level fell significantly</t>
  </si>
  <si>
    <t>demand for higher quality housing increased</t>
  </si>
  <si>
    <t>What was the attack on the British weakness?</t>
  </si>
  <si>
    <t>Kosher butchering</t>
  </si>
  <si>
    <t>weight</t>
  </si>
  <si>
    <t>In what expression can one expect to find DTIME(n)</t>
  </si>
  <si>
    <t>Economist Simon Kuznets argued that levels of economic inequality are in large part the result of stages of development. According to Kuznets, countries with low levels of development have relatively equal distributions of wealth. As a country develops, it acquires more capital, which leads to the owners of this capital having more wealth and income and introducing inequality. Eventually, through various possible redistribution mechanisms such as social welfare programs, more developed countries move back to lower levels of inequality.</t>
  </si>
  <si>
    <t>Yuan_dynasty</t>
  </si>
  <si>
    <t>René-Robert Cavelier, Sieur de La Salle had explored the Ohio Country</t>
  </si>
  <si>
    <t>algebraic number theory</t>
  </si>
  <si>
    <t>fluid–brain barriers</t>
  </si>
  <si>
    <t>When was the European portion of the Seven Years War complete?</t>
  </si>
  <si>
    <t>strictly contained in P or equal to P</t>
  </si>
  <si>
    <t>use in the ARPANET</t>
  </si>
  <si>
    <t>fish larvae and organisms that would otherwise have fed the fish</t>
  </si>
  <si>
    <t>When did the Rhine stop being the Roman boundary?</t>
  </si>
  <si>
    <t>What does Obersee mean?</t>
  </si>
  <si>
    <t>reduced rainfall and increased temperatures</t>
  </si>
  <si>
    <t>When was the St. Bartholomew's Day Massacre?</t>
  </si>
  <si>
    <t>second level</t>
  </si>
  <si>
    <t>the Harris School of Public Policy Studies</t>
  </si>
  <si>
    <t>Division I</t>
  </si>
  <si>
    <t>the opening of hostilities</t>
  </si>
  <si>
    <t>Why might rats not be responsible for the plague?</t>
  </si>
  <si>
    <t>co-chair of the IPCC working group II</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</si>
  <si>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</si>
  <si>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Transcendentalist Unitarian</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</si>
  <si>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</si>
  <si>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30–60%</t>
  </si>
  <si>
    <t>"self" peptides</t>
  </si>
  <si>
    <t>several hundred horsepower</t>
  </si>
  <si>
    <t>a citizen or company can invoke a Directive, not just in a dispute with a public authority, but in a dispute with another citizen or company</t>
  </si>
  <si>
    <t>In order to better understand the orientations of faults and folds, structural geologists do what with measurements of geological structures?</t>
  </si>
  <si>
    <t>What fields of study were advanced during the Yuan?</t>
  </si>
  <si>
    <t>writing a five volume book in his native Greek</t>
  </si>
  <si>
    <t>carbon related emissions</t>
  </si>
  <si>
    <t>avoiding attribution</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</si>
  <si>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</si>
  <si>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</si>
  <si>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When did oxygen begin to move from the oceans to the atmosphere?</t>
  </si>
  <si>
    <t>In which case did the Court state that Austria was not allowed to hold places in Austrian schools exclusively for Austrian students?</t>
  </si>
  <si>
    <t>worker, capitalist/business owner, landlord</t>
  </si>
  <si>
    <t>What was the premise of Woodrow Wilson's inquiry?</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</si>
  <si>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</si>
  <si>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pre-allocates</t>
  </si>
  <si>
    <t>p is not a prime factor of q.</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</si>
  <si>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François, the hero of the First World War Battle of Tannenberg, Luftwaffe General and fighter ace Adolf Galland, Luftwaffe flying ace Hans-Joachim Marseille, and famed U-boat captain Lothar von Arnauld de la Perière. The last Prime Minister of the (East) German Democratic Republic, Lothar de Maizière, is also a descendant of a Huguenot family, as is the German Federal Minister of the Interior, Thomas de Maizière.</t>
  </si>
  <si>
    <t>opposite end from the mouth</t>
  </si>
  <si>
    <t>24 August – 3 October 1572</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</si>
  <si>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</si>
  <si>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</si>
  <si>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individually</t>
  </si>
  <si>
    <t>the Blum complexity axioms</t>
  </si>
  <si>
    <t>colonizing, influencing, and annexing other parts of the world in order to gain political power</t>
  </si>
  <si>
    <t>helping Adolf Hitler's rise to power</t>
  </si>
  <si>
    <t>a military coup d'état</t>
  </si>
  <si>
    <t>decline in hormone levels</t>
  </si>
  <si>
    <t>topographic</t>
  </si>
  <si>
    <t>Which two compounds did Al-Muwaffaq differentiate between?</t>
  </si>
  <si>
    <t xml:space="preserve">Stephen Eilmann demonstrates covert law breaking in Nazi Germany.   Citizen's illegally had been doing what? </t>
  </si>
  <si>
    <t>fund travelers who would come back with tales of their discoveries</t>
  </si>
  <si>
    <t>green</t>
  </si>
  <si>
    <t>Treaty of Rome 1957 and the Maastricht Treaty 1992</t>
  </si>
  <si>
    <t>What is European Union Law?</t>
  </si>
  <si>
    <t>their dispersed population and distance from the Scottish Parliament in Edinburgh</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</si>
  <si>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</si>
  <si>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successfully cut off the French frontier forts further to the west and south</t>
  </si>
  <si>
    <t>What was Henry IV known as before taking the throne?</t>
  </si>
  <si>
    <t>designed to equip students with necessary skill sets to be able to perform at work</t>
  </si>
  <si>
    <t>late 1980s</t>
  </si>
  <si>
    <t>Following the Cretaceous–Paleogene extinction event, the extinction of the dinosaurs and the wetter climate may have allowed the tropical rainforest to spread out across the continent. From 66–34 Mya, the rainforest extended as far south as 45°. Climate fluctuations during the last 34 million years have allowed savanna regions to expand into the tropics. During the Oligocene, for example, the rainforest spanned a relatively narrow band. It expanded again during the Middle Miocene, then retracted to a mostly inland formation at the last glacial maximum. However, the rainforest still managed to thrive during these glacial periods, allowing for the survival and evolution of a broad diversity of species.</t>
  </si>
  <si>
    <t>Some civil disobedience defendants choose to make a defiant speech, or a speech explaining their actions, in allocution. In U.S. v. Burgos-Andujar, a defendant who was involved in a movement to stop military exercises by trespassing on U.S. Navy property argued to the court in allocution that "the ones who are violating the greater law are the members of the Navy". As a result, the judge increased her sentence from 40 to 60 days. This action was upheld because, according to the U.S. Court of Appeals for the First Circuit, her statement suggested a lack of remorse, an attempt to avoid responsibility for her actions, and even a likelihood of repeating her illegal actions. Some of the other allocution speeches given by the protesters complained about mistreatment from government officials.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</si>
  <si>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</si>
  <si>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Why were Southern Chinese ranked lower?</t>
  </si>
  <si>
    <t>life expectancy</t>
  </si>
  <si>
    <t>a method which pre-allocates dedicated network bandwidth specifically for each communication session</t>
  </si>
  <si>
    <t>What has been the main reason for the shift to the view that income inequality harms growth?</t>
  </si>
  <si>
    <t>9th</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</si>
  <si>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</si>
  <si>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a body of treaties and legislation, such as Regulations and Directives</t>
  </si>
  <si>
    <t>How does inequality prevent growth?</t>
  </si>
  <si>
    <t>What did the SNP publicly opine about the oil revenues?</t>
  </si>
  <si>
    <t>medicine use reviews</t>
  </si>
  <si>
    <t>Who did the Mongols send to Bukhara as administrators?</t>
  </si>
  <si>
    <t>a suite of network protocols created by Digital Equipment Corporation</t>
  </si>
  <si>
    <t>How were Huguenot settlers assimilated into North American society at large?</t>
  </si>
  <si>
    <t>the southern and central parts of France</t>
  </si>
  <si>
    <t>Why should disobedience by the general public be avoided?</t>
  </si>
  <si>
    <t>How did the Better Jacksonville Plan generate money?</t>
  </si>
  <si>
    <t>Swiss-Austrian border</t>
  </si>
  <si>
    <t xml:space="preserve">How is circuit switching charecterized </t>
  </si>
  <si>
    <t>("upper lake"</t>
  </si>
  <si>
    <t>Where can a tribute to the fall of Warsaw be found?</t>
  </si>
  <si>
    <t>Since about the year 2000, a growing number of Internet pharmacies have been established worldwide. Many of these pharmacies are similar to community pharmacies, and in fact, many of them are actually operated by brick-and-mortar community pharmacies that serve consumers online and those that walk in their door. The primary difference is the method by which the medications are requested and received. Some customers consider this to be more convenient and private method rather than traveling to a community drugstore where another customer might overhear about the drugs that they take. Internet pharmacies (also known as online pharmacies) are also recommended to some patients by their physicians if they are homebound.</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</si>
  <si>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</si>
  <si>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climate change in addition to deforestation</t>
  </si>
  <si>
    <t>What did the development of this fertile soil provide in hostile environment?</t>
  </si>
  <si>
    <t>The academic bodies of the University of Chicago consist of the College, four divisions of graduate research and seven professional schools. The university also contains a library system, the University of Chicago Press, the University of Chicago Laboratory Schools, and the University of Chicago Medical Center, and holds ties with a number of independent academic institutions, including Fermilab, Argonne National Laboratory, and the Marine Biological Laboratory. The university is accredited by The Higher Learning Commission.</t>
  </si>
  <si>
    <t>Prince of Płock</t>
  </si>
  <si>
    <t>punish the Miami people</t>
  </si>
  <si>
    <t>river systems</t>
  </si>
  <si>
    <t>For a phylum with relatively few species, ctenophores have a wide range of body plans. Coastal species need to be tough enough to withstand waves and swirling sediment particles, while some oceanic species are so fragile that it is very difficult to capture them intact for study. In addition oceanic species do not preserve well, and are known mainly from photographs and from observers' notes. Hence most attention has until recently concentrated on three coastal genera – Pleurobrachia, Beroe and Mnemiopsis. At least two textbooks base their descriptions of ctenophores on the cydippid Pleurobrachia.</t>
  </si>
  <si>
    <t>Public-Private Partnering</t>
  </si>
  <si>
    <t>Education Service Contracting</t>
  </si>
  <si>
    <t>Jamboree Business Parks belongs to which business center?</t>
  </si>
  <si>
    <t>William of Orange</t>
  </si>
  <si>
    <t>100</t>
  </si>
  <si>
    <t>Which company provided streetcar connections between downtown and the hospital?</t>
  </si>
  <si>
    <t>Some theories of civil disobedience hold that civil disobedience is only justified against governmental entities. Brownlee argues that disobedience in opposition to the decisions of non-governmental agencies such as trade unions, banks, and private universities can be justified if it reflects "a larger challenge to the legal system that permits those decisions to be taken". The same principle, she argues, applies to breaches of law in protest against international organizations and foreign governments.</t>
  </si>
  <si>
    <t>the most cost efficient bidder</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</si>
  <si>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</si>
  <si>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NASA's CALIPSO satellite has measured the amount of dust transported by wind from the Sahara to the Amazon: an average 182 million tons of dust are windblown out of the Sahara each year, at 15 degrees west longitude, across 1,600 miles (2,600 km) over the Atlantic Ocean (some dust falls into the Atlantic), then at 35 degrees West longitude at the eastern coast of South America, 27.7 million tons (15%) of dust fall over the Amazon basin, 132 million tons of dust remain in the air, 43 million tons of dust are windblown and falls on the Caribbean Sea, past 75 degrees west longitude.</t>
  </si>
  <si>
    <t>demolished</t>
  </si>
  <si>
    <t>rapidly raising population and traffic in cities along SR 99</t>
  </si>
  <si>
    <t>beta decay</t>
  </si>
  <si>
    <t>What are some other factors a pharmacist must monitor?</t>
  </si>
  <si>
    <t>What time framd does the Seven Years War cover?</t>
  </si>
  <si>
    <t>glass-making</t>
  </si>
  <si>
    <t>Why is the seating of the debating chamber arranged as it is?</t>
  </si>
  <si>
    <t>public charter schools on the South Side of Chicago</t>
  </si>
  <si>
    <t>Mughal state</t>
  </si>
  <si>
    <t xml:space="preserve">What treaty took the place of constitutional treaty? </t>
  </si>
  <si>
    <t>hiding a Jew</t>
  </si>
  <si>
    <t>What is the animal that the Rhine's islands are named after?</t>
  </si>
  <si>
    <t>NP-complete knapsack problem</t>
  </si>
  <si>
    <t>What organization predicted that the Amazon forest could survive only three years of drought?</t>
  </si>
  <si>
    <t>Members of which organizations are disqualified from sitting in the SP as elected MSPs?</t>
  </si>
  <si>
    <t>Bento de Moura Portugal</t>
  </si>
  <si>
    <t>behind the foot of the mast</t>
  </si>
  <si>
    <t>In most jurisdictions (such as the United States), pharmacists are regulated separately from physicians. These jurisdictions also usually specify that only pharmacists may supply scheduled pharmaceuticals to the public, and that pharmacists cannot form business partnerships with physicians or give them "kickback" payments. However, the American Medical Association (AMA) Code of Ethics provides that physicians may dispense drugs within their office practices as long as there is no patient exploitation and patients have the right to a written prescription that can be filled elsewhere. 7 to 10 percent of American physicians practices reportedly dispense drugs on their own.</t>
  </si>
  <si>
    <t>the direction in which the mouth is pointing</t>
  </si>
  <si>
    <t xml:space="preserve">The business allowed for private companies to do what </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</si>
  <si>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</si>
  <si>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supporting function</t>
  </si>
  <si>
    <t>medication management system development, deployment and optimization</t>
  </si>
  <si>
    <t>can produce both eggs and sperm</t>
  </si>
  <si>
    <t>sell prescription drugs and require a valid prescription</t>
  </si>
  <si>
    <t>1978 Supreme Court case of FCC v. Pacifica Foundation</t>
  </si>
  <si>
    <t>soft power</t>
  </si>
  <si>
    <t>How many schools of medicine were recognized in China?</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</si>
  <si>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</si>
  <si>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anti-democratic Islamist movements</t>
  </si>
  <si>
    <t>the Battle of Bạch Đằng</t>
  </si>
  <si>
    <t>What impact does workers working harder have on productivity of a business?</t>
  </si>
  <si>
    <t>applied mathematics to the construction of calendars</t>
  </si>
  <si>
    <t>How many narrow gauge rail lines were previously government owned?</t>
  </si>
  <si>
    <t>Lobates have eight comb-rows, originating at the aboral pole and usually not extending beyond the body to the lobes; in species with (four) auricles, the cilia edging the auricles are extensions of cilia in four of the comb rows. Most lobates are quite passive when moving through the water, using the cilia on their comb rows for propulsion, although Leucothea has long and active auricles whose movements also contribute to propulsion. Members of the lobate genera Bathocyroe and Ocyropsis can escape from danger by clapping their lobes, so that the jet of expelled water drives them backwards very quickly. Unlike cydippids, the movements of lobates' combs are coordinated by nerves rather than by water disturbances created by the cilia, yet combs on the same row beat in the same Mexican wave style as the mechanically coordinated comb rows of cydippids and beroids. This may have enabled lobates to grow larger than cydippids and to have shapes that are less egg-like.</t>
  </si>
  <si>
    <t>exoskeleton</t>
  </si>
  <si>
    <t>decline in hormone levels with age</t>
  </si>
  <si>
    <t>follows the same procedures as for IPCC Assessment Reports</t>
  </si>
  <si>
    <t>the Miller–Rabin primality test</t>
  </si>
  <si>
    <t>fabricating evidence or committing perjury</t>
  </si>
  <si>
    <t>Warsaw Uprising Museum</t>
  </si>
  <si>
    <t>"Donkey")</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</si>
  <si>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</si>
  <si>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How many parts does the consideration of a bill in Stage 3 have?</t>
  </si>
  <si>
    <t>Fulton Street in Downtown Fresno was Fresno's main financial and commercial district before being converted into one of the nation's first pedestrian malls in 1964. Renamed the Fulton Mall, the area contains the densest collection of historic buildings in Fresno. While the Fulton Mall corridor has suffered a sharp decline from its heyday, the Mall includes some of the finest public art pieces in the country, including the only Pierre-Auguste Renoir piece in the world that one can walk up to and touch. Current plans call for the reopening of the Fulton Mall to automobile traffic. The public art pieces will be restored and placed near their current locations and will feature wide sidewalks (up to 28' on the east side of the street) to continue with the pedestrian friendly environment of the district.</t>
  </si>
  <si>
    <t>When is the Warsaw Gallery Weekend held?</t>
  </si>
  <si>
    <t>What type of punishment is sometimes offered to civil disobedients?</t>
  </si>
  <si>
    <t>"Bold New City of the South"</t>
  </si>
  <si>
    <t>Summer Breeze</t>
  </si>
  <si>
    <t>Dutch East India Company</t>
  </si>
  <si>
    <t>Battle of Olustee</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</si>
  <si>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</si>
  <si>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ten-horsepower</t>
  </si>
  <si>
    <t>sending an email</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</si>
  <si>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</si>
  <si>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Where was there a weakness in British supply chain?</t>
  </si>
  <si>
    <t>incorporations would only be nullified for a fixed list of reasons</t>
  </si>
  <si>
    <t>passing a stream of clean, dry air through one bed of a pair of identical zeolite molecular sieves, which absorbs the nitrogen</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</si>
  <si>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</si>
  <si>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</si>
  <si>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Colorado Desert</t>
  </si>
  <si>
    <t>construction of the $1.2 billion Allston Science Complex</t>
  </si>
  <si>
    <t>render certain laws ineffective</t>
  </si>
  <si>
    <t>"wrecking amendments"</t>
  </si>
  <si>
    <t>N–S rift system</t>
  </si>
  <si>
    <t>only justified against governmental entities</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</si>
  <si>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</si>
  <si>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three weight rooms</t>
  </si>
  <si>
    <t>guilty of doing no wrong</t>
  </si>
  <si>
    <t>the traditional old boy network</t>
  </si>
  <si>
    <t xml:space="preserve">X.25 uses what type network type </t>
  </si>
  <si>
    <t>Which conjecture holds that every even integer n greater than 2 can be expressed as a sum of two primes?</t>
  </si>
  <si>
    <t>semantical problems and grammatical niceties</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</si>
  <si>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</si>
  <si>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In the centre of Basel, the first major city in the course of the stream, is located the "Rhine knee"; this is a major bend, where the overall direction of the Rhine changes from West to North. Here the High Rhine ends. Legally, the Central Bridge is the boundary between High and Upper Rhine. The river now flows North as Upper Rhine through the Upper Rhine Plain, which is about 300 km long and up to 40 km wide. The most important tributaries in this area are the Ill below of Strasbourg, the Neckar in Mannheim and the Main across from Mainz. In Mainz, the Rhine leaves the Upper Rhine Valley and flows through the Mainz Basin.</t>
  </si>
  <si>
    <t>GTE</t>
  </si>
  <si>
    <t>an attack on New France's capital, Quebec</t>
  </si>
  <si>
    <t>What degree is now mandatory in the U.S. in order to be a licensed pharmacist?</t>
  </si>
  <si>
    <t>failed</t>
  </si>
  <si>
    <t>capturing three traders and killing 14 people</t>
  </si>
  <si>
    <t>Oxygen presents two spectrophotometric absorption bands peaking at the wavelengths 687 and 760 nm. Some remote sensing scientists have proposed using the measurement of the radiance coming from vegetation canopies in those bands to characterize plant health status from a satellite platform. This approach exploits the fact that in those bands it is possible to discriminate the vegetation's reflectance from its fluorescence, which is much weaker. The measurement is technically difficult owing to the low signal-to-noise ratio and the physical structure of vegetation; but it has been proposed as a possible method of monitoring the carbon cycle from satellites on a global scale.</t>
  </si>
  <si>
    <t>How many seats did the SNP take from the Liberal Democrats?</t>
  </si>
  <si>
    <t>the Treaties establishing the European Union</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</si>
  <si>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</si>
  <si>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a comb jelly</t>
  </si>
  <si>
    <t>Euclid</t>
  </si>
  <si>
    <t>What is the second level of territorial division in Poland?</t>
  </si>
  <si>
    <t>An igneous rock is a rock that crystallizes from what?</t>
  </si>
  <si>
    <t>dial-up terminal to a PAD, or, by linking a permanent X.25 node</t>
  </si>
  <si>
    <t>rotifers and mollusc and crustacean larvae</t>
  </si>
  <si>
    <t>2nd century BCE</t>
  </si>
  <si>
    <t xml:space="preserve">By 199 how many universities were connected </t>
  </si>
  <si>
    <t>not being a civil disobedient</t>
  </si>
  <si>
    <t>What is the name of Harvard's primary recreational sports facility?</t>
  </si>
  <si>
    <t>What is the strongest main interaction?</t>
  </si>
  <si>
    <t>Around 2.5 million years ago (ending 11,600 years ago) was the geological period of the Ice Ages. Since approximately 600,000 years ago, six major Ice Ages have occurred, in which sea level dropped 120 m (390 ft) and much of the continental margins became exposed. In the Early Pleistocene, the Rhine followed a course to the northwest, through the present North Sea. During the so-called Anglian glaciation (~450,000 yr BP, marine oxygen isotope stage 12), the northern part of the present North Sea was blocked by the ice and a large lake developed, that overflowed through the English Channel. This caused the Rhine's course to be diverted through the English Channel. Since then, during glacial times, the river mouth was located offshore of Brest, France and rivers, like the Thames and the Seine, became tributaries to the Rhine. During interglacials, when sea level rose to approximately the present level, the Rhine built deltas, in what is now the Netherlands.</t>
  </si>
  <si>
    <t>repulsion of like charges under the influence of the electromagnetic force</t>
  </si>
  <si>
    <t>within the dispensary compounding/dispensing medications</t>
  </si>
  <si>
    <t>What remained an important issue in Scottish national identity for many years?</t>
  </si>
  <si>
    <t>decentralized network with multiple paths between any two points</t>
  </si>
  <si>
    <t>In the early 1950s, student applications declined as a result of increasing crime and poverty in the Hyde Park neighborhood. In response, the university became a major sponsor of a controversial urban renewal project for Hyde Park, which profoundly affected both the neighborhood's architecture and street plan. During this period the university, like Shimer College and 10 others, adopted an early entrant program that allowed very young students to attend college; in addition, students enrolled at Shimer were enabled to transfer automatically to the University of Chicago after their second year, having taken comparable or identical examinations and courses.</t>
  </si>
  <si>
    <t>British failures in North America, combined with other failures in the European theater</t>
  </si>
  <si>
    <t>surrendering either its continental North American possessions east of the Mississippi or the Caribbean islands of Guadeloupe and Martinique</t>
  </si>
  <si>
    <t>The "Hugues hypothesis"</t>
  </si>
  <si>
    <t>a single output</t>
  </si>
  <si>
    <t>about one-eighth the number</t>
  </si>
  <si>
    <t>the crust and rigid uppermost portion of the upper mantle</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</si>
  <si>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</si>
  <si>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</si>
  <si>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What did S&amp;P recommend to somewhat remedy the wealth gap?</t>
  </si>
  <si>
    <t>Where does southern California's megalopolis standard in terms of population nationwide?</t>
  </si>
  <si>
    <t>What is the name of the university's summer festival?</t>
  </si>
  <si>
    <t>In Ancient Greece, Diocles of Carystus (4th century BC) was one of several men studying the medicinal properties of plants. He wrote several treatises on the topic. The Greek physician Pedanius Dioscorides is famous for writing a five volume book in his native Greek Περί ύλης ιατρικής in the 1st century AD. The Latin translation De Materia Medica (Concerning medical substances) was used a basis for many medieval texts, and was built upon by many middle eastern scientists during the Islamic Golden Age. The title coined the term materia medica.</t>
  </si>
  <si>
    <t>Why is it difficult to resolve disagreements about the changes in the Amazon rainforest?</t>
  </si>
  <si>
    <t>Where was the disease spreading between 1348 and 1350?</t>
  </si>
  <si>
    <t>North</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</si>
  <si>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</si>
  <si>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 xml:space="preserve">What is a connection identifier </t>
  </si>
  <si>
    <t>What was one of the Norman's major exports?</t>
  </si>
  <si>
    <t>Where is the aboral organ located?</t>
  </si>
  <si>
    <t>a method which pre-allocates dedicated network bandwidth</t>
  </si>
  <si>
    <t>often damaging</t>
  </si>
  <si>
    <t>Wilson's</t>
  </si>
  <si>
    <t>the official declaration of war in 1756 to the signing of the peace treaty in 1763</t>
  </si>
  <si>
    <t>What was the name of the approved measure that helped cover the cost of major city projects?</t>
  </si>
  <si>
    <t>Downtown Riverside</t>
  </si>
  <si>
    <t>can have infinitely many primes only when a and q are coprime, i.e., their greatest common divisor is one. If this necessary condition is satisfied, Dirichlet's theorem on arithmetic progressions asserts that the progression contains infinitely many primes. The picture below illustrates this with q = 9: the numbers are "wrapped around" as soon as a multiple of 9 is passed. Primes are highlighted in red. The rows (=progressions) starting with a = 3, 6, or 9 contain at most one prime number. In all other rows (a = 1, 2, 4, 5, 7, and 8) there are infinitely many prime numbers. What is more, the primes are distributed equally among those rows in the long run—the density of all primes congruent a modulo 9 is 1/6.</t>
  </si>
  <si>
    <t>Killer T cells can only recognize antigens coupled to what kind of molecules?</t>
  </si>
  <si>
    <t>What is a way you can show police officers civil disobedience ?</t>
  </si>
  <si>
    <t>direct civil disobedience</t>
  </si>
  <si>
    <t>From the death of Augustus in AD 14 until after AD 70, Rome accepted as her Germanic frontier the water-boundary of the Rhine and upper Danube. Beyond these rivers she held only the fertile plain of Frankfurt, opposite the Roman border fortress of Moguntiacum (Mainz), the southernmost slopes of the Black Forest and a few scattered bridge-heads. The northern section of this frontier, where the Rhine is deep and broad, remained the Roman boundary until the empire fell. The southern part was different. The upper Rhine and upper Danube are easily crossed. The frontier which they form is inconveniently long, enclosing an acute-angled wedge of foreign territory between the modern Baden and Württemberg. The Germanic populations of these lands seem in Roman times to have been scanty, and Roman subjects from the modern Alsace-Lorraine had drifted across the river eastwards.</t>
  </si>
  <si>
    <t>telecommunications</t>
  </si>
  <si>
    <t>Initially built with three layers, it later (1982) evolved into a seven-layer OSI-compliant networking protocol</t>
  </si>
  <si>
    <t>could be profitable</t>
  </si>
  <si>
    <t xml:space="preserve">Who else did DATNET 1 refer to </t>
  </si>
  <si>
    <t>Pauli repulsion</t>
  </si>
  <si>
    <t>reduce costs and maximize profits</t>
  </si>
  <si>
    <t>March 1974</t>
  </si>
  <si>
    <t>means to invest</t>
  </si>
  <si>
    <t>primary law, secondary law and supplementary law</t>
  </si>
  <si>
    <t>France Antarctique</t>
  </si>
  <si>
    <t>The packet header can be small, as it only needs to contain this code and any information, such as length, timestamp, or sequence number</t>
  </si>
  <si>
    <t>The adaptive immune system recognizes non-self antigens during a process called what?</t>
  </si>
  <si>
    <t>Structural geologists use microscopic analysis of oriented thin sections of geologic samples to observe the fabric within the rocks which gives information about strain within the crystalline structure of the rocks. They also plot and combine measurements of geological structures in order to better understand the orientations of faults and folds in order to reconstruct the history of rock deformation in the area. In addition, they perform analog and numerical experiments of rock deformation in large and small settings.</t>
  </si>
  <si>
    <t>inherited from the Jin dynasty</t>
  </si>
  <si>
    <t>Why were the 2011 Special Reports issued?</t>
  </si>
  <si>
    <t>The region is home to about 2.5 million insect species, tens of thousands of plants, and some 2,000 birds and mammals. To date, at least 40,000 plant species, 2,200 fishes, 1,294 birds, 427 mammals, 428 amphibians, and 378 reptiles have been scientifically classified in the region. One in five of all the bird species in the world live in the rainforests of the Amazon, and one in five of the fish species live in Amazonian rivers and streams. Scientists have described between 96,660 and 128,843 invertebrate species in Brazil alone.</t>
  </si>
  <si>
    <t>the St. Lawrence and Mississippi watersheds</t>
  </si>
  <si>
    <t>What type of civil disobedience is larger scale?</t>
  </si>
  <si>
    <t>tallest building in Downtown Jacksonville</t>
  </si>
  <si>
    <t>What was Iqbal studying in England and Germany?</t>
  </si>
  <si>
    <t>What writing inspired the name Great Yuan?</t>
  </si>
  <si>
    <t>What are other irrelevant examples of a function problem&gt;</t>
  </si>
  <si>
    <t>What was Sky Travel later rebranded as?</t>
  </si>
  <si>
    <t>practical limitations of working in the rainforest</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</si>
  <si>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</si>
  <si>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have Muslims praised Hamas for doing?</t>
  </si>
  <si>
    <t>Which areas of Northern Europe practiced those religions?</t>
  </si>
  <si>
    <t>winds up</t>
  </si>
  <si>
    <t>because southern China withstood and fought to the last before caving in</t>
  </si>
  <si>
    <t>expanded</t>
  </si>
  <si>
    <t>steam turbines</t>
  </si>
  <si>
    <t>Amazon</t>
  </si>
  <si>
    <t>government agencies and large companies (mostly banks and airlines) to build their own dedicated networks</t>
  </si>
  <si>
    <t>more expensive</t>
  </si>
  <si>
    <t>pairs of primes with difference 2</t>
  </si>
  <si>
    <t>the interconnection of national X.25 networks</t>
  </si>
  <si>
    <t>What was the defeat of the Arab troops at the hand of the Israeli troops during the Six-Day War?</t>
  </si>
  <si>
    <t>French residents who chose to remain in the colony would be given freedom</t>
  </si>
  <si>
    <t>New Paltz</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</si>
  <si>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</si>
  <si>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</si>
  <si>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The other major method of producing O
2 gas involves passing a stream of clean, dry air through one bed of a pair of identical zeolite molecular sieves, which absorbs the nitrogen and delivers a gas stream that is 90% to 93% O
2. Simultaneously, nitrogen gas is released from the other nitrogen-saturated zeolite bed, by reducing the chamber operating pressure and diverting part of the oxygen gas from the producer bed through it, in the reverse direction of flow. After a set cycle time the operation of the two beds is interchanged, thereby allowing for a continuous supply of gaseous oxygen to be pumped through a pipeline. This is known as pressure swing adsorption. Oxygen gas is increasingly obtained by these non-cryogenic technologies (see also the related vacuum swing adsorption).</t>
  </si>
  <si>
    <t>Why is it preferred that civil disobedience is non violent?</t>
  </si>
  <si>
    <t>In what year was the Interstate Highway System created?</t>
  </si>
  <si>
    <t>to "float" (rise and fall according to market demand)</t>
  </si>
  <si>
    <t>What was Loudoun's plans for 1757?</t>
  </si>
  <si>
    <t>things that are a matter of custom or expectation</t>
  </si>
  <si>
    <t>the Great Dividing Range</t>
  </si>
  <si>
    <t>five volume book in his native Greek</t>
  </si>
  <si>
    <t>present-day Upstate New York and the Ohio Country</t>
  </si>
  <si>
    <t>Black's Law</t>
  </si>
  <si>
    <t>A user or host could call a host on a foreign network by including the DNIC of the remote network as part of the destination address</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</si>
  <si>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</si>
  <si>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N–S</t>
  </si>
  <si>
    <t>How is packet switching charecterized</t>
  </si>
  <si>
    <t>near the top end of the range given by IPCC's 2001 projection</t>
  </si>
  <si>
    <t>How many general questions are available to opposition leaders?</t>
  </si>
  <si>
    <t>Harbor improvements since the late 19th century have made Jacksonville a major military and civilian deep-water port. Its riverine location facilitates two United States Navy bases and the Port of Jacksonville, Florida's third largest seaport. The two US Navy bases, Blount Island Command and the nearby Naval Submarine Base Kings Bay form the third largest military presence in the United States. Significant factors in the local economy include services such as banking, insurance, healthcare and logistics. As with much of Florida, tourism is also important to the Jacksonville area, particularly tourism related to golf. People from Jacksonville may be called "Jacksonvillians" or "Jaxsons" (also spelled "Jaxons").</t>
  </si>
  <si>
    <t>best, worst and average</t>
  </si>
  <si>
    <t>Since the IPCC does not carry out its own research, it operates on the basis of scientific papers and independently documented results from other scientific bodies, and its schedule for producing reports requires a deadline for submissions prior to the report's final release. In principle, this means that any significant new evidence or events that change our understanding of climate science between this deadline and publication of an IPCC report cannot be included. In an area of science where our scientific understanding is rapidly changing, this has been raised as a serious shortcoming in a body which is widely regarded as the ultimate authority on the science. However, there has generally been a steady evolution of key findings and levels of scientific confidence from one assessment report to the next.[citation needed]</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</si>
  <si>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</si>
  <si>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In what battle were the Mongols defeated by the Tran?</t>
  </si>
  <si>
    <t>deselected as official party candidates during future elections</t>
  </si>
  <si>
    <t>300 km long</t>
  </si>
  <si>
    <t>"ensure that in the interpretation and application of the Treaties the law is observed"</t>
  </si>
  <si>
    <t>What is the largest medical school in Poland?</t>
  </si>
  <si>
    <t>During the 1970s and sometimes later, Western and pro-Western governments often supported sometimes fledgling Islamists and Islamist groups that later came to be seen as dangerous enemies. Islamists were considered by Western governments bulwarks against—what were thought to be at the time—more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</si>
  <si>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reduced moist tropical vegetation cover in the basin</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</si>
  <si>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</si>
  <si>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Fécamp, Jumièges,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</si>
  <si>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Science Magazine's</t>
  </si>
  <si>
    <t>fourth</t>
  </si>
  <si>
    <t>What combined with ricing prices to make it difficult or impossible for poor people to keep pace?</t>
  </si>
  <si>
    <t xml:space="preserve">What did Tymnet connect </t>
  </si>
  <si>
    <t>to avoid prohibitively costly dowry demands</t>
  </si>
  <si>
    <t xml:space="preserve">What did DECnet phase 2 become </t>
  </si>
  <si>
    <t xml:space="preserve">Classification of resources is contingent on determining the upper and lower bounds of minimum time required by what?  </t>
  </si>
  <si>
    <t>Why did Harvard end its early admission program?</t>
  </si>
  <si>
    <t>Robert of Jumièges</t>
  </si>
  <si>
    <t>How would one describe the summers in Fresno?</t>
  </si>
  <si>
    <t>U.S.</t>
  </si>
  <si>
    <t>St. Lawrence and Mississippi watersheds, did business with local tribes, and often married Indian women</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</si>
  <si>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</si>
  <si>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What is the paper written by Richard Karp in 1972 that ushered in a new era of understanding between intractability and NP-complete problems?</t>
  </si>
  <si>
    <t>California State Automobile Association</t>
  </si>
  <si>
    <t>first FCC-licensed public data network</t>
  </si>
  <si>
    <t>survivable communications networks</t>
  </si>
  <si>
    <t>What often affects or facilitates ease of analysis in computational problems?</t>
  </si>
  <si>
    <t>marine waters</t>
  </si>
  <si>
    <t>What changes the mineral content of a rock?</t>
  </si>
  <si>
    <t xml:space="preserve">Which parts of the Earth are included in the lithosphere? </t>
  </si>
  <si>
    <t>the Puente Hills Fault</t>
  </si>
  <si>
    <t>Hero of Alexandria</t>
  </si>
  <si>
    <t>Big Ten Conference</t>
  </si>
  <si>
    <t>Southern California Megaregion</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</si>
  <si>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°C (the creep limit of stainless steel) and condenser temperatures are around 30 °C.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</si>
  <si>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</si>
  <si>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The National Science Foundation Network</t>
  </si>
  <si>
    <t xml:space="preserve">Non-revolutionary civil disobedience is a simple disobedience of laws on the grounds that they are judged "wrong" by an individual conscience, or as part of an effort to render certain laws ineffective, to cause their repeal, or to exert pressure to get one's political wishes on some other issue. Revolutionary civil disobedience is more of an active attempt to overthrow a government (or to change cultural traditions, social customs, religious beliefs, etc...revolution doesn't have to be political, i.e. "cultural revolution", it simply implies sweeping and widespread change to a section of the social fabric). Gandhi's acts have been described as revolutionary civil disobedience. It has been claimed that the Hungarians under Ferenc Deák directed revolutionary civil disobedience against the Austrian government. Thoreau also wrote of civil disobedience accomplishing "peaceable revolution." Howard Zinn, Harvey Wheeler, and others have identified the right espoused in The Declaration of Independence to "alter or abolish" an unjust government to be a principle of civil disobedience. </t>
  </si>
  <si>
    <t>In the United Kingdom and several other Commonwealth countries including Australia and Canada, the use of the term is generally restricted to primary and secondary educational levels; it is almost never used of universities and other tertiary institutions. Private education in North America covers the whole gamut of educational activity, ranging from pre-school to tertiary level institutions. Annual tuition fees at K-12 schools range from nothing at so called 'tuition-free' schools to more than $45,000 at several New England preparatory schools.</t>
  </si>
  <si>
    <t>What did the Hamas charter uncompromisingly encourage?</t>
  </si>
  <si>
    <t>confirmed and amended</t>
  </si>
  <si>
    <t>Suleiman the Magnificent</t>
  </si>
  <si>
    <t>Warsaw</t>
  </si>
  <si>
    <t>After what battle did Union forces return to and occupy Jacksonville for the rest of the war?</t>
  </si>
  <si>
    <t>sequenced delivery of data</t>
  </si>
  <si>
    <t>gold rush</t>
  </si>
  <si>
    <t>Which diseases do many scientists believe contributed to plague pandemic?</t>
  </si>
  <si>
    <t>evaluation of the appropriateness of the drug therapy</t>
  </si>
  <si>
    <t>the Financial Regulations and Rules of the WMO</t>
  </si>
  <si>
    <t>Qwest</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</si>
  <si>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</si>
  <si>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desire to prevent things that are indisputably bad</t>
  </si>
  <si>
    <t>Who was responsible for the new building projects in Jacksonville?</t>
  </si>
  <si>
    <t>lamprey and hagfish</t>
  </si>
  <si>
    <t>Greenhouse Gas Inventories</t>
  </si>
  <si>
    <t>Wahhabi/Salafi jihadist extremist militant</t>
  </si>
  <si>
    <t>Warsaw's sidewalks and sanitation facilities are some examples of things which have what?</t>
  </si>
  <si>
    <t>Bill Aken</t>
  </si>
  <si>
    <t>Like many cities in Central and Eastern Europe, infrastructure in Warsaw suffered considerably during its time as an Eastern Bloc economy –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</si>
  <si>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color confinement</t>
  </si>
  <si>
    <t xml:space="preserve"> Who reigned over the Ottoman empire when it was at its most weak.</t>
  </si>
  <si>
    <t>two poles</t>
  </si>
  <si>
    <t>randomized algorithms</t>
  </si>
  <si>
    <t>boom-and-bust cycles</t>
  </si>
  <si>
    <t>How are the total numbers of seats allocated to parties?</t>
  </si>
  <si>
    <t>What is the name of the desert on the border of Arizona?</t>
  </si>
  <si>
    <t>manage the pharmacy department</t>
  </si>
  <si>
    <t>pharmaceutical care or clinical pharmacy</t>
  </si>
  <si>
    <t>Huguenot Street Historic District</t>
  </si>
  <si>
    <t>What did John Paul II's visits in 1979 and 1983 encourage?</t>
  </si>
  <si>
    <t>What does the ciliary rosettes do to decease bulk and increase density?</t>
  </si>
  <si>
    <t>What previous work did Lavoisier experiments discredit?</t>
  </si>
  <si>
    <t>What are the two processing facilities in the neighborhood?</t>
  </si>
  <si>
    <t>an Australian public X.25 network</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</si>
  <si>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</si>
  <si>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What division offers more then one branch of studies that don't fit in with the other four?</t>
  </si>
  <si>
    <t>inconclusively, with both sides withdrawing from the field</t>
  </si>
  <si>
    <t>rocks, algae, or the body surfaces of other invertebrates</t>
  </si>
  <si>
    <t>What religion's schools were integrated into New Zealand public schools between 1979 and 1984?</t>
  </si>
  <si>
    <t>A molecular phylogeny analysis confirmed that cydippid are not what?</t>
  </si>
  <si>
    <t>How did france differ from Britain in managing its colonies?</t>
  </si>
  <si>
    <t>Parliament of Victoria</t>
  </si>
  <si>
    <t>Who demonstrated how to create a perfect number from a Mersenne prime?</t>
  </si>
  <si>
    <t>What did NSFNET promote</t>
  </si>
  <si>
    <t>NP-complete Boolean satisfiability</t>
  </si>
  <si>
    <t>What is the usual source of heat for boiling water in the steam engine?</t>
  </si>
  <si>
    <t>since the Sui and Tang dynasties</t>
  </si>
  <si>
    <t>The Brotherhood was the only opposition group in Egypt able to do what during elections?</t>
  </si>
  <si>
    <t>How many original treaties establishing the EU did not protect fundamental rights/</t>
  </si>
  <si>
    <t>How much dust is blown out of the Sahara each year?</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</si>
  <si>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</si>
  <si>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at larger distances.</t>
  </si>
  <si>
    <t>the same message routing methodology as developed by Baran</t>
  </si>
  <si>
    <t>Reactive oxygen species, such as superoxide ion (O−
2) and hydrogen peroxide (H
2O
2), are dangerous by-products of oxygen use in organisms. Parts of the immune system of higher organisms create peroxide, superoxide, and singlet oxygen to destroy invading microbes. Reactive oxygen species also play an important role in the hypersensitive response of plants against pathogen attack. Oxygen is toxic to obligately anaerobic organisms, which were the dominant form of early life on Earth until O
2 began to accumulate in the atmosphere about 2.5 billion years ago during the Great Oxygenation Event, about a billion years after the first appearance of these organisms.</t>
  </si>
  <si>
    <t>Which articles state that powers stay with member states unless they've been conferred?</t>
  </si>
  <si>
    <t>to prevent the installation of pagan images in the Temple in Jerusalem</t>
  </si>
  <si>
    <t>Immunological memory can take what two forms?</t>
  </si>
  <si>
    <t>Who designed the Scottish Parliament building?</t>
  </si>
  <si>
    <t>Great Fire of 1901</t>
  </si>
  <si>
    <t>What is NSFNET</t>
  </si>
  <si>
    <t>What does high levels of inequality do to growth in poor countries?</t>
  </si>
  <si>
    <t>What set the stage for Merits role in NSFNET</t>
  </si>
  <si>
    <t>What are the exchanged particles predicted by the standard Model?</t>
  </si>
  <si>
    <t>Where was an elected assembly to be set up, under the terms of the Scotland Act of 1978?</t>
  </si>
  <si>
    <t>One of the most famous people born in Warsaw was Maria Skłodowska-Curie, who achieved international recognition for her research on radioactivity and was the first female recipient of the Nobel Prize. Famous musicians include Władysław Szpilman and Frédéric Chopin. Though Chopin was born in the village of Żelazowa Wola, about 60 km (37 mi) from Warsaw, he moved to the city with his family when he was seven months old. Casimir Pulaski, a Polish general and hero of the American Revolutionary War, was born here in 1745.</t>
  </si>
  <si>
    <t>Each chapter has a number of authors who are responsible for writing and editing the material. A chapter typically has two "coordinating lead authors", ten to fifteen "lead authors", and a somewhat larger number of "contributing authors". The coordinating lead authors are responsible for assembling the contributions of the other authors, ensuring that they meet stylistic and formatting requirements, and reporting to the Working Group chairs. Lead authors are responsible for writing sections of chapters. Contributing authors prepare text, graphs or data for inclusion by the lead authors.</t>
  </si>
  <si>
    <t>accidental introduction of Beroe</t>
  </si>
  <si>
    <t>March 1974.</t>
  </si>
  <si>
    <t>southern</t>
  </si>
  <si>
    <t>closed Huguenot schools</t>
  </si>
  <si>
    <t>Plague was reportedly first introduced to Europe via Genoese traders at the port city of Kaffa in the Crimea in 1347. After a protracted siege, during which the Mongol army under Jani Beg was suffering from the disease, the army catapulted the infected corpses over the city walls of Kaffa to infect the inhabitants. The Genoese traders fled, taking the plague by ship into Sicily and the south of Europe, whence it spread north. Whether or not this hypothesis is accurate, it is clear that several existing conditions such as war, famine, and weather contributed to the severity of the Black Death.</t>
  </si>
  <si>
    <t>Why has the Muslim Brotherhood facilitated inexpensive mass marriage ceremonies?</t>
  </si>
  <si>
    <t>What weapons were the Zulus using during the Anglo-Zulu War of 1879?</t>
  </si>
  <si>
    <t>self" peptides</t>
  </si>
  <si>
    <t>the west</t>
  </si>
  <si>
    <t>Who backed policies that have solutions that sound good but have poor prospects?</t>
  </si>
  <si>
    <t>ideas</t>
  </si>
  <si>
    <t>preserving Mongol interests in China and satisfying the demands of his Chinese subjects</t>
  </si>
  <si>
    <t>traditional Chinese autocratic-bureaucratic system</t>
  </si>
  <si>
    <t>The property of being prime (or not) is called primality. A simple but slow method of verifying the primality of a given number n is known as trial division. It consists of testing whether n is a multiple of any integer between 2 and . Algorithms much more efficient than trial division have been devised to test the primality of large numbers. These include the Miller–Rabin primality test, which is fast but has a small probability of error, and the AKS primality test, which always produces the correct answer in polynomial time but is too slow to be practical. Particularly fast methods are available for numbers of special forms, such as Mersenne numbers. As of January 2016[update], the largest known prime number has 22,338,618 decimal digits.</t>
  </si>
  <si>
    <t>idealized point particles rather than three-dimensional objects</t>
  </si>
  <si>
    <t>Most Platyctenida have oval bodies that are flattened in the oral-aboral direction, with a pair of tentilla-bearing tentacles on the aboral surface. They cling to and creep on surfaces by everting the pharynx and using it as a muscular "foot". All but one of the known platyctenid species lack comb-rows. Platyctenids are usually cryptically colored, live on rocks, algae, or the body surfaces of other invertebrates, and are often revealed by their long tentacles with many sidebranches, seen streaming off the back of the ctenophore into the current.</t>
  </si>
  <si>
    <t>King Sigismund III Vasa</t>
  </si>
  <si>
    <t>the South Coast Metro</t>
  </si>
  <si>
    <t>What does it mean when currencies are left to "float?"</t>
  </si>
  <si>
    <t>Under which leader did the Huguenots fight in this conflict?</t>
  </si>
  <si>
    <t>Since all modern ctenophores except the beroids have cydippid-like larvae, it has widely been assumed that their last common ancestor also resembled cydippids, having an egg-shaped body and a pair of retractable tentacles. Richard Harbison's purely morphological analysis in 1985 concluded that the cydippids are not monophyletic, in other words do not contain all and only the descendants of a single common ancestor that was itself a cydippid. Instead he found that various cydippid families were more similar to members of other ctenophore orders than to other cydippids. He also suggested that the last common ancestor of modern ctenophores was either cydippid-like or beroid-like. A molecular phylogeny analysis in 2001, using 26 species, including 4 recently discovered ones, confirmed that the cydippids are not monophyletic and concluded that the last common ancestor of modern ctenophores was cydippid-like. It also found that the genetic differences between these species were very small – so small that the relationships between the Lobata, Cestida and Thalassocalycida remained uncertain. This suggests that the last common ancestor of modern ctenophores was relatively recent, and perhaps was lucky enough to survive the Cretaceous–Paleogene extinction event 65.5 million years ago while other lineages perished. When the analysis was broadened to include representatives of other phyla, it concluded that cnidarians are probably more closely related to bilaterians than either group is to ctenophores but that this diagnosis is uncertain.</t>
  </si>
  <si>
    <t>wage or salary</t>
  </si>
  <si>
    <t>What has caused savanna regions to grow into the South American tropics in the last 34 million years?</t>
  </si>
  <si>
    <t>Wojciech Bogusławski Theatre</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</si>
  <si>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</si>
  <si>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</si>
  <si>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</si>
  <si>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 xml:space="preserve">What did Baran develop during research at RAND </t>
  </si>
  <si>
    <t>his means of seizing</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</si>
  <si>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</si>
  <si>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What is the common coastal pleurobrachia called?</t>
  </si>
  <si>
    <t>When did income inequality begin to increase in the US?</t>
  </si>
  <si>
    <t>Lagos and Quiberon Bay</t>
  </si>
  <si>
    <t>Prime numbers have influenced many artists and writers. The French composer Olivier Messiaen used prime numbers to create ametrical music through "natural phenomena". In works such as La Nativité du Seigneur (1935) and Quatre études de rythme (1949–50), he simultaneously employs motifs with lengths given by different prime numbers to create unpredictable rhythms: the primes 41, 43, 47 and 53 appear in the third étude, "Neumes rythmiques". According to Messiaen this way of composing was "inspired by the movements of nature, movements of free and unequal durations".</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</si>
  <si>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</si>
  <si>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lowland South American</t>
  </si>
  <si>
    <t>West Irvine</t>
  </si>
  <si>
    <t>Highly combustible materials that leave little residue, such as wood or coal, were thought to be made mostly of phlogiston; whereas non-combustible substances that corrode, such as iron, contained very little. Air did not play a role in phlogiston theory, nor were any initial quantitative experiments conducted to test the idea; instead, it was based on observations of what happens when something burns, that most common objects appear to become lighter and seem to lose something in the process. The fact that a substance like wood gains overall weight in burning was hidden by the buoyancy of the gaseous combustion products. Indeed, one of the first clues that the phlogiston theory was incorrect was that metals, too, gain weight in rusting (when they were supposedly losing phlogiston).</t>
  </si>
  <si>
    <t xml:space="preserve">What was Apple Talk </t>
  </si>
  <si>
    <t>the Guanabara Confession of Faith</t>
  </si>
  <si>
    <t>Great Mongol State</t>
  </si>
  <si>
    <t>Internet2 officially retired Abilene and now refers to its new, higher capacity network as the Internet2 Network</t>
  </si>
  <si>
    <t>What did the conflict galvanize Muslims around the world to do?</t>
  </si>
  <si>
    <t>How did Huguenots evolve their religious beliefs in the New World?</t>
  </si>
  <si>
    <t>15 February 1763</t>
  </si>
  <si>
    <t>Shi Tianze was a Han Chinese who lived in the Jin dynasty. Interethnic marriage between Han and Jurchen became common at this time. His father was Shi Bingzhi (史秉直,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張柔), and Yan Shi (Yen Shih, 嚴實) and other high ranking Chinese who served in the Jin dynasty and defected to the Mongols helped build the structure for the administration of the new state. Chagaan (Tsagaan) and Zhang Rou jointly launched an attack on the Song dynasty ordered by Töregene Khatun.</t>
  </si>
  <si>
    <t>Chen's theorem</t>
  </si>
  <si>
    <t>Donald Davies</t>
  </si>
  <si>
    <t>U.S authorship of a 'new world'</t>
  </si>
  <si>
    <t>Deforestation is the conversion of forested areas to non-forested areas. The main sources of deforestation in the Amazon are human settlement and development of the land. Prior to the early 1960s, access to the forest's interior was highly restricted, and the forest remained basically intact. Farms established during the 1960s were based on crop cultivation and the slash and burn method. However, the colonists were unable to manage their fields and the crops because of the loss of soil fertility and weed invasion. The soils in the Amazon are productive for just a short period of time, so farmers are constantly moving to new areas and clearing more land. These farming practices led to deforestation and caused extensive environmental damage. Deforestation is considerable, and areas cleared of forest are visible to the naked eye from outer space.</t>
  </si>
  <si>
    <t>X reduces to Y</t>
  </si>
  <si>
    <t>Sky+HD Box</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</si>
  <si>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</si>
  <si>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If you do not know both magnitude and direction of two forces on an object, what would you call that situation?</t>
  </si>
  <si>
    <t>study of sedimentary layers</t>
  </si>
  <si>
    <t>1 October 1998</t>
  </si>
  <si>
    <t>one ninth</t>
  </si>
  <si>
    <t>None</t>
  </si>
  <si>
    <t>What did John Dalton think that all elements were in number present in compounds?</t>
  </si>
  <si>
    <t>Which region began to grow and assert itself in the 2000s?</t>
  </si>
  <si>
    <t>groups of large, stiffened cilia</t>
  </si>
  <si>
    <t>Who developed DATAPAC</t>
  </si>
  <si>
    <t>What was an example of a type of warship that required high speed?</t>
  </si>
  <si>
    <t>To what is 50 kilopascals equal?</t>
  </si>
  <si>
    <t>a general architecture for a large-scale, distributed, survivable communications network</t>
  </si>
  <si>
    <t>contained in P or equal to P.</t>
  </si>
  <si>
    <t>Spain ceded Florida to the British in 1763 after the French and Indian War, and the British soon constructed the King's Road connecting St. Augustine to Georgia. The road crossed the St. Johns River at a narrow point, which the Seminole called Wacca Pilatka and the British called the Cow Ford or Cowford; these names ostensibly reflect the fact that cattle were brought across the river there. The British introduced the cultivation of sugar cane, indigo and fruits as well the export of lumber. As a result, the northeastern Florida area prospered economically more than it had under the Spanish. Britain ceded control of the territory back to Spain in 1783, after its defeat in the American Revolutionary War, and the settlement at the Cow Ford continued to grow. After Spain ceded the Florida Territory to the United States in 1821, American settlers on the north side of the Cow Ford decided to plan a town, laying out the streets and plats. They soon named the town Jacksonville, after Andrew Jackson. Led by Isaiah D. Hart, residents wrote a charter for a town government, which was approved by the Florida Legislative Council on February 9, 1832.</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</si>
  <si>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</si>
  <si>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How are pharmacists regulated in most jurisdictions?</t>
  </si>
  <si>
    <t>Karluk Kara-Khanid</t>
  </si>
  <si>
    <t>Islamists came to completely dominate university student unions</t>
  </si>
  <si>
    <t>Upper Rhine region</t>
  </si>
  <si>
    <t>How many elements did Aristotle believe the terrestrial sphere to be made up of?</t>
  </si>
  <si>
    <t>What are antimicrobial peptides that evolved as immune defense in eukaryotes called?</t>
  </si>
  <si>
    <t xml:space="preserve">What principle relates to the formation of faults and the age of the sequences through which they cut? </t>
  </si>
  <si>
    <t>Black's Law Dictionary</t>
  </si>
  <si>
    <t>a substance like wood gains overall weight in burning</t>
  </si>
  <si>
    <t>dial-up</t>
  </si>
  <si>
    <t>Middle Miocene</t>
  </si>
  <si>
    <t>seven-eighths</t>
  </si>
  <si>
    <t>Middleton Railway</t>
  </si>
  <si>
    <t>There are infinitely many primes, as demonstrated by Euclid around 300 BC. There is no known simple formula that separates prime numbers from composite numbers. However, the distribution of primes, that is to say, the statistical behaviour of primes in the large, can be modelled. The first result in that direction is the prime number theorem, proven at the end of the 19th century, which says that the probability that a given, randomly chosen number n is prime is inversely proportional to its number of digits, or to the logarithm of n.</t>
  </si>
  <si>
    <t>strong,</t>
  </si>
  <si>
    <t>horizontal compression</t>
  </si>
  <si>
    <t>static equilibrium</t>
  </si>
  <si>
    <t>greenhouse gas</t>
  </si>
  <si>
    <t>government officials and climate change experts</t>
  </si>
  <si>
    <t>how graphs are encoded as binary strings</t>
  </si>
  <si>
    <t>What is a term that means constant temperature?</t>
  </si>
  <si>
    <t>What is a term for the reversing of steam flow in a piston engine after each stroke?</t>
  </si>
  <si>
    <t>How many passengers can the Ford Fiesta accommodate?</t>
  </si>
  <si>
    <t>What persons were not allowed to settle in New France?</t>
  </si>
  <si>
    <t>not necessarily right</t>
  </si>
  <si>
    <t>if the head of government of a country were to refuse to enforce a decision of that country's highest court</t>
  </si>
  <si>
    <t>What does ctenophora mean in Greek?</t>
  </si>
  <si>
    <t xml:space="preserve">ableine was retired and the new platform is called </t>
  </si>
  <si>
    <t>rates of mortality in rural areas during the 14th-century pandemic were inconsistent with the modern bubonic plague</t>
  </si>
  <si>
    <t>What medical treatment is used to benefit patients with hearth and lung disorders?</t>
  </si>
  <si>
    <t>Systemic acquired resistance</t>
  </si>
  <si>
    <t>Civil_disobedience</t>
  </si>
  <si>
    <t>adopt mainstream Chinese culture</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</si>
  <si>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</si>
  <si>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In a 4-cylinder compound engine, what degree were the individual cranks balanced at</t>
  </si>
  <si>
    <t>high-altitude ozone layer</t>
  </si>
  <si>
    <t xml:space="preserve">What was telenet </t>
  </si>
  <si>
    <t>full independent prescribing authority</t>
  </si>
  <si>
    <t>to “wid[en] people’s choices and the level of their achieved well-being”</t>
  </si>
  <si>
    <t>shaping ideas about the free market</t>
  </si>
  <si>
    <t>poles</t>
  </si>
  <si>
    <t>What do some civil disobedient people feel the need to acknowledge.</t>
  </si>
  <si>
    <t>Upstate New York and the Ohio Country</t>
  </si>
  <si>
    <t>How many metropolitan areas does Southern California's population encompass?</t>
  </si>
  <si>
    <t>Fredericia (Denmark), Berlin, Stockholm, Hamburg, Frankfurt, Helsinki, and Emden</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</si>
  <si>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</si>
  <si>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1,600</t>
  </si>
  <si>
    <t>wages and profits</t>
  </si>
  <si>
    <t>petroleum</t>
  </si>
  <si>
    <t>affiliated with other Protestant denominations with more numerous members</t>
  </si>
  <si>
    <t>Under normal conditions, T cells and antibodies produce what kind of peptides?</t>
  </si>
  <si>
    <t>otter, beaver and hundreds of bird species</t>
  </si>
  <si>
    <t>What was the goal of Braddock's expedition?</t>
  </si>
  <si>
    <t>What two fields of theoretical computer science closely mirror computational complexity theory?</t>
  </si>
  <si>
    <t>second-largest city</t>
  </si>
  <si>
    <t>Oxygen</t>
  </si>
  <si>
    <t>What gave Priestley the claim to being the first discovered of oxygen?</t>
  </si>
  <si>
    <t>the lamprey and hagfish</t>
  </si>
  <si>
    <t>charging their students tuition</t>
  </si>
  <si>
    <t>How many mechanisms does a typical steam engine have to keep boiler pressure from getting too high?</t>
  </si>
  <si>
    <t>How much of the IPCC attendees are government representatives?</t>
  </si>
  <si>
    <t>a citizen may rely on the Directive in such an action (so called "vertical" direct effect)</t>
  </si>
  <si>
    <t>smaller assessments of special problems instead of the large scale approach</t>
  </si>
  <si>
    <t>Sky</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</si>
  <si>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gravitational.:2–10:79 High-energy particle physics observations made during the 1970s and 1980s confirmed that the weak and electromagnetic forces are expressions of a more fundamental electroweak interaction.</t>
  </si>
  <si>
    <t>its continental North American possessions east of the Mississippi or the Caribbean islands</t>
  </si>
  <si>
    <t>the University of Chicago College Bowl Team</t>
  </si>
  <si>
    <t>compute primes</t>
  </si>
  <si>
    <t>What was the first internet2 network named</t>
  </si>
  <si>
    <t>supplant it</t>
  </si>
  <si>
    <t>the project coordinator</t>
  </si>
  <si>
    <t>time or space</t>
  </si>
  <si>
    <t>What system not often define classes like IP and AM/</t>
  </si>
  <si>
    <t>The west side of Fresno is the center of which ethnic community?</t>
  </si>
  <si>
    <t>Cost overruns with government projects have occurred when the contractor did what?</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</si>
  <si>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</si>
  <si>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gathered in the streets</t>
  </si>
  <si>
    <t>dispatched six regiments to New France under the command of Baron Dieskau in 1755.</t>
  </si>
  <si>
    <t>What sorts of items are displayed in the Esteve Pharmacy museum?</t>
  </si>
  <si>
    <t>Which group benefited from the funds distributed by the religious charity, al-Haramain Foundation?</t>
  </si>
  <si>
    <t>international data communications network</t>
  </si>
  <si>
    <t>compressing and cooling</t>
  </si>
  <si>
    <t>Jacksonville's popularity for films earned it what title?</t>
  </si>
  <si>
    <t>General Assembly Hall of the Church of Scotland</t>
  </si>
  <si>
    <t>Huguenot</t>
  </si>
  <si>
    <t>his work was published first</t>
  </si>
  <si>
    <t xml:space="preserve">What supplanted Frame Relay and X.25 </t>
  </si>
  <si>
    <t>four men attending Harvard College for every woman studying at Radcliffe</t>
  </si>
  <si>
    <t>strong</t>
  </si>
  <si>
    <t>host computers (servers)at thousands of large companies, educational institutions, and government agencies</t>
  </si>
  <si>
    <t>waste of resources</t>
  </si>
  <si>
    <t>30,000</t>
  </si>
  <si>
    <t>a major part of the Internet backbone</t>
  </si>
  <si>
    <t>the AKS primality test</t>
  </si>
  <si>
    <t>Germany</t>
  </si>
  <si>
    <t>married outside their immediate French communities</t>
  </si>
  <si>
    <t>medication regimen review</t>
  </si>
  <si>
    <t>What magnetic character do triplet O2 have?</t>
  </si>
  <si>
    <t>What project structures assist the owner in integration?</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</si>
  <si>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</si>
  <si>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Han Chinese, Khitans, Jurchens, Mongols, and Tibetan Buddhists.</t>
  </si>
  <si>
    <t>In addition to arguing that the rat population was insufficient to account for a bubonic plague pandemic, sceptics of the bubonic plague theory point out that the symptoms of the Black Death are not unique (and arguably in some accounts may differ from bubonic plague); that transference via fleas in goods was likely to be of marginal significance; and that the DNA results may be flawed and might not have been repeated elsewhere, despite extensive samples from other mass graves. Other arguments include the lack of accounts of the death of rats before outbreaks of plague between the 14th and 17th centuries; temperatures that are too cold in northern Europe for the survival of fleas; that, despite primitive transport systems, the spread of the Black Death was much faster than that of modern bubonic plague; that mortality rates of the Black Death appear to be very high; that, while modern bubonic plague is largely endemic as a rural disease, the Black Death indiscriminately struck urban and rural areas; and that the pattern of the Black Death, with major outbreaks in the same areas separated by 5 to 15 years, differs from modern bubonic plague—which often becomes endemic for decades with annual flare-ups.</t>
  </si>
  <si>
    <t>Often rules apply to all goods neutrally, but may have a greater practical effect on imports than domestic products. For such "indirect" discriminatory (or "indistinctly applicable") measures the Court of Justice has developed more justifications: either those in article 36, or additional "mandatory" or "overriding" requirements such as consumer protection, improving labour standards, protecting the environment, press diversity, fairness in commerce, and more: the categories are not closed. In the most famous case Rewe-Zentral AG v Bundesmonopol für Branntwein, the Court of Justice found that a German law requiring all spirits and liqueurs (not just imported ones) to have a minimum alcohol content of 25 per cent was contrary to TFEU article 34, because it had a greater negative effect on imports. German liqueurs were over 25 per cent alcohol, but Cassis de Dijon, which Rewe-Zentrale AG wished to import from France, only had 15 to 20 per cent alcohol. The Court of Justice rejected the German government's arguments that the measure proportionately protected public health under TFEU article 36, because stronger beverages were available and adequate labelling would be enough for consumers to understand what they bought. This rule primarily applies to requirements about a product's content or packaging. In Walter Rau Lebensmittelwerke v De Smedt PVBA the Court of Justice found that a Belgian law requiring all margarine to be in cube shaped packages infringed article 34, and was not justified by the pursuit of consumer protection. The argument that Belgians would believe it was butter if it was not cube shaped was disproportionate: it would "considerably exceed the requirements of the object in view" and labelling would protect consumers "just as effectively". In a 2003 case, Commission v Italy Italian law required that cocoa products that included other vegetable fats could not be labelled as "chocolate". It had to be "chocolate substitute". All Italian chocolate was made from cocoa butter alone, but British, Danish and Irish manufacturers used other vegetable fats. They claimed the law infringed article 34. The Court of Justice held that a low content of vegetable fat did not justify a "chocolate substitute" label. This was derogatory in the consumers' eyes. A ‘neutral and objective statement’ was enough to protect consumers. If member states place considerable obstacles on the use of a product, this can also infringe article 34. So, in a 2009 case, Commission v Italy, the Court of Justice held that an Italian law prohibiting motorcycles or mopeds pulling trailers infringed article 34. Again, the law applied neutrally to everyone, but disproportionately affected importers, because Italian companies did not make trailers. This was not a product requirement, but the Court reasoned that the prohibition would deter people from buying it: it would have "a considerable influence on the behaviour of consumers" that "affects the access of that product to the market". It would require justification under article 36, or as a mandatory requirement.</t>
  </si>
  <si>
    <t>increase its bulk and decrease its density</t>
  </si>
  <si>
    <t>dammed</t>
  </si>
  <si>
    <t>What day of the week does the Time for Reflection take place?</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</si>
  <si>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</si>
  <si>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civil disobedience is only justified against governmental entities</t>
  </si>
  <si>
    <t>Other than L.A. which other county do many people commute to?</t>
  </si>
  <si>
    <t>design-build, partnering and construction management</t>
  </si>
  <si>
    <t>fixed</t>
  </si>
  <si>
    <t>ghost of le roi Huguet</t>
  </si>
  <si>
    <t>to render certain laws ineffective, to cause their repeal, or to exert pressure to get one's political wishes on some other issue</t>
  </si>
  <si>
    <t>What is violating a law which is not the goal of the protest called?</t>
  </si>
  <si>
    <t>How are the votes weighted to ensure that smaller states aren't dominated by larger ones?</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</si>
  <si>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Meanwhile, the relationship between non-human primates in the subsistence and symbolism of indigenous lowland South American peoples has gained increased attention, as have ethno-biology and community-based conservation efforts.</t>
  </si>
  <si>
    <t>What was the most important discovery that led to the understanding that Earth's lithosphere is separated into tectonic plates?</t>
  </si>
  <si>
    <t>clean them</t>
  </si>
  <si>
    <t>How would the capabilities approach achieve it's goal?</t>
  </si>
  <si>
    <t>What is the term for the lack of obsevable free quarks?</t>
  </si>
  <si>
    <t>What could justify restrictions on freedom of establishment?</t>
  </si>
  <si>
    <t>plan the physical proceedings, and to integrate those proceedings with the other parts</t>
  </si>
  <si>
    <t>car</t>
  </si>
  <si>
    <t>The show globe</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</si>
  <si>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d'état.</t>
  </si>
  <si>
    <t>Plotting the relationship between level of income and inequality, Kuznets saw middle-income developing economies level of inequality bulging out to form what is now known as the Kuznets curve. Kuznets demonstrated this relationship using cross-sectional data. However, more recent testing of this theory with superior panel data has shown it to be very weak. Kuznets' curve predicts that income inequality will eventually decrease given time. As an example, income inequality did fall in the United States during its High school movement from 1910 to 1940 and thereafter.[citation needed] However, recent data shows that the level of income inequality began to rise after the 1970s. This does not necessarily disprove Kuznets' theory.[citation needed] It may be possible that another Kuznets' cycle is occurring, specifically the move from the manufacturing sector to the service sector.[citation needed] This implies that it may be possible for multiple Kuznets' cycles to be in effect at any given time.</t>
  </si>
  <si>
    <t>removed in a condenser</t>
  </si>
  <si>
    <t>former Strathclyde Regional Council debating chamber in Glasgow</t>
  </si>
  <si>
    <t>Duke Kent-Brown</t>
  </si>
  <si>
    <t>What do astronaughts experience while in free-fall?</t>
  </si>
  <si>
    <t>What does the Fogg Museum of Art cover?</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</si>
  <si>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d'état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</si>
  <si>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</si>
  <si>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revolve a balance</t>
  </si>
  <si>
    <t>A formal design team may be assembled to do what?</t>
  </si>
  <si>
    <t>pressure physical experiments</t>
  </si>
  <si>
    <t>time and memory</t>
  </si>
  <si>
    <t>seven</t>
  </si>
  <si>
    <t>greenhouse gas emissions</t>
  </si>
  <si>
    <t>because it has survived many wars, conflicts and invasions throughout its long history</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</si>
  <si>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(1407–1410). The most notable examples of Renaissance architecture in the city are the house of Baryczko merchant family (1562), building called "The Negro" (early 17th century) and Salwator tenement (1632). The most interesting examples of mannerist architecture are the Royal Castle (1596–1619) and the Jesuit Church (1609–1626) at Old Town. Among the first structures of the early baroque the most important are St. Hyacinth's Church (1603–1639) and Sigismund's Column (1644).</t>
  </si>
  <si>
    <t>to protect the King's land in the Ohio Valley from the British</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</si>
  <si>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</si>
  <si>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Mexico–United States border</t>
  </si>
  <si>
    <t>extended structure</t>
  </si>
  <si>
    <t>By the late 19th century scientists realized that air could be liquefied, and its components isolated, by compressing and cooling it. Using a cascade method, Swiss chemist and physicist Raoul Pierre Pictet evaporated liquid sulfur dioxide in order to liquefy carbon dioxide, which in turn was evaporated to cool oxygen gas enough to liquefy it. He sent a telegram on December 22, 1877 to the French Academy of Sciences in Paris announcing his discovery of liquid oxygen. Just two days later, French physicist Louis Paul Cailletet announced his own method of liquefying molecular oxygen. Only a few drops of the liquid were produced in either case so no meaningful analysis could be conducted. Oxygen was liquified in stable state for the first time on March 29, 1883 by Polish scientists from Jagiellonian University, Zygmunt Wróblewski and Karol Olszewski.</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</si>
  <si>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</si>
  <si>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What are two examples of measurements are bound within algorithms to establish complexity classes?</t>
  </si>
  <si>
    <t>Industrial Revolution</t>
  </si>
  <si>
    <t>What is included with each packet label</t>
  </si>
  <si>
    <t>What crops were introduced or popularized in the Yuan?</t>
  </si>
  <si>
    <t>What does high inequality go hand-in-hand with?</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</si>
  <si>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γδ T cells that recognize intact antigens that are not bound to MHC receptors.</t>
  </si>
  <si>
    <t>If you were to take a train west or south out of the city of Fresno, which railroad would you take?</t>
  </si>
  <si>
    <t>Both X.25 and Frame Relay provide connection-oriented operations. But X.25 does it at the network layer of the OSI Model. Frame Relay does it at level two, the data link layer. Another major difference between X.25 and Frame Relay is that X.25 requires a handshake between the communicating parties before any user packets are transmitted. Frame Relay does not define any such handshakes. X.25 does not define any operations inside the packet network. It only operates at the user-network-interface (UNI). Thus, the network provider is free to use any procedure it wishes inside the network. X.25 does specify some limited re-transmission procedures at the UNI, and its link layer protocol (LAPB) provides conventional HDLC-type link management procedures. Frame Relay is a modified version of ISDN's layer two protocol, LAPD and LAPB. As such, its integrity operations pertain only between nodes on a link, not end-to-end. Any retransmissions must be carried out by higher layer protocols. The X.25 UNI protocol is part of the X.25 protocol suite, which consists of the lower three layers of the OSI Model. It was widely used at the UNI for packet switching networks during the 1980s and early 1990s, to provide a standardized interface into and out of packet networks. Some implementations used X.25 within the network as well, but its connection-oriented features made this setup cumbersome and inefficient. Frame relay operates principally at layer two of the OSI Model. However, its address field (the Data Link Connection ID, or DLCI) can be used at the OSI network layer, with a minimum set of procedures. Thus, it rids itself of many X.25 layer 3 encumbrances, but still has the DLCI as an ID beyond a node-to-node layer two link protocol. The simplicity of Frame Relay makes it faster and more efficient than X.25. Because Frame relay is a data link layer protocol, like X.25 it does not define internal network routing operations. For X.25 its packet IDs---the virtual circuit and virtual channel numbers have to be correlated to network addresses. The same is true for Frame Relays DLCI. How this is done is up to the network provider. Frame Relay, by virtue of having no network layer procedures is connection-oriented at layer two, by using the HDLC/LAPD/LAPB Set Asynchronous Balanced Mode (SABM). X.25 connections are typically established for each communication session, but it does have a feature allowing a limited amount of traffic to be passed across the UNI without the connection-oriented handshake. For a while, Frame Relay was used to interconnect LANs across wide area networks. However, X.25 and well as Frame Relay have been supplanted by the Internet Protocol (IP) at the network layer, and the Asynchronous Transfer Mode (ATM) and or versions of Multi-Protocol Label Switching (MPLS) at layer two. A typical configuration is to run IP over ATM or a version of MPLS. &lt;Uyless Black, X.25 and Related Protocols, IEEE Computer Society, 1991&gt; &lt;Uyless Black, Frame Relay Networks, McGraw-Hill, 1998&gt; &lt;Uyless Black, MPLS and Label Switching Networks, Prentice Hall, 2001&gt; &lt; Uyless Black, ATM, Volume I, Prentice Hall, 1995&gt;</t>
  </si>
  <si>
    <t>large compensation pools</t>
  </si>
  <si>
    <t>recover the latent heat of vaporisation</t>
  </si>
  <si>
    <t>Packet_switching</t>
  </si>
  <si>
    <t>What's the party's take on Muslim history?</t>
  </si>
  <si>
    <t>dreadnought battleships</t>
  </si>
  <si>
    <t>that allowed local area networks to be established ad hoc without the requirement for a centralized router or server</t>
  </si>
  <si>
    <t>a body of treaties and legislation</t>
  </si>
  <si>
    <t>What were requests made to British?</t>
  </si>
  <si>
    <t>Kathmandu</t>
  </si>
  <si>
    <t>Where was Parliament's temporary home whilst the permanent building was being built?</t>
  </si>
  <si>
    <t>At the beginning of the 20th century, important advancement in geological science was facilitated by the ability to obtain accurate absolute dates to geologic events using radioactive isotopes and other methods. This changed the understanding of geologic time. Previously, geologists could only use fossils and stratigraphic correlation to date sections of rock relative to one another. With isotopic dates it became possible to assign absolute ages to rock units, and these absolute dates could be applied to fossil sequences in which there was datable material, converting the old relative ages into new absolute ages.</t>
  </si>
  <si>
    <t>the packets may be delivered according to a multiple access scheme</t>
  </si>
  <si>
    <t>What has replaced lower skilled workers in the United States?</t>
  </si>
  <si>
    <t>sent small numbers of settlers to its colonies,</t>
  </si>
  <si>
    <t>1970s</t>
  </si>
  <si>
    <t>to revolve a balance</t>
  </si>
  <si>
    <t>declare martial law and sent the state militia to maintain order</t>
  </si>
  <si>
    <t>potential drug interactions, adverse drug reactions, and assess patient drug allergies</t>
  </si>
  <si>
    <t>mechanism by which Y. pestis was usually transmitted</t>
  </si>
  <si>
    <t>11–13th century</t>
  </si>
  <si>
    <t>If q=9 and a=3,6 or 9, how many primes would be in the progression?</t>
  </si>
  <si>
    <t>What type of numbers are always multiples of 2?</t>
  </si>
  <si>
    <t>What type of space in Warsaw are the Botanic Garden and University Library garden?</t>
  </si>
  <si>
    <t>VideoGuard UK</t>
  </si>
  <si>
    <t>Who was Louis XIV's main rival?</t>
  </si>
  <si>
    <t>37° 9' 58.23"</t>
  </si>
  <si>
    <t>distributed computing</t>
  </si>
  <si>
    <t>the repulsion of like charges under the influence of the electromagnetic force</t>
  </si>
  <si>
    <t>How are the combs spaced?</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</si>
  <si>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</si>
  <si>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battles at Lagos and Quiberon Bay</t>
  </si>
  <si>
    <t>NP-hard</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</si>
  <si>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</si>
  <si>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AKS primality test</t>
  </si>
  <si>
    <t>Lutheran and Reformed</t>
  </si>
  <si>
    <t>both the army and the populace</t>
  </si>
  <si>
    <t>What does the WG I Summary for Policymakers report say human activities are doing to greenhouse gases?</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</si>
  <si>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</si>
  <si>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The Lower Rhine flows through North Rhine-Westphalia. Its banks are usually heavily populated and industrialized, in particular the agglomerations Cologne, Düsseldorf and Ruhr area. Here the Rhine flows through the largest conurbation in Germany, the Rhine-Ruhr region. One of the most important cities in this region is Duisburg with the largest river port in Europe (Duisport). The region downstream of Duisburg is more agricultural. In Wesel, 30 km downstream of Duisburg, is located the western end of the second east-west shipping route, the Wesel-Datteln Canal, which runs parallel to the Lippe. Between Emmerich and Cleves the Emmerich Rhine Bridge, the longest suspension bridge in Germany, crosses the 400 m wide river. Near Krefeld, the river crosses the Uerdingen line, the line which separates the areas where Low German and High German are spoken.</t>
  </si>
  <si>
    <t>Inertia</t>
  </si>
  <si>
    <t>What are the components of drug therapy?</t>
  </si>
  <si>
    <t xml:space="preserve">What is the name of another algorithm useful for conveniently testing the primality of large numbers? </t>
  </si>
  <si>
    <t>evenly</t>
  </si>
  <si>
    <t>outer core and inner core</t>
  </si>
  <si>
    <t>What status has the Brotherhood obtained in the Islamic world?</t>
  </si>
  <si>
    <t>Which theorem can be simplified to the Lasker–Noether theorem?</t>
  </si>
  <si>
    <t>United States Census Bureau</t>
  </si>
  <si>
    <t>What is the only district in the CBD to not have "downtown" in it's name?</t>
  </si>
  <si>
    <t>imperial powers</t>
  </si>
  <si>
    <t>giving her brother Polynices a proper burial</t>
  </si>
  <si>
    <t>Bob Gallion</t>
  </si>
  <si>
    <t>isothermal</t>
  </si>
  <si>
    <t>In many poor and developing countries much land and housing is held outside the formal or legal property ownership registration system. Much unregistered property is held in informal form through various associations and other arrangements. Reasons for extra-legal ownership include excessive bureaucratic red tape in buying property and building, In some countries it can take over 200 steps and up to 14 years to build on government land. Other causes of extra-legal property are failures to notarize transaction documents or having documents notarized but failing to have them recorded with the official agency.</t>
  </si>
  <si>
    <t>allow for U.S authorship of a 'new world'</t>
  </si>
  <si>
    <t>many imperial powers</t>
  </si>
  <si>
    <t>Storybook houses</t>
  </si>
  <si>
    <t>principal role</t>
  </si>
  <si>
    <t>various disciplines of pharmacy</t>
  </si>
  <si>
    <t>The Rhine first formed a boundary between Gaul and what else?</t>
  </si>
  <si>
    <t>How did the 2001 IPCC report compare to reality for 2001-2006?</t>
  </si>
  <si>
    <t>Kuznets curve</t>
  </si>
  <si>
    <t>the end itself</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</si>
  <si>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</si>
  <si>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What garden was formally only for royalty?</t>
  </si>
  <si>
    <t>What denomination operates St Joseph's College?</t>
  </si>
  <si>
    <t>What kind of system of infection involves inserting a hollow tube into a host cell?</t>
  </si>
  <si>
    <t>some complexity classes</t>
  </si>
  <si>
    <t>very little</t>
  </si>
  <si>
    <t>What did Newton's mechanics affect?</t>
  </si>
  <si>
    <t>What town in upstate New York was settled by Huguenots?</t>
  </si>
  <si>
    <t>major part of the Internet backbone</t>
  </si>
  <si>
    <t>Oursel</t>
  </si>
  <si>
    <t>Who experienced aa golden age in the 1100s and 1200s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</si>
  <si>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</si>
  <si>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make it very difficult for predators to evolve that could specialize as predators</t>
  </si>
  <si>
    <t>increased flooding and sedimentation</t>
  </si>
  <si>
    <t>What club won 118 tournaments and 15 national championships?</t>
  </si>
  <si>
    <t>1973_oil_crisis</t>
  </si>
  <si>
    <t>What is the seating arrangement of the debating chamber?</t>
  </si>
  <si>
    <t>Board Certified Ambulatory Care Pharmacist</t>
  </si>
  <si>
    <t>How were leaders back in Europe feeling about news from Celeron expedition?</t>
  </si>
  <si>
    <t>mortgage banker</t>
  </si>
  <si>
    <t>claimants' "Sky TV bills</t>
  </si>
  <si>
    <t>What other Northern European cities had Huguenot congregations?</t>
  </si>
  <si>
    <t xml:space="preserve">What are some of scientists arguments? </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</si>
  <si>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</si>
  <si>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conscientious lawbreakers must be punished</t>
  </si>
  <si>
    <t>the rainforest was reduced to small, isolated refugia separated by open forest and grassland</t>
  </si>
  <si>
    <t>slash and burn method</t>
  </si>
  <si>
    <t>What concept was developed by Baran while researching at RAND</t>
  </si>
  <si>
    <t>believed to disadvantage low-income and under-represented minority applicants</t>
  </si>
  <si>
    <t>What prestigious legal scholars are faculty members at Harvard?</t>
  </si>
  <si>
    <t>When Yesün Temür died in Shangdu in 1328, Tugh Temür was recalled to Khanbaliq by the Qipchaq commander El Temür. He was installed as the emperor (Emperor Wenzong) in Khanbaliq, while Yesün Temür's son Ragibagh succeeded to the throne in Shangdu with the support of Yesün Temür's favorite retainer Dawlat Shah. Gaining support from princes and officers in Northern China and some other parts of the dynasty, Khanbaliq-based Tugh Temür eventually won the civil war against Ragibagh known as the War of the Two Capitals. Afterwards, Tugh Temür abdicated in favour of his brother Kusala, who was backed by Chagatai Khan Eljigidey, and announced Khanbaliq's intent to welcome him. However, Kusala suddenly died only four days after a banquet with Tugh Temür. He was supposedly killed with poison by El Temür, and Tugh Temür then remounted the throne. Tugh Temür also managed to send delegates to the western Mongol khanates such as Golden Horde and Ilkhanate to be accepted as the suzerain of Mongol world. However, he was mainly a puppet of the powerful official El Temür during his latter three-year reign. El Temür purged pro-Kusala officials and brought power to warlords, whose despotic rule clearly marked the decline of the dynasty.</t>
  </si>
  <si>
    <t>public PAD service Telepad</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</si>
  <si>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(1277–1347) invented a suspension method for reducing dislocated joints, which he performed using anesthetics. The Mongol physician Hu Sihui described the importance of a healthy diet in a 1330 medical treatise.</t>
  </si>
  <si>
    <t>vaccination</t>
  </si>
  <si>
    <t>What was Warner Sinback</t>
  </si>
  <si>
    <t>adapted quickly and often married outside their immediate French communities</t>
  </si>
  <si>
    <t>t to render certain laws ineffective, to cause their repeal, or to exert pressure to get one's political wishes on some other issue</t>
  </si>
  <si>
    <t>the Rip</t>
  </si>
  <si>
    <t>the outer core and inner core</t>
  </si>
  <si>
    <t>the physician has a financial self-interest in "diagnosing" as many conditions as possible</t>
  </si>
  <si>
    <t>limiting aggregate demand</t>
  </si>
  <si>
    <t>League of Augsburg</t>
  </si>
  <si>
    <t>measuring the water's biochemical oxygen demand</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</si>
  <si>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</si>
  <si>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will maidens be able to predict by floating their programmes down the Vistula</t>
  </si>
  <si>
    <t>Besides Confucianism, Buddhism, and Islam, what religions were tolerated during the Yuan?</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</si>
  <si>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</si>
  <si>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Where did French fur trappers travel?</t>
  </si>
  <si>
    <t>March Battle of Fort Bull</t>
  </si>
  <si>
    <t>What nominal title did Yuan emperors have?</t>
  </si>
  <si>
    <t>The first European to travel the length of the Amazon River was Francisco de Orellana in 1542. The BBC's Unnatural Histories presents evidence that Orellana, rather than exaggerating his claims as previously thought, was correct in his observations that a complex civilization was flourishing along the Amazon in the 1540s. It is believed that the civilization was later devastated by the spread of diseases from Europe, such as smallpox. Since the 1970s, numerous geoglyphs have been discovered on deforested land dating between AD 0–1250, furthering claims about Pre-Columbian civilizations. Ondemar Dias is accredited with first discovering the geoglyphs in 1977 and Alceu Ranzi with furthering their discovery after flying over Acre. The BBC's Unnatural Histories presented evidence that the Amazon rainforest, rather than being a pristine wilderness, has been shaped by man for at least 11,000 years through practices such as forest gardening and terra preta.</t>
  </si>
  <si>
    <t xml:space="preserve">Telnet was sold to </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</si>
  <si>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</si>
  <si>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British colonists would not be safe as long as the French were present</t>
  </si>
  <si>
    <t>Scots, Gaelic, or any other language with the agreement of the Presiding Officer</t>
  </si>
  <si>
    <t>All India Muslim League</t>
  </si>
  <si>
    <t>How many main flows are branched off from the Nederrijn?</t>
  </si>
  <si>
    <t>the concept Distributed Adaptive Message Block Switching</t>
  </si>
  <si>
    <t xml:space="preserve">The 4 sales and service centers are viewed as </t>
  </si>
  <si>
    <t>well logs</t>
  </si>
  <si>
    <t>allowed agriculture and silviculture</t>
  </si>
  <si>
    <t>According to PolitiFact the top 400 richest Americans "have more wealth than half of all Americans combined." According to the New York Times on July 22, 2014, the "richest 1 percent in the United States now own more wealth than the bottom 90 percent". Inherited wealth may help explain why many Americans who have become rich may have had a "substantial head start". In September 2012, according to the Institute for Policy Studies, "over 60 percent" of the Forbes richest 400 Americans "grew up in substantial privilege".</t>
  </si>
  <si>
    <t>The Upper Rhine region was changed significantly by a Rhine straightening program in the 19th Century. The rate of flow was increased and the ground water level fell significantly. Dead branches dried up and the amount of forests on the flood plains decreased sharply. On the French side, the Grand Canal d'Alsace was dug, which carries a significant part of the river water, and all of the traffic. In some places, there are large compensation pools, for example the huge Bassin de compensation de Plobsheim in Alsace.</t>
  </si>
  <si>
    <t>Falls</t>
  </si>
  <si>
    <t>old prescription books and antique drugs</t>
  </si>
  <si>
    <t>The fundamental theorem of arithmetic continues to hold in unique factorization domains. An example of such a domain is the Gaussian integers Z[i], that is, the set of complex numbers of the form a + bi where i denotes the imaginary unit and a and b are arbitrary integers. Its prime elements are known as Gaussian primes. Not every prime (in Z) is a Gaussian prime: in the bigger ring Z[i], 2 factors into the product of the two Gaussian primes (1 + i) and (1 − i). Rational primes (i.e. prime elements in Z) of the form 4k + 3 are Gaussian primes, whereas rational primes of the form 4k + 1 are not.</t>
  </si>
  <si>
    <t>TCP/IP</t>
  </si>
  <si>
    <t>to reduce costs and maximize profits</t>
  </si>
  <si>
    <t>What will have a direct impact of inequality in a system that uses a progressive tax?</t>
  </si>
  <si>
    <t>poorer countries</t>
  </si>
  <si>
    <t>What organization predicted that the Amazon force could survive more than three years of drought</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</si>
  <si>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</si>
  <si>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What is formed when a phagosome fuses with a lysosome?</t>
  </si>
  <si>
    <t>whether it would do more harm than good.</t>
  </si>
  <si>
    <t>Fresno is marked by a semi-arid climate (Köppen BSh), with mild, moist winters and hot and dry summers, thus displaying Mediterranean characteristics. December and January are the coldest months, and average around 46.5 °F (8.1 °C), and there are 14 nights with freezing lows annually, with the coldest night of the year typically bottoming out below 30 °F (−1.1 °C). July is the warmest month, averaging 83.0 °F (28.3 °C); normally, there are 32 days of 100 °F (37.8 °C)+ highs and 106 days of 90 °F (32.2 °C)+ highs, and in July and August, there are only three or four days where the high does not reach 90 °F (32.2 °C). Summers provide considerable sunshine, with July peaking at 97 percent of the total possible sunlight hours; conversely, January is the lowest with only 46 percent of the daylight time in sunlight because of thick tule fog. However, the year averages 81% of possible sunshine, for a total of 3550 hours. Average annual precipitation is around 11.5 inches (292.1 mm), which, by definition, would classify the area as a semidesert. Most of the wind rose direction occurrences derive from the northwest, as winds are driven downward along the axis of the California Central Valley; in December, January and February there is an increased presence of southeastern wind directions in the wind rose statistics. Fresno meteorology was selected in a national U.S. Environmental Protection Agency study for analysis of equilibrium temperature for use of ten-year meteorological data to represent a warm, dry western United States locale.</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</si>
  <si>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</si>
  <si>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as a means to help the state's educational and economic development</t>
  </si>
  <si>
    <t>Great Khan</t>
  </si>
  <si>
    <t>Wahhabi/Salafi jihadist extremist militant group</t>
  </si>
  <si>
    <t>capability deprivation</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</si>
  <si>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</si>
  <si>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What does 'Pax Mongolica' mean?</t>
  </si>
  <si>
    <t>weighted inversely to member state size</t>
  </si>
  <si>
    <t>1950s</t>
  </si>
  <si>
    <t>a data network based on this voice-phone network was designed to connect GE's four computer sales and service centers</t>
  </si>
  <si>
    <t>What test is especially useful for numbers of the form 2p - 1?</t>
  </si>
  <si>
    <t>the California State Automobile Association</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</si>
  <si>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</si>
  <si>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What has technological innovation and automation replaced low-skilled jobs with?</t>
  </si>
  <si>
    <t xml:space="preserve">How is packet switching characterized </t>
  </si>
  <si>
    <t>the University of Aberdeen</t>
  </si>
  <si>
    <t>a body of treaties and legislation, such as Regulations and Directives, which have direct effect or indirect effect on the laws of European Union member states</t>
  </si>
  <si>
    <t>What makes the method of trial division more efficient?</t>
  </si>
  <si>
    <t>the current King of Thebes, who is trying to stop her from giving her brother Polynices a proper burial</t>
  </si>
  <si>
    <t>quality of a country's institutions</t>
  </si>
  <si>
    <t>Pharmacy informatics is the combination of pharmacy practice science and applied information science. Pharmacy informaticists work in many practice areas of pharmacy, however, they may also work in information technology departments or for healthcare information technology vendor companies. As a practice area and specialist domain, pharmacy informatics is growing quickly to meet the needs of major national and international patient information projects and health system interoperability goals. Pharmacists in this area are trained to participate in medication management system development, deployment and optimization.</t>
  </si>
  <si>
    <t>Harvard_University</t>
  </si>
  <si>
    <t>What was Ban Ki-Moon the Secretary General of?</t>
  </si>
  <si>
    <t>requested by governments</t>
  </si>
  <si>
    <t>Name an extra that was added to the production of the compacts.</t>
  </si>
  <si>
    <t>a setup phase in each involved node before any packet is transferred to establish the parameters of communication</t>
  </si>
  <si>
    <t>In what form are most hospital medications?</t>
  </si>
  <si>
    <t>NP-complete knapsack</t>
  </si>
  <si>
    <t>Were the centers profitable</t>
  </si>
  <si>
    <t>What kind of economy did northern California start to grow in the 2000s?</t>
  </si>
  <si>
    <t>the Commentaries on the Classic of Changes</t>
  </si>
  <si>
    <t>What kind of people attend the IPCC meetings?</t>
  </si>
  <si>
    <t>render certain laws ineffective, to cause their repeal</t>
  </si>
  <si>
    <t>the wetter climate may have allowed the tropical rainforest to spread out across the continent.</t>
  </si>
  <si>
    <t>staying home to alleviate the high rate of unemployment among young Algerian men</t>
  </si>
  <si>
    <t>Focus on what is to ameliorate the many problems that arise from the often highly competitive and adversarial practices within the construction industry.</t>
  </si>
  <si>
    <t>poor</t>
  </si>
  <si>
    <t>the force of gravity</t>
  </si>
  <si>
    <t>What conflicts did the ozone mitigation reduce?</t>
  </si>
  <si>
    <t>Scottish_Parliament</t>
  </si>
  <si>
    <t>It is usually recognized that lawbreaking, if it is not done publicly, at least must be publicly announced in order to constitute civil disobedience. But Stephen Eilmann argues that if it is necessary to disobey rules that conflict with morality, we might ask why disobedience should take the form of public civil disobedience rather than simply covert lawbreaking. If a lawyer wishes to help a client overcome legal obstacles to securing her or his natural rights, he might, for instance, find that assisting in fabricating evidence or committing perjury is more effective than open disobedience. This assumes that common morality does not have a prohibition on deceit in such situations. The Fully Informed Jury Association's publication "A Primer for Prospective Jurors" notes, "Think of the dilemma faced by German citizens when Hitler's secret police demanded to know if they were hiding a Jew in their house." By this definition, civil disobedience could be traced back to the Book of Exodus, where Shiphrah and Puah refused a direct order of Pharaoh but misrepresented how they did it. (Exodus 1: 15-19)</t>
  </si>
  <si>
    <t>microorganisms</t>
  </si>
  <si>
    <t>Why should someone not commit a crime when they are protesting?</t>
  </si>
  <si>
    <t>Distributed Adaptive Message Block Switching</t>
  </si>
  <si>
    <t>grant a consent search</t>
  </si>
  <si>
    <t>If he was arrested, what would happen to the leaflets that were handed out by Carter Wentworth in court</t>
  </si>
  <si>
    <t>What cultures were part of Kublai's administration?</t>
  </si>
  <si>
    <t>Hugues hypothesis</t>
  </si>
  <si>
    <t>fossil sequences</t>
  </si>
  <si>
    <t>community-based conservation</t>
  </si>
  <si>
    <t>"It's Scotland's oil"</t>
  </si>
  <si>
    <t>connection id</t>
  </si>
  <si>
    <t>third most abundant</t>
  </si>
  <si>
    <t>What direction do ctenophore swim?</t>
  </si>
  <si>
    <t>What do those in the field do to ensure a positive outcome?</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</si>
  <si>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</si>
  <si>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private southern Chinese manufacturers and merchants</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</si>
  <si>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</si>
  <si>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a time-sharing system, based on Kemney's work at Dartmouth—which used a computer on loan from GE—could be profitable</t>
  </si>
  <si>
    <t>actively support and adopt mainstream Chinese culture</t>
  </si>
  <si>
    <t>held secular leanings or who had introduced or promoted Western/foreign ideas and practices into Islamic societies</t>
  </si>
  <si>
    <t>What type of group is The Islamic State?</t>
  </si>
  <si>
    <t>Reyners v Belgium</t>
  </si>
  <si>
    <t>Pathogen-associated molecular patterns or PAMPs</t>
  </si>
  <si>
    <t>0.5–1.4 m</t>
  </si>
  <si>
    <t>commensal flora</t>
  </si>
  <si>
    <t>at least 90%</t>
  </si>
  <si>
    <t>Presbyterian</t>
  </si>
  <si>
    <t>Norway</t>
  </si>
  <si>
    <t>the "hockey stick graph"</t>
  </si>
  <si>
    <t>temperature rise was near the top end of the range given</t>
  </si>
  <si>
    <t>What role in economics did the university play a major part in?</t>
  </si>
  <si>
    <t>low ratio of organic matter to salt and water</t>
  </si>
  <si>
    <t>What rituals did Kublai follow to help his image?</t>
  </si>
  <si>
    <t>Where was France's Huguenot population largely centered?</t>
  </si>
  <si>
    <t>special training to ensure that ignition sources are minimized</t>
  </si>
  <si>
    <t>What did Paul-Louis Simond establish in 1898?</t>
  </si>
  <si>
    <t>What was the pedestrian mall renamed?</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</si>
  <si>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</si>
  <si>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fuel consumption, industrial production and so on</t>
  </si>
  <si>
    <t>number of gates in a circuit</t>
  </si>
  <si>
    <t>OneDrive for Business</t>
  </si>
  <si>
    <t>Amazon_rainforest</t>
  </si>
  <si>
    <t>closed Huguenot schools and excluded them from favored professions</t>
  </si>
  <si>
    <t>use of a decentralized network with multiple paths between any two points, dividing user messages into message blocks</t>
  </si>
  <si>
    <t>What can a simultaneous hermaphrodite do?</t>
  </si>
  <si>
    <t>With what body must a pharmacy technician register?</t>
  </si>
  <si>
    <t>redistribution mechanisms such as social welfare programs</t>
  </si>
  <si>
    <t>Orange Counties</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</si>
  <si>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</si>
  <si>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President Mahmoud Ahmadinejad</t>
  </si>
  <si>
    <t>Which book discussed the theory about low populations in the Amazon rainforest?</t>
  </si>
  <si>
    <t>What does the 9 +3 pattern of cilia thought to do?</t>
  </si>
  <si>
    <t>AUSTPAC was an Australian public X.25 network operated by Telstra</t>
  </si>
  <si>
    <t>preserve society's tolerance of civil disobedience</t>
  </si>
  <si>
    <t>Steven Barkan writes that if defendants plead not guilty, "they must decide whether their primary goal will be to win an acquittal and avoid imprisonment or a fine, or to use the proceedings as a forum to inform the jury and the public of the political circumstances surrounding the case and their reasons for breaking the law via civil disobedience." A technical defense may enhance the chances for acquittal but make for more boring proceedings and reduced press coverage. During the Vietnam War era, the Chicago Eight used a political defense, while Benjamin Spock used a technical defense. In countries such as the United States whose laws guarantee the right to a jury trial but do not excuse lawbreaking for political purposes, some civil disobedients seek jury nullification. Over the years, this has been made more difficult by court decisions such as Sparf v. United States, which held that the judge need not inform jurors of their nullification prerogative, and United States v. Dougherty, which held that the judge need not allow defendants to openly seek jury nullification.</t>
  </si>
  <si>
    <t>Three-Year Plan</t>
  </si>
  <si>
    <t>his cultural contribution</t>
  </si>
  <si>
    <t>An important decision for civil disobedients is whether or not to plead guilty. There is much debate on this point, as some believe that it is a civil disobedient's duty to submit to the punishment prescribed by law, while others believe that defending oneself in court will increase the possibility of changing the unjust law. It has also been argued that either choice is compatible with the spirit of civil disobedience. ACT-UP's Civil Disobedience Training handbook states that a civil disobedient who pleads guilty is essentially stating, "Yes, I committed the act of which you accuse me. I don't deny it; in fact, I am proud of it. I feel I did the right thing by violating this particular law; I am guilty as charged," but that pleading not guilty sends a message of, "Guilt implies wrong-doing. I feel I have done no wrong. I may have violated some specific laws, but I am guilty of doing no wrong. I therefore plead not guilty." A plea of no contest is sometimes regarded as a compromise between the two. One defendant accused of illegally protesting nuclear power, when asked to enter his plea, stated, "I plead for the beauty that surrounds us"; this is known as a "creative plea," and will usually be interpreted as a plea of not guilty.</t>
  </si>
  <si>
    <t>When did Barton and Whitfield demand climate research records?</t>
  </si>
  <si>
    <t>seven months old</t>
  </si>
  <si>
    <t>The flow of cold, gray mountain water continues for some distance into the lake. The cold water flows near the surface and at first doesn't mix with the warmer, green waters of Upper Lake. But then, at the so-called Rheinbrech, the Rhine water abruptly falls into the depths because of the greater density of cold water. The flow reappears on the surface at the northern (German) shore of the lake, off the island of Lindau. The water then follows the northern shore until Hagnau am Bodensee. A small fraction of the flow is diverted off the island of Mainau into Lake Überlingen. Most of the water flows via the Constance hopper into the Rheinrinne ("Rhine Gutter") and Seerhein. Depending on the water level, this flow of the Rhine water is clearly visible along the entire length of the lake.</t>
  </si>
  <si>
    <t>Dutch law said only people established in the Netherlands could give legal advice</t>
  </si>
  <si>
    <t>What should be avoided when talking to authorities?</t>
  </si>
  <si>
    <t>In between French and British, what groups controlled land?</t>
  </si>
  <si>
    <t>the bound on the complexity of reductions</t>
  </si>
  <si>
    <t>the foot of the mast</t>
  </si>
  <si>
    <t>In what area of this British colony were Huguenot land grants?</t>
  </si>
  <si>
    <t>The mayor of Warsaw is called President. Generally, in Poland, the mayors of bigger cities are called presidents – i.e. such cities, which have over 100,000 people or these, where already was president before 1990. The first Warsaw President was Jan Andrzej Menich (1695–1696). Between 1975 and 1990 the Warsaw Presidents was simultaneously the Warsaw Voivode. Since 1990 the President of Warsaw had been elected by the City council. In the years of 1994–1999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</si>
  <si>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What is the Royal Castle the most interesting example of?</t>
  </si>
  <si>
    <t>biochemical oxygen demand</t>
  </si>
  <si>
    <t>ARPA IPTO director Larry Roberts</t>
  </si>
  <si>
    <t>What issue plagues the literature about civil disobedience?</t>
  </si>
  <si>
    <t>Guanabara Confession of Faith</t>
  </si>
  <si>
    <t>What is thought to have happened to the y. pestis that caused the black death?</t>
  </si>
  <si>
    <t>Oedipus</t>
  </si>
  <si>
    <t>Some theories developed in the 1970s established possible avenues through which inequality may have a positive effect on economic development. According to a 1955 review, savings by the wealthy, if these increase with inequality, were thought to offset reduced consumer demand. A 2013 report on Nigeria suggests that growth has risen with increased income inequality. Some theories popular from the 1950s to 2011 incorrectly stated that inequality had a positive effect on economic development. Analyses based on comparing yearly equality figures to yearly growth rates were misleading because it takes several years for effects to manifest as changes to economic growth. IMF economists found a strong association between lower levels of inequality in developing countries and sustained periods of economic growth. Developing countries with high inequality have "succeeded in initiating growth at high rates for a few years" but "longer growth spells are robustly associated with more equality in the income distribution."</t>
  </si>
  <si>
    <t>What ethnicity was Shi Tianze?</t>
  </si>
  <si>
    <t>Il milione</t>
  </si>
  <si>
    <t>What had the Yuan used to print its money before bronze plates?</t>
  </si>
  <si>
    <t>an inauspicious typhoon</t>
  </si>
  <si>
    <t>1964 and 1968</t>
  </si>
  <si>
    <t>How much did the IPCC Third Assessment Report say sea levels will rise from 1990 to 2100?</t>
  </si>
  <si>
    <t>There is evidence that there have been significant changes in Amazon rainforest vegetation over the last 21,000 years through the Last Glacial Maximum (LGM) and subsequent deglaciation. Analyses of sediment deposits from Amazon basin paleolakes and from the Amazon Fan indicate that rainfall in the basin during the LGM was lower than for the present, and this was almost certainly associated with reduced moist tropical vegetation cover in the basin. There is debate, however, over how extensive this reduction was. Some scientists argue that the rainforest was reduced to small, isolated refugia separated by open forest and grassland; other scientists argue that the rainforest remained largely intact but extended less far to the north, south, and east than is seen today. This debate has proved difficult to resolve because the practical limitations of working in the rainforest mean that data sampling is biased away from the center of the Amazon basin, and both explanations are reasonably well supported by the available data.</t>
  </si>
  <si>
    <t>Thursday</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</si>
  <si>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</si>
  <si>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When would a person be considered to be excising a constitutional impasse?</t>
  </si>
  <si>
    <t>sent small numbers of settlers to its colonies</t>
  </si>
  <si>
    <t>In the triplet form, O
2 molecules are paramagnetic. That is, they impart magnetic character to oxygen when it is in the presence of a magnetic field, because of the spin magnetic moments of the unpaired electrons in the molecule, and the negative exchange energy between neighboring O
2 molecules. Liquid oxygen is attracted to a magnet to a sufficient extent that, in laboratory demonstrations, a bridge of liquid oxygen may be supported against its own weight between the poles of a powerful magnet.[c]</t>
  </si>
  <si>
    <t>What issues may prevent women from working outside the home or receiving education?</t>
  </si>
  <si>
    <t>on rocks, algae, or the body surfaces of other invertebrates</t>
  </si>
  <si>
    <t>In 1939, c. 1,300,000 people lived in Warsaw, but in 1945 – only 420,000. During the first years after the war, the population growth was c. 6%, so shortly the city started to suffer from the lack of flats and of areas for new houses. The first remedial measure was the Warsaw area enlargement (1951) –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 even though since 1990 there are no limitations to residency registration anymore.</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</si>
  <si>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</si>
  <si>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What led to Newcastle's fall from power as military advisor?</t>
  </si>
  <si>
    <t>Southern Chinese</t>
  </si>
  <si>
    <t>The Intergovernmental Panel on Climate Change (IPCC) is a scientific intergovernmental body under the auspices of the United Nations, set up at the request of member governments. It was first established in 1988 by two United Nations organizations, the World Meteorological Organization (WMO) and the United Nations Environment Programme (UNEP), and later endorsed by the United Nations General Assembly through Resolution 43/53. Membership of the IPCC is open to all members of the WMO and UNEP. The IPCC produces reports that support the United Nations Framework Convention on Climate Change (UNFCCC), which is the main international treaty on climate change. The ultimate objective of the UNFCCC is to "stabilize greenhouse gas concentrations in the atmosphere at a level that would prevent dangerous anthropogenic [i.e., human-induced] interference with the climate system". IPCC reports cover "the scientific, technical and socio-economic information relevant to understanding the scientific basis of risk of human-induced climate change, its potential impacts and options for adaptation and mitigation."</t>
  </si>
  <si>
    <t>in action-reaction pairs</t>
  </si>
  <si>
    <t>Systemic acquired resistance (SAR)</t>
  </si>
  <si>
    <t>Where was the Charles Porter steam engine indicator shown?</t>
  </si>
  <si>
    <t>Many major classes of organic molecules in living organisms, such as proteins, nucleic acids, carbohydrates, and fats, contain oxygen, as do the major inorganic compounds that are constituents of animal shells, teeth, and bone. Most of the mass of living organisms is oxygen as it is a part of water, the major constituent of lifeforms. Oxygen is used in cellular respiration and released by photosynthesis, which uses the energy of sunlight to produce oxygen from water. It is too chemically reactive to remain a free element in air without being continuously replenished by the photosynthetic action of living organisms. Another form (allotrope) of oxygen, ozone (O
3), strongly absorbs UVB radiation and consequently the high-altitude ozone layer helps protect the biosphere from ultraviolet radiation, but is a pollutant near the surface where it is a by-product of smog. At even higher low earth orbit altitudes, sufficient atomic oxygen is present to cause erosion for spacecraft.</t>
  </si>
  <si>
    <t>encourage growth</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</si>
  <si>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</si>
  <si>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The Very high-speed Backbone Network Service</t>
  </si>
  <si>
    <t>Battle of the Restigouche</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</si>
  <si>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</si>
  <si>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The University of Chicago Library system has how many libraries in total?</t>
  </si>
  <si>
    <t xml:space="preserve">What is the Canal in Wesel? </t>
  </si>
  <si>
    <t>anticlines and synclines</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</si>
  <si>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</si>
  <si>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What happens to the packet at the destination</t>
  </si>
  <si>
    <t>freedom to continue worshiping in their Roman Catholic tradition, continued ownership of their property,</t>
  </si>
  <si>
    <t>According to economists David Castells-Quintana and Vicente Royuela, increasing inequality harms economic growth. High and persistent unemployment, in which inequality increases, has a negative effect on subsequent long-run economic growth. Unemployment can harm growth not only because it is a waste of resources, but also because it generates redistributive pressures and subsequent distortions, drives people to poverty, constrains liquidity limiting labor mobility, and erodes self-esteem promoting social dislocation, unrest and conflict. Policies aiming at controlling unemployment and in particular at reducing its inequality-associated effects support economic growth.</t>
  </si>
  <si>
    <t>Indigenous territories are largely being destroyed in what two ways?</t>
  </si>
  <si>
    <t>What was Isiah Bowman nick name, as known by the public.</t>
  </si>
  <si>
    <t xml:space="preserve">Who is credited with the modern name for this system </t>
  </si>
  <si>
    <t>woodblocks</t>
  </si>
  <si>
    <t>What goal do many of these protests have?</t>
  </si>
  <si>
    <t>Which TFEU article defines the ordinary legislative procedure that applies for majority of EU acts?</t>
  </si>
  <si>
    <t>clasts</t>
  </si>
  <si>
    <t>forceful taking of property</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</si>
  <si>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</si>
  <si>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1951</t>
  </si>
  <si>
    <t>Sometimes the prosecution proposes a plea bargain to civil disobedients, as in the case of the Camden 28, in which the defendants were offered an opportunity to plead guilty to one misdemeanor count and receive no jail time. In some mass arrest situations, the activists decide to use solidarity tactics to secure the same plea bargain for everyone. But some activists have opted to enter a blind plea, pleading guilty without any plea agreement in place. Mohandas Gandhi pleaded guilty and told the court, "I am here to . . . submit cheerfully to the highest penalty that can be inflicted upon me for what in law is a deliberate crime and what appears to me to be the highest duty of a citizen."</t>
  </si>
  <si>
    <t>Who allegedly haunted the gate?</t>
  </si>
  <si>
    <t>How might gravity effects be observed differently according to Newton?</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</si>
  <si>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</si>
  <si>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rules</t>
  </si>
  <si>
    <t>Ediacaran eoandromeda can be regarded to represent what?</t>
  </si>
  <si>
    <t>Who would have been the lowest-ranked class?</t>
  </si>
  <si>
    <t>Which two groups have cells bound by inter-cell connections and membranes, muscles, a nervous system and sensory organs?</t>
  </si>
  <si>
    <t>from the tooth sockets in human skeletons</t>
  </si>
  <si>
    <t>The rocks at the Grand Canyon have been in place since when?</t>
  </si>
  <si>
    <t>In the virtual call system, the network guarantees sequenced delivery of data to the host</t>
  </si>
  <si>
    <t>What was the English title of Polo's book?</t>
  </si>
  <si>
    <t>superior</t>
  </si>
  <si>
    <t>monatomic</t>
  </si>
  <si>
    <t>Jellyfish and sea anemones belong to which group/</t>
  </si>
  <si>
    <t>The fundamental theorem of arithmetic</t>
  </si>
  <si>
    <t>Sophocles</t>
  </si>
  <si>
    <t>practical limitations of working in the rainforest mean that data sampling is biased away from the center of the Amazon basin</t>
  </si>
  <si>
    <t>What religion did the Yuan discourage, to support Buddhism?</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</si>
  <si>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Bạch Đằng (1288). The Chinese region of Fujian was the original home of the Chinese Tran (Chen) clan before they migrated under Trần Kinh (陳京, Chén Jīng) to Dai Viet and whose descendants established the Trần dynasty which ruled Vietnam Đại Việt, and certain members of the clan could still speak Chinese such as when a Yuan dynasty envoy had a meeting with the Chinese-speaking Trần prince Trần Quốc Tuấn (later King Trần Hưng Đạo)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</si>
  <si>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data sampling is biased away from the center of the Amazon basin</t>
  </si>
  <si>
    <t xml:space="preserve">What were X.25 and Frame relay used for </t>
  </si>
  <si>
    <t>What condition what must be satisfied in order for 1/p to be expressed in base q instead of base 10 and still have a period of p - 1?</t>
  </si>
  <si>
    <t>Internet2 Network</t>
  </si>
  <si>
    <t>What theorems are responsible for determining questions of time and space requirements?</t>
  </si>
  <si>
    <t>small</t>
  </si>
  <si>
    <t xml:space="preserve">What do a and b represent in a Gaussian integer expression? </t>
  </si>
  <si>
    <t>Where is the Santa Fe Railroad Depot located?</t>
  </si>
  <si>
    <t>seafloor spreading</t>
  </si>
  <si>
    <t>What type of steam engines produced most power up to the early 20th century?</t>
  </si>
  <si>
    <t>the machines operate deterministically</t>
  </si>
  <si>
    <t>burning combustible materials</t>
  </si>
  <si>
    <t>1920s</t>
  </si>
  <si>
    <t>What does a receiver have to be equipped with to view encrypted content?</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</si>
  <si>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</si>
  <si>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Al-Qaeda and the Taliban</t>
  </si>
  <si>
    <t>Female sex hormones are immunostimulators of which immune responses?</t>
  </si>
  <si>
    <t>plead guilty to one misdemeanor count and receive no jail time</t>
  </si>
  <si>
    <t>Messiaen says that composition with prime numbers was inspired by what?</t>
  </si>
  <si>
    <t>any great amount of it would undermine the law</t>
  </si>
  <si>
    <t>Was the bubonic plague spread faster or slower than modern bubonic plague?</t>
  </si>
  <si>
    <t>proportionally to the number of votes received in the second vote of the ballot using the d'Hondt method</t>
  </si>
  <si>
    <t>To calculate instant angular acceleration of a rigid body what would you use?</t>
  </si>
  <si>
    <t>unity of God</t>
  </si>
  <si>
    <t>Where have some workers made more than $100,000?</t>
  </si>
  <si>
    <t>TFEU article 294</t>
  </si>
  <si>
    <t>clapping their lobes</t>
  </si>
  <si>
    <t>Where did the Rhine occupy during the Holocene?</t>
  </si>
  <si>
    <t>Who was the Uighur King of Qocho ranked above?</t>
  </si>
  <si>
    <t>Ediacaran period</t>
  </si>
  <si>
    <t>How many men were in Robert's army?</t>
  </si>
  <si>
    <t>What organization is the IPCC a part of?</t>
  </si>
  <si>
    <t>lab monitoring, adherence counseling, and assist patients with cost-containment strategies</t>
  </si>
  <si>
    <t>Undergraduate students are required to take a distribution of courses to satisfy the university's core curriculum known as the Common Core. In 2012-2013, the Core classes at Chicago were limited to 17 students, and are generally led by a full-time professor (as opposed to a teaching assistant). As of the 2013–2014 school year, 15 courses and demonstrated proficiency in a foreign language are required under the Core. Undergraduate courses at the University of Chicago are known for their demanding standards, heavy workload and academic difficulty; according to Uni in the USA, "Among the academic cream of American universities – Harvard, Yale, Princeton, MIT, and the University of Chicago – it is UChicago that can most convincingly claim to provide the most rigorous, intense learning experience."</t>
  </si>
  <si>
    <t>non-French linguistic origins</t>
  </si>
  <si>
    <t>the university's off-campus rental policies</t>
  </si>
  <si>
    <t>How did Vaudreuil react when Johnson was seen as larger threat?</t>
  </si>
  <si>
    <t>Who was Boleslaw II of Masovia?</t>
  </si>
  <si>
    <t>Other than land laws, what else were the Californios dissatisfied with?</t>
  </si>
  <si>
    <t>The university runs a number of academic institutions and programs apart from its undergraduate and postgraduate schools. It operates the University of Chicago Laboratory Schools (a private day school for K-12 students and day care), the Sonia Shankman Orthogenic School (a residential treatment program for those with behavioral and emotional problems), and four public charter schools on the South Side of Chicago administered by the university's Urban Education Institute. In addition, the Hyde Park Day School, a school for students with learning disabilities, maintains a location on the University of Chicago campus. Since 1983, the University of Chicago has maintained the University of Chicago School Mathematics Project, a mathematics program used in urban primary and secondary schools. The university runs a program called the Council on Advanced Studies in the Social Sciences and Humanities, which administers interdisciplinary workshops to provide a forum for graduate students, faculty, and visiting scholars to present scholarly work in progress. The university also operates the University of Chicago Press, the largest university press in the United States.</t>
  </si>
  <si>
    <t>What type of number theory utilizes and studies prime ideals?</t>
  </si>
  <si>
    <t>What were the two forms of environmental determinism?</t>
  </si>
  <si>
    <t>captured the mermaid</t>
  </si>
  <si>
    <t>Most species are hermaphrodites—a single animal can produce both eggs and sperm, meaning it can fertilize its own egg, not needing a mate. Some are simultaneous hermaphrodites, which can produce both eggs and sperm at the same time. Others are sequential hermaphrodites, in which the eggs and sperm mature at different times. Fertilization is generally external, although platyctenids' eggs are fertilized inside their parents' bodies and kept there until they hatch. The young are generally planktonic and in most species look like miniature cydippids, gradually changing into their adult shapes as they grow. The exceptions are the beroids, whose young are miniature beroids with large mouths and no tentacles, and the platyctenids, whose young live as cydippid-like plankton until they reach near-adult size, but then sink to the bottom and rapidly metamorphose into the adult form. In at least some species, juveniles are capable of reproduction before reaching the adult size and shape. The combination of hermaphroditism and early reproduction enables small populations to grow at an explosive rate.</t>
  </si>
  <si>
    <t>problem in C is harder than X</t>
  </si>
  <si>
    <t>What did this agreement do?</t>
  </si>
  <si>
    <t>What was the steam engine an important component of?</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</si>
  <si>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</si>
  <si>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There were two kinds of X.25 networks. Some such as DATAPAC and TRANSPAC</t>
  </si>
  <si>
    <t xml:space="preserve">What did vBNS do </t>
  </si>
  <si>
    <t>On May 3, 1901, downtown Jacksonville was ravaged by a fire that started as a kitchen fire. Spanish moss at a nearby mattress factory was quickly engulfed in flames and enabling the fire to spread rapidly. In just eight hours, it swept through 146 city blocks, destroyed over 2,000 buildings, left about 10,000 homeless and killed 7 residents. The Confederate Monument in Hemming Park was one of the only landmarks to survive the fire. Governor Jennings declare martial law and sent the state militia to maintain order. On May 17 municipal authority resumed in Jacksonville. It is said the glow from the flames could be seen in Savannah, Georgia, and the smoke plumes seen in Raleigh, North Carolina. Known as the "Great Fire of 1901", it was one of the worst disasters in Florida history and the largest urban fire in the southeastern United States. Architect Henry John Klutho was a primary figure in the reconstruction of the city. The first multi-story structure built by Klutho was the Dyal-Upchurch Building in 1902. The St. James Building, built on the previous site of the St. James Hotel that burned down, was built in 1912 as Klutho's crowning achievement.</t>
  </si>
  <si>
    <t>serious depopulation and permanent change in both economic and social structures</t>
  </si>
  <si>
    <t>What would someone who is civilly disobedient do in court?</t>
  </si>
  <si>
    <t>The 17th century Royal Ujazdów Castle currently houses Centre for Contemporary Art, with some permanent and temporary exhibitions, concerts, shows and creative workshops. The Centre currently realizes about 500 projects a year. Zachęta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</si>
  <si>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What field of computer science is primarily concerned with determining the likelihood of whether or not a problem can ultimately be solved using algorithms?</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</si>
  <si>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</si>
  <si>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hemicycle</t>
  </si>
  <si>
    <t>published first</t>
  </si>
  <si>
    <t>CYCLADES packet switching network</t>
  </si>
  <si>
    <t>compounding/dispensing medications</t>
  </si>
  <si>
    <t>time and space</t>
  </si>
  <si>
    <t>southwestern France</t>
  </si>
  <si>
    <t>explaining their actions</t>
  </si>
  <si>
    <t>What does the bathocyroe and ocyropsis do to escape danger?</t>
  </si>
  <si>
    <t xml:space="preserve">What was a first for this network </t>
  </si>
  <si>
    <t>manage the pharmacy department and specialised areas</t>
  </si>
  <si>
    <t>What town was actually granted to the Huguenots on arrival?</t>
  </si>
  <si>
    <t>How else can petrologists understand the pressures at which different mineral phases appear?</t>
  </si>
  <si>
    <t>0.5–1.4 m [50–140 cm]</t>
  </si>
  <si>
    <t>To accurately map the Amazon's biomass and subsequent carbon related emissions, the classification of tree growth stages within different parts of the forest is crucial. In 2006 Tatiana Kuplich organized the trees of the Amazon into four categories: (1) mature forest, (2) regenerating forest [less than three years], (3) regenerating forest [between three and five years of regrowth], and (4) regenerating forest [eleven to eighteen years of continued development]. The researcher used a combination of Synthetic aperture radar (SAR) and Thematic Mapper (TM) to accurately place the different portions of the Amazon into one of the four classifications.</t>
  </si>
  <si>
    <t>What is the most elemental way to test the primality of any integer n?</t>
  </si>
  <si>
    <t>causing fish stocks to collapse</t>
  </si>
  <si>
    <t>it would undermine the law by encouraging general disobedience</t>
  </si>
  <si>
    <t>Which dynasties' histories were officially documented during Toghun's reign?</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</si>
  <si>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</si>
  <si>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What does the world's first Museum of Posters have one of the largest collections of in the world?</t>
  </si>
  <si>
    <t>Mojave Desert</t>
  </si>
  <si>
    <t>Trotsky thought what was not needed for a true Russian revolution.</t>
  </si>
  <si>
    <t>public</t>
  </si>
  <si>
    <t>What was compounding seen as being in the locomotive construction industry?</t>
  </si>
  <si>
    <t>cattle were brought across the river there.</t>
  </si>
  <si>
    <t>What unit is measured to determine circuit complexity?</t>
  </si>
  <si>
    <t>the movements of nature</t>
  </si>
  <si>
    <t>world revolution.</t>
  </si>
  <si>
    <t xml:space="preserve">Rock units become thicker and shorten when placed under this type of compression. </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</si>
  <si>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</si>
  <si>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the races of highest 'social efficiency'"</t>
  </si>
  <si>
    <t>orientalism and tropicality</t>
  </si>
  <si>
    <t>They lost money</t>
  </si>
  <si>
    <t>loss of soil fertility and weed invasion</t>
  </si>
  <si>
    <t>Where is Galaxy Public School located?</t>
  </si>
  <si>
    <t>cattle were brought across</t>
  </si>
  <si>
    <t>How many rival princes were involved in assassinating Gegeen?</t>
  </si>
  <si>
    <t>Upper Rhine</t>
  </si>
  <si>
    <t>beginning in early September and ending in mid-May</t>
  </si>
  <si>
    <t>The Port of Long Beach belongs to which region of California?</t>
  </si>
  <si>
    <t>Stanley Steamer</t>
  </si>
  <si>
    <t>The Earth's mantle</t>
  </si>
  <si>
    <t>big O notation</t>
  </si>
  <si>
    <t>Community-based conservation efforts are being replaced where</t>
  </si>
  <si>
    <t>On the other hand, in the late 1980s the Western Atlantic ctenophore Mnemiopsis leidyi was accidentally introduced into the Black Sea and Sea of Azov via the ballast tanks of ships, and has been blamed for causing sharp drops in fish catches by eating both fish larvae and small crustaceans that would otherwise feed the adult fish. Mnemiopsis is well equipped to invade new territories (although this was not predicted until after it so successfully colonized the Black Sea), as it can breed very rapidly and tolerate a wide range of water temperatures and salinities. The impact was increased by chronic overfishing, and by eutrophication that gave the entire ecosystem a short-term boost, causing the Mnemiopsis population to increase even faster than normal – and above all by the absence of efficient predators on these introduced ctenophores. Mnemiopsis populations in those areas were eventually brought under control by the accidental introduction of the Mnemiopsis-eating North American ctenophore Beroe ovata, and by a cooling of the local climate from 1991 to 1993, which significantly slowed the animal's metabolism. However the abundance of plankton in the area seems unlikely to be restored to pre-Mnemiopsis levels.</t>
  </si>
  <si>
    <t>not equal</t>
  </si>
  <si>
    <t>self and non-self</t>
  </si>
  <si>
    <t>take evidence from witnesses, conduct inquiries and scrutinise legislation</t>
  </si>
  <si>
    <t>extended structure and forces that act on one part of an object might affect other parts of an object</t>
  </si>
  <si>
    <t>circuit switching</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</si>
  <si>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</si>
  <si>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What type of sanctions has the US directed at Iran?</t>
  </si>
  <si>
    <t>marine waters worldwide</t>
  </si>
  <si>
    <t>Gaelic</t>
  </si>
  <si>
    <t>a proprietary suite of networking protocols developed by Apple Inc. in 1985</t>
  </si>
  <si>
    <t>civil disobedience is only justified against governmental entities.</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</si>
  <si>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</si>
  <si>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Robert Maynard Hutchins de-emphasized varsity athletics</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</si>
  <si>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</si>
  <si>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What are two examples of primitive jawless vertebrates?</t>
  </si>
  <si>
    <t>What do the Waal and the Nederrijn-Lek discharge throguh?</t>
  </si>
  <si>
    <t>Meuse estuary</t>
  </si>
  <si>
    <t>a different view</t>
  </si>
  <si>
    <t>gelatinous projections edged with cilia that produce water currents</t>
  </si>
  <si>
    <t>rock crystallizes from melt (magma and/or lava)</t>
  </si>
  <si>
    <t>What is partially responsible for weakened immune response in older individuals?</t>
  </si>
  <si>
    <t>particular closure temperature</t>
  </si>
  <si>
    <t>autocratic-bureaucratic</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</si>
  <si>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</si>
  <si>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symbolic illegal protests</t>
  </si>
  <si>
    <t>a setup phase in each involved node</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</si>
  <si>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blood–brain barrier, blood–cerebrospinal fluid barrier, and similar fluid–brain barriers separate the peripheral immune system from the neuroimmune system which protects the brain.</t>
  </si>
  <si>
    <t>It expanded</t>
  </si>
  <si>
    <t xml:space="preserve">What did the Apple system assign automatically </t>
  </si>
  <si>
    <t>a spin triplet state</t>
  </si>
  <si>
    <t>host interface to X.25 and the terminal interface to X.29</t>
  </si>
  <si>
    <t>How many vice presidents are on the Student Board?</t>
  </si>
  <si>
    <t>Ohio Company of Virginia</t>
  </si>
  <si>
    <t>British failures in North America, combined with other failures in the Europe</t>
  </si>
  <si>
    <t>about seven-eighths</t>
  </si>
  <si>
    <t>manually suppress the fire</t>
  </si>
  <si>
    <t>computational power</t>
  </si>
  <si>
    <t>pivotal event</t>
  </si>
  <si>
    <t>What university alumni member was known for his work on portfolio theory?</t>
  </si>
  <si>
    <t>highest 'social efficiency'</t>
  </si>
  <si>
    <t>What does it mean when a harmonic series diverges?</t>
  </si>
  <si>
    <t>Primitive jawless vertebrates possess an array of receptors referred to as what?</t>
  </si>
  <si>
    <t>What two member nations of the Holy Roman Empire received Huguenot refugees?</t>
  </si>
  <si>
    <t>small numbers of settlers</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</si>
  <si>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</si>
  <si>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Who began a program of church reform in the 1100s</t>
  </si>
  <si>
    <t>Does the residential architecture of the Tower District compare or contrast with other part of Fresno?</t>
  </si>
  <si>
    <t>closure temperature</t>
  </si>
  <si>
    <t xml:space="preserve">Who founded Telnet </t>
  </si>
  <si>
    <t>When rock units are placed under horizontal compression, they shorten and become thicker. Because rock units, other than muds, do not significantly change in volume, this is accomplished in two primary ways: through faulting and folding. In the shallow crust, where brittle deformation can occur, thrust faults form, which cause deeper rock to move on top of shallower rock. Because deeper rock is often older, as noted by the principle of superposition, this can result in older rocks moving on top of younger ones. Movement along faults can result in folding, either because the faults are not planar or because rock layers are dragged along, forming drag folds as slip occurs along the fault. Deeper in the Earth, rocks behave plastically, and fold instead of faulting. These folds can either be those where the material in the center of the fold buckles upwards, creating "antiforms", or where it buckles downwards, creating "synforms". If the tops of the rock units within the folds remain pointing upwards, they are called anticlines and synclines, respectively. If some of the units in the fold are facing downward, the structure is called an overturned anticline or syncline, and if all of the rock units are overturned or the correct up-direction is unknown, they are simply called by the most general terms, antiforms and synforms.</t>
  </si>
  <si>
    <t>Battle of Bạch Đằng</t>
  </si>
  <si>
    <t>Between Bingen and Bonn, the Middle Rhine flows through the Rhine Gorge, a formation which was created by erosion. The rate of erosion equaled the uplift in the region, such that the river was left at about its original level while the surrounding lands raised. The gorge is quite deep and is the stretch of the river which is known for its many castles and vineyards. It is a UNESCO World Heritage Site (2002) and known as "the Romantic Rhine", with more than 40 castles and fortresses from the Middle Ages and many quaint and lovely country villages.</t>
  </si>
  <si>
    <t>"Bricks for Warsaw"</t>
  </si>
  <si>
    <t>Amazonia: Man and Culture in a Counterfeit Paradise.</t>
  </si>
  <si>
    <t>Southern California is also home to the Port of Los Angeles, the United States' busiest commercial port; the adjacent Port of Long Beach, the United States' second busiest container port; and the Port of San Diego.</t>
  </si>
  <si>
    <t>the NP-complete knapsack problem</t>
  </si>
  <si>
    <t>inform the jury and the public</t>
  </si>
  <si>
    <t>Which neighborhood lies west of the 41 freeway?</t>
  </si>
  <si>
    <t>Epte</t>
  </si>
  <si>
    <t>Dutch PTT Telecom</t>
  </si>
  <si>
    <t>What are the proteins that organisms use to identify molecules associated with pathogens?</t>
  </si>
  <si>
    <t>The academic body of the university is made up of how many professional schools?</t>
  </si>
  <si>
    <t>How high do plague fevers run?</t>
  </si>
  <si>
    <t>The College of the University of Chicago grants Bachelor of Arts and Bachelor of Science degrees in 50 academic majors and 28 minors. The college's academics are divided into five divisions: the Biological Sciences Collegiate Division, the Physical Sciences Collegiate Division, the Social Sciences Collegiate Division, the Humanities Collegiate Division, and the New Collegiate Division. The first four are sections within their corresponding graduate divisions, while the New Collegiate Division administers interdisciplinary majors and studies which do not fit in one of the other four divisions.</t>
  </si>
  <si>
    <t>Since ~3000 yr BP (= years Before Present), human impact is seen in the delta. As a result of increasing land clearance (Bronze Age agriculture), in the upland areas (central Germany), the sediment load of the Rhine has strongly increased and delta growth has sped up. This caused increased flooding and sedimentation, ending peat formation in the delta. The shifting of river channels to new locations, on the floodplain (termed avulsion), was the main process distributing sediment across the subrecent delta. Over the past 6000 years, approximately 80 avulsions have occurred. Direct human impact in the delta started with peat mining, for salt and fuel, from Roman times onward. This was followed by embankment, of the major distributaries and damming of minor distributaries, which took place in the 11–13th century AD. Thereafter, canals were dug, bends were short cut and groynes were built, to prevent the river's channels from migrating or silting up.</t>
  </si>
  <si>
    <t>What was the Plos Pathogens paper about?</t>
  </si>
  <si>
    <t>Geologists use a number of field, laboratory, and numerical modeling methods to decipher Earth history and understand the processes that occur on and inside the Earth. In typical geological investigations, geologists use primary information related to petrology (the study of rocks), stratigraphy (the study of sedimentary layers), and structural geology (the study of positions of rock units and their deformation). In many cases, geologists also study modern soils, rivers, landscapes, and glaciers; investigate past and current life and biogeochemical pathways, and use geophysical methods to investigate the subsurface.</t>
  </si>
  <si>
    <t>University President Robert Maynard Hutchins de-emphasized varsity athletics</t>
  </si>
  <si>
    <t>disease</t>
  </si>
  <si>
    <t>Southern</t>
  </si>
  <si>
    <t xml:space="preserve">What did Davies call his system </t>
  </si>
  <si>
    <t>Many important complexity classes can be defined by bounding the time or space used by the algorithm. Some important complexity classes of decision problems defined in this manner are the following:</t>
  </si>
  <si>
    <t>large-scale, distributed, survivable communications network</t>
  </si>
  <si>
    <t>advanced research and education networking</t>
  </si>
  <si>
    <t>Lake George</t>
  </si>
  <si>
    <t>How many electorates does the State of Victoria have?</t>
  </si>
  <si>
    <t>motorcycles or mopeds pulling trailers</t>
  </si>
  <si>
    <t>not be directly connected to ARPANET</t>
  </si>
  <si>
    <t xml:space="preserve">Gateways allowed private companies to do what </t>
  </si>
  <si>
    <t>What group can amend the Victorian constitution?</t>
  </si>
  <si>
    <t>coining the modern name packet switching and inspiring numerous packet switching networks</t>
  </si>
  <si>
    <t>What prohibits atoms from passing through each other?</t>
  </si>
  <si>
    <t>the oldest street in the United States of America</t>
  </si>
  <si>
    <t>At what age did British Gas plc force their workers to retire?</t>
  </si>
  <si>
    <t>What Mongolian system did Kublai's government compromise with?</t>
  </si>
  <si>
    <t>reduces</t>
  </si>
  <si>
    <t>What was a long term goal of French foreign policy along the Rhine?</t>
  </si>
  <si>
    <t>Cretaceous–Paleogene extinction</t>
  </si>
  <si>
    <t>Free oxygen gas was almost nonexistent in Earth's atmosphere before photosynthetic archaea and bacteria evolved, probably about 3.5 billion years ago. Free oxygen first appeared in significant quantities during the Paleoproterozoic eon (between 3.0 and 2.3 billion years ago). For the first billion years, any free oxygen produced by these organisms combined with dissolved iron in the oceans to form banded iron formations. When such oxygen sinks became saturated, free oxygen began to outgas from the oceans 3–2.7 billion years ago, reaching 10% of its present level around 1.7 billion years ago.</t>
  </si>
  <si>
    <t>prohibited emigration</t>
  </si>
  <si>
    <t>What dynasties inspired the Chinese-like elements of Kublai's government?</t>
  </si>
  <si>
    <t>waxy cuticle</t>
  </si>
  <si>
    <t>South Coast Metro</t>
  </si>
  <si>
    <t>counties</t>
  </si>
  <si>
    <t>To reduce the chances of combustion ___ is required for safely handeling pure O.</t>
  </si>
  <si>
    <t xml:space="preserve">How was this possible </t>
  </si>
  <si>
    <t>"pull"</t>
  </si>
  <si>
    <t>Anarchists do not want to accept punishment for what reason?</t>
  </si>
  <si>
    <t>What is the United States busiest commercial port?</t>
  </si>
  <si>
    <t>villes de sûreté</t>
  </si>
  <si>
    <t>(firms engaged in managing construction projects without assuming direct financial responsibility for completion of the construction project)</t>
  </si>
  <si>
    <t>The "West Side" of Fresno, also often called "Southwest Fresno", is one of the oldest neighborhoods in the city. The neighborhood lies southwest of the 99 freeway (which divides it from Downtown Fresno), west of the 41 freeway and south of Nielsen Ave (or the newly constructed 180 Freeway), and extends to the city limits to the west and south. The neighborhood is traditionally considered to be the center of Fresno's African-American community. It is culturally diverse and also includes significant Mexican-American and Asian-American (principally Hmong or Laotian) populations.</t>
  </si>
  <si>
    <t>In what two age groups is the strength of the immune system reduced?</t>
  </si>
  <si>
    <t>rat population was insufficient to account for a bubonic plague pandemic</t>
  </si>
  <si>
    <t>Mayor W. Haydon Burns'</t>
  </si>
  <si>
    <t>The "freedom to provide services" under TFEU article 56 applies to people who give services "for remuneration", especially commercial or professional activity. For example, in Van Binsbergen v Bestuur van de Bedrijfvereniging voor de Metaalnijverheid a Dutch lawyer moved to Belgium while advising a client in a social security case, and was told he could not continue because Dutch law said only people established in the Netherlands could give legal advice. The Court of Justice held that the freedom to provide services applied, it was directly effective, and the rule was probably unjustified: having an address in the member state would be enough to pursue the legitimate aim of good administration of justice. The Court of Justice has held that secondary education falls outside the scope of article 56, because usually the state funds it, though higher education does not. Health care generally counts as a service. In Geraets-Smits v Stichting Ziekenfonds Mrs Geraets-Smits claimed she should be reimbursed by Dutch social insurance for costs of receiving treatment in Germany. The Dutch health authorities regarded the treatment unnecessary, so she argued this restricted the freedom (of the German health clinic) to provide services. Several governments submitted that hospital services should not be regarded as economic, and should not fall within article 56. But the Court of Justice held health was a "service" even though the government (rather than the service recipient) paid for the service. National authorities could be justified in refusing to reimburse patients for medical services abroad if the health care received at home was without undue delay, and it followed "international medical science" on which treatments counted as normal and necessary. The Court requires that the individual circumstances of a patient justify waiting lists, and this is also true in the context of the UK's National Health Service. Aside from public services, another sensitive field of services are those classified as illegal. Josemans v Burgemeester van Maastricht held that the Netherlands' regulation of cannabis consumption, including the prohibitions by some municipalities on tourists (but not Dutch nationals) going to coffee shops, fell outside article 56 altogether. The Court of Justice reasoned that narcotic drugs were controlled in all member states, and so this differed from other cases where prostitution or other quasi-legal activity was subject to restriction. If an activity does fall within article 56, a restriction can be justified under article 52 or overriding requirements developed by the Court of Justice. In Alpine Investments BV v Minister van Financiën a business that sold commodities futures (with Merrill Lynch and another banking firms) attempted to challenge a Dutch law that prohibiting cold calling customers. The Court of Justice held the Dutch prohibition pursued a legitimate aim to prevent "undesirable developments in securities trading" including protecting the consumer from aggressive sales tactics, thus maintaining confidence in the Dutch markets. In Omega Spielhallen GmbH v Bonn a "laserdrome" business was banned by the Bonn council. It bought fake laser gun services from a UK firm called Pulsar Ltd, but residents had protested against "playing at killing" entertainment. The Court of Justice held that the German constitutional value of human dignity, which underpinned the ban, did count as a justified restriction on freedom to provide services. In Liga Portuguesa de Futebol v Santa Casa da Misericórdia de Lisboa the Court of Justice also held that the state monopoly on gambling, and a penalty for a Gibraltar firm that had sold internet gambling services, was justified to prevent fraud and gambling where people's views were highly divergent. The ban was proportionate as this was an appropriate and necessary way to tackle the serious problems of fraud that arise over the internet. In the Services Directive a group of justifications were codified in article 16 that the case law has developed.</t>
  </si>
  <si>
    <t>What equates to a squared integer according to polynomial time reduction?</t>
  </si>
  <si>
    <t>Recognized Student Organizations (RSOs)</t>
  </si>
  <si>
    <t>How well did the Mongol Emperors know Chinese?</t>
  </si>
  <si>
    <t>What brought Warsaw's stock exchange to a stop?</t>
  </si>
  <si>
    <t>Tamara de Lempicka was a famous artist born in Warsaw. She was born Maria Górska in Warsaw to wealthy parents and in 1916 married a Polish lawyer Tadeusz Łempicki.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</si>
  <si>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 xml:space="preserve">WHat were features of Apple Talk </t>
  </si>
  <si>
    <t>Who is Antigone's father in the play?</t>
  </si>
  <si>
    <t>Economist Joseph Stiglitz argues that rather than explaining concentrations of wealth and income, market forces should serve as a brake on such concentration, which may better be explained by the non-market force known as "rent-seeking". While the market will bid up compensation for rare and desired skills to reward wealth creation, greater productivity, etc., it will also prevent successful entrepreneurs from earning excess profits by fostering competition to cut prices, profits and large compensation. A better explainer of growing inequality, according to Stiglitz, is the use of political power generated by wealth by certain groups to shape government policies financially beneficial to them. This process, known to economists as rent-seeking, brings income not from creation of wealth but from "grabbing a larger share of the wealth that would otherwise have been produced without their effort"</t>
  </si>
  <si>
    <t>They lost money from the beginning, and Sinback, a high-level marketing manager, was given the job of turning the business around</t>
  </si>
  <si>
    <t>What encouraged cultural exchange under the Yuan?</t>
  </si>
  <si>
    <t>In the United States, what is a usual turbine speed with 60 Hertz of power?</t>
  </si>
  <si>
    <t>along the St. Lawrence River valley</t>
  </si>
  <si>
    <t>U.S. South</t>
  </si>
  <si>
    <t>Where did France win a war in the 1950's</t>
  </si>
  <si>
    <t>reduced moist tropical vegetation cover</t>
  </si>
  <si>
    <t>a covalent double bond</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</si>
  <si>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</si>
  <si>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What did the BankAmericard allow customers do to that they couldn't do with previous financial instruments?</t>
  </si>
  <si>
    <t>bourgeois</t>
  </si>
  <si>
    <t>one major operation</t>
  </si>
  <si>
    <t>General Pharmaceutical Council (GPhC)</t>
  </si>
  <si>
    <t>does not infringe the rights of others</t>
  </si>
  <si>
    <t>What does wealth disparity make the economy more prone to?</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</si>
  <si>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</si>
  <si>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What three things are needed for construction to take place?</t>
  </si>
  <si>
    <t>Though unkown, what are the most commonly ascribed attributes of L in relation to P</t>
  </si>
  <si>
    <t>Nepali</t>
  </si>
  <si>
    <t>How many weight rooms are in the Malkin Athletic Center</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</si>
  <si>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</si>
  <si>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High altitude as well as what contributes to Jacksonville's lack of cold-weather question work</t>
  </si>
  <si>
    <t>Antigone was a play made by whom?</t>
  </si>
  <si>
    <t>top tax rate</t>
  </si>
  <si>
    <t>the world's first commercial online service</t>
  </si>
  <si>
    <t xml:space="preserve"> In the 2009 Commission v Italy, case, the Court of Justice held that an Italian low prohibiting what infringed article 34?</t>
  </si>
  <si>
    <t>What is the name of the residential treatment program the university runs?</t>
  </si>
  <si>
    <t>packets</t>
  </si>
  <si>
    <t>What principle highlights the significance of primes in number theory</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</si>
  <si>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Jumièges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</si>
  <si>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avoid the "inconvenience" of visiting a doctor</t>
  </si>
  <si>
    <t>When did the Spanish and Portuguese colonies gain their independance.</t>
  </si>
  <si>
    <t>Singapore, London, and the downtown Streeterville neighborhood of Chicago</t>
  </si>
  <si>
    <t>When was Kublai's administration running out of money?</t>
  </si>
  <si>
    <t>What do larger fortunes generate?</t>
  </si>
  <si>
    <t>actual sea level rise was above the top of the range</t>
  </si>
  <si>
    <t>What kind of destruction did the 1994 earthquake cause the most of in US history?</t>
  </si>
  <si>
    <t>native Chinese dynasties</t>
  </si>
  <si>
    <t xml:space="preserve">What did this concept contradict </t>
  </si>
  <si>
    <t>What event happened 66 million years ago?</t>
  </si>
  <si>
    <t>What is the theory that this King's name is the origin of "Huguenot" called?</t>
  </si>
  <si>
    <t>Where was Parliament temporarily relocated to in May of 2000?</t>
  </si>
  <si>
    <t>a type of "blood poisoning"</t>
  </si>
  <si>
    <t>What is stratigraphy?</t>
  </si>
  <si>
    <t>the Treaty of Rome 1957 and the Maastricht Treaty 1992 (now: TFEU)</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</si>
  <si>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</si>
  <si>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 xml:space="preserve">What properties are analyzed with a conoscopic lens by petrologists? </t>
  </si>
  <si>
    <t>Why was the Dutch lawyer who moved to Belgium while advising a client in a social society case told he couldn't continue?</t>
  </si>
  <si>
    <t>What are the main sources of primary law?</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</si>
  <si>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</si>
  <si>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D&amp;B contractors</t>
  </si>
  <si>
    <t>X.25</t>
  </si>
  <si>
    <t>What is the duration of Harvard Academic year?</t>
  </si>
  <si>
    <t>In which case did the Court of Justice hold that requiring Italian lawyers to comply with maximum tariffs unless there was an agreement with a client was not a restriction?</t>
  </si>
  <si>
    <t>by assuming the task of interpreting the treaties, and accelerating economic and political integration</t>
  </si>
  <si>
    <t>West Side</t>
  </si>
  <si>
    <t>How many customaries does Norman customary law have?</t>
  </si>
  <si>
    <t>What did the Edict do for Huguenots in France?</t>
  </si>
  <si>
    <t>The executive summary of the WG I Summary for Policymakers report says they are certain that emissions resulting from human activities are substantially increasing the atmospheric concentrations of the greenhouse gases, resulting on average in an additional warming of the Earth's surface. They calculate with confidence that CO2 has been responsible for over half the enhanced greenhouse effect. They predict that under a "business as usual" (BAU) scenario, global mean temperature will increase by about 0.3 °C per decade during the [21st] century. They judge that global mean surface air temperature has increased by 0.3 to 0.6 °C over the last 100 years, broadly consistent with prediction of climate models, but also of the same magnitude as natural climate variability. The unequivocal detection of the enhanced greenhouse effect is not likely for a decade or more.</t>
  </si>
  <si>
    <t>Why do firms substitute equipment for workers?</t>
  </si>
  <si>
    <t>One theory is that, while disobedience may be helpful, any great amount of it would undermine the law by encouraging general disobedience which is neither conscientious nor of social benefit. Therefore, conscientious lawbreakers must be punished. Michael Bayles argues that if a person violates a law in order to create a test case as to the constitutionality of a law, and then wins his case, then that act did not constitute civil disobedience. It has also been argued that breaking the law for self-gratification, as in the case of a homosexual or cannabis user who does not direct his act at securing the repeal of amendment of the law, is not civil disobedience. Likewise, a protestor who attempts to escape punishment by committing the crime covertly and avoiding attribution, or by denying having committed the crime, or by fleeing the jurisdiction, is generally viewed as not being a civil disobedient.</t>
  </si>
  <si>
    <t>How was Sadat rewarded by the Islamists for his attempts to bring Egypt into modern times and civilization?</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</si>
  <si>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</si>
  <si>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may have entered Europe in two waves</t>
  </si>
  <si>
    <t>(a type of "blood poisoning"</t>
  </si>
  <si>
    <t>Internet Protocol (IP)</t>
  </si>
  <si>
    <t>What two railroads have railyards in the city of Fresno?</t>
  </si>
  <si>
    <t>Why was it thought that  ctenophores were a poor diet for other animals?</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</si>
  <si>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</si>
  <si>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</si>
  <si>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</si>
  <si>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wrecking</t>
  </si>
  <si>
    <t>passing a stream of clean, dry air through one bed of a pair of identical zeolite molecular sieves</t>
  </si>
  <si>
    <t>Which two courts apply European Union law?</t>
  </si>
  <si>
    <t>What types of responsibilities might a pharmacy technician have?</t>
  </si>
  <si>
    <t>Who won the Ekstraklasa Championship in 2000?</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</si>
  <si>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</si>
  <si>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What compounds are released by injured or infected cells, triggering inflammation?</t>
  </si>
  <si>
    <t>Bell Northern Research</t>
  </si>
  <si>
    <t>What are pharmacists in the United Kingdom being increasingly paid for?</t>
  </si>
  <si>
    <t>algebraic aspects</t>
  </si>
  <si>
    <t>risen</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</si>
  <si>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</si>
  <si>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electrical, water, sewage, phone, and cable</t>
  </si>
  <si>
    <t>Emmerich Rhine Bridge</t>
  </si>
  <si>
    <t>Schrödinger equation</t>
  </si>
  <si>
    <t>Which theorem states that every large even integer can be written as a prime summed with a semiprime?</t>
  </si>
  <si>
    <t>What is the term given to algorithms that utilize random bits?</t>
  </si>
  <si>
    <t>the public PAD service Telepad</t>
  </si>
  <si>
    <t>Conservative researchers have argued that income inequality is not significant because consumption, rather than income should be the measure of inequality, and inequality of consumption is less extreme than inequality of income in the US. Will Wilkinson of the libertarian Cato Institute states that "the weight of the evidence shows that the run-up in consumption inequality has been considerably less dramatic than the rise in income inequality," and consumption is more important than income. According to Johnson, Smeeding, and Tory, consumption inequality was actually lower in 2001 than it was in 1986. The debate is summarized in "The Hidden Prosperity of the Poor" by journalist Thomas B. Edsall. Other studies have not found consumption inequality less dramatic than household income inequality, and the CBO's study found consumption data not "adequately" capturing "consumption by high-income households" as it does their income, though it did agree that household consumption numbers show more equal distribution than household income.</t>
  </si>
  <si>
    <t>Mid-Atlantic</t>
  </si>
  <si>
    <t>Oneida Carry</t>
  </si>
  <si>
    <t>dial-up terminal</t>
  </si>
  <si>
    <t>high school</t>
  </si>
  <si>
    <t xml:space="preserve">KPN referred to Datanet 1 as </t>
  </si>
  <si>
    <t>for draining the surrounding land and polders</t>
  </si>
  <si>
    <t>World War II.</t>
  </si>
  <si>
    <t>Treaty of Hubertusburg on 15 February 1763</t>
  </si>
  <si>
    <t>Port of Los Angeles</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</si>
  <si>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communiqué stating that, from then on, they would price oil in terms of a fixed amount of gold.</t>
  </si>
  <si>
    <t>supporting applications such as on-line betting, financial applications</t>
  </si>
  <si>
    <t>Where are the specialized cells that eliminate cells that recognize self-antigens located?</t>
  </si>
  <si>
    <t>Who first wrote about the Rhine's discovery and border?</t>
  </si>
  <si>
    <t>What type of movement is the Muslim Brotherhood?</t>
  </si>
  <si>
    <t>dislodge the French</t>
  </si>
  <si>
    <t>711,988</t>
  </si>
  <si>
    <t>The bend on the Rhine goes from the West to what direction?</t>
  </si>
  <si>
    <t>complicated</t>
  </si>
  <si>
    <t>The evolutionary strategy used by cicadas of the genus Magicicada make use of prime numbers. These insects spend most of their lives as grubs underground. They only pupate and then emerge from their burrows after 7, 13 or 17 years, at which point they fly about, breed, and then die after a few weeks at most. The logic for this is believed to be that the prime number intervals between emergences make it very difficult for predators to evolve that could specialize as predators on Magicicadas. If Magicicadas appeared at a non-prime number intervals, say every 12 years, then predators appearing every 2, 3, 4, 6, or 12 years would be sure to meet them. Over a 200-year period, average predator populations during hypothetical outbreaks of 14- and 15-year cicadas would be up to 2% higher than during outbreaks of 13- and 17-year cicadas. Though small, this advantage appears to have been enough to drive natural selection in favour of a prime-numbered life-cycle for these insects.</t>
  </si>
  <si>
    <t>Some species of beroe have a pair of strips of adhesive cells on the stomach wall. What does it do?</t>
  </si>
  <si>
    <t>attack on New France's capital, Quebec</t>
  </si>
  <si>
    <t>British failures in North America</t>
  </si>
  <si>
    <t>Edinburgh</t>
  </si>
  <si>
    <t>divergent boundaries</t>
  </si>
  <si>
    <t>Who asserted Russia's right to "self-determination?"</t>
  </si>
  <si>
    <t>What is typically used to broadly define complexity measures?</t>
  </si>
  <si>
    <t xml:space="preserve">What does each packet includ in connectionless mode </t>
  </si>
  <si>
    <t xml:space="preserve">what does vBNS stand for </t>
  </si>
  <si>
    <t>Along with giving the offender his "just deserts", achieving crime control via incapacitation and deterrence is a major goal of criminal punishment. Brownlee argues, "Bringing in deterrence at the level of justification detracts from the law’s engagement in a moral dialogue with the offender as a rational person because it focuses attention on the threat of punishment and not the moral reasons to follow this law." Leonard Hubert Hoffmann writes, "In deciding whether or not to impose punishment, the most important consideration would be whether it would do more harm than good. This means that the objector has no right not to be punished. It is a matter for the state (including the judges) to decide on utilitarian grounds whether to do so or not."</t>
  </si>
  <si>
    <t>What percentage of the vote for a Scottish Assembly in favor of it?</t>
  </si>
  <si>
    <t>What is the foundation for separation results within complexity classes?</t>
  </si>
  <si>
    <t>remote</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</si>
  <si>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</si>
  <si>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</si>
  <si>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What is responsible for constraining P according to the time hierarchy theorem?</t>
  </si>
  <si>
    <t>What American actor is also a university graduate?</t>
  </si>
  <si>
    <t>fund</t>
  </si>
  <si>
    <t>faster</t>
  </si>
  <si>
    <t>very low</t>
  </si>
  <si>
    <t>many middle eastern scientists</t>
  </si>
  <si>
    <t>Warner Center is located in which area?</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</si>
  <si>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</si>
  <si>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Who was Margaret's husband?</t>
  </si>
  <si>
    <t>twin-cylinder</t>
  </si>
  <si>
    <t>How many extended metropolitan areas are there?</t>
  </si>
  <si>
    <t>dispatched six regiments to New France under the command of Baron Dieskau in 1755</t>
  </si>
  <si>
    <t>Mortgage bankers, accountants, and cost engineers</t>
  </si>
  <si>
    <t>significant new evidence or events that change our understanding</t>
  </si>
  <si>
    <t xml:space="preserve">What is the most recent example of financial fault lines? </t>
  </si>
  <si>
    <t>Which caused the reform to never come into force?</t>
  </si>
  <si>
    <t>The Lucas–Lehmer test</t>
  </si>
  <si>
    <t>What causes Pauli repulsion?</t>
  </si>
  <si>
    <t>the most efficient algorithm solving a given problem</t>
  </si>
  <si>
    <t>66–34</t>
  </si>
  <si>
    <t>How many naval bases are located in Jacksonville?</t>
  </si>
  <si>
    <t>hate them for their religion</t>
  </si>
  <si>
    <t>What have the two different Islamist movements been described as oscillating between?</t>
  </si>
  <si>
    <t>draining the surrounding land</t>
  </si>
  <si>
    <t>Sky Movies and Sky Box office also include what optional soundtracks?</t>
  </si>
  <si>
    <t>Who developed the lithium-ion battery?</t>
  </si>
  <si>
    <t>738 days</t>
  </si>
  <si>
    <t>What Senate committee did Singer speak to in July 2000?</t>
  </si>
  <si>
    <t>What language other than English has the Scottish Parliament had meetings in?</t>
  </si>
  <si>
    <t>major national and international patient information projects and health system interoperability goals</t>
  </si>
  <si>
    <t>level fell</t>
  </si>
  <si>
    <t>The notion "force" keeps its meaning in quantum mechanics, though one is now dealing with operators instead of classical variables and though the physics is now described by the Schrödinger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</si>
  <si>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introduction of Beroe</t>
  </si>
  <si>
    <t>This vibrant and culturally diverse area of retail businesses and residences experienced a renewal after a significant decline in the late 1960s and 1970s.[citation needed] After decades of neglect and suburban flight, the neighborhood revival followed the re-opening of the Tower Theatre in the late 1970s, which at that time showed second and third run movies, along with classic films. Roger Rocka's Dinner Theater &amp; Good Company Players also opened nearby in 1978,[citation needed] at Olive and Wishon Avenues. Fresno native Audra McDonald performed in the leading roles of Evita and The Wiz at the theater while she was a high school student. McDonald subsequently became a leading performer on Broadway in New York City and a Tony award winning actress. Also in the Tower District is Good Company Players' 2nd Space Theatre.</t>
  </si>
  <si>
    <t>the Sonia Shankman Orthogenic School</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</si>
  <si>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</si>
  <si>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How is oxygen ranked as abundant in the universe?</t>
  </si>
  <si>
    <t>Which basin does the dust falls over into?</t>
  </si>
  <si>
    <t>if they are distinct or equal classes</t>
  </si>
  <si>
    <t>provide high-speed interconnection between NSF-sponsored supercomputing centers and select access points in the United States</t>
  </si>
  <si>
    <t>At present, the branches Waal and Nederrijn-Lek discharge to the North Sea, through the former Meuse estuary, near Rotterdam. The river IJssel branch flows to the north and enters the IJsselmeer, formerly the Zuider Zee brackish lagoon; however, since 1932, a freshwater lake. The discharge of the Rhine is divided among three branches: the River Waal (6/9 of total discharge), the River Nederrijn – Lek (2/9 of total discharge) and the River IJssel (1/9 of total discharge). This discharge distribution has been maintained since 1709, by river engineering works, including the digging of the Pannerdens canal and since the 20th century, with the help of weirs in the Nederrijn river.</t>
  </si>
  <si>
    <t>to use the proceedings as a forum</t>
  </si>
  <si>
    <t xml:space="preserve">In cases with shared medium how is it delivered </t>
  </si>
  <si>
    <t xml:space="preserve">Was the Use of the DATANET 1 name correct </t>
  </si>
  <si>
    <t>Doctor of Pharmacy</t>
  </si>
  <si>
    <t>shut down host defenses.</t>
  </si>
  <si>
    <t>What region of the Rhine was changed by the Rhine Straightening program?</t>
  </si>
  <si>
    <t>building is ready to occupy</t>
  </si>
  <si>
    <t>pharmacy legislation</t>
  </si>
  <si>
    <t>The unproven Riemann hypothesis, dating from 1859, states that except for s = −2, −4, ..., all zeroes of the ζ-function have real part equal to 1/2. The connection to prime numbers is that it essentially says that the primes are as regularly distributed as possible.[clarification needed] From a physical viewpoint, it roughly states that the irregularity in the distribution of primes only comes from random noise. From a mathematical viewpoint, it roughly states that the asymptotic distribution of primes (about x/log x of numbers less than x are primes, the prime number theorem) also holds for much shorter intervals of length about the square root of x (for intervals near x). This hypothesis is generally believed to be correct. In particular, the simplest assumption is that primes should have no significant irregularities without good reason.</t>
  </si>
  <si>
    <t>Goldbach's</t>
  </si>
  <si>
    <t>What is Warsaw's symbol?</t>
  </si>
  <si>
    <t>identified change orders or project changes that increased costs</t>
  </si>
  <si>
    <t>What did Kublai's government have to balance between?</t>
  </si>
  <si>
    <t>allowed very young students to attend college</t>
  </si>
  <si>
    <t>In May 2002, where would you go to address the Parliament?</t>
  </si>
  <si>
    <t>Name a luxury division of Toyota.</t>
  </si>
  <si>
    <t>the doctrine of transubstantiation</t>
  </si>
  <si>
    <t>that BSkyB had substantially increased the asking price for the channels</t>
  </si>
  <si>
    <t>to extend networking benefits</t>
  </si>
  <si>
    <t>gain information about past climate</t>
  </si>
  <si>
    <t>successfully preventing it from being cut down</t>
  </si>
  <si>
    <t>see no need to accept punishment for a violation of criminal law that does not infringe the rights of others</t>
  </si>
  <si>
    <t>A third type of conjectures concerns aspects of the distribution of primes. It is conjectured that there are infinitely many twin primes, pairs of primes with difference 2 (twin prime conjecture). Polignac's conjecture is a strengthening of that conjecture, it states that for every positive integer n, there are infinitely many pairs of consecutive primes that differ by 2n. It is conjectured there are infinitely many primes of the form n2 + 1. These conjectures are special cases of the broad Schinzel's hypothesis H. Brocard's conjecture says that there are always at least four primes between the squares of consecutive primes greater than 2. Legendre's conjecture states that there is a prime number between n2 and (n + 1)2 for every positive integer n. It is implied by the stronger Cramér's conjecture.</t>
  </si>
  <si>
    <t>Paul Baran developed the concept Distributed Adaptive Message Block Switching</t>
  </si>
  <si>
    <t>Bent Rhine</t>
  </si>
  <si>
    <t>number of gates</t>
  </si>
  <si>
    <t>reverts to the first Thursday in May, a multiple of four years after 1999</t>
  </si>
  <si>
    <t>with or without intermediate forwarding nodes</t>
  </si>
  <si>
    <t>After the operators are warned by the escape of the steam, what may they then do?</t>
  </si>
  <si>
    <t>30–75%</t>
  </si>
  <si>
    <t>birefringence, pleochroism, twinning, and interference</t>
  </si>
  <si>
    <t>Wesel-Datteln Canal</t>
  </si>
  <si>
    <t>Cabot Science Library, Lamont Library, and Widener Library</t>
  </si>
  <si>
    <t>Where does the Middle Rhine flow between Bingen and Bonn?</t>
  </si>
  <si>
    <t>What was Marin's orders?</t>
  </si>
  <si>
    <t>The point at which different radiometric isotopes stop diffusing into and out of the crystal lattice is called what?</t>
  </si>
  <si>
    <t>Families with French names in South Africa speak what language today?</t>
  </si>
  <si>
    <t>23 June 2005</t>
  </si>
  <si>
    <t>heavy/highway, heavy civil or heavy engineering</t>
  </si>
  <si>
    <t>making ARPANET technology public</t>
  </si>
  <si>
    <t>states and governments</t>
  </si>
  <si>
    <t>Which type of climate may have allowed the rainforest to spread across the continent?</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</si>
  <si>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</si>
  <si>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What role did Michael Oppenheimer have in the IPCC's reports?</t>
  </si>
  <si>
    <t>gauge bosons</t>
  </si>
  <si>
    <t>When was most of Sunnside developed?</t>
  </si>
  <si>
    <t>between 1268 and 1273</t>
  </si>
  <si>
    <t>What was the purpose of CSNET</t>
  </si>
  <si>
    <t>Of particular concern with Internet pharmacies is the ease with which people, youth in particular, can obtain controlled substances (e.g., Vicodin, generically known as hydrocodone) via the Internet without a prescription issued by a doctor/practitioner who has an established doctor-patient relationship. There are many instances where a practitioner issues a prescription, brokered by an Internet server, for a controlled substance to a "patient" s/he has never met.[citation needed] In the United States, in order for a prescription for a controlled substance to be valid, it must be issued for a legitimate medical purpose by a licensed practitioner acting in the course of legitimate doctor-patient relationship. The filling pharmacy has a corresponding responsibility to ensure that the prescription is valid. Often, individual state laws outline what defines a valid patient-doctor relationship.</t>
  </si>
  <si>
    <t>may be powerful but it is not necessarily right</t>
  </si>
  <si>
    <t>contrasts</t>
  </si>
  <si>
    <t>51.6%</t>
  </si>
  <si>
    <t>What is the English translation of Kunskapsskolan?</t>
  </si>
  <si>
    <t>Which rail line operates in Melbourne?</t>
  </si>
  <si>
    <t>Kuznets curve hypothesis</t>
  </si>
  <si>
    <t>supplanted by the Internet Protocol (IP) at the network layer, and the Asynchronous Transfer Mode (ATM) and or versions of Multi-Protocol Label Switching</t>
  </si>
  <si>
    <t>I may have violated some specific laws, but I am guilty of doing no wrong</t>
  </si>
  <si>
    <t>African-American</t>
  </si>
  <si>
    <t>What were the reasons why residents moved to the town of Fresno Station?</t>
  </si>
  <si>
    <t>use of the name was incorrect all these services were managed by the same people within one department of KPN contributed to the confusion</t>
  </si>
  <si>
    <t>When was BSkyB's digital service launched?</t>
  </si>
  <si>
    <t>Bold New City of the South</t>
  </si>
  <si>
    <t>The tentacles of cydippid ctenophores are typically fringed with tentilla ("little tentacles"), although a few genera have simple tentacles without these sidebranches. The tentacles and tentilla are densely covered with microscopic colloblasts that capture prey by sticking to it. Colloblasts are specialized mushroom-shaped cells in the outer layer of the epidermis, and have three main components: a domed head with vesicles (chambers) that contain adhesive; a stalk that anchors the cell in the lower layer of the epidermis or in the mesoglea; and a spiral thread that coils round the stalk and is attached to the head and to the root of the stalk. The function of the spiral thread is uncertain, but it may absorb stress when prey tries to escape, and thus prevent the collobast from being torn apart. In addition to colloblasts, members of the genus Haeckelia, which feed mainly on jellyfish, incorporate their victims' stinging nematocytes into their own tentacles – some cnidaria-eating nudibranchs similarly incorporate nematocytes into their bodies for defense. The tentilla of Euplokamis differ significantly from those of other cydippids: they contain striated muscle, a cell type otherwise unknown in the phylum Ctenophora; and they are coiled when relaxed, while the tentilla of all other known ctenophores elongate when relaxed. Euplokamis' tentilla have three types of movement that are used in capturing prey: they may flick out very quickly (in 40 to 60 milliseconds); they can wriggle, which may lure prey by behaving like small planktonic worms; and they coil round prey. The unique flicking is an uncoiling movement powered by contraction of the striated muscle. The wriggling motion is produced by smooth muscles, but of a highly specialized type. Coiling around prey is accomplished largely by the return of the tentilla to their inactive state, but the coils may be tightened by smooth muscle.</t>
  </si>
  <si>
    <t>What aid is available to underprivileged students seeking to attend a private university?</t>
  </si>
  <si>
    <t>What two resources commonly consumed by alternate models are typically known to vary?</t>
  </si>
  <si>
    <t>κτείς kteis 'comb' and φέρω pherō 'carry'</t>
  </si>
  <si>
    <t>Bronze Age agriculture</t>
  </si>
  <si>
    <t>probabilistic Turing machine</t>
  </si>
  <si>
    <t>Fresno Traction Company</t>
  </si>
  <si>
    <t>rat population was insufficient</t>
  </si>
  <si>
    <t>the Big Ten Conference</t>
  </si>
  <si>
    <t>What can the IPCC's report deadlines cause to be omitted?</t>
  </si>
  <si>
    <t>system to function</t>
  </si>
  <si>
    <t>assassinated</t>
  </si>
  <si>
    <t>Amsterdam and the area of West Frisia</t>
  </si>
  <si>
    <t>after dropping to the sea-floor</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</si>
  <si>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</si>
  <si>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Agassiz's approach to science combined observation and what?</t>
  </si>
  <si>
    <t xml:space="preserve">What 3 things does the Air Force work key on </t>
  </si>
  <si>
    <t>were open standards with published specifications, and several implementations were developed outside DEC, including one for Linux</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</si>
  <si>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</si>
  <si>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at the Cape of Good Hope</t>
  </si>
  <si>
    <t>What type of motivators are achievement and self determination considered?</t>
  </si>
  <si>
    <t>the Common Core</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</si>
  <si>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</si>
  <si>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capturing three traders and killing 14 people of the Miami nation, including Old Briton</t>
  </si>
  <si>
    <t>What treaty ended the Wars of Religion?</t>
  </si>
  <si>
    <t>using sickles to deflate one of the large domes covering two satellite dishes</t>
  </si>
  <si>
    <t>the Electorate of Brandenburg and Electorate of the Palatinate</t>
  </si>
  <si>
    <t>1.4 and 5.8 °C</t>
  </si>
  <si>
    <t>an occupancy permit</t>
  </si>
  <si>
    <t>What did BSkyB name their interactive service?</t>
  </si>
  <si>
    <t>even numbers</t>
  </si>
  <si>
    <t>anti-democratic Islamist movements inspired by Maududi and Sayyid Qutb</t>
  </si>
  <si>
    <t>former King of Thebes</t>
  </si>
  <si>
    <t>cortisol and catecholamines</t>
  </si>
  <si>
    <t>In particular, this norm gets smaller when a number is multiplied by p, in sharp contrast to the usual absolute value (also referred to as the infinite prime). While completing Q (roughly, filling the gaps) with respect to the absolute value yields the field of real numbers, completing with respect to the p-adic norm |−|p yields the field of p-adic numbers. These are essentially all possible ways to complete Q, by Ostrowski's theorem. Certain arithmetic questions related to Q or more general global fields may be transferred back and forth to the completed (or local) fields. This local-global principle again underlines the importance of primes to number theory.</t>
  </si>
  <si>
    <t>"West Side"</t>
  </si>
  <si>
    <t>In the 1910s, New York–based filmmakers were attracted to Jacksonville's warm climate, exotic locations, excellent rail access, and cheap labor. Over the course of the decade, more than 30 silent film studios were established, earning Jacksonville the title of "Winter Film Capital of the World". However, the emergence of Hollywood as a major film production center ended the city's film industry. One converted movie studio site, Norman Studios, remains in Arlington; It has been converted to the Jacksonville Silent Film Museum at Norman Studios.</t>
  </si>
  <si>
    <t>Construction is the process of constructing a building or infrastructure. Construction differs from manufacturing in that manufacturing typically involves mass production of similar items without a designated purchaser, while construction typically takes place on location for a known client. Construction as an industry comprises six to nine percent of the gross domestic product of developed countries. Construction starts with planning,[citation needed] design, and financing and continues until the project is built and ready for use.</t>
  </si>
  <si>
    <t>Reyners v Belgium the Court of Justice</t>
  </si>
  <si>
    <t xml:space="preserve">What was the goal of the system </t>
  </si>
  <si>
    <t>wid[en] people’s choices and the level of their achieved well-being</t>
  </si>
  <si>
    <t>A single line connects San Bernardino, Riverside and what other county?</t>
  </si>
  <si>
    <t>Every May since 1987, the University of Chicago has held the University of Chicago Scavenger Hunt, in which large teams of students compete to obtain notoriously esoteric items from a list. Since 1963, the Festival of the Arts (FOTA) takes over campus for 7–10 days of exhibitions and interactive artistic endeavors. Every January, the university holds a week-long winter festival, Kuviasungnerk/Kangeiko, which include early morning exercise routines and fitness workshops. The university also annually holds a summer carnival and concert called Summer Breeze that hosts outside musicians, and is home to Doc Films, a student film society founded in 1932 that screens films nightly at the university. Since 1946, the university has organized the Latke-Hamantash Debate, which involves humorous discussions about the relative merits and meanings of latkes and hamantashen.</t>
  </si>
  <si>
    <t>What are the three sources of European Union law?</t>
  </si>
  <si>
    <t>the mainstream Indian nationalist and secularist Indian National Congress</t>
  </si>
  <si>
    <t>Oxygen gas can also be produced through electrolysis of water into molecular oxygen and hydrogen. DC electricity must be used: if AC is used, the gases in each limb consist of hydrogen and oxygen in the explosive ratio 2:1. Contrary to popular belief, the 2:1 ratio observed in the DC electrolysis of acidified water does not prove that the empirical formula of water is H2O unless certain assumptions are made about the molecular formulae of hydrogen and oxygen themselves. A similar method is the electrocatalytic O
2 evolution from oxides and oxoacids. Chemical catalysts can be used as well, such as in chemical oxygen generators or oxygen candles that are used as part of the life-support equipment on submarines, and are still part of standard equipment on commercial airliners in case of depressurization emergencies. Another air separation technology involves forcing air to dissolve through ceramic membranes based on zirconium dioxide by either high pressure or an electric current, to produce nearly pure O
2 gas.</t>
  </si>
  <si>
    <t>The Saxon Garden</t>
  </si>
  <si>
    <t>When Céloron's expedition arrived at Logstown, the Native Americans in the area informed Céloron that they owned the Ohio Country and that they would trade with the British regardless of the French. Céloron continued south until his expedition reached the confluence of the Ohio and the Miami rivers, which lay just south of the village of Pickawillany, the home of the Miami chief known as "Old Briton". Céloron threatened "Old Briton" with severe consequences if he continued to trade with the British. "Old Briton" ignored the warning. Disappointed, Céloron returned to Montreal in November 1749.</t>
  </si>
  <si>
    <t>What English law made that country more welcoming to Huguenots?</t>
  </si>
  <si>
    <t>What animals does the Vistula river's ecosystem include?</t>
  </si>
  <si>
    <t>British</t>
  </si>
  <si>
    <t>The tallest building in Downtown Jacksonville's skyline is the Bank of America Tower, constructed in 1990 as the Barnett Center. It has a height of 617 ft (188 m) and includes 42 floors. Other notable structures include the 37-story Wells Fargo Center (with its distinctive flared base making it the defining building in the Jacksonville skyline), originally built in 1972-74 by the Independent Life and Accident Insurance Company, and the 28 floor Riverplace Tower which, when completed in 1967, was the tallest precast, post-tensioned concrete structure in the world.</t>
  </si>
  <si>
    <t>in the 1950s</t>
  </si>
  <si>
    <t>General Pharmaceutical Council (GPhC) register</t>
  </si>
  <si>
    <t>destination address, source address, and port numbers</t>
  </si>
  <si>
    <t>the dilemma faced by German citizens when Hitler's secret police demanded to know if they were hiding a Jew in their house</t>
  </si>
  <si>
    <t>the desert</t>
  </si>
  <si>
    <t>What is the goal of Islamist groups like Hezbollah and Hamas?</t>
  </si>
  <si>
    <t>Almost all ctenophores are predators, taking prey ranging from microscopic larvae and rotifers to the adults of small crustaceans; the exceptions are juveniles of two species, which live as parasites on the salps on which adults of their species feed. In favorable circumstances, ctenophores can eat ten times their own weight in a day. Only 100–150 species have been validated, and possibly another 25 have not been fully described and named. The textbook examples are cydippids with egg-shaped bodies and a pair of retractable tentacles fringed with tentilla ("little tentacles") that are covered with colloblasts, sticky cells that capture prey. The phylum has a wide range of body forms, including the flattened, deep-sea platyctenids, in which the adults of most species lack combs, and the coastal beroids, which lack tentacles and prey on other ctenophores by using huge mouths armed with groups of large, stiffened cilia that act as teeth. These variations enable different species to build huge populations in the same area, because they specialize in different types of prey, which they capture by as wide a range of methods as spiders use.</t>
  </si>
  <si>
    <t>What is Norman art's most well known piece?</t>
  </si>
  <si>
    <t>Han Chinese and Khitans</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</si>
  <si>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</si>
  <si>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races of highest 'social efficiency'"</t>
  </si>
  <si>
    <t>the superior and the norm</t>
  </si>
  <si>
    <t>assuming the task of interpreting the treaties, and accelerating economic and political integration</t>
  </si>
  <si>
    <t>What was the Pinedale Assembly Center?</t>
  </si>
  <si>
    <t>How many lines does the commuter rail system have?</t>
  </si>
  <si>
    <t>Jacksonville Consolidation</t>
  </si>
  <si>
    <t>Christ Church Hall</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</si>
  <si>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</si>
  <si>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Imperialism and colonialism</t>
  </si>
  <si>
    <t>How many scientists called to change the IPCC in Feb 2010?</t>
  </si>
  <si>
    <t>What replaced the Sky+Box?</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</si>
  <si>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(鈔,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</si>
  <si>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How many branches does the Rhine branch into?</t>
  </si>
  <si>
    <t>by limiting aggregate demand</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</si>
  <si>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</si>
  <si>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50% oxygen</t>
  </si>
  <si>
    <t>one of the first ever production OC-48c (2.5 Gbit/s) IP links</t>
  </si>
  <si>
    <t>Harris School of Public Policy Studies</t>
  </si>
  <si>
    <t>Rhine Gorge</t>
  </si>
  <si>
    <t>What did the number of legions in Roman times depend on?</t>
  </si>
  <si>
    <t>The academic body of the university is made up of how many divisions of graduate?</t>
  </si>
  <si>
    <t>What are the main legislative bodies of the European Union?</t>
  </si>
  <si>
    <t>Consultant pharmacy practice focuses more on medication regimen review (i.e. "cognitive services") than on actual dispensing of drugs. Consultant pharmacists most typically work in nursing homes, but are increasingly branching into other institutions and non-institutional settings. Traditionally consultant pharmacists were usually independent business owners, though in the United States many now work for several large pharmacy management companies (primarily Omnicare, Kindred Healthcare and PharMerica). This trend may be gradually reversing as consultant pharmacists begin to work directly with patients, primarily because many elderly people are now taking numerous medications but continue to live outside of institutional settings. Some community pharmacies employ consultant pharmacists and/or provide consulting services.</t>
  </si>
  <si>
    <t>In his extensively detailed report, Céloron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</si>
  <si>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prevent the installation of pagan images in the Temple in Jerusalem</t>
  </si>
  <si>
    <t>deprived of earning as much income</t>
  </si>
  <si>
    <t>unsuccessful</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</si>
  <si>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</si>
  <si>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justice and prosperity</t>
  </si>
  <si>
    <t>The invasion failed both militarily and politically</t>
  </si>
  <si>
    <t>punish the Miami people of Pickawillany for not following Céloron's orders</t>
  </si>
  <si>
    <t>The invasion failed both militarily and politically, as Pitt again planned significant campaigns against New France</t>
  </si>
  <si>
    <t>the founding of new Protestant churches</t>
  </si>
  <si>
    <t>more equally</t>
  </si>
  <si>
    <t>crowd out Muslim heritage</t>
  </si>
  <si>
    <t>nationalisation law was from 1962, and the treaty was in force from 1958</t>
  </si>
  <si>
    <t>National Science Foundation Network</t>
  </si>
  <si>
    <t>the United Nations Environment Programme (UNEP) and the World Meteorological Organization (WMO),</t>
  </si>
  <si>
    <t>What name is given to any prime number larger than 2?</t>
  </si>
  <si>
    <t>the European Court of Justice and the highest national courts</t>
  </si>
  <si>
    <t>21 February 1804</t>
  </si>
  <si>
    <t>weak labor movements</t>
  </si>
  <si>
    <t>The following table gives the largest known primes of the mentioned types. Some of these primes have been found using distributed computing. In 2009, the Great Internet Mersenne Prime Search project was awarded a US$100,000 prize for first discovering a prime with at least 10 million digits. The Electronic Frontier Foundation also offers $150,000 and $250,000 for primes with at least 100 million digits and 1 billion digits, respectively. Some of the largest primes not known to have any particular form (that is, no simple formula such as that of Mersenne primes) have been found by taking a piece of semi-random binary data, converting it to a number n, multiplying it by 256k for some positive integer k, and searching for possible primes within the interval [256kn + 1, 256k(n + 1) − 1].[citation needed]</t>
  </si>
  <si>
    <t>What is unique about  simultaneous hermaphrodites?</t>
  </si>
  <si>
    <t>What increases rapidly as per capita income increases?</t>
  </si>
  <si>
    <t>The Daily Mail newspaper reported in 2012 that the UK government's benefits agency was checking claimants' "Sky TV bills to establish if a woman in receipt of benefits as a single mother is wrongly claiming to be living alone" – as, it claimed, subscription to sports channels would betray a man's presence in the household. In December, the UK’s parliament heard a claim that a subscription to BSkyB was ‘often damaging’, along with alcohol, tobacco and gambling. Conservative MP Alec Shelbrooke was proposing the payments of benefits and tax credits on a "Welfare Cash Card", in the style of the Supplemental Nutrition Assistance Program, that could be used to buy only "essentials".</t>
  </si>
  <si>
    <t>The design team is most commonly employed by who?</t>
  </si>
  <si>
    <t>abolish the state of Israel</t>
  </si>
  <si>
    <t>theorem of arithmetic</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</si>
  <si>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</si>
  <si>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Swiss-Austrian</t>
  </si>
  <si>
    <t>What is a chemical secreted by tumors that suppresses the immune response?</t>
  </si>
  <si>
    <t>Oxygen was discovered independently by Carl Wilhelm Scheele, in Uppsala, in 1773 or earlier, and Joseph Priestley in Wiltshire, in 1774, but Priestley is often given priority because his work was published first. The name oxygen was coined in 1777 by Antoine Lavoisier, whose experiments with oxygen helped to discredit the then-popular phlogiston theory of combustion and corrosion. Its name derives from the Greek roots ὀξύς oxys, "acid", literally "sharp", referring to the sour taste of acids and -γενής -genes, "producer", literally "begetter", because at the time of naming, it was mistakenly thought that all acids required oxygen in their composition. Common uses of oxygen includes the production cycle of steel, plastics and textiles, brazing, welding and cutting of steels and other metals, rocket propellant, in oxygen therapy and life support systems in aircraft, submarines, spaceflight and diving.</t>
  </si>
  <si>
    <t>theretofore established principles of pre-allocation of network bandwidth</t>
  </si>
  <si>
    <t>Sui and Tang dynasties</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</si>
  <si>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</si>
  <si>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What happened to the building on George IV Bridge when the Parliament was done with it?</t>
  </si>
  <si>
    <t>, make it more difficult for a system to function</t>
  </si>
  <si>
    <t>There are other categories for what?</t>
  </si>
  <si>
    <t>What theatre was the best example of "Polish monumental theatre"?</t>
  </si>
  <si>
    <t>reported rates of mortality in rural areas during the 14th-century pandemic were inconsistent with the modern bubonic plague</t>
  </si>
  <si>
    <t>compressing and cooling it</t>
  </si>
  <si>
    <t xml:space="preserve">What did Paul Baran develop </t>
  </si>
  <si>
    <t>non-specific</t>
  </si>
  <si>
    <t>twin prime conjecture</t>
  </si>
  <si>
    <t>How many miles does the dust travels over the Atlantic Ocean?</t>
  </si>
  <si>
    <t>by clapping their lobes</t>
  </si>
  <si>
    <t>How long since it's been that geoglyphs were first discovered on deforested land?</t>
  </si>
  <si>
    <t>if every problem in C can be reduced to X</t>
  </si>
  <si>
    <t>AD 14</t>
  </si>
  <si>
    <t>What is one main reason that civil disobedience is not recognized?</t>
  </si>
  <si>
    <t>one-stop shopping</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</si>
  <si>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</si>
  <si>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time and space complexity</t>
  </si>
  <si>
    <t>Construction</t>
  </si>
  <si>
    <t>NP-hard problems</t>
  </si>
  <si>
    <t>182 million</t>
  </si>
  <si>
    <t>What is the vast disparities in wealth attributed to by Socialists?</t>
  </si>
  <si>
    <t>What is the escape of the steam unlikely to accomplish in all but the smallest boilers?</t>
  </si>
  <si>
    <t>Jacques Legardeur de Saint-Pierre</t>
  </si>
  <si>
    <t>The "Huguenot Street Historic District" in New Paltz</t>
  </si>
  <si>
    <t>Although it is generally accepted that EU law has primacy, not all EU laws give citizens standing to bring claims: that is, not all EU laws have "direct effect". In Van Gend en Loos v Nederlandse Administratie der Belastingen it was held that the provisions of the Treaties (and EU Regulations) are directly effective, if they are (1) clear and unambiguous (2) unconditional, and (3) did not require EU or national authorities to take further action to implement them. Van Gend en Loos, a postal company, claimed that what is now TFEU article 30 prevented the Dutch Customs Authorities charging tariffs, when it imported urea-formaldehyde plastics from Germany to the Netherlands. After a Dutch court made a reference, the Court of Justice held that even though the Treaties did not "expressly" confer a right on citizens or companies to bring claims, they could do so. Historically, international treaties had only allowed states to have legal claims for their enforcement, but the Court of Justice proclaimed "the Community constitutes a new legal order of international law". Because article 30 clearly, unconditionally and immediately stated that no quantitative restrictions could be placed on trade, without a good justification, Van Gend en Loos could recover the money it paid for the tariff. EU Regulations are the same as Treaty provisions in this sense, because as TFEU article 288 states, they are ‘directly applicable in all Member States’. Moreover, member states comes under a duty not to replicate Regulations in their own law, in order to prevent confusion. For instance, in Commission v Italy the Court of Justice held that Italy had breached a duty under the Treaties, both by failing to operate a scheme to pay farmers a premium to slaughter cows (to reduce dairy overproduction), and by reproducing the rules in a decree with various additions. "Regulations," held the Court of Justice, "come into force solely by virtue of their publication" and implementation could have the effect of "jeopardizing their simultaneous and uniform application in the whole of the Union." On the other hand, some Regulations may themselves expressly require implementing measures, in which case those specific rules should be followed.</t>
  </si>
  <si>
    <t>Ethernet attached hosts, and eventually TCP/IP and additional public universities in Michigan join the network</t>
  </si>
  <si>
    <t>One of FIS' agenda items was to force women to start doing what?</t>
  </si>
  <si>
    <t>How long is the Upper Rhine Plain?</t>
  </si>
  <si>
    <t>Establishing "natural borders" on the Rhine</t>
  </si>
  <si>
    <t>According to agreement between Iroquois and British, where was a strong house to be built?</t>
  </si>
  <si>
    <t>those who feel that only doctors can reliably assess contraindications, risk/benefit ratios, and an individual's overall suitability for use of a medication.</t>
  </si>
  <si>
    <t>not benefitting Scotland as much as they should</t>
  </si>
  <si>
    <t>What is  DECnet</t>
  </si>
  <si>
    <t>Type I hypersensitivity</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</si>
  <si>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</si>
  <si>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Fresno,_California</t>
  </si>
  <si>
    <t>What is sometimes more effective than civil disobedience at times?</t>
  </si>
  <si>
    <t>The Knowledge School</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</si>
  <si>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</si>
  <si>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What organization did Harvard found in 1900?</t>
  </si>
  <si>
    <t>Because of the complexity of medications including specific indications, effectiveness of treatment regimens, safety of medications (i.e., drug interactions) and patient compliance issues (in the hospital and at home) many pharmacists practicing in hospitals gain more education and training after pharmacy school through a pharmacy practice residency and sometimes followed by another residency in a specific area. Those pharmacists are often referred to as clinical pharmacists and they often specialize in various disciplines of pharmacy. For example, there are pharmacists who specialize in hematology/oncology, HIV/AIDS, infectious disease, critical care, emergency medicine, toxicology, nuclear pharmacy, pain management, psychiatry, anti-coagulation clinics, herbal medicine, neurology/epilepsy management, pediatrics, neonatal pharmacists and more.</t>
  </si>
  <si>
    <t>prevent cut throat competition</t>
  </si>
  <si>
    <t>To ensure safety of future space missions Oxygen was used at _____ of the normal pressure.</t>
  </si>
  <si>
    <t>store and forward switching</t>
  </si>
  <si>
    <t>the Travels of Marco Polo</t>
  </si>
  <si>
    <t>Han Chinese</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</si>
  <si>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</si>
  <si>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potential drug interactions</t>
  </si>
  <si>
    <t>there is no known polynomial-time solution</t>
  </si>
  <si>
    <t>Dolby Digital</t>
  </si>
  <si>
    <t>seizing power</t>
  </si>
  <si>
    <t>What was the oil crisis called</t>
  </si>
  <si>
    <t>reduce</t>
  </si>
  <si>
    <t>182 million tons</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</si>
  <si>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</si>
  <si>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</si>
  <si>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In February 2010, in response to controversies regarding claims in the Fourth Assessment Report, five climate scientists – all contributing or lead IPCC report authors – wrote in the journal Nature calling for changes to the IPCC. They suggested a range of new organizational options, from tightening the selection of lead authors and contributors, to dumping it in favor of a small permanent body, or even turning the whole climate science assessment process into a moderated "living" Wikipedia-IPCC. Other recommendations included that the panel employ a full-time staff and remove government oversight from its processes to avoid political interference.</t>
  </si>
  <si>
    <t>1368–1644</t>
  </si>
  <si>
    <t>High Rhine</t>
  </si>
  <si>
    <t>What does the capabilities approach look at poverty as a form of?</t>
  </si>
  <si>
    <t>Man and Culture in a Counterfeit Paradise</t>
  </si>
  <si>
    <t>What is the United States at risk for because of the recession of 2008?</t>
  </si>
  <si>
    <t>What is one of the reason that underdeveloped nations received aid from the oil income?</t>
  </si>
  <si>
    <t>the Pauli exclusion principle</t>
  </si>
  <si>
    <t>What areas are pharmacy informatics prepared to work in?</t>
  </si>
  <si>
    <t>upper sixth</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</si>
  <si>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</si>
  <si>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 xml:space="preserve">What has shortened the Rhine river? </t>
  </si>
  <si>
    <t>ARPANET</t>
  </si>
  <si>
    <t>Unsurprisingly, the mujahideen's victory against the Soviets in the 1980s failed to produce what?</t>
  </si>
  <si>
    <t>The Hawaiian Islands are made up almost entirely of what?</t>
  </si>
  <si>
    <t>There are 13 natural reserves in Warsaw – among others, Bielany Forest, Kabaty Woods, Czerniaków Lake. About 15 kilometres (9 miles) from Warsaw, the Vistula river's environment changes strikingly and features a perfectly preserved ecosystem, with a habitat of animals that includes the otter, beaver and hundreds of bird species. There are also several lakes in Warsaw – mainly the oxbow lakes, like Czerniaków Lake, the lakes in the Łazienki or Wilanów Parks, Kamionek Lake. There are lot of small lakes in the parks, but only a few are permanent – the majority are emptied before winter to clean them of plants and sediments.</t>
  </si>
  <si>
    <t>responding to investigators' questions</t>
  </si>
  <si>
    <t>What expression is generally used to convey upper or lower bounds?</t>
  </si>
  <si>
    <t>Where was the average household size was 3.21</t>
  </si>
  <si>
    <t>The freedom to provide services under TFEU article 56 applies to who?</t>
  </si>
  <si>
    <t>What position did the tax collector that arrested Thoreau get?</t>
  </si>
  <si>
    <t xml:space="preserve">Is the packet header long </t>
  </si>
  <si>
    <t xml:space="preserve">How are AUSTPAC connections made </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</si>
  <si>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</si>
  <si>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Vistula Valley</t>
  </si>
  <si>
    <t>different view</t>
  </si>
  <si>
    <t xml:space="preserve">What did Warner Sinback decide </t>
  </si>
  <si>
    <t>Fresno's far southeast side</t>
  </si>
  <si>
    <t>Jacksonville began to suffer and decline after what major world event?</t>
  </si>
  <si>
    <t>ctenophores and cnidarians</t>
  </si>
  <si>
    <t>Why does unemployment harm growth?</t>
  </si>
  <si>
    <t>six</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</si>
  <si>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</si>
  <si>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Who wrote "Walking in Fresno?"</t>
  </si>
  <si>
    <t>What topic do private bills typically have?</t>
  </si>
  <si>
    <t>phagolysosome</t>
  </si>
  <si>
    <t>electrocution, transportation accidents, and trench cave-ins</t>
  </si>
  <si>
    <t>What will maidens be able to predict by floating their wreaths down the Vistula?</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</si>
  <si>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</si>
  <si>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How much did the statement predict global surface temperature would increase by 2100?</t>
  </si>
  <si>
    <t>What has complicated definitions that prevent classification into a framework?</t>
  </si>
  <si>
    <t>counties or powiats</t>
  </si>
  <si>
    <t>Cape of Good Hope</t>
  </si>
  <si>
    <t>What does the marginal value added by an economic actor determine?</t>
  </si>
  <si>
    <t>26 seconds off the modern Gregorian calendar</t>
  </si>
  <si>
    <t>What is the name of the supposition that there are infinite pairs of primes whose difference is 2?</t>
  </si>
  <si>
    <t>What encoding decision needs to be made in order to determine an exact definition of the formal language?</t>
  </si>
  <si>
    <t>means to invest in new sources of creating wealth</t>
  </si>
  <si>
    <t>the Earth must be much older than had previously been supposed</t>
  </si>
  <si>
    <t>throughout the St. Lawrence and Mississippi watersheds</t>
  </si>
  <si>
    <t>alcohol and nightclubs</t>
  </si>
  <si>
    <t>help direct microscopic prey toward the mouth</t>
  </si>
  <si>
    <t>The modern trend in design is toward integration of previously separated specialties, especially among large firms. In the past, architects, interior designers, engineers, developers, construction managers, and general contractors were more likely to be entirely separate companies, even in the larger firms. Presently, a firm that is nominally an "architecture" or "construction management" firm may have experts from all related fields as employees, or to have an associated company that provides each necessary skill. Thus, each such firm may offer itself as "one-stop shopping" for a construction project, from beginning to end. This is designated as a "design build" contract where the contractor is given a performance specification and must undertake the project from design to construction, while adhering to the performance specifications.</t>
  </si>
  <si>
    <t>Fulton Mall</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</si>
  <si>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</si>
  <si>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Firstly, certain costs are difficult to avoid and are shared by everyone, such as the costs of housing, pensions, education and health care. If the state does not provide these services, then for those on lower incomes, the costs must be borrowed and often those on lower incomes are those who are worse equipped to manage their finances. Secondly, aspirational consumption describes the process of middle income earners aspiring to achieve the standards of living enjoyed by their wealthier counterparts and one method of achieving this aspiration is by taking on debt. The result leads to even greater inequality and potential economic instability.</t>
  </si>
  <si>
    <t>contractor identified change orders or project changes that increased costs</t>
  </si>
  <si>
    <t>programs to identify, recruit, and support talented youth</t>
  </si>
  <si>
    <t>the United Nations Environment Programme (UNEP) and the World Meteorological Organization (WMO)</t>
  </si>
  <si>
    <t>British colonists would not be safe</t>
  </si>
  <si>
    <t>Which country was the last to receive the disease?</t>
  </si>
  <si>
    <t>What applies to equally to constant velocity motion as it does to rest.</t>
  </si>
  <si>
    <t>analysis of algorithms and computability theory</t>
  </si>
  <si>
    <t>What do isolated, spaced out graves of plague victims indicate?</t>
  </si>
  <si>
    <t>fluid inclusion data</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</si>
  <si>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</si>
  <si>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Where does the pattern of higher income-longer lives still hold true?</t>
  </si>
  <si>
    <t>Immigrants arrived from all over the world to search for gold, especially from Ireland and China. Many Chinese miners worked in Victoria, and their legacy is particularly strong in Bendigo and its environs. Although there was some racism directed at them, there was not the level of anti-Chinese violence that was seen at the Lambing Flat riots in New South Wales. However, there was a riot at Buckland Valley near Bright in 1857. Conditions on the gold fields were cramped and unsanitary; an outbreak of typhoid at Buckland Valley in 1854 killed over 1,000 miners.</t>
  </si>
  <si>
    <t>between AD 0–1250</t>
  </si>
  <si>
    <t>Red Turban rebels</t>
  </si>
  <si>
    <t>When a pathogen has been eaten by a phagocyte it becomes trapped in what vesicle?</t>
  </si>
  <si>
    <t>Political</t>
  </si>
  <si>
    <t>What did Paul Baran develop in the late 1950's</t>
  </si>
  <si>
    <t>What were the structures built by the Soviets typical of?</t>
  </si>
  <si>
    <t>What is the concrete choice typically assumed by most complexity-theoretic theorems?</t>
  </si>
  <si>
    <t>What type of conservation effort is gaining attention in the Amazon?</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</si>
  <si>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</si>
  <si>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The working fluid in a Rankine cycle can operate as a closed loop system, where the working fluid is recycled continuously, or may be an "open loop" system, where the exhaust steam is directly released to the atmosphere, and a separate source of water feeding the boiler is supplied. Normally water is the fluid of choice due to its favourable properties, such as non-toxic and unreactive chemistry, abundance, low cost, and its thermodynamic properties. Mercury is the working fluid in the mercury vapor turbine. Low boiling hydrocarbons can be used in a binary cycle.</t>
  </si>
  <si>
    <t>In 1529, Warsaw for the first time became the seat of the General Sejm, permanent from 1569. In 1573 the city gave its name to the Warsaw Confederation, formally establishing religious freedom in the Polish–Lithuanian Commonwealth. Due to its central location between the Commonwealth's capitals of Kraków and Vilnius, Warsaw became the capital of the Commonwealth and the Crown of the Kingdom of Poland when King Sigismund III Vasa moved his court from Kraków to Warsaw in 1596. In the following years the town expanded towards the suburbs. Several private independent districts were established, the property of aristocrats and the gentry, which were ruled by their own laws. Three times between 1655–1658 the city was under siege and three times it was taken and pillaged by the Swedish, Brandenburgian and Transylvanian forces.</t>
  </si>
  <si>
    <t>In ring theory, the notion of number is generally replaced with that of ideal. Prime ideals, which generalize prime elements in the sense that the principal ideal generated by a prime element is a prime ideal, are an important tool and object of study in commutative algebra, algebraic number theory and algebraic geometry. The prime ideals of the ring of integers are the ideals (0), (2), (3), (5), (7), (11), … The fundamental theorem of arithmetic generalizes to the Lasker–Noether theorem, which expresses every ideal in a Noetherian commutative ring as an intersection of primary ideals, which are the appropriate generalizations of prime powers.</t>
  </si>
  <si>
    <t>cut off the French frontier forts further to the west and south</t>
  </si>
  <si>
    <t>engage in moral dialogue</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</si>
  <si>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</si>
  <si>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Diatomic oxygen gas</t>
  </si>
  <si>
    <t>The University of Chicago has been the site of some important experiments and academic movements. In economics, the university has played an important role in shaping ideas about the free market and is the namesake of the Chicago school of economics, the school of economic thought supported by Milton Friedman and other economists. The university's sociology department was the first independent sociology department in the United States and gave birth to the Chicago school of sociology. In physics, the university was the site of the Chicago Pile-1 (the first self-sustained man-made nuclear reaction, part of the Manhattan Project), of Robert Millikan's oil-drop experiment that calculated the charge of the electron, and of the development of radiocarbon dating by Willard F. Libby in 1947. The chemical experiment that tested how life originated on early Earth, the Miller–Urey experiment, was conducted at the university. REM sleep was discovered at the university in 1953 by Nathaniel Kleitman and Eugene Aserinsky.</t>
  </si>
  <si>
    <t>What did the finding of gold in Victoria cause?</t>
  </si>
  <si>
    <t>writing a five volume book</t>
  </si>
  <si>
    <t>How are the forces derived from fields treated similarly to?</t>
  </si>
  <si>
    <t>Commission v Italy</t>
  </si>
  <si>
    <t>international law and public law</t>
  </si>
  <si>
    <t>recent anthropological</t>
  </si>
  <si>
    <t>Geology</t>
  </si>
  <si>
    <t xml:space="preserve">This type of system is known as </t>
  </si>
  <si>
    <t>multiple access scheme</t>
  </si>
  <si>
    <t>suite of network protocols created by Digital Equipment Corporation</t>
  </si>
  <si>
    <t>What are the two symbols that signify pharmacy in English-speaking countries?</t>
  </si>
  <si>
    <t>extremist militant</t>
  </si>
  <si>
    <t>Several D&amp;B contractors</t>
  </si>
  <si>
    <t>Who donated property to the University of Chicago?</t>
  </si>
  <si>
    <t>failures in North America</t>
  </si>
  <si>
    <t>How many sororities are apart of the university?</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</si>
  <si>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</si>
  <si>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Given the strength of French forces at Louisbourg, what did Loudoun do?</t>
  </si>
  <si>
    <t>What effect did the plague have on the Middle East?</t>
  </si>
  <si>
    <t>Orthodox Christians</t>
  </si>
  <si>
    <t>When did Kublai attack Xiangyang?</t>
  </si>
  <si>
    <t>missing self</t>
  </si>
  <si>
    <t>What does Colonia Agrippina's original name translate into?</t>
  </si>
  <si>
    <t>What does connection orientation require</t>
  </si>
  <si>
    <t>Michael Oppenheimer, a long-time participant in the IPCC and coordinating lead author of the Fifth Assessment Report conceded in Science Magazine's State of the Planet 2008-2009 some limitations of the IPCC consensus approach and asks for concurring, smaller assessments of special problems instead of the large scale approach as in the previous IPCC assessment reports. It has become more important to provide a broader exploration of uncertainties. Others see as well mixed blessings of the drive for consensus within the IPCC process and ask to include dissenting or minority positions or to improve statements about uncertainties.</t>
  </si>
  <si>
    <t xml:space="preserve">What delivery message was used </t>
  </si>
  <si>
    <t>There have been debates as to whether civil disobedience must necessarily be non-violent. Black's Law Dictionary includes non-violence in its definition of civil disobedience. Christian Bay's encyclopedia article states that civil disobedience requires "carefully chosen and legitimate means," but holds that they do not have to be non-violent. It has been argued that, while both civil disobedience and civil rebellion are justified by appeal to constitutional defects, rebellion is much more destructive; therefore, the defects justifying rebellion must be much more serious than those justifying disobedience, and if one cannot justify civil rebellion, then one cannot justify a civil disobedients' use of force and violence and refusal to submit to arrest. Civil disobedients' refraining from violence is also said to help preserve society's tolerance of civil disobedience.</t>
  </si>
  <si>
    <t>the movements of nature, movements of free and unequal durations</t>
  </si>
  <si>
    <t>heavily impacted</t>
  </si>
  <si>
    <t>What rift system developed in the Alpine orogeny?</t>
  </si>
  <si>
    <t>When was the Rhine first discovered?</t>
  </si>
  <si>
    <t>machine labor</t>
  </si>
  <si>
    <t>a covalent double bond that results from the filling of molecular orbitals formed from the atomic orbitals of the individual oxygen atoms</t>
  </si>
  <si>
    <t>Suleiman the Magnificent,</t>
  </si>
  <si>
    <t>How many counties initially made up the definition of southern California?</t>
  </si>
  <si>
    <t>tooth sockets in human skeletons</t>
  </si>
  <si>
    <t>Germania</t>
  </si>
  <si>
    <t>Where is the neighborhood of Sunnyside located in Fresno?</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</si>
  <si>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</si>
  <si>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because of the greater density of cold water</t>
  </si>
  <si>
    <t>Immune_system</t>
  </si>
  <si>
    <t>the Mojave Desert</t>
  </si>
  <si>
    <t>compressed gas;</t>
  </si>
  <si>
    <t>What protestant religions made Northern European counties safe for Huguenot immigration?</t>
  </si>
  <si>
    <t>What right do private schools have that public schools don't?</t>
  </si>
  <si>
    <t>Who did internet2 partner with</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</si>
  <si>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</si>
  <si>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</si>
  <si>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Many locals and tourists frequent the southern California coast for its popular beaches, and the desert city of Palm Springs is popular for its resort feel and nearby open spaces.</t>
  </si>
  <si>
    <t>What part of the Rhine flows through North Rhine-Westphalia?</t>
  </si>
  <si>
    <t>What is a particular problem in biology that would benefit from determining that P = NP?</t>
  </si>
  <si>
    <t>Above what horsepower are steam turbines usually more efficient than steam engines that use reciprocating pistons?</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</si>
  <si>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 and may decide to remove them at any time – the formal appointment or dismissal is made by the Sovereign.</t>
  </si>
  <si>
    <t>planning,[citation needed] design, and financing</t>
  </si>
  <si>
    <t>What museum specializes in cultural history and civilizations of the Western Hemisphere?</t>
  </si>
  <si>
    <t>What public policy school found it's home in the building that Ludwig Mies van der Rohe designed?</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</si>
  <si>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</si>
  <si>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 xml:space="preserve">What South African Vice Consul did Harvard students blockade the speech of? </t>
  </si>
  <si>
    <t>What occurs when electron clouds overlap from different atoms?</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</si>
  <si>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</si>
  <si>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</si>
  <si>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The presence of who is highly likely even in small projects?</t>
  </si>
  <si>
    <t>According to Sheldon Ungar's comparison with global warming, the actors in the ozone depletion case had a better understanding of scientific ignorance and uncertainties. The ozone case communicated to lay persons "with easy-to-understand bridging metaphors derived from the popular culture" and related to "immediate risks with everyday relevance", while the public opinion on climate change sees no imminent danger. The stepwise mitigation of the ozone layer challenge was based as well on successfully reducing regional burden sharing conflicts. In case of the IPCC conclusions and the failure of the Kyoto Protocol, varying regional cost-benefit analysis and burden-sharing conflicts with regard to the distribution of emission reductions remain an unsolved problem. In the UK, a report for a House of Lords committee asked to urge the IPCC to involve better assessments of costs and benefits of climate change but the Stern Review ordered by the UK government made a stronger argument in favor to combat human-made climate change.</t>
  </si>
  <si>
    <t>Where is Brazil ranked globally in soybean production?</t>
  </si>
  <si>
    <t>self and non-self molecules</t>
  </si>
  <si>
    <t>At the end of World War I, the Rhineland was subject to the Treaty of Versailles. This decreed that it would be occupied by the allies, until 1935 and after that, it would be a demilitarised zone, with the German army forbidden to enter. The Treaty of Versailles and this particular provision, in general, caused much resentment in Germany and is often cited as helping Adolf Hitler's rise to power. The allies left the Rhineland, in 1930 and the German army re-occupied it in 1936, which was enormously popular in Germany. Although the allies could probably have prevented the re-occupation, Britain and France were not inclined to do so, a feature of their policy of appeasement to Hitler.</t>
  </si>
  <si>
    <t>property owner</t>
  </si>
  <si>
    <t>Channel Islands</t>
  </si>
  <si>
    <t>able to fund travelers</t>
  </si>
  <si>
    <t>What is the purpose of the ASER?</t>
  </si>
  <si>
    <t>What distinction does the Bank of America Tower hold?</t>
  </si>
  <si>
    <t>What were European countries doing during the 1700's?</t>
  </si>
  <si>
    <t>The other third of the water flows through the Pannerdens Kanaal and redistributes in the IJssel and Nederrijn. The IJssel branch carries one ninth of the water flow of the Rhine north into the IJsselmeer (a former bay), while the Nederrijn carries approximately two ninths of the flow west along a route parallel to the Waal. However, at Wijk bij Duurstede, the Nederrijn changes its name and becomes the Lek. It flows farther west, to rejoin the Noord River into the Nieuwe Maas and to the North Sea.</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</si>
  <si>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</si>
  <si>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The procedure continues until what?</t>
  </si>
  <si>
    <t>In October 2010, the open-access scientific journal PLoS Pathogens published a paper by a multinational team who undertook a new investigation into the role of Yersinia pestis in the Black Death following the disputed identification by Drancourt and Raoult in 1998. They assessed the presence of DNA/RNA with Polymerase Chain Reaction (PCR) techniques for Y. pestis from the tooth sockets in human skeletons from mass graves in northern, central and southern Europe that were associated archaeologically with the Black Death and subsequent resurgences. The authors concluded that this new research, together with prior analyses from the south of France and Germany, ". . . ends the debate about the etiology of the Black Death, and unambiguously demonstrates that Y. pestis was the causative agent of the epidemic plague that devastated Europe during the Middle Ages".</t>
  </si>
  <si>
    <t>use the proceedings as a forum to inform the jury and the public of the political circumstances</t>
  </si>
  <si>
    <t>What was the name of the battle that marked the first Confederate win in Florida?</t>
  </si>
  <si>
    <t>What bridge did the Germans fail to demolish?</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</si>
  <si>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</si>
  <si>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What does Salafism in its harshest form encourage its followers to view the religion of others with?</t>
  </si>
  <si>
    <t>a partnership with Level 3 Communications to launch a brand new nationwide network</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</si>
  <si>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</si>
  <si>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Which gender is more populous across all groups in Jacksonville?</t>
  </si>
  <si>
    <t>Transform boundaries</t>
  </si>
  <si>
    <t>Economic_inequality</t>
  </si>
  <si>
    <t>Supreme Court case of FCC v. Pacifica Foundation</t>
  </si>
  <si>
    <t>three major offensive actions involving large numbers of regular troops</t>
  </si>
  <si>
    <t>What is the law named that defines a charge moving through a magnetic field?</t>
  </si>
  <si>
    <t>What articles state that unless conferred, powers remain with member states?</t>
  </si>
  <si>
    <t>types of reductions</t>
  </si>
  <si>
    <t>Civil Rights Movement</t>
  </si>
  <si>
    <t>Which laws mentioned predate EU law?</t>
  </si>
  <si>
    <t>What sort of system releases the exhaust steam into the atmosphere?</t>
  </si>
  <si>
    <t>During what period the drainage basin of the Amazon likely split?</t>
  </si>
  <si>
    <t>Who was appointed as the replacement for Duke Yansheng Kong Duanyou?</t>
  </si>
  <si>
    <t>distributed</t>
  </si>
  <si>
    <t>at most one prime number</t>
  </si>
  <si>
    <t>protect the King's land in the Ohio Valley from the British</t>
  </si>
  <si>
    <t>saw them as too Chinese</t>
  </si>
  <si>
    <t>sequenced delivery of data to the host</t>
  </si>
  <si>
    <t>message routing methodology</t>
  </si>
  <si>
    <t>sent Dieskau to Fort St. Frédéric to meet that threat</t>
  </si>
  <si>
    <t>the network</t>
  </si>
  <si>
    <t>The University of Chicago (UChicago, Chicago, or U of C) is a private research university in Chicago. The university, established in 1890, consists of The College, various graduate programs, interdisciplinary committees organized into four academic research divisions and seven professional schools. Beyond the arts and sciences, Chicago is also well known for its professional schools, which include the Pritzker School of Medicine, the University of Chicago Booth School of Business, the Law School, the School of Social Service Administration, the Harris School of Public Policy Studies, the Graham School of Continuing Liberal and Professional Studies and the Divinity School. The university currently enrolls approximately 5,000 students in the College and around 15,000 students overall.</t>
  </si>
  <si>
    <t>What equation currently decribes the physics of force.</t>
  </si>
  <si>
    <t>How is the judicial branch of the EU an important factor in the development of EU law?</t>
  </si>
  <si>
    <t>In Ireland, private schools (Irish: scoil phríobháideach) are unusual because a certain number of teacher's salaries are paid by the State. If the school wishes to employ extra teachers they are paid for with school fees, which tend to be relatively low in Ireland compared to the rest of the world. There is, however, a limited element of state assessment of private schools, because of the requirement that the state ensure that children receive a certain minimum education; Irish private schools must still work towards the Junior Certificate and the Leaving Certificate, for example. Many private schools in Ireland also double as boarding schools. The average fee is around €5,000 annually for most schools, but some of these schools also provide boarding and the fees may then rise up to €25,000 per year. The fee-paying schools are usually run by a religious order, i.e., the Society of Jesus or Congregation of Christian Brothers, etc.</t>
  </si>
  <si>
    <t>What is the current status of the Haensch study?</t>
  </si>
  <si>
    <t>In what book did Betty Meggers describe the idea of the Amazon being sparsely populated?</t>
  </si>
  <si>
    <t>provide connection-oriented operations</t>
  </si>
  <si>
    <t xml:space="preserve">This causes the rock unit as a whole to become longer and thinner. </t>
  </si>
  <si>
    <t>the study of sedimentary layers</t>
  </si>
  <si>
    <t>According to the Princeton Review where has Harvard ranked as a "Dream College" in 2013</t>
  </si>
  <si>
    <t>Vosges Mountains,</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</si>
  <si>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</si>
  <si>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United States Senate Committee on Commerce, Science and Transportation</t>
  </si>
  <si>
    <t>Warsaw Uprising Monument</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</si>
  <si>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</si>
  <si>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</si>
  <si>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</si>
  <si>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First, if a Directive's deadline for implementation is not met, the member state cannot enforce conflicting laws, and a citizen may rely on the Directive in such an action (so called "vertical" direct effect). So, in Pubblico Ministero v Ratti because the Italian government had failed to implement a Directive 73/173/EEC on packaging and labelling solvents by the deadline, it was estopped from enforcing a conflicting national law from 1963 against Mr Ratti's solvent and varnish business. A member state could "not rely, as against individuals, on its own failure to perform the obligations which the Directive entails." Second, a citizen or company can invoke a Directive, not just in a dispute with a public authority, but in a dispute with another citizen or company. So, in CIA Security v Signalson and Securitel the Court of Justice held that a business called CIA Security could defend itself from allegations by competitors that it had not complied with a Belgian decree from 1991 about alarm systems, on the basis that it had not been notified to the Commission as a Directive required. Third, if a Directive gives expression to a "general principle" of EU law, it can be invoked between private non-state parties before its deadline for implementation. This follows from Kücükdeveci v Swedex GmbH &amp; Co KG where the German Civil Code §622 stated that the years people worked under the age of 25 would not count towards the increasing statutory notice before dismissal. Ms Kücükdeveci worked for 10 years, from age 18 to 28, for Swedex GmbH &amp; Co KG before her dismissal. She claimed that the law not counting her years under age 25 was unlawful age discrimination under the Employment Equality Framework Directive. The Court of Justice held that the Directive could be relied on by her because equality was also a general principle of EU law. Third, if the defendant is an emanation of the state, even if not central government, it can still be bound by Directives. In Foster v British Gas plc the Court of Justice held that Mrs Foster was entitled to bring a sex discrimination claim against her employer, British Gas plc, which made women retire at age 60 and men at 65, if (1) pursuant to a state measure, (2) it provided a public service, and (3) had special powers. This could also be true if the enterprise is privatised, as it was held with a water company that was responsible for basic water provision.</t>
  </si>
  <si>
    <t>FCC v. Pacifica Foundation</t>
  </si>
  <si>
    <t>hot and dry</t>
  </si>
  <si>
    <t>lengthening rubbing surfaces</t>
  </si>
  <si>
    <t>wetter</t>
  </si>
  <si>
    <t>However, in 1883–84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</si>
  <si>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The results of the Haensch study have since been confirmed and amended. Based on genetic evidence derived from Black Death victims in the East Smithfield burial site in England, Schuenemann et al. concluded in 2011 "that the Black Death in medieval Europe was caused by a variant of Y. pestis that may no longer exist." A study published in Nature in October 2011 sequenced the genome of Y. pestis from plague victims and indicated that the strain that caused the Black Death is ancestral to most modern strains of the disease.</t>
  </si>
  <si>
    <t>they owned the Ohio Country and that they would trade with the British regardless of the French</t>
  </si>
  <si>
    <t>a practical Carnot cycle</t>
  </si>
  <si>
    <t>migration and urbanisation</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</si>
  <si>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</si>
  <si>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What is the most common cause of injury on site?</t>
  </si>
  <si>
    <t>thymus and bone marrow</t>
  </si>
  <si>
    <t>distributed adaptive message block switching</t>
  </si>
  <si>
    <t>the geochemical evolution of rock units</t>
  </si>
  <si>
    <t>US/Canada</t>
  </si>
  <si>
    <t>the Great Yuan</t>
  </si>
  <si>
    <t xml:space="preserve">What did Davies call the System </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</si>
  <si>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</si>
  <si>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What remain unsolved problems with the Kyoto Protocol?</t>
  </si>
  <si>
    <t>New York and the Ohio</t>
  </si>
  <si>
    <t>a flour mill</t>
  </si>
  <si>
    <t>What is European Union law?</t>
  </si>
  <si>
    <t>antigen presentation</t>
  </si>
  <si>
    <t>the network and the connected users</t>
  </si>
  <si>
    <t>MCI Telecommunications</t>
  </si>
  <si>
    <t>The University of Chicago was created and incorporated as a coeducational, secular institution in 1890 by the American Baptist Education Society and a donation from oil magnate and philanthropist John D. Rockefeller on land donated by Marshall Field. While the Rockefeller donation provided money for academic operations and long-term endowment, it was stipulated that such money could not be used for buildings. The original physical campus was financed by donations from wealthy Chicagoans like Silas B. Cobb who provided the funds for the campus' first building, Cobb Lecture Hall, and matched Marshall Field's pledge of $100,000. Other early benefactors included businessmen Charles L. Hutchinson (trustee, treasurer and donor of Hutchinson Commons), Martin A. Ryerson (president of the board of trustees and donor of the Ryerson Physical Laboratory) Adolphus Clay Bartlett and Leon Mandel, who funded the construction of the gymnasium and assembly hall, and George C. Walker of the Walker Museum, a relative of Cobb who encouraged his inaugural donation for facilities.</t>
  </si>
  <si>
    <t>the All India Muslim League</t>
  </si>
  <si>
    <t>What archdiocese is Warsaw the seat of?</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</si>
  <si>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</si>
  <si>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In which case was it held that the provisions of the treaties are directly effective if they are clear, unconditional, and don't require further action by EU or national authorities?</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</si>
  <si>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</si>
  <si>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otter, beaver and hundreds of bird species.</t>
  </si>
  <si>
    <t>A fine tribute to the fall of Warsaw and history of Poland can be found in the Warsaw Uprising Museum and in the Katyń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</si>
  <si>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intuition</t>
  </si>
  <si>
    <t>improved markedly</t>
  </si>
  <si>
    <t>How did the education during the high school education movement differ from the subsequent high school education?</t>
  </si>
  <si>
    <t>What is the name of the Bungie Inc. founder who is also a university graduate?</t>
  </si>
  <si>
    <t>Nederrijn at Angeren</t>
  </si>
  <si>
    <t>What conditions must be met for a prescription for a controlled substance to be valid?</t>
  </si>
  <si>
    <t>grant a consent search of his property,</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</si>
  <si>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</si>
  <si>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VA, the Indian Health Service, and NIH</t>
  </si>
  <si>
    <t>1695–1696</t>
  </si>
  <si>
    <t>Who discovered that electric and magnetic fields could be "self-aware"</t>
  </si>
  <si>
    <t>Who were later Yuan emperors isolated from?</t>
  </si>
  <si>
    <t>"zip" the mouth shut when the animal is not feeding</t>
  </si>
  <si>
    <t>On 23 June 2005, Rep. Joe Barton, chairman of the House Committee on Energy and Commerce wrote joint letters with Ed Whitfield, Chairman of the Subcommittee on Oversight and Investigations demanding full records on climate research, as well as personal information about their finances and careers, from Mann, Bradley and Hughes. Sherwood Boehlert, chairman of the House Science Committee, said this was a "misguided and illegitimate investigation" apparently aimed at intimidating scientists, and at his request the U.S. National Academy of Sciences arranged for its National Research Council to set up a special investigation. The National Research Council's report agreed that there were some statistical failings, but these had little effect on the graph, which was generally correct. In a 2006 letter to Nature, Mann, Bradley, and Hughes pointed out that their original article had said that "more widespread high-resolution data are needed before more confident conclusions can be reached" and that the uncertainties were "the point of the article".</t>
  </si>
  <si>
    <t>There are eight rows of combs that run from near the mouth to the opposite end, and are spaced evenly round the body. The "combs" beat in a metachronal rhythm rather like that of a Mexican wave. From each balancer in the statocyst a ciliary groove runs out under the dome and then splits to connect with two adjacent comb rows, and in some species runs all the way along the comb rows. This forms a mechanical system for transmitting the beat rhythm from the combs to the balancers, via water disturbances created by the cilia.</t>
  </si>
  <si>
    <t>palm</t>
  </si>
  <si>
    <t>San Joaquin Light &amp; Power Building</t>
  </si>
  <si>
    <t>What is the name of the scheme that provides tuition and fee assistance to students due to excess enrollment?</t>
  </si>
  <si>
    <t>Why are coastal species tough?</t>
  </si>
  <si>
    <t>one of the most influential movements</t>
  </si>
  <si>
    <t>difficult for predators to evolve that could specialize as predators on Magicicadas</t>
  </si>
  <si>
    <t>How many geomorphologic formations is Warsaw on?</t>
  </si>
  <si>
    <t>What are two anti-inflammatory molecules that peak during awake hours?</t>
  </si>
  <si>
    <t>war, famine, and weather</t>
  </si>
  <si>
    <t>eight U.S. presidents</t>
  </si>
  <si>
    <t>How many botanical gardens does Warsaw have?</t>
  </si>
  <si>
    <t>an ash leaf</t>
  </si>
  <si>
    <t>What are the two different types of immunity?</t>
  </si>
  <si>
    <t>granaries were ordered built throughout the empire</t>
  </si>
  <si>
    <t>What nationality are researchers Richard G. Wilkinson and Kate Pickett?</t>
  </si>
  <si>
    <t>By what document did the Huguenots confess their faith to the Portuguese in Brazil?</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</si>
  <si>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André Lortie), a leading Huguenot theologian and writer who led the exiled community in London, became known for articulating their criticism of the Pope and the doctrine of transubstantiation during Mass.</t>
  </si>
  <si>
    <t>How many original treaties establishing the EU protected fundamental rights?</t>
  </si>
  <si>
    <t>Scientists disagree with how the Amazon rainforest changed over time with some arguing that it was reduced to isolated refugia seperated by what?</t>
  </si>
  <si>
    <t>What is the name of the desert near the border of Nevada?</t>
  </si>
  <si>
    <t>Who did Rollo sign the treaty of Saint-Clair-sur-Epte with?</t>
  </si>
  <si>
    <t>Another example of scientific research which suggests that previous estimates by the IPCC, far from overstating dangers and risks, have actually understated them is a study on projected rises in sea levels. When the researchers' analysis was "applied to the possible scenarios outlined by the Intergovernmental Panel on Climate Change (IPCC), the researchers found that in 2100 sea levels would be 0.5–1.4 m [50–140 cm] above 1990 levels. These values are much greater than the 9–88 cm as projected by the IPCC itself in its Third Assessment Report, published in 2001". This may have been due, in part, to the expanding human understanding of climate.</t>
  </si>
  <si>
    <t>steam escapes,</t>
  </si>
  <si>
    <t>the Bayeux Tapestry</t>
  </si>
  <si>
    <t>Algeria</t>
  </si>
  <si>
    <t>more unusual resources</t>
  </si>
  <si>
    <t>principles of pre-allocation of network bandwidth</t>
  </si>
  <si>
    <t>Great Dividing Range</t>
  </si>
  <si>
    <t>Woods Hole Research Center</t>
  </si>
  <si>
    <t>What direction did Watson say the mistake went in?</t>
  </si>
  <si>
    <t>Thomas de Maiziere serves what role in the German cabinet?</t>
  </si>
  <si>
    <t>vBNS installed one of the first ever production OC-48c (2.5 Gbit/s) IP links in February 1999 and went on to upgrade the entire backbone to OC-48c</t>
  </si>
  <si>
    <t>What is PPP?</t>
  </si>
  <si>
    <t>co-operation</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</si>
  <si>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</si>
  <si>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Tang, Song, as well as Khitan Liao and Jurchen Jin dynasties</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</si>
  <si>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</si>
  <si>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eicosanoids and cytokines</t>
  </si>
  <si>
    <t>The network was engineered and operated by MCI Telecommunications under a cooperative agreement with the NSF</t>
  </si>
  <si>
    <t>plot and combine</t>
  </si>
  <si>
    <t>King Malcolm III</t>
  </si>
  <si>
    <t>six regiments to New France</t>
  </si>
  <si>
    <t>Which region of California is Palm Springs located in?</t>
  </si>
  <si>
    <t>The legislative competence of the Parliament species what areas?</t>
  </si>
  <si>
    <t>concurring, smaller assessments of special problems</t>
  </si>
  <si>
    <t>What is the alpine valley that the Rhine flows through?</t>
  </si>
  <si>
    <t>The Weavers</t>
  </si>
  <si>
    <t>Hughes Hotel</t>
  </si>
  <si>
    <t>a nationwide network</t>
  </si>
  <si>
    <t>The two listed teams play for which NCAA group?</t>
  </si>
  <si>
    <t>accompanying documents – Explanatory Notes</t>
  </si>
  <si>
    <t>prime number</t>
  </si>
  <si>
    <t>innate immune system versus the adaptive immune system</t>
  </si>
  <si>
    <t>Where are health and social problems most common?</t>
  </si>
  <si>
    <t>What happens if a member doesn't vote the party line?</t>
  </si>
  <si>
    <t>for a system to function</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</si>
  <si>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</si>
  <si>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Financial crisis of 2007–08</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</si>
  <si>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</si>
  <si>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Two fundamental differences involved the division of functions and tasks between the hosts at the edge of the network and the network core</t>
  </si>
  <si>
    <t>What is a typical configuration</t>
  </si>
  <si>
    <t>pharmacy practice science and applied information science</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</si>
  <si>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</si>
  <si>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geochemical evolution of rock units</t>
  </si>
  <si>
    <t>What is a a developing economy's level of inequality bulging out called?</t>
  </si>
  <si>
    <t>Why did Warsaw become the capital of the Commonwealth?</t>
  </si>
  <si>
    <t>How many academic research divisions does the University of Chicago have?</t>
  </si>
  <si>
    <t>increasing importance of human capital</t>
  </si>
  <si>
    <t>What two things does pharmacy informatics bring together?</t>
  </si>
  <si>
    <t>half-penny sales tax</t>
  </si>
  <si>
    <t>Lagos and Quiberon Bay.</t>
  </si>
  <si>
    <t>Creon, the current King of Thebes, who is trying to stop her from giving her brother Polynices a proper burial</t>
  </si>
  <si>
    <t>What had Bhutto planned on banning within six months, before he was overthrown?</t>
  </si>
  <si>
    <t>What are the three primary expressions used to represent case complexity?</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</si>
  <si>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</si>
  <si>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What did Kublai do to prevent famines?</t>
  </si>
  <si>
    <t>What types of houses are designed by Fresno architects?</t>
  </si>
  <si>
    <t>How many BSkyB channels were available to customers prior to October 2005?</t>
  </si>
  <si>
    <t>What industry has managed to survive major military spending cutbacks?</t>
  </si>
  <si>
    <t>remote sensing</t>
  </si>
  <si>
    <t>The principle of cross-cutting relationships pertains to the formation of faults and the age of the sequences through which they cut. Faults are younger than the rocks they cut; accordingly, if a fault is found that penetrates some formations but not those on top of it, then the formations that were cut are older than the fault, and the ones that are not cut must be younger than the fault. Finding the key bed in these situations may help determine whether the fault is a normal fault or a thrust fault.</t>
  </si>
  <si>
    <t>Today, Warsaw has some of the best medical facilities in Poland and East-Central Europe. The city is home to the Children's Memorial Health Institute (CMHI), the highest-reference hospital in all of Poland, as well as an active research and education center. While the Maria Skłodowska-Curie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</si>
  <si>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dispatched six regiments to New France</t>
  </si>
  <si>
    <t>arrows, swords, and leather shields</t>
  </si>
  <si>
    <t>What was the reason the Italian Constitutional court gave that resulted in Mr. Costa losing his his claim against ENEL?</t>
  </si>
  <si>
    <t>Private Bill Committees</t>
  </si>
  <si>
    <t>Why the narrow part of St. John's River called Cowford?</t>
  </si>
  <si>
    <t>How was the population of mnemiopsis in The black Sea and the Sea of Azov brought under control?</t>
  </si>
  <si>
    <t>In Marxian analysis, capitalist firms increasingly substitute capital equipment for labor inputs (workers) under competitive pressure to reduce costs and maximize profits. Over the long-term, this trend increases the organic composition of capital, meaning that less workers are required in proportion to capital inputs, increasing unemployment (the "reserve army of labour"). This process exerts a downward pressure on wages. The substitution of capital equipment for labor (mechanization and automation) raises the productivity of each worker, resulting in a situation of relatively stagnant wages for the working class amidst rising levels of property income for the capitalist class.</t>
  </si>
  <si>
    <t>What is 'grey literature'?</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</si>
  <si>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TGF-β, which suppresses the activity of macrophages and lymphocytes. In addition, immunological tolerance may develop against tumor antigens, so the immune system no longer attacks the tumor cells.</t>
  </si>
  <si>
    <t>College sports are also popular in southern California. The UCLA Bruins and the USC Trojans both field teams in NCAA Division I in the Pac-12 Conference, and there is a longtime rivalry between the schools.</t>
  </si>
  <si>
    <t>Diatomic oxygen</t>
  </si>
  <si>
    <t>What is the term for closing off rivers that are no longer connected?</t>
  </si>
  <si>
    <t>reassembled</t>
  </si>
  <si>
    <t>Which part of China had people ranked lower in the class system?</t>
  </si>
  <si>
    <t>In the U.S. federal health care system (including the VA, the Indian Health Service, and NIH) ambulatory care pharmacists are given full independent prescribing authority. In some states such North Carolina and New Mexico these pharmacist clinicians are given collaborative prescriptive and diagnostic authority. In 2011 the board of Pharmaceutical Specialties approved ambulatory care pharmacy practice as a separate board certification. The official designation for pharmacists who pass the ambulatory care pharmacy specialty certification exam will be Board Certified Ambulatory Care Pharmacist and these pharmacists will carry the initials BCACP.</t>
  </si>
  <si>
    <t>100–106 °F</t>
  </si>
  <si>
    <t>Mongols beyond the Middle Kingdom saw them as too Chinese</t>
  </si>
  <si>
    <t>as a connected sum of prime knots</t>
  </si>
  <si>
    <t>What councils assign tasks to the IPCC?</t>
  </si>
  <si>
    <t>more equally distributed</t>
  </si>
  <si>
    <t>Who won the battle of Lake George?</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</si>
  <si>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</si>
  <si>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protect the King's land in the Ohio Valley</t>
  </si>
  <si>
    <t>igneous, sedimentary, and metamorphic</t>
  </si>
  <si>
    <t>fully funded by private parties</t>
  </si>
  <si>
    <t xml:space="preserve">How is packet mode communication implemented </t>
  </si>
  <si>
    <t>Their local rivals, Polonia Warsaw, have significantly fewer supporters, yet they managed to win Ekstraklasa Championship in 2000. They also won the country’s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 Polish Football Association (PZPN) structure.</t>
  </si>
  <si>
    <t>plea bargain</t>
  </si>
  <si>
    <t>Imperialism is defined as "A policy of extending a country’s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</si>
  <si>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service firms</t>
  </si>
  <si>
    <t>Name a luxury model that became popular in the mid-1970s.</t>
  </si>
  <si>
    <t>the Han Chinese</t>
  </si>
  <si>
    <t>Western art from the Middle Ages to the present</t>
  </si>
  <si>
    <t>What portion of bird species make up the world's total live in the rainforest?</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</si>
  <si>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</si>
  <si>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the Fourth Intercolonial War and the Great War for the Empire</t>
  </si>
  <si>
    <t>What organization has continued to be a major disruptive force in Palestine?</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</si>
  <si>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</si>
  <si>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What does less education lead to when working?</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</si>
  <si>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René-Robert Cavelier, Sieur de La Salle had explored the Ohio Country nearly a century earlier.</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</si>
  <si>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</si>
  <si>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introductory stage of the bill</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</si>
  <si>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</si>
  <si>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What type of topological systems are found in numbers in Victoria?</t>
  </si>
  <si>
    <t>What are the two major subsystems of the immune system?</t>
  </si>
  <si>
    <t>What college is Jake Rosenfield associated with?</t>
  </si>
  <si>
    <t>What religion were the Normans</t>
  </si>
  <si>
    <t>King of Thebes</t>
  </si>
  <si>
    <t>lower wages</t>
  </si>
  <si>
    <t>army and the populace</t>
  </si>
  <si>
    <t>allow for U.S authorship of a 'new world' which was to be characterized by geographical order</t>
  </si>
  <si>
    <t>the areas in which it can make laws</t>
  </si>
  <si>
    <t>Taoism</t>
  </si>
  <si>
    <t>What are presented to parliament in addition to the bill itself?</t>
  </si>
  <si>
    <t>Van Gend en Loos v Nederlandse Administratie der Belastingen</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</si>
  <si>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</si>
  <si>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the original message/data is reassembled in the correct order</t>
  </si>
  <si>
    <t>According to International Monetary Fund economists, inequality in wealth and income is negatively correlated with the duration of economic growth spells (not the rate of growth). High levels of inequality prevent not just economic prosperity, but also the quality of a country's institutions and high levels of education. According to IMF staff economists, "if the income share of the top 20 percent (the rich) increases, then GDP growth actually declines over the medium term, suggesting that the benefits do not trickle down. In contrast, an increase in the income share of the bottom 20 percent (the poor) is associated with higher GDP growth. The poor and the middle class matter the most for growth via a number of interrelated economic, social, and political channels."</t>
  </si>
  <si>
    <t>The first buildings of the University of Chicago campus, which make up what is now known as the Main Quadrangles, were part of a "master plan" conceived by two University of Chicago trustees and plotted by Chicago architect Henry Ives Cobb. The Main Quadrangles consist of six quadrangles, each surrounded by buildings, bordering one larger quadrangle. The buildings of the Main Quadrangles were designed by Cobb, Shepley, Rutan and Coolidge, Holabird &amp; Roche, and other architectural firms in a mixture of the Victorian Gothic and Collegiate Gothic styles, patterned on the colleges of the University of Oxford. (Mitchell Tower, for example, is modeled after Oxford's Magdalen Tower, and the university Commons, Hutchinson Hall, replicates Christ Church Hall.)</t>
  </si>
  <si>
    <t>field candidates</t>
  </si>
  <si>
    <t>What US companies are compiled in the Top-250</t>
  </si>
  <si>
    <t>Foreign Protestants Naturalization Act</t>
  </si>
  <si>
    <t>Of course, some complexity classes have complicated definitions that do not fit into this framework. Thus, a typical complexity class has a definition like the following:</t>
  </si>
  <si>
    <t>access to education</t>
  </si>
  <si>
    <t>not to grant a consent search</t>
  </si>
  <si>
    <t xml:space="preserve">WHy was the Merit network formed in Michigan </t>
  </si>
  <si>
    <t>Who did the Yuan's increase in commerce help?</t>
  </si>
  <si>
    <t>a person or group of people</t>
  </si>
  <si>
    <t>What was the purpose of Loudoun's troops at Fort Henry?</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</si>
  <si>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</si>
  <si>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Which boulevard can you find many majestic homes in the area?</t>
  </si>
  <si>
    <t>firms engaged in managing construction projects</t>
  </si>
  <si>
    <t>Which border does the Rhine flow from the south?</t>
  </si>
  <si>
    <t>People of what nationality invented the steam turbine?</t>
  </si>
  <si>
    <t>Sir Charles Lyell first published his famous book, Principles of Geology, in 1830. This book, which influenced the thought of Charles Darwin, successfully promoted the doctrine of uniformitarianism. This theory states that slow geological processes have occurred throughout the Earth's history and are still occurring today. In contrast, catastrophism is the theory that Earth's features formed in single, catastrophic events and remained unchanged thereafter. Though Hutton believed in uniformitarianism, the idea was not widely accepted at the time.</t>
  </si>
  <si>
    <t>free</t>
  </si>
  <si>
    <t>leftist/communist/nationalist insurgents/opposition</t>
  </si>
  <si>
    <t>Who was given land by British goovernment for development of Ohio Country?</t>
  </si>
  <si>
    <t>staying home</t>
  </si>
  <si>
    <t>Hamas</t>
  </si>
  <si>
    <t>_____ Helps the biospher from UV.</t>
  </si>
  <si>
    <t>What is the name of the supposition that any number larger than 2 can be represented as the sum of two primes?</t>
  </si>
  <si>
    <t>encourage consensus amongst elected members</t>
  </si>
  <si>
    <t>Despite their soft, gelatinous bodies, fossils thought to represent ctenophores, apparently with no tentacles but many more comb-rows than modern forms, have been found in lagerstätten as far back as the early Cambrian, about 515 million years ago. The position of the ctenophores in the evolutionary family tree of animals has long been debated, and the majority view at present, based on molecular phylogenetics, is that cnidarians and bilaterians are more closely related to each other than either is to ctenophores. A recent molecular phylogenetics analysis concluded that the common ancestor of all modern ctenophores was cydippid-like, and that all the modern groups appeared relatively recently, probably after the Cretaceous–Paleogene extinction event 66 million years ago. Evidence accumulating since the 1980s indicates that the "cydippids" are not monophyletic, in other words do not include all and only the descendants of a single common ancestor, because all the other traditional ctenophore groups are descendants of various cydippids.</t>
  </si>
  <si>
    <t>During the American Civil War, Jacksonville was a key supply point for hogs and cattle being shipped from Florida to aid the Confederate cause. The city was blockaded by Union forces, who gained control of the nearby Fort Clinch. Though no battles were fought in Jacksonville proper, the city changed hands several times between Union and Confederate forces. The Skirmish of the Brick Church in 1862 just outside Jacksonville proper resulted in the first Confederate victory in Florida. In February 1864 Union forces left Jacksonville and confronted a Confederate Army at the Battle of Olustee resulting in a Confederate victory. Union forces then retreated to Jacksonville and held the city for the remainder of the war. In March 1864 a Confederate cavalry confronted a Union expedition resulting in the Battle of Cedar Creek. Warfare and the long occupation left the city disrupted after the war.</t>
  </si>
  <si>
    <t>proposed to build a nationwide network in the UK</t>
  </si>
  <si>
    <t>economies had been caught between higher oil prices and lower prices for their own export commodities</t>
  </si>
  <si>
    <t>What do most online pharmacies do?</t>
  </si>
  <si>
    <t>power steering</t>
  </si>
  <si>
    <t>What is another term for year 12 of education?</t>
  </si>
  <si>
    <t>To the east is the Colorado Desert and the Colorado River at the border with Arizona, and the Mojave Desert at the border with the state of Nevada. To the south is the Mexico–United States border.</t>
  </si>
  <si>
    <t>rainforest was reduced</t>
  </si>
  <si>
    <t>What industry did the nobleman establish with this settlement?</t>
  </si>
  <si>
    <t>What does pumping water into the mesoglea do?</t>
  </si>
  <si>
    <t>What did Virgin Media claim BSkyB did that resulted Virgin not carrying the channels anymore?</t>
  </si>
  <si>
    <t>According to reduction, if X and Y can be solved by the same algorithm then X performs what function in relationship to Y?</t>
  </si>
  <si>
    <t>Vendobionta lived during which period?</t>
  </si>
  <si>
    <t>Stage 1 is the first, or introductory stage of the bill, where the minister or member in charge of the bill will formally introduce it to Parliament together with its accompanying documents –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</si>
  <si>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an international data communications network headquartered in San Jose, CA</t>
  </si>
  <si>
    <t>When did the Warsaw area enlargement take place?</t>
  </si>
  <si>
    <t>For a long time, number theory in general, and the study of prime numbers in particular, was seen as the canonical example of pure mathematics, with no applications outside of the self-interest of studying the topic with the exception of use of prime numbered gear teeth to distribute wear evenly. In particular, number theorists such as British mathematician G. H. Hardy prided themselves on doing work that had absolutely no military significance. However, this vision was shattered in the 1970s, when it was publicly announced that prime numbers could be used as the basis for the creation of public key cryptography algorithms. Prime numbers are also used for hash tables and pseudorandom number generators.</t>
  </si>
  <si>
    <t>In addition to climate assessment reports, the IPCC is publishing Special Reports on specific topics. The preparation and approval process for all IPCC Special Reports follows the same procedures as for IPCC Assessment Reports. In the year 2011 two IPCC Special Report were finalized, the Special Report on Renewable Energy Sources and Climate Change Mitigation (SRREN) and the Special Report on Managing Risks of Extreme Events and Disasters to Advance Climate Change Adaptation (SREX). Both Special Reports were requested by governments.</t>
  </si>
  <si>
    <t>1300</t>
  </si>
  <si>
    <t>the UK government</t>
  </si>
  <si>
    <t>The university experienced its share of student unrest during the 1960s, beginning in 1962, when students occupied President George Beadle's office in a protest over the university's off-campus rental policies. After continued turmoil, a university committee in 1967 issued what became known as the Kalven Report. The report, a two-page statement of the university's policy in "social and political action," declared that "To perform its mission in the society, a university must sustain an extraordinary environment of freedom of inquiry and maintain an independence from political fashions, passions, and pressures." The report has since been used to justify decisions such as the university's refusal to divest from South Africa in the 1980s and Darfur in the late 2000s.</t>
  </si>
  <si>
    <t>best, worst and average case</t>
  </si>
  <si>
    <t>mid-Eocene</t>
  </si>
  <si>
    <t>What naval battles did France lose in 1759?</t>
  </si>
  <si>
    <t xml:space="preserve"> J. A. Hobson wanted which races to develop the world?</t>
  </si>
  <si>
    <t>What happens secondly if a Directive's deadline is not met?</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</si>
  <si>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</si>
  <si>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What is the term used to identify a deterministic Turing machine that has additional random bits?</t>
  </si>
  <si>
    <t>Sky Active</t>
  </si>
  <si>
    <t>the opposite end from the mouth</t>
  </si>
  <si>
    <t>a supporting function</t>
  </si>
  <si>
    <t>Massachusetts Bay Colony</t>
  </si>
  <si>
    <t>southern Chinese manufacturers and merchants</t>
  </si>
  <si>
    <t>In addition to the Riemann hypothesis, many more conjectures revolving about primes have been posed. Often having an elementary formulation, many of these conjectures have withstood a proof for decades: all four of Landau's problems from 1912 are still unsolved. One of them is Goldbach's conjecture, which asserts that every even integer n greater than 2 can be written as a sum of two primes. As of February 2011[update], this conjecture has been verified for all numbers up to n = 2 · 1017. Weaker statements than this have been proven, for example Vinogradov's theorem says that every sufficiently large odd integer can be written as a sum of three primes. Chen's theorem says that every sufficiently large even number can be expressed as the sum of a prime and a semiprime, the product of two primes. Also, any even integer can be written as the sum of six primes. The branch of number theory studying such questions is called additive number theory.</t>
  </si>
  <si>
    <t>quietist/non-political Islam</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</si>
  <si>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</si>
  <si>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 xml:space="preserve">This network influenced  later models of </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</si>
  <si>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</si>
  <si>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Lincoln Continental,</t>
  </si>
  <si>
    <t>By 1998, the vBNS had grown to connect more than 100 universities and research and engineering institutions via 12 national points of presence with DS-3</t>
  </si>
  <si>
    <t>highly respected</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</si>
  <si>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</si>
  <si>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What is the only form potential energy can change into?</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</si>
  <si>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</si>
  <si>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Überseering BV v Nordic Construction GmbH</t>
  </si>
  <si>
    <t>What was suggested at the Symposium in 1967</t>
  </si>
  <si>
    <t>As of 2010[update], there were 366,273 households out of which 11.8% were vacant. 23.9% of households had children under the age of 18 living with them, 43.8% were married couples, 15.2% had a female householder with no husband present, and 36.4% were non-families. 29.7% of all households were made up of individuals and 7.9% had someone living alone who was 65 years of age or older. The average household size was 2.55 and the average family size was 3.21. In the city, the population was spread out with 23.9% under the age of 18, 10.5% from 18 to 24, 28.5% from 25 to 44, 26.2% from 45 to 64, and 10.9% who were 65 years of age or older. The median age was 35.5 years. For every 100 females there were 94.1 males. For every 100 females age 18 and over, there were 91.3 males.</t>
  </si>
  <si>
    <t>What is malum in se considerations?</t>
  </si>
  <si>
    <t>Wilson's geographer.</t>
  </si>
  <si>
    <t>the dilemma faced by German citizens</t>
  </si>
  <si>
    <t>What is the main reason consulting pharmacists are increasingly working directly with patients?</t>
  </si>
  <si>
    <t>On-site sensing is being used by indigenous tribes for what</t>
  </si>
  <si>
    <t>second-largest</t>
  </si>
  <si>
    <t>After the death of Tugh Temür in 1332 and subsequent death of Rinchinbal (Emperor Ningzong) the same year, the 13-year-old Toghun Temür (Emperor Huizong), the last of the nine successors of Kublai Khan, was summoned back from Guangxi and succeeded to the throne. After El Temür's death, Bayan became as powerful an official as El Temür had been in the beginning of his long reign. As Toghun Temür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Temür, marking the end of his first administration, and he was not called back until 1349.</t>
  </si>
  <si>
    <t>Scotland Act</t>
  </si>
  <si>
    <t>Northern San Diego</t>
  </si>
  <si>
    <t xml:space="preserve">What is septicemia? </t>
  </si>
  <si>
    <t>the prime number theorem</t>
  </si>
  <si>
    <t>because the nationalisation law was from 1962, and the treaty was in force from 1958, Costa had no claim</t>
  </si>
  <si>
    <t>the public switched data network operated by the Dutch PTT Telecom</t>
  </si>
  <si>
    <t>Why did Warsaw gain the title of the "Phoenix City"?</t>
  </si>
  <si>
    <t>1702 and 1709</t>
  </si>
  <si>
    <t>the building is ready to occupy</t>
  </si>
  <si>
    <t>unit-dose</t>
  </si>
  <si>
    <t>What kinds of trees is Kearney Boulevard lined with?</t>
  </si>
  <si>
    <t>Each packet is labeled with a destination address, source address, and port numbers. It may also be labeled with the sequence number of the packet</t>
  </si>
  <si>
    <t>promoted Western/foreign ideas and practices into Islamic societies</t>
  </si>
  <si>
    <t>Ludendorff Bridge</t>
  </si>
  <si>
    <t>if the Treaty provisions have a direct effect and they are sufficiently clear, precise and unconditional.</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</si>
  <si>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</si>
  <si>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the prime number intervals between emergences make it very difficult for predators to evolve</t>
  </si>
  <si>
    <t>Ctenophora (/tᵻˈnɒfərə/; singular ctenophore, /ˈtɛnəfɔːr/ or /ˈtiːnəfɔːr/; from the Greek κτείς kteis 'comb' and φέρω pherō 'carry'; commonly known as comb jellies) is a phylum of animals that live in marine waters worldwide. Their most distinctive feature is the ‘combs’ – groups of cilia which they use for swimming – they are the largest animals that swim by means of cilia. Adults of various species range from a few millimeters to 1.5 m (4 ft 11 in) in size. Like cnidarians, their bodies consist of a mass of jelly, with one layer of cells on the outside and another lining the internal cavity. In ctenophores, these layers are two cells deep, while those in cnidarians are only one cell deep. Some authors combined ctenophores and cnidarians in one phylum, Coelenterata, as both groups rely on water flow through the body cavity for both digestion and respiration. Increasing awareness of the differences persuaded more recent authors to classify them as separate phyla.</t>
  </si>
  <si>
    <t>pre-allocates dedicated network bandwidth specifically for each communication session</t>
  </si>
  <si>
    <t>public PAD service Telepad (using the DNIC 2049</t>
  </si>
  <si>
    <t>through various associations</t>
  </si>
  <si>
    <t>What is another way to state the condition that infinitely many primes can exist only if a and q are coprime?</t>
  </si>
  <si>
    <t>Infrastructure is often called what?</t>
  </si>
  <si>
    <t>What did Donald Davies Develop</t>
  </si>
  <si>
    <t>Where was the centrifugal governor first observed by Boulton?</t>
  </si>
  <si>
    <t>What happened to the ground water in the Rhine during the Rhine straightening program?</t>
  </si>
  <si>
    <t>What was Martin Parry's role in the IPCC?</t>
  </si>
  <si>
    <t>the reported rates of mortality in rural areas during the 14th-century pandemic were inconsistent with the modern bubonic plague</t>
  </si>
  <si>
    <t>a financial instrument that was usable across a large number of merchants and also allowed cardholders to revolve a balance</t>
  </si>
  <si>
    <t>What type of housing was erected in Warsaw as part of the Bricks for Warsaw process?</t>
  </si>
  <si>
    <t>René-Robert Cavelier, Sieur de La Salle had explored the Ohio Country nearly a century earlier</t>
  </si>
  <si>
    <t>What has the lower rainfall in the Amazon during the LGM been attributed to?</t>
  </si>
  <si>
    <t>the greater Southern California Megaregion</t>
  </si>
  <si>
    <t>negotiated between endpoints</t>
  </si>
  <si>
    <t>What did Joseph Haas say in his email?</t>
  </si>
  <si>
    <t>The plague theory was first significantly challenged by the work of British bacteriologist J. F. D. Shrewsbury in 1970, who noted that the reported rates of mortality in rural areas during the 14th-century pandemic were inconsistent with the modern bubonic plague, leading him to conclude that contemporary accounts were exaggerations. In 1984 zoologist Graham Twigg produced the first major work to challenge the bubonic plague theory directly, and his doubts about the identity of the Black Death have been taken up by a number of authors, including Samuel K. Cohn, Jr. (2002), David Herlihy (1997), and Susan Scott and Christopher Duncan (2001).</t>
  </si>
  <si>
    <t>Where is the mouth located on the pleuobrachia located?</t>
  </si>
  <si>
    <t>the mortgage banker</t>
  </si>
  <si>
    <t>The area is also known for its early twentieth century homes, many of which have been restored in recent decades. The area includes many California Bungalow and American Craftsman style homes, Spanish Colonial Revival Style architecture, Mediterranean Revival Style architecture, Mission Revival Style architecture, and many Storybook houses designed by Fresno architects, Hilliard, Taylor &amp; Wheeler. The residential architecture of the Tower District contrasts with the newer areas of tract homes urban sprawl in north and east areas of Fresno.</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</si>
  <si>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</si>
  <si>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Warfare and the long occupation</t>
  </si>
  <si>
    <t>On the other hand, higher economic inequality tends to increase entrepreneurship rates at the individual level (self-employment). However, most of it is often based on necessity rather than opportunity. Necessity-based entrepreneurship is motivated by survival needs such as income for food and shelter ("push" motivations), whereas opportunity-based entrepreneurship is driven by achievement-oriented motivations ("pull") such as vocation and more likely to involve the pursue of new products, services, or underserved market needs. The economic impact of the former type of entrepreneurialism tends to be redistributive while the latter is expected to foster technological progress and thus have a more positive impact on economic growth.</t>
  </si>
  <si>
    <t>Rugby is also a growing sport in southern California, particularly at the high school level, with increasing numbers of schools adding rugby as an official school sport.</t>
  </si>
  <si>
    <t>complete addressing information</t>
  </si>
  <si>
    <t>The Beroida, also known as Nuda, have no feeding appendages, but their large pharynx, just inside the large mouth and filling most of the saclike body, bears "macrocilia" at the oral end. These fused bundles of several thousand large cilia are able to "bite" off pieces of prey that are too large to swallow whole – almost always other ctenophores. In front of the field of macrocilia, on the mouth "lips" in some species of Beroe, is a pair of narrow strips of adhesive epithelial cells on the stomach wall that "zip" the mouth shut when the animal is not feeding, by forming intercellular connections with the opposite adhesive strip. This tight closure streamlines the front of the animal when it is pursuing prey.</t>
  </si>
  <si>
    <t>declaration of war in 1756 to the signing of the peace treaty in 1763</t>
  </si>
  <si>
    <t>In economics, notable Nobel Memorial Prize in Economic Sciences winners Milton Friedman, a major advisor to Republican U.S. President Ronald Reagan and Conservative British Prime Minister Margaret Thatcher, George Stigler, Nobel laureate and proponent of regulatory capture theory, Gary Becker, an important contributor to the family economics branch of economics, Herbert A. Simon, responsible for the modern interpretation of the concept of organizational decision-making, Paul Samuelson, the first American to win the Nobel Memorial Prize in Economic Sciences, and Eugene Fama, known for his work on portfolio theory, asset pricing and stock market behaviour, are all graduates. American economist, social theorist, political philosopher, and author Thomas Sowell is also an alumnus.</t>
  </si>
  <si>
    <t>Denmark's minimum capital law</t>
  </si>
  <si>
    <t>not to talk</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</si>
  <si>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</si>
  <si>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Malkin Athletic Center</t>
  </si>
  <si>
    <t>What does Kuznets' curve predict about income inequality given time?</t>
  </si>
  <si>
    <t>asynchronously</t>
  </si>
  <si>
    <t>public switched data network</t>
  </si>
  <si>
    <t>Who fought in the French and Indian war?</t>
  </si>
  <si>
    <t>What sin were the leaders the extremists attacked guilty of?</t>
  </si>
  <si>
    <t>Geographically speaking, where is California's north - south midway point in terms of latitude?</t>
  </si>
  <si>
    <t>countries with bigger income inequalities</t>
  </si>
  <si>
    <t>Intergovernmental_Panel_on_Climate_Change</t>
  </si>
  <si>
    <t>Who considers Los Angeles County to be a separate metropolitan area?</t>
  </si>
  <si>
    <t>Neoclassical economics</t>
  </si>
  <si>
    <t>Petrologists can also use fluid inclusion data and perform high temperature and pressure physical experiments to understand the temperatures and pressures at which different mineral phases appear, and how they change through igneous and metamorphic processes. This research can be extrapolated to the field to understand metamorphic processes and the conditions of crystallization of igneous rocks. This work can also help to explain processes that occur within the Earth, such as subduction and magma chamber evolution.</t>
  </si>
  <si>
    <t>among states in the US with larger income inequalities</t>
  </si>
  <si>
    <t>incorrectly</t>
  </si>
  <si>
    <t>What time period did the geoglyphs date back to?</t>
  </si>
  <si>
    <t>While many homes in the neighborhood date back to the 1930s or before, the neighborhood is also home to several public housing developments built between the 1960s and 1990s by the Fresno Housing Authority. The US Department of Housing and Urban Development has also built small subdivisions of single-family homes in the area for purchase by low-income working families. There have been numerous attempts to revitalize the neighborhood, including the construction of a modern shopping center on the corner of Fresno and B streets, an aborted attempt to build luxury homes and a golf course on the western edge of the neighborhood, and some new section 8 apartments have been built along Church Ave west of Elm St. Cargill Meat Solutions and Foster Farms both have large processing facilities in the neighborhood, and the stench from these (and other small industrial facilities) has long plagued area residents. The Fresno Chandler Executive Airport is also on the West Side. Due to its position on the edge of the city and years of neglect by developers, is not a true "inner-city" neighborhood, and there are many vacant lots, strawberry fields and vineyards throughout the neighborhood. The neighborhood has very little retail activity, aside from the area near Fresno Street and State Route 99 Freeway (Kearney Palm Shopping Center, built in the late 1990s) and small corner markets scattered throughout.</t>
  </si>
  <si>
    <t>What did the Mongol elites wish Buyantu didn't do?</t>
  </si>
  <si>
    <t>United Nations Environment Programme (UNEP) and the World Meteorological Organization (WMO)</t>
  </si>
  <si>
    <t>What was the main idea of James Hutton's paper?</t>
  </si>
  <si>
    <t>punish the Miami people of Pickawillany</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</si>
  <si>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</si>
  <si>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the river's natural course due to number of canalisation projects completed in the 19th and 20th century</t>
  </si>
  <si>
    <t>The earliest recorded incidents of collective civil disobedience took place during the Roman Empire[citation needed]. Unarmed Jews gathered in the streets to prevent the installation of pagan images in the Temple in Jerusalem.[citation needed][original research?] In modern times, some activists who commit civil disobedience as a group collectively refuse to sign bail until certain demands are met, such as favorable bail conditions, or the release of all the activists. This is a form of jail solidarity.[page needed] There have also been many instances of solitary civil disobedience, such as that committed by Thoreau, but these sometimes go unnoticed. Thoreau, at the time of his arrest, was not yet a well-known author, and his arrest was not covered in any newspapers in the days, weeks and months after it happened. The tax collector who arrested him rose to higher political office, and Thoreau's essay was not published until after the end of the Mexican War.</t>
  </si>
  <si>
    <t>ten</t>
  </si>
  <si>
    <t>Income not from the creation of wealth but by grabbing a larger share of it is know to economists by what term?</t>
  </si>
  <si>
    <t>by store and forward switching</t>
  </si>
  <si>
    <t>risen with increased income inequality</t>
  </si>
  <si>
    <t>compensation pools</t>
  </si>
  <si>
    <t>What does the First Company Law Directive article 11 require?</t>
  </si>
  <si>
    <t>If P = NP is unsolved, and reduction is applied to a known NP-complete problem vis a vis Π2 to  Π1, what conclusion can be drawn for Π1?</t>
  </si>
  <si>
    <t>Fresno and B streets</t>
  </si>
  <si>
    <t>How long was the Summer Theatre in operation?</t>
  </si>
  <si>
    <t>Going to jail accomplished what goal of civil disobedience?</t>
  </si>
  <si>
    <t>What is Jacksonville's hottest recorded temperature?</t>
  </si>
  <si>
    <t>colonizing, influencing, and annexing</t>
  </si>
  <si>
    <t>What is the Yuan dynasty's official name?</t>
  </si>
  <si>
    <t>the Mughal state</t>
  </si>
  <si>
    <t>What type of technology is the non organic separating of gases?</t>
  </si>
  <si>
    <t>ozone</t>
  </si>
  <si>
    <t>In modern times, firms may offer themselves as what for a construction project?</t>
  </si>
  <si>
    <t>temperatures and sea levels have been rising at or above the maximum rates</t>
  </si>
  <si>
    <t>What was the name of France's primary colony in the New World?</t>
  </si>
  <si>
    <t>Who fought in the great Northern war?</t>
  </si>
  <si>
    <t>What do the auricles do?</t>
  </si>
  <si>
    <t>mid-Cambrian period</t>
  </si>
  <si>
    <t>imprisonment</t>
  </si>
  <si>
    <t>The mermaid</t>
  </si>
  <si>
    <t>1972 connections</t>
  </si>
  <si>
    <t>constitute civil disobedience</t>
  </si>
  <si>
    <t>What can faith groups ask the Presiding Officer to do for them?</t>
  </si>
  <si>
    <t>From the mid-2000s, the university began a number of multimillion-dollar expansion projects. In 2008, the University of Chicago announced plans to establish the Milton Friedman Institute which attracted both support and controversy from faculty members and students. The institute will cost around $200 million and occupy the buildings of the Chicago Theological Seminary. During the same year, investor David G. Booth donated $300 million to the university's Booth School of Business, which is the largest gift in the university's history and the largest gift ever to any business school. In 2009, planning or construction on several new buildings, half of which cost $100 million or more, was underway. Since 2011, major construction projects have included the Jules and Gwen Knapp Center for Biomedical Discovery, a ten-story medical research center, and further additions to the medical campus of the University of Chicago Medical Center. In 2014 the University launched the public phase of a $4.5 billion fundraising campaign. In September 2015, the University received $100 million from The Pearson Family Foundation to establish The Pearson Institute for the Study and Resolution of Global Conflicts and The Pearson Global Forum at the Harris School of Public Policy Studies.</t>
  </si>
  <si>
    <t>electrical, water, sewage, phone, and cable facilities</t>
  </si>
  <si>
    <t>What Jewish practice did the Yuan ban?</t>
  </si>
  <si>
    <t>effect</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</si>
  <si>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</si>
  <si>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is an additional meaning intended when the word prime is used?</t>
  </si>
  <si>
    <t>Foreign Protestants Naturalization Act,</t>
  </si>
  <si>
    <t>whether a state or threat of war existed</t>
  </si>
  <si>
    <t>The battle ended inconclusively</t>
  </si>
  <si>
    <t>using sickles to deflate one of the large domes</t>
  </si>
  <si>
    <t>the building is ready to occupy.</t>
  </si>
  <si>
    <t>When are inequalities in wealth justified, according to John Rawls?</t>
  </si>
  <si>
    <t>1⁄3 normal pressure</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</si>
  <si>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</si>
  <si>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the desire to prevent things that are indisputably bad</t>
  </si>
  <si>
    <t>What victory at thwarted efforts of French relief ships.</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</si>
  <si>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</si>
  <si>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Motion pictures, petroleum and aircraft manufacturing have been major industries since which decade?</t>
  </si>
  <si>
    <t>In what part of the United States did many students migrate to Christian academies during the desegregation period?</t>
  </si>
  <si>
    <t>Who has limited productive potential when faced with less access to education?</t>
  </si>
  <si>
    <t>each packet includes complete addressing information</t>
  </si>
  <si>
    <t>Puente Hills Fault</t>
  </si>
  <si>
    <t>What are construction managers?</t>
  </si>
  <si>
    <t>What has lately been being viewed as a fundamental status of member state nationals by the Court of Justice?</t>
  </si>
  <si>
    <t>What is a PPP also known as?</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</si>
  <si>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</si>
  <si>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What commonality do alternate machine models, such as random access machines, share with Turing machines?</t>
  </si>
  <si>
    <t xml:space="preserve">Where did scientists find their Y. pestis sample? </t>
  </si>
  <si>
    <t>What event was the worst example of Huguenot persecution?</t>
  </si>
  <si>
    <t xml:space="preserve">Packet Switching contrast with what other principal </t>
  </si>
  <si>
    <t>How did William Shirley feel about French advancement?</t>
  </si>
  <si>
    <t>Medical University of Warsaw</t>
  </si>
  <si>
    <t>In the arts and entertainment, minimalist composer Philip Glass, dancer, choreographer and leader in the field of dance anthropology Katherine Dunham, Bungie founder and developer of the Halo video game series Alex Seropian, Serial host Sarah Koenig, actor Ed Asner, Pulitzer Prize for Criticism winning film critic and the subject of the 2014 documentary film Life Itself Roger Ebert, director, writer, and comedian Mike Nichols, film director and screenwriter Philip Kaufman, and Carl Van Vechten, photographer and writer, are graduates.</t>
  </si>
  <si>
    <t>King Charles III</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</si>
  <si>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</si>
  <si>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doctrine of transubstantiation during Mass</t>
  </si>
  <si>
    <t>During the Southern Song dynasty the descendant of Confucius at Qufu, the Duke Yansheng Kong Duanyou fled south with the Song Emperor to Quzhou, while the newly established Jin dynasty (1115–1234)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</si>
  <si>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How did some suspect that Polo learned about China instead of by actually visiting it?</t>
  </si>
  <si>
    <t>the World Meteorological Organization (WMO) and the United Nations Environment Programme (UNEP)</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</si>
  <si>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</si>
  <si>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ability to elude host immune responses</t>
  </si>
  <si>
    <t>Warsaw City Council</t>
  </si>
  <si>
    <t xml:space="preserve">What is another word for inclusions in sedimentary rocks? </t>
  </si>
  <si>
    <t>The Free Movement of Workers Regulation articles 1 to 7 set out the main provisions on equal treatment of workers. First, articles 1 to 4 generally require that workers can take up employment, conclude contracts, and not suffer discrimination compared to nationals of the member state. In a famous case, the Belgian Football Association v Bosman, a Belgian footballer named Jean-Marc Bosman claimed that he should be able to transfer from R.F.C. de Liège to USL Dunkerque when his contract finished, regardless of whether Dunkerque could afford to pay Liège the habitual transfer fees. The Court of Justice held "the transfer rules constitute[d] an obstacle to free movement" and were unlawful unless they could be justified in the public interest, but this was unlikely. In Groener v Minister for Education the Court of Justice accepted that a requirement to speak Gaelic to teach in a Dublin design college could be justified as part of the public policy of promoting the Irish language, but only if the measure was not disproportionate. By contrast in Angonese v Cassa di Risparmio di Bolzano SpA a bank in Bolzano, Italy, was not allowed to require Mr Angonese to have a bilingual certificate that could only be obtained in Bolzano. The Court of Justice, giving "horizontal" direct effect to TFEU article 45, reasoned that people from other countries would have little chance of acquiring the certificate, and because it was "impossible to submit proof of the required linguistic knowledge by any other means", the measure was disproportionate. Second, article 7(2) requires equal treatment in respect of tax. In Finanzamt Köln Altstadt v Schumacker the Court of Justice held that it contravened TFEU art 45 to deny tax benefits (e.g. for married couples, and social insurance expense deductions) to a man who worked in Germany, but was resident in Belgium when other German residents got the benefits. By contrast in Weigel v Finanzlandesdirektion für Vorarlberg the Court of Justice rejected Mr Weigel's claim that a re-registration charge upon bringing his car to Austria violated his right to free movement. Although the tax was "likely to have a negative bearing on the decision of migrant workers to exercise their right to freedom of movement", because the charge applied equally to Austrians, in absence of EU legislation on the matter it had to be regarded as justified. Third, people must receive equal treatment regarding "social advantages", although the Court has approved residential qualifying periods. In Hendrix v Employee Insurance Institute the Court of Justice held that a Dutch national was not entitled to continue receiving incapacity benefits when he moved to Belgium, because the benefit was "closely linked to the socio-economic situation" of the Netherlands. Conversely, in Geven v Land Nordrhein-Westfalen the Court of Justice held that a Dutch woman living in the Netherlands, but working between 3 and 14 hours a week in Germany, did not have a right to receive German child benefits, even though the wife of a man who worked full-time in Germany but was resident in Austria could. The general justifications for limiting free movement in TFEU article 45(3) are "public policy, public security or public health", and there is also a general exception in article 45(4) for "employment in the public service".</t>
  </si>
  <si>
    <t>What is the second busiest airport in the United States?</t>
  </si>
  <si>
    <t>The analysis of a specific algorithm is typically assigned to what field of computational science?</t>
  </si>
  <si>
    <t>survived many wars, conflicts and invasions</t>
  </si>
  <si>
    <t>role in spreading awareness of, and access to, national networking and was a major milestone on the path to development of the global Internet</t>
  </si>
  <si>
    <t>the referendum in France and the referendum in the Netherlands</t>
  </si>
  <si>
    <t>to select their students</t>
  </si>
  <si>
    <t>Metro Trains Melbourne</t>
  </si>
  <si>
    <t>second and third run</t>
  </si>
  <si>
    <t>In the 1970s, the city was the subject of a song, "Walking Into Fresno", written by Hall Of Fame guitarist Bill Aken and recorded by Bob Gallion of the world-famous "WWVA Jamboree" radio and television show in Wheeling, West Virginia. Aken, adopted by Mexican movie actress Lupe Mayorga, grew up in the neighboring town of Madera and his song chronicled the hardships faced by the migrant farm workers he saw as a child. Aken also made his first TV appearance playing guitar on the old country-western show at The Fresno Barn.</t>
  </si>
  <si>
    <t>local-global</t>
  </si>
  <si>
    <t>comb jelly.</t>
  </si>
  <si>
    <t>occupancy permit</t>
  </si>
  <si>
    <t>What coalition rose up to oppose Louis XIV's France?</t>
  </si>
  <si>
    <t>maze of semantical problems and grammatical niceties</t>
  </si>
  <si>
    <t>they owned the Ohio Country</t>
  </si>
  <si>
    <t>patrimonial feudalism</t>
  </si>
  <si>
    <t>soil fertility and weed invasion</t>
  </si>
  <si>
    <t>the Schrödinger equation</t>
  </si>
  <si>
    <t>rent-seeking</t>
  </si>
  <si>
    <t>Who concluded that the rising income inequality gap was not getting better?</t>
  </si>
  <si>
    <t>What campaigh did the Scottish National Party (SNP) run?</t>
  </si>
  <si>
    <t>Edict of Nantes</t>
  </si>
  <si>
    <t>What were the towns granted to the Huguenots in 1598 collectively called?</t>
  </si>
  <si>
    <t>Steam_engine</t>
  </si>
  <si>
    <t>Several University of Chicago professors</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</si>
  <si>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</si>
  <si>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What did Thoreau claim about the majority?</t>
  </si>
  <si>
    <t>Donkey</t>
  </si>
  <si>
    <t>orientalism and tropicality.</t>
  </si>
  <si>
    <t>What political response was convening in June/July 1754?</t>
  </si>
  <si>
    <t>During withdrawal from Fort William Henry, what did some Indian allies of French do?</t>
  </si>
  <si>
    <t>protein structure prediction</t>
  </si>
  <si>
    <t>Catholic</t>
  </si>
  <si>
    <t>In cases where the criminalized behavior is pure speech, civil disobedience can consist simply of engaging in the forbidden speech. An example would be WBAI's broadcasting the track "Filthy Words" from a George Carlin comedy album, which eventually led to the 1978 Supreme Court case of FCC v. Pacifica Foundation. Threatening government officials is another classic way of expressing defiance toward the government and unwillingness to stand for its policies. For example, Joseph Haas was arrested for allegedly sending an email to the Lebanon, New Hampshire city councilors stating, "Wise up or die."</t>
  </si>
  <si>
    <t>What is the name of the country's longest continuously running student film society?</t>
  </si>
  <si>
    <t>Enric Miralles</t>
  </si>
  <si>
    <t>What was Shrewsbury's conclusion?</t>
  </si>
  <si>
    <t>Levels of what things are used to determine emission factors?</t>
  </si>
  <si>
    <t>According to certain Geographical theories what type of human does a tropical climate produce?</t>
  </si>
  <si>
    <t>unreliable datagrams and associated end-to-end protocol mechanisms</t>
  </si>
  <si>
    <t>a combination of anthrax and other pandemics</t>
  </si>
  <si>
    <t>deterministically</t>
  </si>
  <si>
    <t>In 2010 the Amazon rainforest experienced another severe drought, in some ways more extreme than the 2005 drought. The affected region was approximate 1,160,000 square miles (3,000,000 km2) of rainforest, compared to 734,000 square miles (1,900,000 km2) in 2005. The 2010 drought had three epicenters where vegetation died off, whereas in 2005 the drought was focused on the southwestern part. The findings were published in the journal Science. In a typical year the Amazon absorbs 1.5 gigatons of carbon dioxide; during 2005 instead 5 gigatons were released and in 2010 8 gigatons were released.</t>
  </si>
  <si>
    <t>the proprietors of illegal medical cannabis dispensaries</t>
  </si>
  <si>
    <t>tuition fees</t>
  </si>
  <si>
    <t>Rather than taxation, what are private schools largely funded by?</t>
  </si>
  <si>
    <t>deforestation and ecocide</t>
  </si>
  <si>
    <t>Telnet Used what  Interface technology</t>
  </si>
  <si>
    <t>to extend networking benefits, for computer science departments at academic and research institutions that could not be directly connected to ARPANET</t>
  </si>
  <si>
    <t>heavily concentrated along the St. Lawrence River valley, with some also in Acadia</t>
  </si>
  <si>
    <t>planning,[citation needed] design, and financing and continues until the project is built</t>
  </si>
  <si>
    <t>Where did the pharmacist stand in relation to the Emperor's personal physicians?</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</si>
  <si>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</si>
  <si>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the police and the armed forces</t>
  </si>
  <si>
    <t>University of Chicago campus</t>
  </si>
  <si>
    <t>Where is a palm house with subtropic plants from all over the world on display?</t>
  </si>
  <si>
    <t xml:space="preserve">Who developed the same technology as Baran </t>
  </si>
  <si>
    <t>What did the network install in 1999</t>
  </si>
  <si>
    <t>continental North American possessions east of the Mississippi or the Caribbean islands of Guadeloupe and Martinique</t>
  </si>
  <si>
    <t>The French and Indian War was the New World aspect of what European conflict?</t>
  </si>
  <si>
    <t>How many divisions make up the academics of the university?</t>
  </si>
  <si>
    <t>Despite being relatively unaffected by the embargo, the UK nonetheless faced an oil crisis of its own - a series of strikes by coal miners and railroad workers over the winter of 1973–74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</si>
  <si>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The hardest problems in NP can be analogously written as what class of problems?</t>
  </si>
  <si>
    <t>'tuition-free</t>
  </si>
  <si>
    <t>the concept of distributed adaptive message block switching</t>
  </si>
  <si>
    <t>What was the outcome of living in the California Redwood tree?</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</si>
  <si>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</si>
  <si>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What is the logic behind the cicadas prime number evolutionary strategy?</t>
  </si>
  <si>
    <t>What schools do preparatory schools prepare British children to attend?</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</si>
  <si>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Said’s Orientalism as the west’s construction of the east as the “other”. According to Siad, orientalism allowed Europe to establish itself as the superior and the norm, which justified its dominance over the essentialized Orient.</t>
  </si>
  <si>
    <t>What was the significance of British win?</t>
  </si>
  <si>
    <t>steam engine indicator</t>
  </si>
  <si>
    <t>Orange</t>
  </si>
  <si>
    <t>Besides the analytic property of numbers, what other property of numbers does number theory focus on?</t>
  </si>
  <si>
    <t>single</t>
  </si>
  <si>
    <t>to people who give services "for remuneration"</t>
  </si>
  <si>
    <t>local building authority regulations and codes of practice</t>
  </si>
  <si>
    <t>René-Robert Cavelier, Sieur de La Salle had explored the Ohio Country nearly a century earlier.</t>
  </si>
  <si>
    <t>comb jellies</t>
  </si>
  <si>
    <t>What is the example of another problem characterized by large instances that is routinely solved by SAT handlers employing efficient algorithms?</t>
  </si>
  <si>
    <t>the Industrial Revolution</t>
  </si>
  <si>
    <t>p is not a prime factor of q</t>
  </si>
  <si>
    <t>What does quadratic reciprocity seek to achieve?</t>
  </si>
  <si>
    <t>several years</t>
  </si>
  <si>
    <t>dampening the fire</t>
  </si>
  <si>
    <t>How long did Julia Butterfly Hill live in a tree?</t>
  </si>
  <si>
    <t>What Chinese system did Kublai's government compromise with?</t>
  </si>
  <si>
    <t>Planetary geologists have measured different abundances of oxygen isotopes in samples from the Earth, the Moon, Mars, and meteorites, but were long unable to obtain reference values for the isotope ratios in the Sun, believed to be the same as those of the primordial solar nebula. Analysis of a silicon wafer exposed to the solar wind in space and returned by the crashed Genesis spacecraft has shown that the Sun has a higher proportion of oxygen-16 than does the Earth. The measurement implies that an unknown process depleted oxygen-16 from the Sun's disk of protoplanetary material prior to the coalescence of dust grains that formed the Earth.</t>
  </si>
  <si>
    <t>Plant cells respond to the molecules associated with pathogens known as what?</t>
  </si>
  <si>
    <t>coordinating lead author of the Fifth Assessment Report</t>
  </si>
  <si>
    <t>the center of mass</t>
  </si>
  <si>
    <t>What type of manufacturing plant is Victoria soon losing?</t>
  </si>
  <si>
    <t>inequitable taxes</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</si>
  <si>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</si>
  <si>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Along with marine engines and industrial units, in what machines was compounding popular?</t>
  </si>
  <si>
    <t>accept punishment</t>
  </si>
  <si>
    <t>Engineering News-Record (ENR) is a trade magazine for the construction industry. Each year, ENR compiles and reports on data about the size of design and construction companies. They publish a list of the largest companies in the United States (Top-40) and also a list the largest global firms (Top-250, by amount of work they are doing outside their home country). In 2014, ENR compiled the data in nine market segments. It was divided as transportation, petroleum, buildings, power, industrial, water, manufacturing, sewer/waste, telecom, hazardous waste plus a tenth category for other projects. In their reporting on the Top 400, they used data on transportation, sewer, hazardous waste and water to rank firms as heavy contractors.</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</si>
  <si>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</si>
  <si>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defensins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</si>
  <si>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</si>
  <si>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The IPCC receives funding through the IPCC Trust Fund, established in 1989 by the United Nations Environment Programme (UNEP) and the World Meteorological Organization (WMO), Costs of the Secretary and of housing the secretariat are provided by the WMO, while UNEP meets the cost of the Depute Secretary. Annual cash contributions to the Trust Fund are made by the WMO, by UNEP, and by IPCC Members; the scale of payments is determined by the IPCC Panel, which is also responsible for considering and adopting by consensus the annual budget. The organisation is required to comply with the Financial Regulations and Rules of the WMO.</t>
  </si>
  <si>
    <t>Whose needs will the growth in pharmacy informatics meet?</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</si>
  <si>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</si>
  <si>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How many sources of European Union law are there?</t>
  </si>
  <si>
    <t>granted the Protestants equality</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</si>
  <si>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</si>
  <si>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</si>
  <si>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practical Carnot cycle</t>
  </si>
  <si>
    <t>What rain forced supports more than 11,003 species</t>
  </si>
  <si>
    <t>lowland South American peoples</t>
  </si>
  <si>
    <t>The dominant explanation for the Black Death is the plague theory, which attributes the outbreak to Yersinia pestis, also responsible for an epidemic that began in southern China in 1865, eventually spreading to India. The investigation of the pathogen that caused the 19th-century plague was begun by teams of scientists who visited Hong Kong in 1894, among whom was the French-Swiss bacteriologist Alexandre Yersin, after whom the pathogen was named Yersinia pestis. The mechanism by which Y. pestis was usually transmitted was established in 1898 by Paul-Louis Simond and was found to involve the bites of fleas whose midguts had become obstructed by replicating Y. pestis several days after feeding on an infected host. This blockage results in starvation and aggressive feeding behaviour by the fleas, which repeatedly attempt to clear their blockage by regurgitation, resulting in thousands of plague bacteria being flushed into the feeding site, infecting the host. The bubonic plague mechanism was also dependent on two populations of rodents: one resistant to the disease, which act as hosts, keeping the disease endemic, and a second that lack resistance. When the second population dies, the fleas move on to other hosts, including people, thus creating a human epidemic.</t>
  </si>
  <si>
    <t>potential drug interactions, adverse drug reactions</t>
  </si>
  <si>
    <t>University of North Florida</t>
  </si>
  <si>
    <t>A prime number (or a prime) is a natural number greater than 1 that has no positive divisors other than 1 and itself. A natural number greater than 1 that is not a prime number is called a composite number. For example, 5 is prime because 1 and 5 are its only positive integer factors, whereas 6 is composite because it has the divisors 2 and 3 in addition to 1 and 6. The fundamental theorem of arithmetic establishes the central role of primes in number theory: any integer greater than 1 can be expressed as a product of primes that is unique up to ordering. The uniqueness in this theorem requires excluding 1 as a prime because one can include arbitrarily many instances of 1 in any factorization, e.g., 3, 1 · 3, 1 · 1 · 3, etc. are all valid factorizations of 3.</t>
  </si>
  <si>
    <t xml:space="preserve">What did AUSTPAC support </t>
  </si>
  <si>
    <t>Since the Peace of Westphalia, the Upper Rhine formed a contentious border between France and Germany. Establishing "natural borders" on the Rhine was a long-term goal of French foreign policy, since the Middle Ages, though the language border was – and is – far more to the west. French leaders, such as Louis XIV and Napoleon Bonaparte, tried with varying degrees of success to annex lands west of the Rhine. The Confederation of the Rhine was established by Napoleon, as a French client state, in 1806 and lasted until 1814, during which time it served as a significant source of resources and military manpower for the First French Empire. In 1840, the Rhine crisis, prompted by French prime minister Adolphe Thiers's desire to reinstate the Rhine as a natural border, led to a diplomatic crisis and a wave of nationalism in Germany.</t>
  </si>
  <si>
    <t>Tower Theatre</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</si>
  <si>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</si>
  <si>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The Amazon forest stores what percentage of the world's carbon dioxide</t>
  </si>
  <si>
    <t>the king of France</t>
  </si>
  <si>
    <t>central location</t>
  </si>
  <si>
    <t>What are the two bodies that make up the European Union's legislature?</t>
  </si>
  <si>
    <t>to explore computer networking between three of Michigan's public universities</t>
  </si>
  <si>
    <t>Liao, Jin, and Song</t>
  </si>
  <si>
    <t>Cargill Meat Solutions and Foster Farms</t>
  </si>
  <si>
    <t>Why did the demand for rentals decrease?</t>
  </si>
  <si>
    <t>capturing three traders and killing 14 people of the Miami nation</t>
  </si>
  <si>
    <t>multiplying two integers</t>
  </si>
  <si>
    <t>What natural resources did the Chinese government have a monopoly on?</t>
  </si>
  <si>
    <t>at the foot of the mast</t>
  </si>
  <si>
    <t>Maurus Servius Honoratus</t>
  </si>
  <si>
    <t>What is the English translation of Het Scheur?</t>
  </si>
  <si>
    <t>What conditions must be met to prescribe a controlled substance?</t>
  </si>
  <si>
    <t>about one-eighth</t>
  </si>
  <si>
    <t>feeder materials</t>
  </si>
  <si>
    <t>Albany Congress</t>
  </si>
  <si>
    <t>What were the civil wars caused by the Huguenots called?</t>
  </si>
  <si>
    <t>Great and General Court of the Massachusetts Bay Colony</t>
  </si>
  <si>
    <t>of highest 'social efficiency</t>
  </si>
  <si>
    <t>What mechanism can be used to make oxygen?</t>
  </si>
  <si>
    <t>violent Sunni extremist groups such as Al-Qaeda and the Taliban</t>
  </si>
  <si>
    <t>Pittsburgh, Pennsylvania</t>
  </si>
  <si>
    <t>complexity classes</t>
  </si>
  <si>
    <t>Earth must be much older than had previously been supposed</t>
  </si>
  <si>
    <t>shut down host defenses</t>
  </si>
  <si>
    <t>Very high-speed Backbone Network Service</t>
  </si>
  <si>
    <t>Who are likely participants in creating an overall plan for the financial management of the building construction project?</t>
  </si>
  <si>
    <t>Who is usually working together?</t>
  </si>
  <si>
    <t>How many legions in five bases were along the Rhine by the Romans?</t>
  </si>
  <si>
    <t>Fresno is the largest U.S. city not directly linked to an Interstate highway. When the Interstate Highway System was created in the 1950s, the decision was made to build what is now Interstate 5 on the west side of the Central Valley, and thus bypass many of the population centers in the region, instead of upgrading what is now State Route 99. Due to rapidly raising population and traffic in cities along SR 99, as well as the desirability of Federal funding, much discussion has been made to upgrade it to interstate standards and eventually incorporate it into the interstate system, most likely as Interstate 9. Major improvements to signage, lane width, median separation, vertical clearance, and other concerns are currently underway.</t>
  </si>
  <si>
    <t>trial division</t>
  </si>
  <si>
    <t>Establishing "natural borders"</t>
  </si>
  <si>
    <t>obligately anaerobic</t>
  </si>
  <si>
    <t>In which case did the Court of Justice state that refusal to admit a lawyer to the Belgian bar because he did not have Belgian heritage wasn't able to be justified?</t>
  </si>
  <si>
    <t>What did Guo Shoujing do for calendars?</t>
  </si>
  <si>
    <t>the type of reduction being used</t>
  </si>
  <si>
    <t>48.8 °C (119.8 °F)</t>
  </si>
  <si>
    <t>the Los Angeles Area</t>
  </si>
  <si>
    <t>avoid the "inconvenience" of visiting a doctor or to obtain medications which their doctors were unwilling to prescribe</t>
  </si>
  <si>
    <t>the Chicago Theological Seminary</t>
  </si>
  <si>
    <t>salt and iron</t>
  </si>
  <si>
    <t>the Eternal Heaven</t>
  </si>
  <si>
    <t>What gained ground when Arab nationalism suffered?</t>
  </si>
  <si>
    <t>The owner typically awards a contract to who?</t>
  </si>
  <si>
    <t>Studies on income inequality and growth have sometimes found evidence confirming the Kuznets curve hypothesis, which states that with economic development, inequality first increases, then decreases. Economist Thomas Piketty challenges this notion, claiming that from 1914 to 1945 wars and "violent economic and political shocks" reduced inequality. Moreover, Piketty argues that the "magical" Kuznets curve hypothesis, with its emphasis on the balancing of economic growth in the long run, cannot account for the significant increase in economic inequality throughout the developed world since the 1970s.</t>
  </si>
  <si>
    <t>How would the geographical societies in Europe support certain travelers?</t>
  </si>
  <si>
    <t>When was the military-political complex reflected upon within the scope of understanding imperialism?</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</si>
  <si>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1865–1871 and designed by Jan Dobrowolski. In 1927 a zoological garden (Ogród Zoologiczny) was established on the park grounds, and in 1952 a bear run, still open today.</t>
  </si>
  <si>
    <t>special training</t>
  </si>
  <si>
    <t>construction service firms (e.g., engineering, architecture) and construction managers</t>
  </si>
  <si>
    <t>the Karluk Kara-Khanid ruler</t>
  </si>
  <si>
    <t>computability theory</t>
  </si>
  <si>
    <t>power windows</t>
  </si>
  <si>
    <t>the first network to make the hosts responsible for reliable delivery of data</t>
  </si>
  <si>
    <t>Greater Sacramento</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</si>
  <si>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</si>
  <si>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the courts of member states and the Court of Justice of the European Union</t>
  </si>
  <si>
    <t>What former building is currently known as Grand 1401?</t>
  </si>
  <si>
    <t>action-reaction pairs</t>
  </si>
  <si>
    <t>Philo of Byzantium ____ surmised that air converted to fire</t>
  </si>
  <si>
    <t>How does the level of tuition in German private schools compare to private schools in other Western European countries?</t>
  </si>
  <si>
    <t>Access can be via a dial-up terminal to a PAD, or, by linking a permanent X.25 node to the network</t>
  </si>
  <si>
    <t>Between 1978 an d2008 four year full time undergraduate students were required to complete how many classes outside of their concentration?</t>
  </si>
  <si>
    <t xml:space="preserve"> When is the latest most Marxists claim imperialism as an extension of capitalism has its roots</t>
  </si>
  <si>
    <t>not to talk to police officers</t>
  </si>
  <si>
    <t>a computer network funded by the U.S. National Science Foundation (NSF)</t>
  </si>
  <si>
    <t>At what village did a Triton stop to rest on a sandy beach</t>
  </si>
  <si>
    <t>fighting horsemen</t>
  </si>
  <si>
    <t>Cypiddids are not what?</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</si>
  <si>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</si>
  <si>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It's Scotland's oil</t>
  </si>
  <si>
    <t>During what period did the Tower Theatre re-open?</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</si>
  <si>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</si>
  <si>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What happened with the ground water level with the Rhine straightening program?</t>
  </si>
  <si>
    <t>Warsaw Escarpment</t>
  </si>
  <si>
    <t>at larger distances</t>
  </si>
  <si>
    <t>Storybook</t>
  </si>
  <si>
    <t>In recent years the characteristic that has strongly correlated with health in developed countries is income inequality. Creating an index of "Health and Social Problems" from nine factors, authors Richard Wilkinson and Kate Pickett found health and social problems "more common in countries with bigger income inequalities", and more common among states in the US with larger income inequalities. Other studies have confirmed this relationship. The UNICEF index of "child well-being in rich countries", studying 40 indicators in 22 countries, correlates with greater equality but not per capita income.</t>
  </si>
  <si>
    <t>open standards</t>
  </si>
  <si>
    <t>a connection identifier rather than address information and are negotiated between endpoints so that they are delivered in order and with error checking</t>
  </si>
  <si>
    <t>rainfall in the basin during the LGM was lower than for the present</t>
  </si>
  <si>
    <t>addresses</t>
  </si>
  <si>
    <t>What factors negatively impacted Jacksonville following the war?</t>
  </si>
  <si>
    <t>Around roughly how many students enroll yearly in creative and performing arts classes?</t>
  </si>
  <si>
    <t>Almost all ctenophores are predators – there are no vegetarians and only one genus that is partly parasitic. If food is plentiful, they can eat 10 times their own weight per day. While Beroe preys mainly on other ctenophores, other surface-water species prey on zooplankton (planktonic animals) ranging in size from the microscopic, including mollusc and fish larvae, to small adult crustaceans such as copepods, amphipods, and even krill. Members of the genus Haeckelia prey on jellyfish and incorporate their prey's nematocysts (stinging cells) into their own tentacles instead of colloblasts. Ctenophores have been compared to spiders in their wide range of techniques from capturing prey – some hang motionless in the water using their tentacles as "webs", some are ambush predators like Salticid jumping spiders, and some dangle a sticky droplet at the end of a fine thread, as bolas spiders do. This variety explains the wide range of body forms in a phylum with rather few species. The two-tentacled "cydippid" Lampea feeds exclusively on salps, close relatives of sea-squirts that form large chain-like floating colonies, and juveniles of Lampea attach themselves like parasites to salps that are too large for them to swallow. Members of the cydippid genus Pleurobrachia and the lobate Bolinopsis often reach high population densities at the same place and time because they specialize in different types of prey: Pleurobrachia's long tentacles mainly capture relatively strong swimmers such as adult copepods, while Bolinopsis generally feeds on smaller, weaker swimmers such as rotifers and mollusc and crustacean larvae.</t>
  </si>
  <si>
    <t>blood–brain barrier, blood–cerebrospinal fluid barrier, and similar fluid–brain barriers</t>
  </si>
  <si>
    <t>Cadillac DeVille</t>
  </si>
  <si>
    <t>What is circuit switching characterized by</t>
  </si>
  <si>
    <t>What do clinical pharmacists specialize in?</t>
  </si>
  <si>
    <t>How many Huguenots emigrated to North America as colonists?</t>
  </si>
  <si>
    <t>northwestern Russia</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</si>
  <si>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</si>
  <si>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at the narrow end</t>
  </si>
  <si>
    <t>However, this definition is disputed by Thoreau's political philosophy pitching the conscience vs. the collective. The individual is the final judge of right and wrong. More than this, since only individuals act, only individuals can act unjustly. When the government knocks on the door, it is an individual in the form of a postman or tax collector whose hand hits the wood. Before Thoreau’s imprisonment, when a confused taxman had wondered aloud about how to handle his refusal to pay, Thoreau had advised, “Resign.” If a man chose to be an agent of injustice, then Thoreau insisted on confronting him with the fact that he was making a choice. But if government is “the voice of the people,” as it is often called, shouldn’t that voice be heeded? Thoreau admits that government may express the will of the majority but it may also express nothing more than the will of elite politicians. Even a good form of government is “liable to be abused and perverted before the people can act through it.” Moreover, even if a government did express the voice of the people, this fact would not compel the obedience of individuals who disagree with what is being said. The majority may be powerful but it is not necessarily right. What, then, is the proper relationship between the individual and the government?</t>
  </si>
  <si>
    <t>1980s</t>
  </si>
  <si>
    <t>By what process can active immunity be generated in an artificial manner?</t>
  </si>
  <si>
    <t>taking on debt</t>
  </si>
  <si>
    <t xml:space="preserve">What was DATANET 1 </t>
  </si>
  <si>
    <t>overturned anticline</t>
  </si>
  <si>
    <t>lab monitoring, adherence counseling, and assist patients with cost-containment strategies needed to obtain their expensive specialty drugs</t>
  </si>
  <si>
    <t>What event was blamed on the introduction of mnemiopsis into The Black Sea?</t>
  </si>
  <si>
    <t>people who give services "for remuneration", especially commercial or professional activity</t>
  </si>
  <si>
    <t>the connection id in a table</t>
  </si>
  <si>
    <t>through increasing functionings</t>
  </si>
  <si>
    <t>The University of Chicago also maintains facilities apart from its main campus. The university's Booth School of Business maintains campuses in Singapore, London, and the downtown Streeterville neighborhood of Chicago. The Center in Paris, a campus located on the left bank of the Seine in Paris, hosts various undergraduate and graduate study programs. In fall 2010, the University of Chicago also opened a center in Beijing, near Renmin University's campus in Haidian District. The most recent additions are a center in New Delhi, India, which opened in 2014, and a center in Hong Kong which opened in 2015.</t>
  </si>
  <si>
    <t>proportionally to the number of votes received</t>
  </si>
  <si>
    <t>Under normal conditions, what do two atoms of oxygen form?</t>
  </si>
  <si>
    <t>about 50% oxygen composition at standard pressure</t>
  </si>
  <si>
    <t>drawn by the convenience of the railroad and worried about flooding</t>
  </si>
  <si>
    <t>What are new responsibilities pharmacy technicians now deal with?</t>
  </si>
  <si>
    <t>In 1929, the university's fifth president, Robert Maynard Hutchins, took office; the university underwent many changes during his 24-year tenure. Hutchins eliminated varsity football from the university in an attempt to emphasize academics over athletics, instituted the undergraduate college's liberal-arts curriculum known as the Common Core, and organized the university's graduate work into its current[when?] four divisions. In 1933, Hutchins proposed an unsuccessful plan to merge the University of Chicago and Northwestern University into a single university. During his term, the University of Chicago Hospitals (now called the University of Chicago Medical Center) finished construction and enrolled its first medical students. Also, the Committee on Social Thought, an institution distinctive of the university, was created.</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</si>
  <si>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</si>
  <si>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</si>
  <si>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St. Lawrence River valley</t>
  </si>
  <si>
    <t>four men attending Harvard College for every woman</t>
  </si>
  <si>
    <t>Lower</t>
  </si>
  <si>
    <t>Where can the entire sedimentary sequence of the Grand Canyon be seen in less than the length of a meter?</t>
  </si>
  <si>
    <t>problem instance</t>
  </si>
  <si>
    <t>The Walt Disney Company</t>
  </si>
  <si>
    <t>365.2425 days of the year</t>
  </si>
  <si>
    <t>What kind of committee considered legislation on the development of the Edinburgh Tram Network?</t>
  </si>
  <si>
    <t>What experiences acceleration when external force is applied to a system?</t>
  </si>
  <si>
    <t>independently developed the same message routing methodology as developed by Baran</t>
  </si>
  <si>
    <t>Revolutionary</t>
  </si>
  <si>
    <t>Blum complexity axioms</t>
  </si>
  <si>
    <t>the accidental introduction of the Mnemiopsis-eating North American ctenophore Beroe ovata, and by a cooling of the local climate from 1991 to 1993</t>
  </si>
  <si>
    <t>a data network</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</si>
  <si>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</si>
  <si>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What was the Italian title of Polo's book?</t>
  </si>
  <si>
    <t>person or group of people</t>
  </si>
  <si>
    <t>phylum of animals that live in marine waters</t>
  </si>
  <si>
    <t>When did Menich serve as President?</t>
  </si>
  <si>
    <t>5% production cut</t>
  </si>
  <si>
    <t>would do more harm than good</t>
  </si>
  <si>
    <t>How populous is Victoria compared to other Australian states?</t>
  </si>
  <si>
    <t>Amazon rain forest experienced another mild drought in what year</t>
  </si>
  <si>
    <t>Lead fusible plugs</t>
  </si>
  <si>
    <t>Warsaw remained the capital of the Polish–Lithuanian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</si>
  <si>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in obtaining cost-effective medication and avoiding the unnecessary use of medication that may have side-effects</t>
  </si>
  <si>
    <t>Bauffet's Point</t>
  </si>
  <si>
    <t>non-Catholics</t>
  </si>
  <si>
    <t>Type I</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</si>
  <si>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</si>
  <si>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purple skin patches</t>
  </si>
  <si>
    <t>by a fee per unit of connection time, even when no data is transferred</t>
  </si>
  <si>
    <t>Why is Priestley usually given credit for being first to discover oxygen?</t>
  </si>
  <si>
    <t>produce both eggs and sperm at the same time</t>
  </si>
  <si>
    <t>Compared to other Australian cities, what is the size of Melbourne?</t>
  </si>
  <si>
    <t>What Huguenot area is designated as a historical landmark?</t>
  </si>
  <si>
    <t>tall palm trees</t>
  </si>
  <si>
    <t>the original message/data is reassembled in the correct order, based on the packet sequence number</t>
  </si>
  <si>
    <t>Scandinavia</t>
  </si>
  <si>
    <t>because Dutch law said only people established in the Netherlands could give legal advice</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</si>
  <si>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大元通制,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Yesün Temür (or Taidingdi) on the throne, and, after an unsuccessful attempt to calm the princes, he also succumbed to regicide.</t>
  </si>
  <si>
    <t>What approach did Oppenheimer advocate?</t>
  </si>
  <si>
    <t>American Civil Rights Movement</t>
  </si>
  <si>
    <t>T cell</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</si>
  <si>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</si>
  <si>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</si>
  <si>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What type of hypersensitivity is associated with allergies?</t>
  </si>
  <si>
    <t>Who discovered this and where did they come from?</t>
  </si>
  <si>
    <t>not-for-profit United States computer networking consortium</t>
  </si>
  <si>
    <t>advanced research and education networking in the United States</t>
  </si>
  <si>
    <t>Orientalism</t>
  </si>
  <si>
    <t>Who did Edward make archbishop of Canterbury?</t>
  </si>
  <si>
    <t>Name one way the Plowshares organization temporarily close GCSB Waihopai?</t>
  </si>
  <si>
    <t>What can the non-elected members from the Scottish Government not do?</t>
  </si>
  <si>
    <t>In World War II, it was recognised that the Rhine would present a formidable natural obstacle to the invasion of Germany, by the Western Allies. The Rhine bridge at Arnhem, immortalized in the book, A Bridge Too Far and the film, was a central focus of the battle for Arnhem, during the failed Operation Market Garden of September 1944. The bridges at Nijmegen, over the Waal distributary of the Rhine, were also an objective of Operation Market Garden. In a separate operation, the Ludendorff Bridge, crossing the Rhine at Remagen, became famous, when U.S. forces were able to capture it intact – much to their own surprise – after the Germans failed to demolish it. This also became the subject of a film, The Bridge at Remagen. Seven Days to the River Rhine was a Warsaw Pact war plan for an invasion of Western Europe during the Cold War.</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</si>
  <si>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</si>
  <si>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</si>
  <si>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</si>
  <si>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"one-stop shopping"</t>
  </si>
  <si>
    <t>open loop</t>
  </si>
  <si>
    <t>Which one of Fresno's hotels burned down?</t>
  </si>
  <si>
    <t>A typical configuration is to run IP over ATM or a version of MPLS</t>
  </si>
  <si>
    <t>redistribution mechanisms</t>
  </si>
  <si>
    <t>tallest precast, post-tensioned concrete structure</t>
  </si>
  <si>
    <t xml:space="preserve">How is circuit switching allocated </t>
  </si>
  <si>
    <t>What were the conditions for miners in the gold fields in Victoria?</t>
  </si>
  <si>
    <t>authorized a half-penny sales tax</t>
  </si>
  <si>
    <t>During the mid-Eocene</t>
  </si>
  <si>
    <t>the Commentaries on the Classic of Changes (I Ching)</t>
  </si>
  <si>
    <t>when they improve society as a whole</t>
  </si>
  <si>
    <t>whether the bill is within the legislative competence of the Parliament</t>
  </si>
  <si>
    <t>On what theorem is the formula that frequently generates the number 2 and all other primes precisely once based on?</t>
  </si>
  <si>
    <t>Colony of Victoria Act 1855</t>
  </si>
  <si>
    <t>Ed Asner</t>
  </si>
  <si>
    <t>Who discovered pottery found on Black Hammock Island?</t>
  </si>
  <si>
    <t>Why did Confucians like the medical field?</t>
  </si>
  <si>
    <t>The Maroons compete in the NCAA's Division III as members of the University Athletic Association (UAA). The university was a founding member of the Big Ten Conference and participated in the NCAA Division I Men's Basketball and Football and was a regular participant in the Men's Basketball tournament. In 1935, the University of Chicago reached the Sweet Sixteen. In 1935, Chicago Maroons football player Jay Berwanger became the first winner of the Heisman Trophy. However, the university chose to withdraw from the conference in 1946 after University President Robert Maynard Hutchins de-emphasized varsity athletics in 1939 and dropped football. (In 1969, Chicago reinstated football as a Division III team, resuming playing its home games at the new Stagg Field.)</t>
  </si>
  <si>
    <t>brick-and-mortar community pharmacies</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</si>
  <si>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</si>
  <si>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UDP</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</si>
  <si>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</si>
  <si>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monophyletic</t>
  </si>
  <si>
    <t xml:space="preserve">Who did internet2 partner with </t>
  </si>
  <si>
    <t>What complex measurements were defined by "On the Computational Complexity of Algorithms"?</t>
  </si>
  <si>
    <t>1596</t>
  </si>
  <si>
    <t>What is it called when there is an active attempt to overthrow a government or belief system?</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</si>
  <si>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</si>
  <si>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San Fernando Valley</t>
  </si>
  <si>
    <t>road engines</t>
  </si>
  <si>
    <t>Theories on imperialism use which country as a model?</t>
  </si>
  <si>
    <t>carbon related</t>
  </si>
  <si>
    <t>an Eastern Bloc city</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</si>
  <si>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</si>
  <si>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his means of seizing power</t>
  </si>
  <si>
    <t>Sky TV bills</t>
  </si>
  <si>
    <t>number theory</t>
  </si>
  <si>
    <t xml:space="preserve">What distinct quality of combustion was  absent from philogiston theory? </t>
  </si>
  <si>
    <t>time and memory consumption</t>
  </si>
  <si>
    <t>the means to invest in new sources of creating wealth or to otherwise leverage the accumulation of wealth</t>
  </si>
  <si>
    <t>On March 17, 1752, the Governor-General of New France, Marquis de la Jonquière,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Céloron's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</si>
  <si>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What is Victoria's highest monthly temperature?</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</si>
  <si>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</si>
  <si>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 xml:space="preserve">Where does newly created wealth concentrate? </t>
  </si>
  <si>
    <t>What conjecture holds that there are always a minimum of 4 primes  between the squares of consecutive primes greater than 2?</t>
  </si>
  <si>
    <t>What pushes businesses to increase pressures on workers?</t>
  </si>
  <si>
    <t>private networks were often connected via gateways to the public network to reach locations not on the private network</t>
  </si>
  <si>
    <t>Pattern recognition receptors</t>
  </si>
  <si>
    <t xml:space="preserve">How many major ice ages have occurred? </t>
  </si>
  <si>
    <t>Bacteria often secrete what kind of proteins to ingest a physical barrier?</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</si>
  <si>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</si>
  <si>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steam escapes</t>
  </si>
  <si>
    <t>The neighborhood of Sunnyside is on Fresno's far southeast side, bounded by Chestnut Avenue to the West. Its major thoroughfares are Kings Canyon Avenue and Clovis Avenue. Although parts of Sunnyside are within the City of Fresno, much of the neighborhood is a "county island" within Fresno County. Largely developed in the 1950s through the 1970s, it has recently experienced a surge in new home construction. It is also the home of the Sunnyside Country Club, which maintains a golf course designed by William P. Bell.</t>
  </si>
  <si>
    <t>dominant colonial power</t>
  </si>
  <si>
    <t>What is the name of the book written by Archeologist Betty Meggers?</t>
  </si>
  <si>
    <t>heat and pressure</t>
  </si>
  <si>
    <t>Lake Constance consists of three bodies of water: the Obersee ("upper lake"), the Untersee ("lower lake"), and a connecting stretch of the Rhine, called the Seerhein ("Lake Rhine"). The lake is situated in Germany, Switzerland and Austria near the Alps. Specifically, its shorelines lie in the German states of Bavaria and Baden-Württemberg, the Austrian state of Vorarlberg, and the Swiss cantons of Thurgau and St. Gallen. The Rhine flows into it from the south following the Swiss-Austrian border. It is located at approximately 47°39′N 9°19′E﻿ / ﻿47.650°N 9.317°E﻿ / 47.650; 9.317.</t>
  </si>
  <si>
    <t>What type of amendments might members opposed to a bill put on the table?</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</si>
  <si>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</si>
  <si>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extend networking benefits</t>
  </si>
  <si>
    <t>Los Angeles Area</t>
  </si>
  <si>
    <t xml:space="preserve">What is the definition of agency as it relates to capabilities? </t>
  </si>
  <si>
    <t>Which group of ctenophore are are hardest to study?</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</si>
  <si>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</si>
  <si>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The two symbols most commonly associated with pharmacy in English-speaking countries are the mortar and pestle and the ℞ (recipere) character, which is often written as "Rx" in typed text. The show globe was also used until the early 20th century. Pharmacy organizations often use other symbols, such as the Bowl of Hygieia which is often used in the Netherlands, conical measures, and caduceuses in their logos. Other symbols are common in different countries: the green Greek cross in France, Argentina, the United Kingdom, Belgium, Ireland, Italy, Spain, and India, the increasingly rare Gaper in the Netherlands, and a red stylized letter A in Germany and Austria (from Apotheke, the German word for pharmacy, from the same Greek root as the English word 'apothecary').</t>
  </si>
  <si>
    <t>Lucas–Lehmer</t>
  </si>
  <si>
    <t>allowed to worship freely</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</si>
  <si>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</si>
  <si>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at least four passengers</t>
  </si>
  <si>
    <t>speed-up theorem</t>
  </si>
  <si>
    <t>What was the goal of this Roman disobedience?</t>
  </si>
  <si>
    <t>Which reason is given sometimes to plead not guilty involving these matters?</t>
  </si>
  <si>
    <t>Pharmacy</t>
  </si>
  <si>
    <t>What does coastal beriods use as teeth?</t>
  </si>
  <si>
    <t>What is Cultural Imperialism often referred to as?</t>
  </si>
  <si>
    <t>Travels of Marco Polo</t>
  </si>
  <si>
    <t>has the ability to expand and develop the law according to the principles it deems to be appropriate</t>
  </si>
  <si>
    <t>Polynomial time reductions are an example of what?</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</si>
  <si>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</si>
  <si>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Soon after gaining Florida, what did the English do?</t>
  </si>
  <si>
    <t>The smaller streams are used for what?</t>
  </si>
  <si>
    <t>What were the national elections in 1991 canceled by?</t>
  </si>
  <si>
    <t>In the laboratory, biostratigraphers analyze rock samples from outcrop and drill cores for the fossils found in them. These fossils help scientists to date the core and to understand the depositional environment in which the rock units formed. Geochronologists precisely date rocks within the stratigraphic section in order to provide better absolute bounds on the timing and rates of deposition. Magnetic stratigraphers look for signs of magnetic reversals in igneous rock units within the drill cores. Other scientists perform stable isotope studies on the rocks to gain information about past climate.</t>
  </si>
  <si>
    <t>9–88 cm</t>
  </si>
  <si>
    <t>a violation of criminal law that does not infringe the rights of others</t>
  </si>
  <si>
    <t>There are fifteen fraternities and seven sororities at the University of Chicago, as well as one co-ed community service fraternity, Alpha Phi Omega. Four of the sororities are members of the National Panhellenic Conference, and ten of the fraternities form the University of Chicago Interfraternity Council. In 2002, the Associate Director of Student Activities estimated that 8–10 percent of undergraduates were members of fraternities or sororities. The student activities office has used similar figures, stating that one in ten undergraduates participate in Greek life.</t>
  </si>
  <si>
    <t xml:space="preserve">Turing machines are commonly employed to define what? </t>
  </si>
  <si>
    <t>The Yuan dynasty (Chinese: 元朝; pinyin: Yuán Cháo), officially the Great Yuan (Chinese: 大元; pinyin: Dà Yuán;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</si>
  <si>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How is lap provided by overlapping the admission side port?</t>
  </si>
  <si>
    <t>WMO Executive Council and UNEP Governing Council</t>
  </si>
  <si>
    <t>plug-n-play</t>
  </si>
  <si>
    <t>strong, electromagnetic</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</si>
  <si>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</si>
  <si>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tripartite division</t>
  </si>
  <si>
    <t>setup phase</t>
  </si>
  <si>
    <t>South African Vice Consul Duke Kent-Brown.</t>
  </si>
  <si>
    <t>it is weighted inversely to member state size</t>
  </si>
  <si>
    <t>Britain gained control of French Canada and Acadia, colonies containing approximately 80,000 primarily French-speaking Roman Catholic residents. The deportation of Acadians beginning in 1755 resulted in land made available to migrants from Europe and the colonies further south. The British resettled many Acadians throughout its North American provinces, but many went to France, and some went to New Orleans, which they had expected to remain French. Some were sent to colonize places as diverse as French Guiana and the Falkland Islands; these latter efforts were unsuccessful. Others migrated to places like Saint-Domingue, and fled to New Orleans after the Haitian Revolution. The Louisiana population contributed to the founding of the modern Cajun population. (The French word "Acadien" evolved to "Cadien", then to "Cajun".)</t>
  </si>
  <si>
    <t>shrinking Western demand</t>
  </si>
  <si>
    <t>Which two treaties provided more formal institutions of the European Union?</t>
  </si>
  <si>
    <t>What is the nickname for the "Millennial Northern Hemisphere temperature reconstruction" graph?</t>
  </si>
  <si>
    <t>brick-and-mortar community pharmacies that serve consumers online and those that walk in their door</t>
  </si>
  <si>
    <t>"dephlogisticated air</t>
  </si>
  <si>
    <t>substantially increased the asking price</t>
  </si>
  <si>
    <t>affiliated with other Protestant denominations</t>
  </si>
  <si>
    <t>unit-dose, or a single dose of medicine</t>
  </si>
  <si>
    <t>many elderly people are now taking numerous medications but continue to live outside of institutional settings</t>
  </si>
  <si>
    <t>design build</t>
  </si>
  <si>
    <t>Jacksonville, like most large cities in the United States, suffered from negative effects of rapid urban sprawl after World War II. The construction of highways led residents to move to newer housing in the suburbs. After World War II, the government of the city of Jacksonville began to increase spending to fund new public building projects in the boom that occurred after the war. Mayor W. Haydon Burns' Jacksonville Story resulted in the construction of a new city hall, civic auditorium, public library and other projects that created a dynamic sense of civic pride. However, the development of suburbs and a subsequent wave of middle class "white flight" left Jacksonville with a much poorer population than before. The city's most populous ethnic group, non-Hispanic white, declined from 75.8% in 1970 to 55.1% by 2010.</t>
  </si>
  <si>
    <t>A complete loss of rainforest cover may be caused by what type of emissions?</t>
  </si>
  <si>
    <t>What is the mortality rate of the modern bubonic plague?</t>
  </si>
  <si>
    <t>quality of a country's institutions and high levels of education</t>
  </si>
  <si>
    <t>Richard I</t>
  </si>
  <si>
    <t>What were two of Fresno's most beautiful architectural buildings that are now demolished?</t>
  </si>
  <si>
    <t>center of mass</t>
  </si>
  <si>
    <t>Wilson's theorem</t>
  </si>
  <si>
    <t>oxygen</t>
  </si>
  <si>
    <t>captive import policy</t>
  </si>
  <si>
    <t>Emmerich Rhine Bridge,</t>
  </si>
  <si>
    <t>What is the name of the border to the south?</t>
  </si>
  <si>
    <t>Following a referendum in 1997, in which the Scottish electorate voted for devolution, the current Parliament was convened by the Scotland Act 1998, which sets out its powers as a devolved legislature. The Act delineates the legislative competence of the Parliament – the areas in which it can make laws –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</si>
  <si>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Of what length are engine cycle events when the simplest valve gears are used?</t>
  </si>
  <si>
    <t>During the 20th century, historians John Gallagher (1919–1980) and Ronald Robinson (1920–1999)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</si>
  <si>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mass graves in northern, central and southern Europe</t>
  </si>
  <si>
    <t>What can be combined with geophysical data to produce a better view of the subsurface?</t>
  </si>
  <si>
    <t>Victoria_(Australia)</t>
  </si>
  <si>
    <t>division of functions and tasks between the hosts at the edge of the network and the network core</t>
  </si>
  <si>
    <t>Chen's</t>
  </si>
  <si>
    <t>"Huguenot Street Historic District" in New Paltz</t>
  </si>
  <si>
    <t>How many auricles do most species have?</t>
  </si>
  <si>
    <t>How did the revocation restrict Huguenot travel?</t>
  </si>
  <si>
    <t>The largest single sensory feature is the aboral organ (at the opposite end from the mouth). Its main component is a statocyst, a balance sensor consisting of a statolith, a solid particle supported on four bundles of cilia, called "balancers", that sense its orientation. The statocyst is protected by a transparent dome made of long, immobile cilia. A ctenophore does not automatically try to keep the statolith resting equally on all the balancers. Instead its response is determined by the animal's "mood", in other words the overall state of the nervous system. For example, if a ctenophore with trailing tentacles captures prey, it will often put some comb rows into reverse, spinning the mouth towards the prey.</t>
  </si>
  <si>
    <t>mouth of the Monongahela River (the site of present-day Pittsburgh, Pennsylvania)</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</si>
  <si>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</si>
  <si>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What NASA astronaut is also a university alumni member?</t>
  </si>
  <si>
    <t>the architect or engineer</t>
  </si>
  <si>
    <t>its North American provinces</t>
  </si>
  <si>
    <t>Citizenship of the EU</t>
  </si>
  <si>
    <t>Warsaw's name in the Polish language is Warszawa, approximately /vɑːrˈʃɑːvə/ (also formerly spelled Warszewa and Warszowa), meaning "belonging to Warsz", Warsz being a shortened form of the masculine name of Slavic origin Warcisław; see also etymology of Wrocław.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Vršovci family which had escaped to Poland. The official city name in full is miasto stołeczne Warszawa (English: "The Capital City of Warsaw"). A native or resident of Warsaw is known as a Varsovian – in Polish warszawiak (male), warszawianka (female), warszawiacy (plural).</t>
  </si>
  <si>
    <t>a handshake between the communicating parties before any user packets are transmitted</t>
  </si>
  <si>
    <t>What are auricles?</t>
  </si>
  <si>
    <t>What is consultant pharmacy mainly concerned with?</t>
  </si>
  <si>
    <t>the solvability of quadratic equations</t>
  </si>
  <si>
    <t>the European Parliament and the Council of the European Union</t>
  </si>
  <si>
    <t>fault-tolerant, efficient routing method</t>
  </si>
  <si>
    <t>Schrödinger</t>
  </si>
  <si>
    <t>How many Victorians are Catholic?</t>
  </si>
  <si>
    <t>As well as creating rights for "workers" who generally lack bargaining power in the market, the Treaty on the Functioning of the European Union also protects the "freedom of establishment" in article 49, and "freedom to provide services" in article 56. In Gebhard v Consiglio dell’Ordine degli Avvocati e Procuratori di Milano the Court of Justice held that to be "established" means to participate in economic life "on a stable and continuous basis", while providing "services" meant pursuing activity more "on a temporary basis". This meant that a lawyer from Stuttgart, who had set up chambers in Milan and was censured by the Milan Bar Council for not having registered, was entitled to bring a claim under for establishment freedom, rather than service freedom. However, the requirements to be registered in Milan before being able to practice would be allowed if they were non-discriminatory, "justified by imperative requirements in the general interest" and proportionately applied. All people or entities that engage in economic activity, particularly the self-employed, or "undertakings" such as companies or firms, have a right to set up an enterprise without unjustified restrictions. The Court of Justice has held that both a member state government and a private party can hinder freedom of establishment, so article 49 has both "vertical" and "horizontal" direct effect. In Reyners v Belgium the Court of Justice held that a refusal to admit a lawyer to the Belgian bar because he lacked Belgian nationality was unjustified. TFEU article 49 says states are exempt from infringing others' freedom of establishment when they exercise "official authority", but this did an advocate's work (as opposed to a court's) was not official. By contrast in Commission v Italy the Court of Justice held that a requirement for lawyers in Italy to comply with maximum tariffs unless there was an agreement with a client was not a restriction. The Grand Chamber of the Court of Justice held the Commission had not proven that this had any object or effect of limiting practitioners from entering the market. Therefore, there was no prima facie infringement freedom of establishment that needed to be justified.</t>
  </si>
  <si>
    <t>Where do platycenida live?</t>
  </si>
  <si>
    <t>supplant it.</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</si>
  <si>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</si>
  <si>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A probabilistic Turing machine</t>
  </si>
  <si>
    <t>What did the early entrant program do for potential students?</t>
  </si>
  <si>
    <t>Variable lymphocyte receptors (VLRs)</t>
  </si>
  <si>
    <t>the Welsh</t>
  </si>
  <si>
    <t>the university's off-campus rental policies.</t>
  </si>
  <si>
    <t>What was a major success, especially in rebuilding Warsaw?</t>
  </si>
  <si>
    <t>Davies is credited with coining the modern name packet switching and inspiring numerous packet switching networks in Europe</t>
  </si>
  <si>
    <t>far southeast side</t>
  </si>
  <si>
    <t>Vetra and I Germanica and XX Valeria were the two legions for what?</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</si>
  <si>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</si>
  <si>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Who often operates internet pharmacies?</t>
  </si>
  <si>
    <t>three</t>
  </si>
  <si>
    <t>two</t>
  </si>
  <si>
    <t>Where is the Hyde Park Day School located?</t>
  </si>
  <si>
    <t>temperatures and sea levels have been rising at or above the maximum rates proposed</t>
  </si>
  <si>
    <t>What two areas in the Republic were first to grant rights to the Huguenots?</t>
  </si>
  <si>
    <t>What are two factors that made it difficult for colonists to the Amazon forest to survive?</t>
  </si>
  <si>
    <t>each side proposing that action be taken</t>
  </si>
  <si>
    <t>directly via their adjacency matrices</t>
  </si>
  <si>
    <t>suggested it for use in the ARPANET</t>
  </si>
  <si>
    <t xml:space="preserve">Purpose of Telnet </t>
  </si>
  <si>
    <t>Isaac Bashevis Singer</t>
  </si>
  <si>
    <t>What have studies on income inequality sometimes found evidence confirming?</t>
  </si>
  <si>
    <t>What does Yeke Mongghul Ulus mean?</t>
  </si>
  <si>
    <t>win an acquittal and avoid imprisonment or a fine</t>
  </si>
  <si>
    <t>What did Shrewsbury note about the plague?</t>
  </si>
  <si>
    <t>the NP-complete Boolean satisfiability problem</t>
  </si>
  <si>
    <t>The popular neighborhood known as the Tower District is centered around the historic Tower Theatre, which is included on the National List of Historic Places. The theater was built in 1939 and is at Olive and Wishon Avenues in the heart of the Tower District. (The name of the theater refers to a well-known landmark water tower, which is actually in another nearby area). The Tower District neighborhood is just north of downtown Fresno proper, and one-half mile south of Fresno City College. Although the neighborhood was known as a residential area prior, the early commercial establishments of the Tower District began with small shops and services that flocked to the area shortly after World War II. The character of small local businesses largely remains today. To some extent, the businesses of the Tower District were developed due to the proximity of the original Fresno Normal School, (later renamed California State University at Fresno). In 1916 the college moved to what is now the site of Fresno City College one-half mile north of the Tower District.</t>
  </si>
  <si>
    <t>When dating rocks, what is the absolute isotopic date applied to?</t>
  </si>
  <si>
    <t>straight down</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</si>
  <si>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</si>
  <si>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 xml:space="preserve"> When did the Spanish and Portuguese colonies lose their independance.</t>
  </si>
  <si>
    <t>repulsion of like charges</t>
  </si>
  <si>
    <t>reliance on teaching fellows</t>
  </si>
  <si>
    <t>In 2001, 16 national science academies issued a joint statement on climate change. The joint statement was made by the Australian Academy of Science, the Royal Flemish Academy of Belgium for Science and the Arts, the Brazilian Academy of Sciences, the Royal Society of Canada, the Caribbean Academy of Sciences, the Chinese Academy of Sciences, the French Academy of Sciences, the German Academy of Natural Scientists Leopoldina, the Indian National Science Academy, the Indonesian Academy of Sciences, the Royal Irish Academy, Accademia Nazionale dei Lincei (Italy), the Academy of Sciences Malaysia, the Academy Council of the Royal Society of New Zealand, the Royal Swedish Academy of Sciences, and the Royal Society (UK). The statement, also published as an editorial in the journal Science, stated "we support the [TAR's] conclusion that it is at least 90% certain that temperatures will continue to rise, with average global surface temperature projected to increase by between 1.4 and 5.8 °C above 1990 levels by 2100". The TAR has also been endorsed by the Canadian Foundation for Climate and Atmospheric Sciences, Canadian Meteorological and Oceanographic Society, and European Geosciences Union (refer to "Endorsements of the IPCC").</t>
  </si>
  <si>
    <t>Lower Norfolk County</t>
  </si>
  <si>
    <t>In the spring of 1753, Paul Marin de la Malgue was given command of a 2,000-man force of Troupes de la Marine and Indians. His orders were to protect the King's land in the Ohio Valley from the British. Marin followed the route that Céloron had mapped out four years earlier, but where Céloron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</si>
  <si>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Mental Health (Care and Treatment) (Scotland) Act 2003</t>
  </si>
  <si>
    <t>What happens after the lead melts?</t>
  </si>
  <si>
    <t>host computers</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</si>
  <si>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</si>
  <si>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lower sixth</t>
  </si>
  <si>
    <t>The Standard Industrial Classification and the newer North American Industry Classification System have a classification system for companies that perform or otherwise engage in construction. To recognize the differences of companies in this sector, it is divided into three subsectors: building construction, heavy and civil engineering construction, and specialty trade contractors. There are also categories for construction service firms (e.g., engineering, architecture) and construction managers (firms engaged in managing construction projects without assuming direct financial responsibility for completion of the construction project).</t>
  </si>
  <si>
    <t>a University of North Florida team</t>
  </si>
  <si>
    <t>Rhine Valley</t>
  </si>
  <si>
    <t>Egyptian President Anwar Sadat – whose policies included opening Egypt to Western investment (infitah); transferring Egypt's allegiance from the Soviet Union to the United States; and making peace with Israel –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</si>
  <si>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othering</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</si>
  <si>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</si>
  <si>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What resource is the economy of southern California depedent on?</t>
  </si>
  <si>
    <t>An important factor in the creation of inequality is variation in individuals' access to education. Education, especially in an area where there is a high demand for workers, creates high wages for those with this education, however, increases in education first increase and then decrease growth as well as income inequality. As a result, those who are unable to afford an education, or choose not to pursue optional education, generally receive much lower wages. The justification for this is that a lack of education leads directly to lower incomes, and thus lower aggregate savings and investment. Conversely, education raises incomes and promotes growth because it helps to unleash the productive potential of the poor.</t>
  </si>
  <si>
    <t>What did Priestley name the gas his experiment produced?</t>
  </si>
  <si>
    <t>The hydrography of the current delta is characterized by the delta's main arms, disconnected arms (Hollandse IJssel, Linge, Vecht, etc.) and smaller rivers and streams. Many rivers have been closed ("dammed") and now serve as drainage channels for the numerous polders. The construction of Delta Works changed the Delta in the second half of the 20th Century fundamentally. Currently Rhine water runs into the sea, or into former marine bays now separated from the sea, in five places, namely at the mouths of the Nieuwe Merwede, Nieuwe Waterway (Nieuwe Maas), Dordtse Kil, Spui and IJssel.</t>
  </si>
  <si>
    <t>Marshall Field</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</si>
  <si>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</si>
  <si>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at the opposite end from the mouth</t>
  </si>
  <si>
    <t>What is stage 1 in the life of a bill?</t>
  </si>
  <si>
    <t>What Catholic Church liturgical belief did Lortie criticize openly?</t>
  </si>
  <si>
    <t>The shape of the Rhine delta is determined by two bifurcations: first, at Millingen aan de Rijn, the Rhine splits into Waal and Pannerdens Kanaal, which changes its name to Nederrijn at Angeren, and second near Arnhem, the IJssel branches off from the Nederrijn. This creates three main flows, two of which change names rather often. The largest and southern main branch begins as Waal and continues as Boven Merwede ("Upper Merwede"), Beneden Merwede ("Lower Merwede"), Noord River ("North River"), Nieuwe Maas ("New Meuse"), Het Scheur ("the Rip") and Nieuwe Waterweg ("New Waterway"). The middle flow begins as Nederrijn, then changes into Lek, then joins the Noord, thereby forming Nieuwe Maas. The northern flow keeps the name IJssel until it flows into Lake IJsselmeer. Three more flows carry significant amounts of water: the Nieuwe Merwede ("New Merwede"), which branches off from the southern branch where it changes from Boven to Beneden Merwede; the Oude Maas ("Old Meuse"), which branches off from the southern branch where it changes from Beneden Merwede into Noord, and Dordtse Kil, which branches off from Oude Maas.</t>
  </si>
  <si>
    <t>The success of pathogens is predicated on their ability to do what?</t>
  </si>
  <si>
    <t>raises the productivity of each worker,</t>
  </si>
  <si>
    <t>What organization argued that drought, among other effects, could cause the Amazon forest to reach a "tipping point?"</t>
  </si>
  <si>
    <t>WHat do x.25 and Frame Relay both require</t>
  </si>
  <si>
    <t>Who had Toghtogha tried to defeat?</t>
  </si>
  <si>
    <t>"Reducibility Among Combinatorial Problems"</t>
  </si>
  <si>
    <t>any object can be, essentially uniquely, decomposed into its prime components</t>
  </si>
  <si>
    <t>in which it can make laws</t>
  </si>
  <si>
    <t>How many outputs are expected for each input in a function problem?</t>
  </si>
  <si>
    <t>the courts of member states</t>
  </si>
  <si>
    <t>Puente Hills</t>
  </si>
  <si>
    <t>Through stream capture, the Rhine extended its watershed southward. By the Pliocene period, the Rhine had captured streams down to the Vosges Mountains, including the Mosel, the Main and the Neckar. The northern Alps were then drained by the Rhone. By the early Pleistocene period, the Rhine had captured most of its current Alpine watershed from the Rhône, including the Aar. Since that time, the Rhine has added the watershed above Lake Constance (Vorderrhein, Hinterrhein, Alpenrhein; captured from the Rhône), the upper reaches of the Main, beyond Schweinfurt and the Vosges Mountains, captured from the Meuse, to its watershed.</t>
  </si>
  <si>
    <t>returned to New York</t>
  </si>
  <si>
    <t>Joy</t>
  </si>
  <si>
    <t>encourage</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</si>
  <si>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</si>
  <si>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flour mill</t>
  </si>
  <si>
    <t>Pick TV</t>
  </si>
  <si>
    <t>increasing functionings (the things a person values doing), capabilities (the freedom to enjoy functionings) and agency (the ability to pursue valued goals)</t>
  </si>
  <si>
    <t>withstood and fought to the last</t>
  </si>
  <si>
    <t>What is the term for the arrangement of two unpaired electrons in dioxygen?</t>
  </si>
  <si>
    <t>passed</t>
  </si>
  <si>
    <t>form business partnerships with physicians or give them "kickback" payments</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</si>
  <si>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</si>
  <si>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</si>
  <si>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the General Assembly Hall of the Church of Scotland</t>
  </si>
  <si>
    <t>Southern California is home to many major business districts. Central business districts (CBD) include Downtown Los Angeles, Downtown San Diego, Downtown San Bernardino, Downtown Bakersfield, South Coast Metro and Downtown Riverside.</t>
  </si>
  <si>
    <t>What were chao made out of?</t>
  </si>
  <si>
    <t>king of France</t>
  </si>
  <si>
    <t>What did Microsoft announce that it would rename Sky Drive Pro to?</t>
  </si>
  <si>
    <t>second-most</t>
  </si>
  <si>
    <t>Developments in which scientists influenced the creation of pharmacology in medieval Islam?</t>
  </si>
  <si>
    <t>What did a greedy merchant do to the mermaid?</t>
  </si>
  <si>
    <t>L'Eglise du Saint-Esprit</t>
  </si>
  <si>
    <t>to provide a fault-tolerant, efficient routing method for telecommunication messages</t>
  </si>
  <si>
    <t>What choice did French have for surrendering land?</t>
  </si>
  <si>
    <t>Michael Heckenberger and colleagues of the University of Florida</t>
  </si>
  <si>
    <t>For a long time, it was thought that the Amazon rainforest was only ever sparsely populated, as it was impossible to sustain a large population through agriculture given the poor soil. Archeologist Betty Meggers was a prominent proponent of this idea, as described in her book Amazonia: Man and Culture in a Counterfeit Paradise. She claimed that a population density of 0.2 inhabitants per square kilometre (0.52/sq mi) is the maximum that can be sustained in the rainforest through hunting, with agriculture needed to host a larger population. However, recent anthropological findings have suggested that the region was actually densely populated. Some 5 million people may have lived in the Amazon region in AD 1500, divided between dense coastal settlements, such as that at Marajó, and inland dwellers. By 1900 the population had fallen to 1 million and by the early 1980s it was less than 200,000.</t>
  </si>
  <si>
    <t>quick and decisive</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</si>
  <si>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Angermünde) by Frederick William, Elector of Brandenburg and Duke of Prussia. The Huguenots furnished two new regiments of his army: the Altpreußische Infantry Regiments No. 13 (Regiment on foot Varenne) and 15 (Regiment on foot Wylich). Another 4,000 Huguenots settled in the German territories of Baden, Franconia (Principality of Bayreuth, Principality of Ansbach), Landgraviate of Hesse-Kassel, Duchy of Württemberg, in the Wetterau Association of Imperial Counts, in the Palatinate and Palatinate-Zweibrücken, in the Rhine-Main-Area (Frankfurt), in modern-day Saarland; and 1,500 found refuge in Hamburg, Bremen and Lower Saxony. Three hundred refugees were granted asylum at the court of George William, Duke of Brunswick-Lüneburg in Celle.</t>
  </si>
  <si>
    <t>paramagnetic</t>
  </si>
  <si>
    <t>The adaptive immune system must distinguish between what types of molecules?</t>
  </si>
  <si>
    <t>NP-complete</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</si>
  <si>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</si>
  <si>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Linux</t>
  </si>
  <si>
    <t>Computer Science Network</t>
  </si>
  <si>
    <t>What is the goal of the capabilities approach?</t>
  </si>
  <si>
    <t>counterflow</t>
  </si>
  <si>
    <t>When less workers are required, what happens to the job market?</t>
  </si>
  <si>
    <t>Beginning how many years ago did the amazon rainforest extend 45 degrees south?</t>
  </si>
  <si>
    <t>What medical treatment is used to increase oxygen uptake in a patient?</t>
  </si>
  <si>
    <t>Where will a canonball dropped from the crow's nest of a ship land according to Aristotle?</t>
  </si>
  <si>
    <t>Who recorded "Walking in Fresno?"</t>
  </si>
  <si>
    <t>higher political office</t>
  </si>
  <si>
    <t>On what lake did troops attack fort willima henry in winter?</t>
  </si>
  <si>
    <t>Colony of Victoria Act</t>
  </si>
  <si>
    <t>Silicates of magnesium and iron make up of the Earth's ___</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</si>
  <si>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</si>
  <si>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connected via dial-up connections or dedicated async connections</t>
  </si>
  <si>
    <t>University President Robert Maynard Hutchins de-emphasized varsity athletics in 1939</t>
  </si>
  <si>
    <t>a fee per unit of connection time</t>
  </si>
  <si>
    <t>cascade method</t>
  </si>
  <si>
    <t>The defeat of the Arab troops in the Six-Day War constituted what for the Arab Muslim world?</t>
  </si>
  <si>
    <t>stiffened cilia</t>
  </si>
  <si>
    <t>mortar and pestle and the ℞ (recipere) character</t>
  </si>
  <si>
    <t>establishing relationships with other necessary participants through the design-build process</t>
  </si>
  <si>
    <t>fish larvae and organisms</t>
  </si>
  <si>
    <t>There were many Chinese with what unexpected status?</t>
  </si>
  <si>
    <t>How is the process of allocating seats repeated until all available seats have been determined?</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</si>
  <si>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</si>
  <si>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Fresno County Courthouse (demolished), the Fresno Carnegie Public Library</t>
  </si>
  <si>
    <t>Extension causes the rock units as a whole to become longer and thinner. This is primarily accomplished through normal faulting and through the ductile stretching and thinning. Normal faults drop rock units that are higher below those that are lower. This typically results in younger units being placed below older units. Stretching of units can result in their thinning; in fact, there is a location within the Maria Fold and Thrust Belt in which the entire sedimentary sequence of the Grand Canyon can be seen over a length of less than a meter. Rocks at the depth to be ductilely stretched are often also metamorphosed. These stretched rocks can also pinch into lenses, known as boudins, after the French word for "sausage", because of their visual similarity.</t>
  </si>
  <si>
    <t>The advances made in the Middle East in botany and chemistry led medicine in medieval Islam substantially to develop pharmacology. Muhammad ibn Zakarīya Rāzi (Rhazes) (865–915), for instance, acted to promote the medical uses of chemical compounds. Abu al-Qasim al-Zahrawi (Abulcasis) (936–1013) pioneered the preparation of medicines by sublimation and distillation. His Liber servitoris is of particular interest, as it provides the reader with recipes and explains how to prepare the `simples’ from which were compounded the complex drugs then generally used. Sabur Ibn Sahl (d 869), was, however, the first physician to initiate pharmacopoedia, describing a large variety of drugs and remedies for ailments. Al-Biruni (973–1050) wrote one of the most valuable Islamic works on pharmacology, entitled Kitab al-Saydalah (The Book of Drugs), in which he detailed the properties of drugs and outlined the role of pharmacy and the functions and duties of the pharmacist. Avicenna, too, described no less than 700 preparations, their properties, modes of action, and their indications. He devoted in fact a whole volume to simple drugs in The Canon of Medicine. Of great impact were also the works by al-Maridini of Baghdad and Cairo, and Ibn al-Wafid (1008–1074), both of which were printed in Latin more than fifty times, appearing as De Medicinis universalibus et particularibus by 'Mesue' the younger, and the Medicamentis simplicibus by 'Abenguefit'. Peter of Abano (1250–1316) translated and added a supplement to the work of al-Maridini under the title De Veneris. Al-Muwaffaq’s contributions in the field are also pioneering. Living in the 10th century, he wrote The foundations of the true properties of Remedies, amongst others describing arsenious oxide, and being acquainted with silicic acid. He made clear distinction between sodium carbonate and potassium carbonate, and drew attention to the poisonous nature of copper compounds, especially copper vitriol, and also lead compounds. He also describes the distillation of sea-water for drinking.[verification needed]</t>
  </si>
  <si>
    <t>mannerist architecture</t>
  </si>
  <si>
    <t>Pitt's plan called for what attacks?</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</si>
  <si>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</si>
  <si>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</si>
  <si>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Because he published his findings first</t>
  </si>
  <si>
    <t>Effects of inequality researchers have found include higher rates of health and social problems, and lower rates of social goods, a lower level of economic utility in society from resources devoted on high-end consumption, and even a lower level of economic growth when human capital is neglected for high-end consumption. For the top 21 industrialised countries, counting each person equally, life expectancy is lower in more unequal countries (r = -.907). A similar relationship exists among US states (r = -.620).</t>
  </si>
  <si>
    <t>Guo Shoujing applied mathematics to the construction of calendars. He was one of the first mathematicians in China to work on spherical trigonometry. Gou derived a cubic interpolation formula for his astronomical calculations. His calendar, the Shoushi Li (授時暦)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</si>
  <si>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What rank for most populous city in the European Union does Warsaw hold?</t>
  </si>
  <si>
    <t>(rise and fall according to market demand</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</si>
  <si>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Temür suddenly dismissed him for fear of betrayal. This resulted in Toghun Temür's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Míng dynasty (1368–1644),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</si>
  <si>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an interactive host to host connection was made between the IBM mainframe computer systems at the University of Michigan in Ann Arbor and Wayne State</t>
  </si>
  <si>
    <t>What is one of the largest and most modern oncological institutions in Europe?</t>
  </si>
  <si>
    <t>major car brands</t>
  </si>
  <si>
    <t>Brocard's</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</si>
  <si>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</si>
  <si>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</si>
  <si>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</si>
  <si>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was the significance of victory at Forth Niagara for British?</t>
  </si>
  <si>
    <t>What was the Brazilian French colony called?</t>
  </si>
  <si>
    <t>For what reason would someone avoid crimes while protesting?</t>
  </si>
  <si>
    <t>their low ratio of organic matter to salt and water</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</si>
  <si>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</si>
  <si>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DATAPAC was developed by Bell Northern Research</t>
  </si>
  <si>
    <t>Many of the same decisions and principles that apply in other criminal investigations and arrests arise also in civil disobedience cases. For example, the suspect may need to decide whether or not to grant a consent search of his property, and whether or not to talk to police officers. It is generally agreed within the legal community, and is often believed within the activist community, that a suspect's talking to criminal investigators can serve no useful purpose, and may be harmful. However, some civil disobedients have nonetheless found it hard to resist responding to investigators' questions, sometimes due to a lack of understanding of the legal ramifications, or due to a fear of seeming rude. Also, some civil disobedients seek to use the arrest as an opportunity to make an impression on the officers. Thoreau wrote, "My civil neighbor, the tax-gatherer, is the very man I have to deal with--for it is, after all, with men and not with parchment that I quarrel--and he has voluntarily chosen to be an agent of the government. How shall he ever know well that he is and does as an officer of the government, or as a man, until he is obliged to consider whether he will treat me, his neighbor, for whom he has respect, as a neighbor and well-disposed man, or as a maniac and disturber of the peace, and see if he can get over this obstruction to his neighborliness without a ruder and more impetuous thought or speech corresponding with his action."</t>
  </si>
  <si>
    <t>How many coordinating lead authors does an IPCC report chapter have?</t>
  </si>
  <si>
    <t>Downtown Santa Monica and Downtown Glendale are a part of which area?</t>
  </si>
  <si>
    <t>the Treaty of Rome 1957 and the Maastricht Treaty 1992</t>
  </si>
  <si>
    <t>norm gets smaller</t>
  </si>
  <si>
    <t>Genghis Khan united the Mongol and Turkic tribes of the steppes and became Great Khan in 1206. He and his successors expanded the Mongol empire across Asia. Under the reign of Genghis' third son, Ögedei Khan, the Mongols destroyed the weakened Jin dynasty in 1234, conquering most of northern China. Ögedei offered his nephew Kublai a position in Xingzhou, Hebei. Kublai was unable to read Chinese but had several Han Chinese teachers attached to him since his early years by his mother Sorghaghtani. He sought the counsel of Chinese Buddhist and Confucian advisers. Möngke Khan succeeded Ögedei's son, Güyük,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</si>
  <si>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The length of the Rhine is conventionally measured in "Rhine-kilometers" (Rheinkilometer), a scale introduced in 1939 which runs from the Old Rhine Bridge at Constance (0 km) to Hoek van Holland (1036.20 km). The river length is significantly shortened from the river's natural course due to number of canalisation projects completed in the 19th and 20th century.[note 7] The "total length of the Rhine", to the inclusion of Lake Constance and the Alpine Rhine is more difficult to measure objectively; it was cited as 1,232 kilometres (766 miles) by the Dutch Rijkswaterstaat in 2010.[note 1]</t>
  </si>
  <si>
    <t>Who notably improved the Savery water pump?</t>
  </si>
  <si>
    <t>Goldbach's conjecture</t>
  </si>
  <si>
    <t>compressed gas</t>
  </si>
  <si>
    <t>How much of the Rhine flow does Ijssel carry?</t>
  </si>
  <si>
    <t>What civil rights movement in the US was known for it's disobedience?</t>
  </si>
  <si>
    <t>belonging to Warsz</t>
  </si>
  <si>
    <t>Where are the streams the Rhine captured?</t>
  </si>
  <si>
    <t>How much did the population of Victoria increase in ten years after the discovery of gold?</t>
  </si>
  <si>
    <t>What did Alec Shelbrooke propose payments of benefits to be made on?</t>
  </si>
  <si>
    <t>communist</t>
  </si>
  <si>
    <t>birefringence, pleochroism, twinning, and interference properties</t>
  </si>
  <si>
    <t>Wilson's geographer</t>
  </si>
  <si>
    <t>an average 182 million</t>
  </si>
  <si>
    <t>blood–brain barrier, blood–cerebrospinal fluid barrier</t>
  </si>
  <si>
    <t>Private Bill</t>
  </si>
  <si>
    <t>behind the foot of the mast of a moving ship</t>
  </si>
  <si>
    <t>coining the modern name packet switching</t>
  </si>
  <si>
    <t>one of the most influential</t>
  </si>
  <si>
    <t>38–41 °C</t>
  </si>
  <si>
    <t>Pharmacists are healthcare professionals with specialised education and training who perform various roles to ensure optimal health outcomes for their patients through the quality use of medicines. Pharmacists may also be small-business proprietors, owning the pharmacy in which they practice. Since pharmacists know about the mode of action of a particular drug, and its metabolism and physiological effects on the human body in great detail, they play an important role in optimisation of a drug treatment for an individual.</t>
  </si>
  <si>
    <t>private finance initiatives (PFIs)</t>
  </si>
  <si>
    <t>areas cleared of forest</t>
  </si>
  <si>
    <t>What are two types of phagocytes that travel through the body to find invading pathogens?</t>
  </si>
  <si>
    <t>Courts have distinguished between two types of civil disobedience: "Indirect civil disobedience involves violating a law which is not, itself, the object of protest, whereas direct civil disobedience involves protesting the existence of a particular law by breaking that law." During the Vietnam War, courts typically refused to excuse the perpetrators of illegal protests from punishment on the basis of their challenging the legality of the Vietnam War; the courts ruled it was a political question. The necessity defense has sometimes been used as a shadow defense by civil disobedients to deny guilt without denouncing their politically motivated acts, and to present their political beliefs in the courtroom. However, court cases such as U.S. v. Schoon have greatly curtailed the availability of the political necessity defense. Likewise, when Carter Wentworth was charged for his role in the Clamshell Alliance's 1977 illegal occupation of the Seabrook Station Nuclear Power Plant, the judge instructed the jury to disregard his competing harms defense, and he was found guilty. Fully Informed Jury Association activists have sometimes handed out educational leaflets inside courthouses despite admonitions not to; according to FIJA, many of them have escaped prosecution because "prosecutors have reasoned (correctly) that if they arrest fully informed jury leafleters, the leaflets will have to be given to the leafleter's own jury as evidence."</t>
  </si>
  <si>
    <t>an Australian public X.25 network operated by Telstra</t>
  </si>
  <si>
    <t>1688–1692</t>
  </si>
  <si>
    <t>What are Los Angeles, Orange, San Diego, San Bernardino and Riverside?</t>
  </si>
  <si>
    <t>Who applies European Union law?</t>
  </si>
  <si>
    <t>make detailed plans and maintain careful oversight</t>
  </si>
  <si>
    <t>comb jelly</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</si>
  <si>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Kućma was erected in memory of the largest insurrection of World War II.</t>
  </si>
  <si>
    <t>If an extraordinary election is held within less than six months before the date of an ordinary election, what does it do to the ordinary election?</t>
  </si>
  <si>
    <t>Why did the European nations and Japan separated themselves from United States during the crisis?</t>
  </si>
  <si>
    <t>five</t>
  </si>
  <si>
    <t>the European Court of Justice</t>
  </si>
  <si>
    <t>A problem set that that is hard for the expression NP can also be stated how?</t>
  </si>
  <si>
    <t>Who presents different ideas about how to accomplish goals?</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</si>
  <si>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</si>
  <si>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ash leaf</t>
  </si>
  <si>
    <t>The University of Chicago Library system encompasses six libraries that contain a total of 9.8 million volumes, the 11th most among library systems in the United States. The university's main library is the Regenstein Library, which contains one of the largest collections of print volumes in the United States. The Joe and Rika Mansueto Library, built in 2011, houses a large study space and an automatic book storage and retrieval system. The John Crerar Library contains more than 1.3 million volumes in the biological, medical and physical sciences and collections in general science and the philosophy and history of science, medicine, and technology. The university also operates a number of special libraries, including the D'Angelo Law Library, the Social Service Administration Library, and the Eckhart Library for mathematics and computer science, which closed temporarily for renovation on July 8, 2013. Harper Memorial Library no longer contains any volumes; however it is, in addition to the Regenstein Library, a 24-hour study space on campus.</t>
  </si>
  <si>
    <t>What is  565 °C the creep limit of?</t>
  </si>
  <si>
    <t>identify, recruit</t>
  </si>
  <si>
    <t>in the direction in which the mouth is pointing,</t>
  </si>
  <si>
    <t>contemporary accounts were exaggerations</t>
  </si>
  <si>
    <t>Emergency Highway Energy Conservation Act</t>
  </si>
  <si>
    <t>late 1970s</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</si>
  <si>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</si>
  <si>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University of Washington</t>
  </si>
  <si>
    <t>Who loved Warsaw so much that he kept putting it in his novels?</t>
  </si>
  <si>
    <t>increasing access to education</t>
  </si>
  <si>
    <t xml:space="preserve">How are Air force messages delivered </t>
  </si>
  <si>
    <t>Stephen Eilmann asks why show public civil disobedience instead what is a better idea?</t>
  </si>
  <si>
    <t>Homes from the early 20th century line this boulevard in the heart of the historic Alta Vista Tract. The section of Huntington Boulevard between First Street on the west to Cedar Avenue on the east is the home to many large, stately homes. The original development of this area began circa 1910, on 190 acres of what had been an alfalfa field. The Alta Vista Tract, as the land would become known, was mapped by William Stranahan for the Pacific Improvement Corporation, and was officially platted in 1911. The tract's boundaries were Balch Avenue on the south, Cedar Avenue on the east, the rear property line of Platt Avenue (east of Sixth Street) and Platt Avenue (west of Sixth Street) on the north, and First Street on the west. The subdivision was annexed to the City in January 1912, in an election that was the first in which women voted in the community. At the time of its admission to the City, the Alta Vista Tract was uninhabited but landscaped, although the trees had to be watered by tank wagon. In 1914 developers Billings &amp; Meyering acquired the tract, completed street development, provided the last of the necessary municipal improvements including water service, and began marketing the property with fervor. A mere half decade later the tract had 267 homes. This rapid development was no doubt hastened by the Fresno Traction Company right-of-way along Huntington Boulevard, which provided streetcar connections between downtown and the County Hospital.</t>
  </si>
  <si>
    <t>Which gas makes up 20.8% of the Earth's atmosphere?</t>
  </si>
  <si>
    <t>the university's School of Social Service Administration</t>
  </si>
  <si>
    <t>forceful</t>
  </si>
  <si>
    <t>−11.7 °C</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</si>
  <si>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</si>
  <si>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London Exhibition</t>
  </si>
  <si>
    <t>high schools lost their accreditation</t>
  </si>
  <si>
    <t>growing anti-communist fervor</t>
  </si>
  <si>
    <t>attacked the British</t>
  </si>
  <si>
    <t>Mongolian, Tibetan, and Chinese</t>
  </si>
  <si>
    <t>libertarian</t>
  </si>
  <si>
    <t>The Mitchell Tower is designed to look like what Oxford tower?</t>
  </si>
  <si>
    <t>a not-for-profit United States computer networking consortium led by members from the research and education communities, industry, and government</t>
  </si>
  <si>
    <t>direction in which the mouth is pointing</t>
  </si>
  <si>
    <t>Catholic orthodoxy</t>
  </si>
  <si>
    <t>conscientious lawbreakers</t>
  </si>
  <si>
    <t>reduce growth</t>
  </si>
  <si>
    <t>Which duty do some people believe civil disobedients have?</t>
  </si>
  <si>
    <t>Roman Catholic</t>
  </si>
  <si>
    <t>Building activity occurred in numerous noble palaces and churches during the later decades of the 17th century. One of the best examples of this architecture are Krasiński Palace (1677–1683), Wilanów Palace (1677–1696) and St. Kazimierz Church (1688–1692). The most impressive examples of rococo architecture are Czapski Palace (1712–1721), Palace of the Four Winds (1730s) and Visitationist Church (façade 1728–1761). The neoclassical architecture in Warsaw can be described by the simplicity of the geometrical forms teamed with a great inspiration from the Roman period. Some of the best examples of the neoclassical style are the Palace on the Water (rebuilt 1775–1795), Królikarnia (1782–1786), Carmelite Church (façade 1761–1783) and Evangelical Holy Trinity Church (1777–1782). The economic growth during the first years of Congress Poland caused a rapid rise architecture. The Neoclassical revival affected all aspects of architecture, the most notable are the Great Theater (1825–1833) and buildings located at Bank Square (1825–1828).</t>
  </si>
  <si>
    <t>The Black Death is thought to have originated in the arid plains of Central Asia, where it then travelled along the Silk Road, reaching Crimea by 1343. From there, it was most likely carried by Oriental rat fleas living on the black rats that were regular passengers on merchant ships. Spreading throughout the Mediterranean and Europe, the Black Death is estimated to have killed 30–60% of Europe's total population. In total, the plague reduced the world population from an estimated 450 million down to 350–375 million in the 14th century. The world population as a whole did not recover to pre-plague levels until the 17th century. The plague recurred occasionally in Europe until the 19th century.</t>
  </si>
  <si>
    <t>Los Angeles International Airport</t>
  </si>
  <si>
    <t>diverse</t>
  </si>
  <si>
    <t>What UN organizations established the IPCC?</t>
  </si>
  <si>
    <t>Other than warships, what ships typically required high speeds?</t>
  </si>
  <si>
    <t>What was the name given to the undergraduate college's liberal-arts curriculum?</t>
  </si>
  <si>
    <t>On which corner is the shopping center located?</t>
  </si>
  <si>
    <t>Whose goals often still oppose the IPCC?</t>
  </si>
  <si>
    <t>How many horsepower was Watt's engine?</t>
  </si>
  <si>
    <t>each side is capable of performing the obligations set out</t>
  </si>
  <si>
    <t>Whose army liberated Warsaw in 1806?</t>
  </si>
  <si>
    <t>a means of making ARPANET technology public</t>
  </si>
  <si>
    <t>What must a project adhere to?</t>
  </si>
  <si>
    <t>Students at the University of Chicago run over 400 clubs and organizations known as Recognized Student Organizations (RSOs). These include cultural and religious groups, academic clubs and teams, and common-interest organizations. Notable extracurricular groups include the University of Chicago College Bowl Team, which has won 118 tournaments and 15 national championships, leading both categories internationally. The university's competitive Model United Nations team was the top ranked team in North America in 2013-14 and 2014-2015. Among notable RSOs are the nation's longest continuously running student film society Doc Films, organizing committee for the University of Chicago Scavenger Hunt, the twice-weekly student newspaper The Chicago Maroon, the alternative weekly student newspaper South Side Weekly, the nation's second oldest continuously running student improvisational theater troupe Off-Off Campus, and the university-owned radio station WHPK.</t>
  </si>
  <si>
    <t>to clean them of plants and sediments</t>
  </si>
  <si>
    <t>What method was used to clear forest for crop cultivation in the amazon forest?</t>
  </si>
  <si>
    <t>trespassing at a nuclear-missile installation</t>
  </si>
  <si>
    <t>in the possession of already-wealthy individuals or entities</t>
  </si>
  <si>
    <t>if the Treaty provisions have a direct effect and they are sufficiently clear, precise and unconditional</t>
  </si>
  <si>
    <t>make detailed plans and maintain careful oversight during the project</t>
  </si>
  <si>
    <t>What did Robert Koch prove was the cause of infectious disease?</t>
  </si>
  <si>
    <t>obligately anaerobic organisms</t>
  </si>
  <si>
    <t>to withstand waves and swirling sediment particles</t>
  </si>
  <si>
    <t>What is the name of one type of computing method that is used to find prime numbers?</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</si>
  <si>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</si>
  <si>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Several thousand</t>
  </si>
  <si>
    <t>What measurement do scientists used to determine the quality of water?</t>
  </si>
  <si>
    <t>How many US presidents are alumni of the school?</t>
  </si>
  <si>
    <t>In September 1958, Bank of America launched a new product called BankAmericard in Fresno. After a troubled gestation during which its creator resigned, BankAmericard went on to become the first successful credit card; that is, a financial instrument that was usable across a large number of merchants and also allowed cardholders to revolve a balance (earlier financial products could do one or the other but not both). In 1976, BankAmericard was renamed and spun off into a separate company known today as Visa Inc.</t>
  </si>
  <si>
    <t>later ARPANET architecture</t>
  </si>
  <si>
    <t>evaluates learning levels in rural India</t>
  </si>
  <si>
    <t>to emphasize academics over athletics</t>
  </si>
  <si>
    <t>accompanying documents</t>
  </si>
  <si>
    <t>oxygen-16</t>
  </si>
  <si>
    <t>self</t>
  </si>
  <si>
    <t>Robert Guiscard</t>
  </si>
  <si>
    <t>French_and_Indian_War</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</si>
  <si>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</si>
  <si>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How much does it cost to gain entry to a parliament meeting?</t>
  </si>
  <si>
    <t>deselected as official party candidates</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</si>
  <si>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</si>
  <si>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1⁄3</t>
  </si>
  <si>
    <t>Granting what status would allow private non-religious schools in the US to receive public funds?</t>
  </si>
  <si>
    <t>if a complete list of primes up to  is known</t>
  </si>
  <si>
    <t>complete list of primes up to  is known</t>
  </si>
  <si>
    <t xml:space="preserve">What was the name of the count of Apulia </t>
  </si>
  <si>
    <t>Ctenophores used to be regarded as "dead ends" in marine food chains because it was thought their low ratio of organic matter to salt and water made them a poor diet for other animals. It is also often difficult to identify the remains of ctenophores in the guts of possible predators, although the combs sometimes remain intact long enough to provide a clue. Detailed investigation of chum salmon, Oncorhynchus keta, showed that these fish digest ctenophores 20 times as fast as an equal weight of shrimps, and that ctenophores can provide a good diet if there are enough of them around. Beroids prey mainly on other ctenophores. Some jellyfish and turtles eat large quantities of ctenophores, and jellyfish may temporarily wipe out ctenophore populations. Since ctenophores and jellyfish often have large seasonal variations in population, most fish that prey on them are generalists, and may have a greater effect on populations than the specialist jelly-eaters. This is underlined by an observation of herbivorous fishes deliberately feeding on gelatinous zooplankton during blooms in the Red Sea. The larvae of some sea anemones are parasites on ctenophores, as are the larvae of some flatworms that parasitize fish when they reach adulthood.</t>
  </si>
  <si>
    <t>charter</t>
  </si>
  <si>
    <t>Many construction companies are now placing more emphasis on what?</t>
  </si>
  <si>
    <t>How are ergänzungsschulen funded?</t>
  </si>
  <si>
    <t>What nationality was Arthur Woolf?</t>
  </si>
  <si>
    <t>Charles W. Eliot, president 1869–1909,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</si>
  <si>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gold rushes</t>
  </si>
  <si>
    <t>What day of the week are general elections held?</t>
  </si>
  <si>
    <t>economic</t>
  </si>
  <si>
    <t>Consolidated City of Jacksonville</t>
  </si>
  <si>
    <t>What is involved in a review of prescribed medications?</t>
  </si>
  <si>
    <t>When had the Six Ministries existed?</t>
  </si>
  <si>
    <t>Which languages used the Phags-pa script?</t>
  </si>
  <si>
    <t>1,600 miles</t>
  </si>
  <si>
    <t>What is the translation of the old north branch of rhe Rhine?</t>
  </si>
  <si>
    <t>This concept contrasted and contradicted the theretofore established principles of pre-allocation of network bandwidth</t>
  </si>
  <si>
    <t>What did colonial authorities  reduce because of the Ballarat revolt?</t>
  </si>
  <si>
    <t>even</t>
  </si>
  <si>
    <t>successfully cut off the French frontier forts</t>
  </si>
  <si>
    <t>Specialty pharmacies supply high cost injectable, oral, infused, or inhaled medications that are used for chronic and complex disease states such as cancer, hepatitis, and rheumatoid arthritis. Unlike a traditional community pharmacy where prescriptions for any common medication can be brought in and filled, specialty pharmacies carry novel medications that need to be properly stored, administered, carefully monitored, and clinically managed. In addition to supplying these drugs, specialty pharmacies also provide lab monitoring, adherence counseling, and assist patients with cost-containment strategies needed to obtain their expensive specialty drugs. It is currently the fastest growing sector of the pharmaceutical industry with 19 of 28 newly FDA approved medications in 2013 being specialty drugs.</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</si>
  <si>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</si>
  <si>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increased the asking price</t>
  </si>
  <si>
    <t>Buckland Valley near Bright</t>
  </si>
  <si>
    <t>Roeding Park</t>
  </si>
  <si>
    <t>packet switching</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</si>
  <si>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</si>
  <si>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50–140 cm</t>
  </si>
  <si>
    <t>Why do the island archipelagos comprise a smaller number of electors?</t>
  </si>
  <si>
    <t>Hamburg merchants and traders</t>
  </si>
  <si>
    <t>The early Cambrian sessile frond-like fossil Stromatoveris, from China's Chengjiang lagerstätte and dated to about 515 million years ago, is very similar to Vendobionta of the preceding Ediacaran period. De-Gan Shu, Simon Conway Morris et al. found on its branches what they considered rows of cilia, used for filter feeding. They suggested that Stromatoveris was an evolutionary "aunt" of ctenophores, and that ctenophores originated from sessile animals whose descendants became swimmers and changed the cilia from a feeding mechanism to a propulsion system.</t>
  </si>
  <si>
    <t>young and the elderly</t>
  </si>
  <si>
    <t>What does the Riemann hypothesis state the source of irregularity in the distribution of points comes from?</t>
  </si>
  <si>
    <t>In the first half of the 17th century, a plague claimed some 1.7 million victims in Italy, or about 14% of the population. In 1656, the plague killed about half of Naples' 300,000 inhabitants. More than 1.25 million deaths resulted from the extreme incidence of plague in 17th-century Spain. The plague of 1649 probably reduced the population of Seville by half. In 1709–13, a plague epidemic that followed the Great Northern War (1700–21, Sweden v. Russia and allies) killed about 100,000 in Sweden, and 300,000 in Prussia. The plague killed two-thirds of the inhabitants of Helsinki, and claimed a third of Stockholm's population. Europe's last major epidemic occurred in 1720 in Marseille.</t>
  </si>
  <si>
    <t>at least some pre-planning and Christian burials</t>
  </si>
  <si>
    <t>reach locations not on the private network</t>
  </si>
  <si>
    <t>Catch Me Who Can</t>
  </si>
  <si>
    <t>industrialized nations increased their reserves (by expanding their money supplies) in amounts far greater than before</t>
  </si>
  <si>
    <t>The innate immune system responds in a generic way, meaning it is what?</t>
  </si>
  <si>
    <t xml:space="preserve">First published by Sir Charles Lyell in 1830 this book was called what? </t>
  </si>
  <si>
    <t>The University of Warsaw was established in 1816, when the partitions of Poland separated Warsaw from the oldest and most influential Polish academic center, in Kraków.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</si>
  <si>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The name Rijn, from here on, is used only for smaller streams farther to the north, which together formed the main river Rhine in Roman times. Though they retained the name, these streams no longer carry water from the Rhine, but are used for draining the surrounding land and polders. From Wijk bij Duurstede, the old north branch of the Rhine is called Kromme Rijn ("Bent Rhine") past Utrecht, first Leidse Rijn ("Rhine of Leiden") and then, Oude Rijn ("Old Rhine"). The latter flows west into a sluice at Katwijk, where its waters can be discharged into the North Sea. This branch once formed the line along which the Limes Germanicus were built. During periods of lower sea levels within the various ice ages, the Rhine took a left turn, creating the Channel River, the course of which now lies below the English Channel.</t>
  </si>
  <si>
    <t>What did NSFNET eventually provide</t>
  </si>
  <si>
    <t>Tuition Fee Supplement</t>
  </si>
  <si>
    <t>Trade liberalization may shift economic inequality from a global to a domestic scale. When rich countries trade with poor countries, the low-skilled workers in the rich countries may see reduced wages as a result of the competition, while low-skilled workers in the poor countries may see increased wages. Trade economist Paul Krugman estimates that trade liberalisation has had a measurable effect on the rising inequality in the United States. He attributes this trend to increased trade with poor countries and the fragmentation of the means of production, resulting in low skilled jobs becoming more tradeable. However, he concedes that the effect of trade on inequality in America is minor when compared to other causes, such as technological innovation, a view shared by other experts. Empirical economists Max Roser and Jesus Crespo-Cuaresma find support in the data that international trade is increasing income inequality. They empirically confirm the predictions of the Stolper–Samuelson theorem regarding the effects of international trade on the distribution of incomes. Lawrence Katz estimates that trade has only accounted for 5-15% of rising income inequality. Robert Lawrence argues that technological innovation and automation has meant that low-skilled jobs have been replaced by machine labor in wealthier nations, and that wealthier countries no longer have significant numbers of low-skilled manufacturing workers that could be affected by competition from poor countries.</t>
  </si>
  <si>
    <t>until the empire fell</t>
  </si>
  <si>
    <t>lack of a Parliament of Scotland</t>
  </si>
  <si>
    <t>Who may members direct questions towards during General Question Time?</t>
  </si>
  <si>
    <t>preventing it from being cut down</t>
  </si>
  <si>
    <t>In what conditions were forces first measured historically?</t>
  </si>
  <si>
    <t>What is the area called where two plates move apart?</t>
  </si>
  <si>
    <t>What leads to lower income inequality?</t>
  </si>
  <si>
    <t>How many interactions are all of the universal forces based on?</t>
  </si>
  <si>
    <t>kingdoms</t>
  </si>
  <si>
    <t>What is a mechanical barrier in insects that protects the insect?</t>
  </si>
  <si>
    <t>“wid[en] people’s choices and the level of their achieved well-being”</t>
  </si>
  <si>
    <t>V8 and six cylinder engines</t>
  </si>
  <si>
    <t>kinetic</t>
  </si>
  <si>
    <t>The IPCC Panel is composed of representatives appointed by governments and organizations. Participation of delegates with appropriate expertise is encouraged. Plenary sessions of the IPCC and IPCC Working groups are held at the level of government representatives. Non Governmental and Intergovernmental Organizations may be allowed to attend as observers. Sessions of the IPCC Bureau, workshops, expert and lead authors meetings are by invitation only. Attendance at the 2003 meeting included 350 government officials and climate change experts. After the opening ceremonies, closed plenary sessions were held. The meeting report states there were 322 persons in attendance at Sessions with about seven-eighths of participants being from governmental organizations.</t>
  </si>
  <si>
    <t>James Hutton is often viewed as the first modern geologist. In 1785 he presented a paper entitled Theory of the Earth to the Royal Society of Edinburgh. In his paper, he explained his theory that the Earth must be much older than had previously been supposed in order to allow enough time for mountains to be eroded and for sediments to form new rocks at the bottom of the sea, which in turn were raised up to become dry land. Hutton published a two-volume version of his ideas in 1795 (Vol. 1, Vol. 2).</t>
  </si>
  <si>
    <t>informed Céloron that they owned the Ohio Country and that they would trade with the British regardless of the French</t>
  </si>
  <si>
    <t>unusual resources</t>
  </si>
  <si>
    <t>What change in conditions may make the Amazon rainforest unsustainable?</t>
  </si>
  <si>
    <t>______ In both liquid and gas form can fastly result in an exlposion.</t>
  </si>
  <si>
    <t>By what means were scientists able to liquefy air?</t>
  </si>
  <si>
    <t>On what date did the first railway trip in the world occur?</t>
  </si>
  <si>
    <t>the actual sea level rise was above the top of the range</t>
  </si>
  <si>
    <t>avoid prohibitively costly dowry demands</t>
  </si>
  <si>
    <t>it focuses attention on the threat of punishment and not the moral reasons to follow this law</t>
  </si>
  <si>
    <t>draining the surrounding land and polders</t>
  </si>
  <si>
    <t>What has been easily proven about the rain forest</t>
  </si>
  <si>
    <t>cross-cutting relationships</t>
  </si>
  <si>
    <t>In Europe there are old pharmacies still operating in Dubrovnik, Croatia, located inside the Franciscan monastery, opened in 1317; and in the Town Hall Square of Tallinn, Estonia, dating from at least 1422. The oldest is claimed to have been set up in 1221 in the Church of Santa Maria Novella in Florence, Italy, which now houses a perfume museum. The medieval Esteve Pharmacy, located in Llívia, a Catalan enclave close to Puigcerdà, also now a museum, dates back to the 15th century, keeping albarellos from the 16th and 17th centuries, old prescription books and antique drugs.</t>
  </si>
  <si>
    <t>the ability to pursue valued goals</t>
  </si>
  <si>
    <t>the Mexico–United States border</t>
  </si>
  <si>
    <t>neither conscientious nor of social benefit</t>
  </si>
  <si>
    <t>Brocard's conjecture</t>
  </si>
  <si>
    <t>What is located within this district?</t>
  </si>
  <si>
    <t>threat of war</t>
  </si>
  <si>
    <t>What do high levels of inequality  prevent beyond economic prosperity?</t>
  </si>
  <si>
    <t>The Reconstruction of Religious Thought in Islam</t>
  </si>
  <si>
    <t>four public charter schools</t>
  </si>
  <si>
    <t>The correlation between capitalism, aristocracy, and imperialism has long been debated among historians and political theorists. Much of the debate was pioneered by such theorists as J. A. Hobson (1858–1940), Joseph Schumpeter (1883–1950), Thorstein Veblen (1857–1929), and Norman Angell (1872–1967).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</si>
  <si>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a half-penny sales tax</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</si>
  <si>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</si>
  <si>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What do some theories claim about civil disobedience?</t>
  </si>
  <si>
    <t>For most of human history higher material living standards – full stomachs, access to clean water and warmth from fuel – led to better health and longer lives. This pattern of higher incomes-longer lives still holds among poorer countries, where life expectancy increases rapidly as per capita income increases, but in recent decades it has slowed down among middle income countries and plateaued among the richest thirty or so countries in the world. Americans live no longer on average (about 77 years in 2004) than Greeks (78 years) or New Zealanders (78), though the USA has a higher GDP per capita. Life expectancy in Sweden (80 years) and Japan (82) – where income was more equally distributed – was longer.</t>
  </si>
  <si>
    <t xml:space="preserve">What are the three major types of rock? </t>
  </si>
  <si>
    <t>mantle</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</si>
  <si>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</si>
  <si>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Kong Duancao</t>
  </si>
  <si>
    <t>Who gave their name to Normandy in the 1000's and 1100's</t>
  </si>
  <si>
    <t>Some forms of civil disobedience, such as illegal boycotts, refusals to pay taxes, draft dodging, distributed denial-of-service attacks, and sit-ins, make it more difficult for a system to function. In this way, they might be considered coercive. Brownlee notes that "although civil disobedients are constrained in their use of coercion by their conscientious aim to engage in moral dialogue, nevertheless they may find it necessary to employ limited coercion in order to get their issue onto the table." The Plowshares organization temporarily closed GCSB Waihopai by padlocking the gates and using sickles to deflate one of the large domes covering two satellite dishes.</t>
  </si>
  <si>
    <t>Chemical</t>
  </si>
  <si>
    <t>University of Chicago scholars played a major part in what development?</t>
  </si>
  <si>
    <t>aerospace</t>
  </si>
  <si>
    <t>What was Thoreau's punishment for not paying his taxes?</t>
  </si>
  <si>
    <t>probabilistic (or "Monte Carlo")</t>
  </si>
  <si>
    <t>Germanic tribes crossed the Rhine in the Migration period, by the 5th century establishing the kingdoms of Francia on the Lower Rhine, Burgundy on the Upper Rhine and Alemannia on the High Rhine. This "Germanic Heroic Age" is reflected in medieval legend, such as the Nibelungenlied which tells of the hero Siegfried killing a dragon on the Drachenfels (Siebengebirge) ("dragons rock"), near Bonn at the Rhine and of the Burgundians and their court at Worms, at the Rhine and Kriemhild's golden treasure, which was thrown into the Rhine by Hagen.</t>
  </si>
  <si>
    <t>To what level would the polynomial time hierarchy collapse if graph isomorphism is NP-complete?</t>
  </si>
  <si>
    <t>granted the Protestants equality with Catholics under the throne and a degree of religious and political freedom within their domains</t>
  </si>
  <si>
    <t>lost money</t>
  </si>
  <si>
    <t>two public agencies, especially two equally sovereign branches of government, conflict</t>
  </si>
  <si>
    <t>police and the armed forces</t>
  </si>
  <si>
    <t>briefing B-265</t>
  </si>
  <si>
    <t>What were British plans against French?</t>
  </si>
  <si>
    <t>Name one country that banned boating, driving and flying on Sundays.</t>
  </si>
  <si>
    <t>vote</t>
  </si>
  <si>
    <t>In addition to identifying rocks in the field, petrologists identify rock samples in the laboratory. Two of the primary methods for identifying rocks in the laboratory are through optical microscopy and by using an electron microprobe. In an optical mineralogy analysis, thin sections of rock samples are analyzed through a petrographic microscope, where the minerals can be identified through their different properties in plane-polarized and cross-polarized light, including their birefringence, pleochroism, twinning, and interference properties with a conoscopic lens. In the electron microprobe, individual locations are analyzed for their exact chemical compositions and variation in composition within individual crystals. Stable and radioactive isotope studies provide insight into the geochemical evolution of rock units.</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</si>
  <si>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</si>
  <si>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Commission v Italy the Court of Justice</t>
  </si>
  <si>
    <t>British telecommunications company</t>
  </si>
  <si>
    <t>What house was the site of a weaving school in Canterbury?</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</si>
  <si>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</si>
  <si>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What was done to counteract the overpopulation of mnemiopsis in The Black Sea?</t>
  </si>
  <si>
    <t>to submit to the punishment prescribed by law</t>
  </si>
  <si>
    <t>What is the glacial alpine valley known as?</t>
  </si>
  <si>
    <t xml:space="preserve">How many types of X.25 networks were there originally </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</si>
  <si>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</si>
  <si>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The idea of acquired immunity in jawed vertebrates is the basis of what medical treatment?</t>
  </si>
  <si>
    <t>Generally speaking, what size are the earthquakes that hit southern California?</t>
  </si>
  <si>
    <t>William of Montreuil</t>
  </si>
  <si>
    <t>the same procedures as for IPCC Assessment Reports</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</si>
  <si>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</si>
  <si>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it must be issued for a legitimate medical purpose by a licensed practitioner acting in the course of legitimate doctor-patient relationship</t>
  </si>
  <si>
    <t>win an acquittal and avoid imprisonment</t>
  </si>
  <si>
    <t>Who reigned over the Ottoman empire when it was at its most powerful.</t>
  </si>
  <si>
    <t>1568–1609</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</si>
  <si>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</si>
  <si>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Ctenophores form an animal phylum that is more complex than sponges, about as complex as cnidarians (jellyfish, sea anemones, etc.), and less complex than bilaterians (which include almost all other animals). Unlike sponges, both ctenophores and cnidarians have: cells bound by inter-cell connections and carpet-like basement membranes; muscles; nervous systems; and some have sensory organs. Ctenophores are distinguished from all other animals by having colloblasts, which are sticky and adhere to prey, although a few ctenophore species lack them.</t>
  </si>
  <si>
    <t>dealing with patients' prescriptions and patient safety issues</t>
  </si>
  <si>
    <t>These studies were widely presented as demonstrating that the current warming period is exceptional in comparison to temperatures between 1000 and 1900, and the MBH99 based graph featured in publicity. Even at the draft stage, this finding was disputed by contrarians: in May 2000 Fred Singer's Science and Environmental Policy Project held a press event on Capitol Hill, Washington, D.C., featuring comments on the graph Wibjörn Karlén and Singer argued against the graph at a United States Senate Committee on Commerce, Science and Transportation hearing on 18 July 2000. Contrarian John Lawrence Daly featured a modified version of the IPCC 1990 schematic, which he mis-identified as appearing in the IPCC 1995 report, and argued that "Overturning its own previous view in the 1995 report, the IPCC presented the 'Hockey Stick' as the new orthodoxy with hardly an apology or explanation for the abrupt U-turn since its 1995 report". Criticism of the MBH99 reconstruction in a review paper, which was quickly discredited in the Soon and Baliunas controversy, was picked up by the Bush administration, and a Senate speech by US Republican senator James Inhofe alleged that "manmade global warming is the greatest hoax ever perpetrated on the American people". The data and methodology used to produce the "hockey stick graph" was criticized in papers by Stephen McIntyre and Ross McKitrick, and in turn the criticisms in these papers were examined by other studies and comprehensively refuted by Wahl &amp; Ammann 2007, which showed errors in the methods used by McIntyre and McKitrick.</t>
  </si>
  <si>
    <t xml:space="preserve">What was developed for the Air Force </t>
  </si>
  <si>
    <t>What theorem was implicated by Manuel Blum's axioms?</t>
  </si>
  <si>
    <t>How are most city officials elected after the 1960s</t>
  </si>
  <si>
    <t>the former Strathclyde Regional Council debating chamber</t>
  </si>
  <si>
    <t>Proving that any of these classes are unequal</t>
  </si>
  <si>
    <t>produce water currents that help direct microscopic prey toward the mouth</t>
  </si>
  <si>
    <t>the Lisbon Treaty</t>
  </si>
  <si>
    <t>The passage of what act gave Victoria its own government?</t>
  </si>
  <si>
    <t>Development of the fertilized eggs is direct, in other words there is no distinctive larval form, and juveniles of all groups generally resemble miniature cydippid adults. In the genus Beroe the juveniles, like the adults, lack tentacles and tentacle sheaths. In most species the juveniles gradually develop the body forms of their parents. In some groups, such as the flat, bottom-dwelling platyctenids, the juveniles behave more like true larvae, as they live among the plankton and thus occupy a different ecological niche from their parents and attain the adult form by a more radical metamorphosis, after dropping to the sea-floor.</t>
  </si>
  <si>
    <t>turbulent history of the city and country</t>
  </si>
  <si>
    <t>What other business district does Orange County envelop outside of Downtown Santa Ana and Newport Center?</t>
  </si>
  <si>
    <t>After its re-opening, which types of movies did the Tower Theatre show?</t>
  </si>
  <si>
    <t>William III of Orange</t>
  </si>
  <si>
    <t>The Mongols' extensive West Asian and European contacts</t>
  </si>
  <si>
    <t>a proprietary suite of networking protocols developed by Apple Inc</t>
  </si>
  <si>
    <t>naval Battle of the Restigouche</t>
  </si>
  <si>
    <t>get their issue onto the table</t>
  </si>
  <si>
    <t>a small portion of the population lives off unearned property income</t>
  </si>
  <si>
    <t>Thomas Reid and Dugald Stewart</t>
  </si>
  <si>
    <t>powers that are "reserved" to the Parliament of the United Kingdom</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</si>
  <si>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</si>
  <si>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What does colonialism lack that imperialism has?</t>
  </si>
  <si>
    <t>The Internet2 community, in partnership with Qwest</t>
  </si>
  <si>
    <t>What issue has been plaguing the civil disobedience movement.</t>
  </si>
  <si>
    <t>substitution of capital equipment for labor</t>
  </si>
  <si>
    <t>no jail time</t>
  </si>
  <si>
    <t>What are the antimicrobial peptides that are the main form of invertebrate systemic immunity called?</t>
  </si>
  <si>
    <t>How can any knot be distinctively indicated?</t>
  </si>
  <si>
    <t>What is one avenue being compensated for by having committees serve such a large role?</t>
  </si>
  <si>
    <t>Imperialism and colonialism both assert a states dominance over what?</t>
  </si>
  <si>
    <t xml:space="preserve">What were the years two Regulations that conflicted with an Italian law originate in the Simmenthal SpA case? </t>
  </si>
  <si>
    <t>San Joaquin Valley Railroad</t>
  </si>
  <si>
    <t>What is another term used for year 13?</t>
  </si>
  <si>
    <t>How many public charter schools does the university run?</t>
  </si>
  <si>
    <t>any member of the Scottish Government</t>
  </si>
  <si>
    <t>3600 revolutions per minute</t>
  </si>
  <si>
    <t>John Paul II</t>
  </si>
  <si>
    <t>From Italy, the disease spread northwest across Europe, striking France, Spain, Portugal and England by June 1348, then turned and spread east through Germany and Scandinavia from 1348 to 1350. It was introduced in Norway in 1349 when a ship landed at Askøy, then spread to Bjørgvin (modern Bergen) and Iceland. Finally it spread to northwestern Russia in 1351. The plague was somewhat less common in parts of Europe that had smaller trade relations with their neighbours, including the Kingdom of Poland, the majority of the Basque Country, isolated parts of Belgium and the Netherlands, and isolated alpine villages throughout the continent.</t>
  </si>
  <si>
    <t>internal migration and urbanisation</t>
  </si>
  <si>
    <t>What conviction motivated Eliot to move towards secularization?</t>
  </si>
  <si>
    <t>both sides withdrawing from the field</t>
  </si>
  <si>
    <t>Islamism</t>
  </si>
  <si>
    <t>What are other alternative names for French and Indian War?</t>
  </si>
  <si>
    <t>What does matter actually have that Newtonian mechanics doesn't address?</t>
  </si>
  <si>
    <t>104 °F</t>
  </si>
  <si>
    <t>provide better absolute bounds on the timing and rates of deposition</t>
  </si>
  <si>
    <t>a lower level of economic utility in society</t>
  </si>
  <si>
    <t>wet</t>
  </si>
  <si>
    <t>Hospitality Business/Financial Centre</t>
  </si>
  <si>
    <t>by intermediate network nodes asynchronously using first-in, first-out buffering, but may be forwarded according to some scheduling discipline for fair queuing</t>
  </si>
  <si>
    <t>make a defiant speech, or a speech explaining their actions,</t>
  </si>
  <si>
    <t>the European Court</t>
  </si>
  <si>
    <t>What is an example of a mechanical barrier on leaves?</t>
  </si>
  <si>
    <t>the journal Nature</t>
  </si>
  <si>
    <t>three bodies of water</t>
  </si>
  <si>
    <t>Other than the 1980s, in which decade did most of San Bernardino and Riverside Counties develop?</t>
  </si>
  <si>
    <t>Lower Rhine</t>
  </si>
  <si>
    <t>School of Social Service Administration</t>
  </si>
  <si>
    <t>certain number of teacher's salaries are paid by the State</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</si>
  <si>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</si>
  <si>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ambiguity</t>
  </si>
  <si>
    <t>prefabricated</t>
  </si>
  <si>
    <t>regional burden sharing conflicts</t>
  </si>
  <si>
    <t>Mongol peace</t>
  </si>
  <si>
    <t>sent Dieskau to Fort St. Frédéric</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</si>
  <si>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</si>
  <si>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flattened</t>
  </si>
  <si>
    <t>to distract Montcalm</t>
  </si>
  <si>
    <t>What gorge is between the Bingen and Bonn?</t>
  </si>
  <si>
    <t>The Tower District is centered around which historic theatre?</t>
  </si>
  <si>
    <t>Indirect civil disobedience</t>
  </si>
  <si>
    <t>reflects the desire to encourage consensus amongst elected members</t>
  </si>
  <si>
    <t>What should be the main goal of not using punishment in a just system?</t>
  </si>
  <si>
    <t>Besides the study of prime numbers, what general theory was considered the official example of pure mathematics?</t>
  </si>
  <si>
    <t>The complexity of problems often depends on what?</t>
  </si>
  <si>
    <t>Burlington Northern Santa Fe Railway and Union Pacific Railroad</t>
  </si>
  <si>
    <t>individually, sometimes resulting in different paths and out-of-order delivery</t>
  </si>
  <si>
    <t>Environmentalists are concerned about loss of biodiversity that will result from destruction of the forest, and also about the release of the carbon contained within the vegetation, which could accelerate global warming. Amazonian evergreen forests account for about 10% of the world's terrestrial primary productivity and 10% of the carbon stores in ecosystems—of the order of 1.1 × 1011 metric tonnes of carbon. Amazonian forests are estimated to have accumulated 0.62 ± 0.37 tons of carbon per hectare per year between 1975 and 1996.</t>
  </si>
  <si>
    <t>mermaid</t>
  </si>
  <si>
    <t>What do the strains of y. pestis suggest abut the plague?</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</si>
  <si>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</si>
  <si>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Who published the State of the Planet 2008-2009 report?</t>
  </si>
  <si>
    <t>punish the Miami people of Pickawillany for not following Céloron's orders to cease trading with the British</t>
  </si>
  <si>
    <t>Stadtholder William III of Orange</t>
  </si>
  <si>
    <t>a better relevant income.</t>
  </si>
  <si>
    <t>Where might the doctor's self-interest be at odds with the patient's self-interest?</t>
  </si>
  <si>
    <t>middle eastern scientists</t>
  </si>
  <si>
    <t>use the proceedings as a forum</t>
  </si>
  <si>
    <t>the direction of making it seem like climate change is more serious</t>
  </si>
  <si>
    <t>Extension</t>
  </si>
  <si>
    <t>Allston Science Complex</t>
  </si>
  <si>
    <t>Former IPCC chairman Robert Watson has said "The mistakes all appear to have gone in the direction of making it seem like climate change is more serious by overstating the impact. That is worrying. The IPCC needs to look at this trend in the errors and ask why it happened". Martin Parry, a climate expert who had been co-chair of the IPCC working group II, said that "What began with a single unfortunate error over Himalayan glaciers has become a clamour without substance" and the IPCC had investigated the other alleged mistakes, which were "generally unfounded and also marginal to the assessment".</t>
  </si>
  <si>
    <t>no known polynomial-time solution</t>
  </si>
  <si>
    <t>76,000 to 540,000</t>
  </si>
  <si>
    <t>Passenger rail service is provided by Amtrak San Joaquins. The main passenger rail station is the recently renovated historic Santa Fe Railroad Depot in Downtown Fresno. The Bakersfield-Stockton mainlines of the Burlington Northern Santa Fe Railway and Union Pacific Railroad railroads cross in Fresno, and both railroads maintain railyards within the city; the San Joaquin Valley Railroad also operates former Southern Pacific branchlines heading west and south out of the city. The city of Fresno is planned to serve the future California High Speed Rail.</t>
  </si>
  <si>
    <t>The most basic method of checking the primality of a given integer n is called trial division. This routine consists of dividing n by each integer m that is greater than 1 and less than or equal to the square root of n. If the result of any of these divisions is an integer, then n is not a prime, otherwise it is a prime. Indeed, if  is composite (with a and b ≠ 1) then one of the factors a or b is necessarily at most . For example, for , the trial divisions are by m = 2, 3, 4, 5, and 6. None of these numbers divides 37, so 37 is prime. This routine can be implemented more efficiently if a complete list of primes up to  is known—then trial divisions need to be checked only for those m that are prime. For example, to check the primality of 37, only three divisions are necessary (m = 2, 3, and 5), given that 4 and 6 are composite.</t>
  </si>
  <si>
    <t>What is the highest peak in Victoria?</t>
  </si>
  <si>
    <t>The edict protected Catholics by discouraging what?</t>
  </si>
  <si>
    <t>Guilt implies wrong-doing</t>
  </si>
  <si>
    <t>What are ctenophora commonly known as?</t>
  </si>
  <si>
    <t>the Financial crisis of 2007–08</t>
  </si>
  <si>
    <t>How did the Islamic Group's campaign to overthrow the government turn out?</t>
  </si>
  <si>
    <t>location</t>
  </si>
  <si>
    <t>the rat population was insufficient</t>
  </si>
  <si>
    <t>most cost efficient bidder</t>
  </si>
  <si>
    <t>blockade French ports, sent out their fleet in February 1755</t>
  </si>
  <si>
    <t>the Parliament of Victoria</t>
  </si>
  <si>
    <t>Which country was thinking about going to war to forcibly take Middle Eastern oil fields?</t>
  </si>
  <si>
    <t>What administration did Ludwig Mies van der Rohe designa buiding?</t>
  </si>
  <si>
    <t>Mongol and Turkic tribes</t>
  </si>
  <si>
    <t>Southern California's economy can be described as one of the largest in the United States and what other characteristic?</t>
  </si>
  <si>
    <t>What was the UK governments benefits agenchy checking in 2012?</t>
  </si>
  <si>
    <t>commercial, scientific, and cultural</t>
  </si>
  <si>
    <t>What members typically open debates?</t>
  </si>
  <si>
    <t>informed Céloron that they owned the Ohio Country and that they would trade with the British</t>
  </si>
  <si>
    <t>What may be possible for multiple Kuznets' cycles to be in at any given time?</t>
  </si>
  <si>
    <t>What is one part of the innate immune system that doesn't attack microbes directly?</t>
  </si>
  <si>
    <t>Did the plague spread in Scandinavia or Germany first?</t>
  </si>
  <si>
    <t>Transform</t>
  </si>
  <si>
    <t>What types of programs help to redistribute wealth?</t>
  </si>
  <si>
    <t>cylinders and valve gear</t>
  </si>
  <si>
    <t>Ohio Company</t>
  </si>
  <si>
    <t>What monument is in memory of the largest insurrection of WWII?</t>
  </si>
  <si>
    <t>Other theories of the word's origin can be generally classed as what?</t>
  </si>
  <si>
    <t>By whom is European Law applied by?</t>
  </si>
  <si>
    <t>areas cleared of forest are visible to the naked eye</t>
  </si>
  <si>
    <t>University of Chicago College Bowl Team</t>
  </si>
  <si>
    <t>anthropological</t>
  </si>
  <si>
    <t>Class I MHC molecules</t>
  </si>
  <si>
    <t>The use of remote sensing for the conservation of the Amazon is also being used by the indigenous tribes of the basin to protect their tribal lands from commercial interests. Using handheld GPS devices and programs like Google Earth, members of the Trio Tribe, who live in the rainforests of southern Suriname, map out their ancestral lands to help strengthen their territorial claims. Currently, most tribes in the Amazon do not have clearly defined boundaries, making it easier for commercial ventures to target their territories.</t>
  </si>
  <si>
    <t>Seine</t>
  </si>
  <si>
    <t>Oxygen is the most abundant chemical element by mass in the Earth's biosphere, air, sea and land. Oxygen is the third most abundant chemical element in the universe, after hydrogen and helium. About 0.9% of the Sun's mass is oxygen. Oxygen constitutes 49.2% of the Earth's crust by mass and is the major component of the world's oceans (88.8% by mass). Oxygen gas is the second most common component of the Earth's atmosphere, taking up 20.8% of its volume and 23.1% of its mass (some 1015 tonnes).[d] Earth is unusual among the planets of the Solar System in having such a high concentration of oxygen gas in its atmosphere: Mars (with 0.1% O
2 by volume) and Venus have far lower concentrations. The O
2 surrounding these other planets is produced solely by ultraviolet radiation impacting oxygen-containing molecules such as carbon dioxide.</t>
  </si>
  <si>
    <t>harder</t>
  </si>
  <si>
    <t>How many piston strokes occur in an engine cycle?</t>
  </si>
  <si>
    <t>depopulation and permanent change in both economic and social structures</t>
  </si>
  <si>
    <t>declare martial law</t>
  </si>
  <si>
    <t>smaller, weaker swimmers such as rotifers and mollusc and crustacean larvae</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</si>
  <si>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</si>
  <si>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Fryderyk Chopin University of Music</t>
  </si>
  <si>
    <t>Where did British resettle many Acadians?</t>
  </si>
  <si>
    <t xml:space="preserve">Funding limitations allowed CSNET to be what </t>
  </si>
  <si>
    <t>November 1979</t>
  </si>
  <si>
    <t>Why did the 5th president of the university decide to get rid of the football program?</t>
  </si>
  <si>
    <t>whether it would do more harm than good</t>
  </si>
  <si>
    <t>What criticism in NY times article that impacts the quality of Education at Harvard?</t>
  </si>
  <si>
    <t>What was the Jacksonville fire later known as?</t>
  </si>
  <si>
    <t>After the Oligocene period, under what period did the amazon rainforest begin to expand?</t>
  </si>
  <si>
    <t>increasing unemployment</t>
  </si>
  <si>
    <t>Who was the leader when the Franks entered the Euphrates valley?</t>
  </si>
  <si>
    <t>Southern California is home to Los Angeles International Airport, the second-busiest airport in the United States by passenger volume (see World's busiest airports by passenger traffic) and the third by international passenger volume (see Busiest airports in the United States by international passenger traffic); San Diego International Airport the busiest single runway airport in the world; Van Nuys Airport, the world's busiest general aviation airport; major commercial airports at Orange County, Bakersfield, Ontario, Burbank and Long Beach; and numerous smaller commercial and general aviation airports.</t>
  </si>
  <si>
    <t>What can the growth elasticity of poverty depend on?</t>
  </si>
  <si>
    <t>When a consolidation referendum was held in 1967, voters approved the plan. On October 1, 1968, the governments merged to create the Consolidated City of Jacksonville. Fire, police, health &amp; welfare, recreation, public works, and housing &amp; urban development were all combined under the new government. In honor of the occasion, then-Mayor Hans Tanzler posed with actress Lee Meredith behind a sign marking the new border of the "Bold New City of the South" at Florida 13 and Julington Creek. The Better Jacksonville Plan, promoted as a blueprint for Jacksonville's future and approved by Jacksonville voters in 2000, authorized a half-penny sales tax. This would generate most of the revenue required for the $2.25 billion package of major projects that included road &amp; infrastructure improvements, environmental preservation, targeted economic development and new or improved public facilities.</t>
  </si>
  <si>
    <t>What problems did the Yuan dynasty have near its end?</t>
  </si>
  <si>
    <t>What responsibilities were pharmacy technicians formerly limited to?</t>
  </si>
  <si>
    <t>various academic disciplines</t>
  </si>
  <si>
    <t>substantially increasing the atmospheric concentrations of the greenhouse gases</t>
  </si>
  <si>
    <t>cnidarians</t>
  </si>
  <si>
    <t>Along with Muslims, Jews and Protestant Christians, what religious group notably operates private schools?</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</si>
  <si>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</si>
  <si>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Who was in charge of the papal army in the War of Barbastro?</t>
  </si>
  <si>
    <t>At Millingen aan de Rijn where the Rhine splits, what does it change it's name to?</t>
  </si>
  <si>
    <t>Civil disobedients have chosen a variety of different illegal acts. Bedau writes, "There is a whole class of acts, undertaken in the name of civil disobedience, which, even if they were widely practiced, would in themselves constitute hardly more than a nuisance (e.g. trespassing at a nuclear-missile installation)...Such acts are often just a harassment and, at least to the bystander, somewhat inane...The remoteness of the connection between the disobedient act and the objectionable law lays such acts open to the charge of ineffectiveness and absurdity." Bedau also notes, though, that the very harmlessness of such entirely symbolic illegal protests toward public policy goals may serve a propaganda purpose. Some civil disobedients, such as the proprietors of illegal medical cannabis dispensaries and Voice in the Wilderness, which brought medicine to Iraq without the permission of the U.S. Government, directly achieve a desired social goal (such as the provision of medication to the sick) while openly breaking the law. Julia Butterfly Hill lived in Luna, a 180-foot (55 m)-tall, 600-year-old California Redwood tree for 738 days, successfully preventing it from being cut down.</t>
  </si>
  <si>
    <t>How many miles across the Atlantic Ocean does Saharan dust travel?</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</si>
  <si>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</si>
  <si>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</si>
  <si>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European Parliament and the Council of the European Union</t>
  </si>
  <si>
    <t>law and philosophy</t>
  </si>
  <si>
    <t>both adaptive and innate</t>
  </si>
  <si>
    <t>adaptive and innate immune responses</t>
  </si>
  <si>
    <t>What does Warszawa mean in Polish?</t>
  </si>
  <si>
    <t>Who was the medical report written for?</t>
  </si>
  <si>
    <t>it ensured a high income and medical ethics were compatible with Confucian virtues</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</si>
  <si>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</si>
  <si>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very low tuition fees</t>
  </si>
  <si>
    <t>made a grade of A for all four years</t>
  </si>
  <si>
    <t>On 1 February 2007, the eve of the publication of IPCC's major report on climate, a study was published suggesting that temperatures and sea levels have been rising at or above the maximum rates proposed during the last IPCC report in 2001. The study compared IPCC 2001 projections on temperature and sea level change with observations. Over the six years studied, the actual temperature rise was near the top end of the range given by IPCC's 2001 projection, and the actual sea level rise was above the top of the range of the IPCC projection.</t>
  </si>
  <si>
    <t>gender roles and customs</t>
  </si>
  <si>
    <t>substantially increasing the atmospheric concentrations</t>
  </si>
  <si>
    <t>How are packets normally forwarded</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</si>
  <si>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</si>
  <si>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Amazonia: Man and Culture in a Counterfeit Paradise</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</si>
  <si>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</si>
  <si>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provide a fault-tolerant, efficient routing method for telecommunication messages</t>
  </si>
  <si>
    <t>What is a twin prime?</t>
  </si>
  <si>
    <t>Imperialism</t>
  </si>
  <si>
    <t>Private_school</t>
  </si>
  <si>
    <t>11–13th century AD</t>
  </si>
  <si>
    <t>What are examples of economic actors?</t>
  </si>
  <si>
    <t>Which regions have temperate climates?</t>
  </si>
  <si>
    <t>Lenin</t>
  </si>
  <si>
    <t>What happens to waste heat in the Rankine cycle?</t>
  </si>
  <si>
    <t>There is growing interest in what indigenous group in the Amazon?</t>
  </si>
  <si>
    <t>a new investigation into the role of Yersinia pestis in the Black Death</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</si>
  <si>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</si>
  <si>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southern China withstood and fought to the last</t>
  </si>
  <si>
    <t>as feeder materials</t>
  </si>
  <si>
    <t xml:space="preserve">How are the packets routed </t>
  </si>
  <si>
    <t>requested by governments.</t>
  </si>
  <si>
    <t>the revenues from the oil were not benefitting Scotland as much as they should</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</si>
  <si>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</si>
  <si>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What pope as a native of Poland?</t>
  </si>
  <si>
    <t>What is the dispensary subject to in a majority of countries?</t>
  </si>
  <si>
    <t>through various associations and other arrangements</t>
  </si>
  <si>
    <t>1870 to 1939</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</si>
  <si>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</si>
  <si>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TEU articles 4 and 5</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</si>
  <si>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</si>
  <si>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covert lawbreaking</t>
  </si>
  <si>
    <t>propose a range of preincident population figures</t>
  </si>
  <si>
    <t>Any member</t>
  </si>
  <si>
    <t>What other catalysts can be used to produce oxygen?</t>
  </si>
  <si>
    <t>Italy</t>
  </si>
  <si>
    <t>the narrow end</t>
  </si>
  <si>
    <t>propose a range of preincident population figures from as high as 7 million to as low as 4 million</t>
  </si>
  <si>
    <t>four-course rate average</t>
  </si>
  <si>
    <t>four</t>
  </si>
  <si>
    <t>sea gooseberry</t>
  </si>
  <si>
    <t>What rules does the IPCC have to follow?</t>
  </si>
  <si>
    <t>their greatest common divisor is one</t>
  </si>
  <si>
    <t xml:space="preserve"> Where did France win a war in the 1970's</t>
  </si>
  <si>
    <t>How long didn't the fighting last in Seven Years War</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</si>
  <si>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</si>
  <si>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What was the ratio of men to women at Harvard/Radcliffe?</t>
  </si>
  <si>
    <t>to win an acquittal and avoid imprisonment or a fine</t>
  </si>
  <si>
    <t>granaries were ordered built</t>
  </si>
  <si>
    <t>During the mid-Eocene, it is believed that the drainage basin of the Amazon was split along the middle of the continent by the Purus Arch. Water on the eastern side flowed toward the Atlantic, while to the west water flowed toward the Pacific across the Amazonas Basin. As the Andes Mountains rose, however, a large basin was created that enclosed a lake; now known as the Solimões Basin. Within the last 5–10 million years, this accumulating water broke through the Purus Arch, joining the easterly flow toward the Atlantic.</t>
  </si>
  <si>
    <t>What does  mnemiopsis eat?</t>
  </si>
  <si>
    <t>pressure to reduce costs and maximize profits</t>
  </si>
  <si>
    <t>second and third run movies</t>
  </si>
  <si>
    <t>By justification certain racial and geographical theories, Europe thought of itself as what?</t>
  </si>
  <si>
    <t>How old was Chopin when he moved to Warsaw with his family?</t>
  </si>
  <si>
    <t>Between 1991 and 2000, the total area of forest lost in the Amazon rose from 415,000 to 587,000 square kilometres (160,000 to 227,000 sq mi), with most of the lost forest becoming pasture for cattle. Seventy percent of formerly forested land in the Amazon, and 91% of land deforested since 1970, is used for livestock pasture. Currently, Brazil is the second-largest global producer of soybeans after the United States. New research however, conducted by Leydimere Oliveira et al., has shown that the more rainforest is logged in the Amazon, the less precipitation reaches the area and so the lower the yield per hectare becomes. So despite the popular perception, there has been no economical advantage for Brazil from logging rainforest zones and converting these to pastoral fields.</t>
  </si>
  <si>
    <t>slash and burn</t>
  </si>
  <si>
    <t>resist responding to investigators' questions</t>
  </si>
  <si>
    <t>Better Jacksonville Plan</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</si>
  <si>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</si>
  <si>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Western governments considered Islamists to be the lesser of two evils when compared to whom?</t>
  </si>
  <si>
    <t>Iqbal worried that India's mostly Hindu population would do what to Muslim heritage and culture?</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</si>
  <si>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</si>
  <si>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the Cretaceous–Paleogene extinction</t>
  </si>
  <si>
    <t>was the public switched data network operated by the Dutch PTT Telecom</t>
  </si>
  <si>
    <t>What are the factors that are contributing to the desire to have SR 99 improved to be of interstate standards?</t>
  </si>
  <si>
    <t>St. Bartholomew's Day massacre</t>
  </si>
  <si>
    <t>By how much did Jacksonville's Hispanic white population decline? Call</t>
  </si>
  <si>
    <t>John M. Grunsfeld</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</si>
  <si>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</si>
  <si>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John Dalton's original atomic hypothesis assumed that all elements were monatomic and that the atoms in compounds would normally have the simplest atomic ratios with respect to one another. For example, Dalton assumed that water's formula was HO, giving the atomic mass of oxygen as 8 times that of hydrogen, instead of the modern value of about 16. In 1805, Joseph Louis Gay-Lussac and Alexander von Humboldt showed that water is formed of two volumes of hydrogen and one volume of oxygen; and by 1811 Amedeo Avogadro had arrived at the correct interpretation of water's composition, based on what is now called Avogadro's law and the assumption of diatomic elemental molecules.[a]</t>
  </si>
  <si>
    <t xml:space="preserve">Why is the node requiered to look up </t>
  </si>
  <si>
    <t>the Doctor of Pharmacy (Pharm. D.) degree</t>
  </si>
  <si>
    <t>assisting in fabricating evidence or committing perjury</t>
  </si>
  <si>
    <t>Eternal Heaven</t>
  </si>
  <si>
    <t>Natural killer cells recognize cells that should be targeted by a condition known as what?</t>
  </si>
  <si>
    <t>What formation has an asymmetrical pattern of different terraces?</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</si>
  <si>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</si>
  <si>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</si>
  <si>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attacked the British column, killing and capturing several hundred men, women, children, and slaves.</t>
  </si>
  <si>
    <t>What is another notable university in Warsaw after the University of Warsaw?</t>
  </si>
  <si>
    <t>Ctenophores may be abundant during the summer months in some coastal locations, but in other places they are uncommon and difficult to find. In bays where they occur in very high numbers, predation by ctenophores may control the populations of small zooplanktonic organisms such as copepods, which might otherwise wipe out the phytoplankton (planktonic plants), which are a vital part of marine food chains. One ctenophore, Mnemiopsis, has accidentally been introduced into the Black Sea, where it is blamed for causing fish stocks to collapse by eating both fish larvae and organisms that would otherwise have fed the fish. The situation was aggravated by other factors, such as over-fishing and long-term environmental changes that promoted the growth of the Mnemiopsis population. The later accidental introduction of Beroe helped to mitigate the problem, as Beroe preys on other ctenophores.</t>
  </si>
  <si>
    <t>What is issued once construction is complete and a final inspection has been passed?</t>
  </si>
  <si>
    <t>an attempt to emphasize academics over athletics</t>
  </si>
  <si>
    <t>multiple paths between any two points</t>
  </si>
  <si>
    <t>What type of authority are ambulatory care pharmacists given in the U.S. federal health care system?</t>
  </si>
  <si>
    <t>three major offensive actions</t>
  </si>
  <si>
    <t>What can people work towards if they aren't denied their functionings, capabilities and agency?</t>
  </si>
  <si>
    <t>the accidental introduction of the Mnemiopsis-eating North American ctenophore Beroe ovata</t>
  </si>
  <si>
    <t>For many geologic applications, isotope ratios of radioactive elements are measured in minerals that give the amount of time that has passed since a rock passed through its particular closure temperature, the point at which different radiometric isotopes stop diffusing into and out of the crystal lattice. These are used in geochronologic and thermochronologic studies. Common methods include uranium-lead dating, potassium-argon dating, argon-argon dating and uranium-thorium dating. These methods are used for a variety of applications. Dating of lava and volcanic ash layers found within a stratigraphic sequence can provide absolute age data for sedimentary rock units which do not contain radioactive isotopes and calibrate relative dating techniques. These methods can also be used to determine ages of pluton emplacement. Thermochemical techniques can be used to determine temperature profiles within the crust, the uplift of mountain ranges, and paleotopography.</t>
  </si>
  <si>
    <t>circuit switching is characterized by a fee per unit of connection time</t>
  </si>
  <si>
    <t>Han Chinese, Khitans, Jurchens, Mongols, and Tibetan Buddhists</t>
  </si>
  <si>
    <t>Are there any regions where the Treaty of European Union excludes from jurisdiction?</t>
  </si>
  <si>
    <t>Who owns more wealth than the bottom 90 percent of people in the U.S.?</t>
  </si>
  <si>
    <t xml:space="preserve">What use was suggested for the system </t>
  </si>
  <si>
    <t>Bricks for Warsaw</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</si>
  <si>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Łazienki park (a didactic-research unit of the University of Warsaw) as well as by the Park of Culture and Rest in Powsin (a unit of the Polish Academy of Science).</t>
  </si>
  <si>
    <t>to avoid being targeted by the boycott</t>
  </si>
  <si>
    <t>proposing that action be taken</t>
  </si>
  <si>
    <t>it has survived many wars, conflicts and invasions</t>
  </si>
  <si>
    <t>Alan Dershowitz and Lawrence Lessig</t>
  </si>
  <si>
    <t>second and third run movies, along with classic films</t>
  </si>
  <si>
    <t>third-most</t>
  </si>
  <si>
    <t>Where did Iroquois Confederation control?</t>
  </si>
  <si>
    <t>In the mid-1960s, corruption scandals began to arise among many of the city's officials, who were mainly elected through the traditional old boy network. After a grand jury was convened to investigate, 11 officials were indicted and more were forced to resign. Jacksonville Consolidation, led by J. J. Daniel and Claude Yates, began to win more support during this period, from both inner city blacks, who wanted more involvement in government, and whites in the suburbs, who wanted more services and more control over the central city. In 1964 all 15 of Duval County's public high schools lost their accreditation. This added momentum to proposals for government reform. Lower taxes, increased economic development, unification of the community, better public spending and effective administration by a more central authority were all cited as reasons for a new consolidated government.</t>
  </si>
  <si>
    <t>Wealth concentration is a theoretical[according to whom?] process by which, under certain conditions, newly created wealth concentrates in the possession of already-wealthy individuals or entities. According to this theory, those who already hold wealth have the means to invest in new sources of creating wealth or to otherwise leverage the accumulation of wealth, thus are the beneficiaries of the new wealth. Over time, wealth condensation can significantly contribute to the persistence of inequality within society. Thomas Piketty in his book Capital in the Twenty-First Century argues that the fundamental force for divergence is the usually greater return of capital (r) than economic growth (g), and that larger fortunes generate higher returns [pp. 384 Table 12.2, U.S. university endowment size vs. real annual rate of return]</t>
  </si>
  <si>
    <t>What is featured on the city of Fresno's city flag?</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</si>
  <si>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Dartmouth—which used a computer on loan from GE—could be profitable. Warner was right.)</t>
  </si>
  <si>
    <t>the lack of a Parliament of Scotland</t>
  </si>
  <si>
    <t>Vosges Mountains</t>
  </si>
  <si>
    <t>“capability deprivation”</t>
  </si>
  <si>
    <t>Why was there a depreciation of the industrialized nations dollars?</t>
  </si>
  <si>
    <t>deprived of earning as much</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</si>
  <si>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</si>
  <si>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small-business proprietors</t>
  </si>
  <si>
    <t>What kind of sending technology is being used to protect tribal lands in the Amazon?</t>
  </si>
  <si>
    <t>could not master written Chinese, but they could generally converse well</t>
  </si>
  <si>
    <t>It is uncertain how ctenophores control their buoyancy, but experiments have shown that some species rely on osmotic pressure to adapt to water of different densities. Their body fluids are normally as concentrated as seawater. If they enter less dense brackish water, the ciliary rosettes in the body cavity may pump this into the mesoglea to increase its bulk and decrease its density, to avoid sinking. Conversely if they move from brackish to full-strength seawater, the rosettes may pump water out of the mesoglea to reduce its volume and increase its density.</t>
  </si>
  <si>
    <t>Another cause is the rate at which income is taxed coupled with the progressivity of the tax system. A progressive tax is a tax by which the tax rate increases as the taxable base amount increases. In a progressive tax system, the level of the top tax rate will often have a direct impact on the level of inequality within a society, either increasing it or decreasing it, provided that income does not change as a result of the change in tax regime. Additionally, steeper tax progressivity applied to social spending can result in a more equal distribution of income across the board. The difference between the Gini index for an income distribution before taxation and the Gini index after taxation is an indicator for the effects of such taxation.</t>
  </si>
  <si>
    <t>Which tribes did Genghis Khan unite?</t>
  </si>
  <si>
    <t>The neighborhood includes Kearney Boulevard, named after early 20th century entrepreneur and millionaire M. Theo Kearney, which extends from Fresno Street in Southwest Fresno about 20 mi (32 km) west to Kerman, California. A small, two-lane rural road for most of its length, Kearney Boulevard is lined with tall palm trees. The roughly half-mile stretch of Kearney Boulevard between Fresno Street and Thorne Ave was at one time the preferred neighborhood for Fresno's elite African-American families. Another section, Brookhaven, on the southern edge of the West Side south of Jensen and west of Elm, was given the name by the Fresno City Council in an effort to revitalize the neighborhood's image. The isolated subdivision was for years known as the "Dogg Pound" in reference to a local gang, and as of late 2008 was still known for high levels of violent crime.</t>
  </si>
  <si>
    <t>What did Lavoisier perceive the air had lost as much as the tin had gained</t>
  </si>
  <si>
    <t>What type of locomotive was Salamanca?</t>
  </si>
  <si>
    <t>What do Beriods use as teeth?</t>
  </si>
  <si>
    <t>What kinds of growth did Kublai encourage?</t>
  </si>
  <si>
    <t>pharmacists cannot form business partnerships with physicians or give them "kickback" payments</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</si>
  <si>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</si>
  <si>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</si>
  <si>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the twin prime conjecture</t>
  </si>
  <si>
    <t>by a fee per unit of information transmitted</t>
  </si>
  <si>
    <t>Oxygen storage methods include high pressure oxygen tanks, cryogenics and chemical compounds. For reasons of economy, oxygen is often transported in bulk as a liquid in specially insulated tankers, since one liter of liquefied oxygen is equivalent to 840 liters of gaseous oxygen at atmospheric pressure and 20 °C (68 °F). Such tankers are used to refill bulk liquid oxygen storage containers, which stand outside hospitals and other institutions with a need for large volumes of pure oxygen gas. Liquid oxygen is passed through heat exchangers, which convert the cryogenic liquid into gas before it enters the building. Oxygen is also stored and shipped in smaller cylinders containing the compressed gas; a form that is useful in certain portable medical applications and oxy-fuel welding and cutting.</t>
  </si>
  <si>
    <t>In the 1890s, the University of Chicago, fearful that its vast resources would injure smaller schools by drawing away good students, affiliated with several regional colleges and universities: Des Moines College, Kalamazoo College, Butler University, and Stetson University. In 1896, the university affiliated with Shimer College in Mount Carroll, Illinois. Under the terms of the affiliation, the schools were required to have courses of study comparable to those at the university, to notify the university early of any contemplated faculty appointments or dismissals, to make no faculty appointment without the university's approval, and to send copies of examinations for suggestions. The University of Chicago agreed to confer a degree on any graduating senior from an affiliated school who made a grade of A for all four years, and on any other graduate who took twelve weeks additional study at the University of Chicago. A student or faculty member of an affiliated school was entitled to free tuition at the University of Chicago, and Chicago students were eligible to attend an affiliated school on the same terms and receive credit for their work. The University of Chicago also agreed to provide affiliated schools with books and scientific apparatus and supplies at cost; special instructors and lecturers without cost except travel expenses; and a copy of every book and journal published by the University of Chicago Press at no cost. The agreement provided that either party could terminate the affiliation on proper notice. Several University of Chicago professors disliked the program, as it involved uncompensated additional labor on their part, and they believed it cheapened the academic reputation of the university. The program passed into history by 1910.</t>
  </si>
  <si>
    <t>ocean liners</t>
  </si>
  <si>
    <t>Skirmish of the Brick Church</t>
  </si>
  <si>
    <t>Where did the first Huguenot colonists settle?</t>
  </si>
  <si>
    <t>In 1900, the Los Angeles Times defined southern California as including "the seven counties of Los Angeles, San Bernardino, Orange, Riverside, San Diego, Ventura and Santa Barbara." In 1999, the Times added a newer county—Imperial—to that list.</t>
  </si>
  <si>
    <t>When was the Dutch Revolt?</t>
  </si>
  <si>
    <t>What are pharmacists forbidden to do?</t>
  </si>
  <si>
    <t>public high schools lost their accreditation</t>
  </si>
  <si>
    <t>default emission factors</t>
  </si>
  <si>
    <t>Saxon Garden</t>
  </si>
  <si>
    <t>What political group began to gain support following the corruption scandal?</t>
  </si>
  <si>
    <t>instantaneously in action-reaction pairs</t>
  </si>
  <si>
    <t>talking to criminal investigators</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</si>
  <si>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</si>
  <si>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What river originally bounded the Duchy</t>
  </si>
  <si>
    <t>What did the Jewish people do so pagan items wouldn't be in the temple of Jerusalem?</t>
  </si>
  <si>
    <t>tech-oriented</t>
  </si>
  <si>
    <t>cut throat competition</t>
  </si>
  <si>
    <t>Level 3 Communications</t>
  </si>
  <si>
    <t>The capabilities approach – sometimes called the human development approach – looks at income inequality and poverty as form of “capability deprivation”. Unlike neoliberalism, which “defines well-being as utility maximization”, economic growth and income are considered a means to an end rather than the end itself. Its goal is to “wid[en] people’s choices and the level of their achieved well-being” through increasing functionings (the things a person values doing), capabilities (the freedom to enjoy functionings) and agency (the ability to pursue valued goals).</t>
  </si>
  <si>
    <t>Why did Kublai's successors lose control of the rest of the Mongol empire?</t>
  </si>
  <si>
    <t>definitions of time and space complexity</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</si>
  <si>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</si>
  <si>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 xml:space="preserve">Which findings suggested that the region was densely populated? </t>
  </si>
  <si>
    <t>When was the Ming dynasty in power?</t>
  </si>
  <si>
    <t>kick back</t>
  </si>
  <si>
    <t>A variety of alternatives to the Y. pestis have been put forward. Twigg suggested that the cause was a form of anthrax, and Norman Cantor (2001) thought it may have been a combination of anthrax and other pandemics. Scott and Duncan have argued that the pandemic was a form of infectious disease that characterise as hemorrhagic plague similar to Ebola. Archaeologist Barney Sloane has argued that there is insufficient evidence of the extinction of a large number of rats in the archaeological record of the medieval waterfront in London and that the plague spread too quickly to support the thesis that the Y. pestis was spread from fleas on rats; he argues that transmission must have been person to person. However, no single alternative solution has achieved widespread acceptance. Many scholars arguing for the Y. pestis as the major agent of the pandemic suggest that its extent and symptoms can be explained by a combination of bubonic plague with other diseases, including typhus, smallpox and respiratory infections. In addition to the bubonic infection, others point to additional septicemic (a type of "blood poisoning") and pneumonic (an airborne plague that attacks the lungs before the rest of the body) forms of the plague, which lengthen the duration of outbreaks throughout the seasons and help account for its high mortality rate and additional recorded symptoms. In 2014, scientists with Public Health England announced the results of an examination of 25 bodies exhumed from the Clerkenwell area of London, as well as of wills registered in London during the period, which supported the pneumonic hypothesis.</t>
  </si>
  <si>
    <t>the San Fernando Valley</t>
  </si>
  <si>
    <t>social welfare</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</si>
  <si>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</si>
  <si>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An algorithm for X which reduces to C would us to do what?</t>
  </si>
  <si>
    <t>adjacency matrices</t>
  </si>
  <si>
    <t>Manakin Town</t>
  </si>
  <si>
    <t>What political leaning does the Cato Institute have?</t>
  </si>
  <si>
    <t>The Lobata have a pair of lobes, which are muscular, cuplike extensions of the body that project beyond the mouth. Their inconspicuous tentacles originate from the corners of the mouth, running in convoluted grooves and spreading out over the inner surface of the lobes (rather than trailing far behind, as in the Cydippida). Between the lobes on either side of the mouth, many species of lobates have four auricles, gelatinous projections edged with cilia that produce water currents that help direct microscopic prey toward the mouth. This combination of structures enables lobates to feed continuously on suspended planktonic prey.</t>
  </si>
  <si>
    <t>private ownership of the means of production</t>
  </si>
  <si>
    <t>"generally unfounded and also marginal to the assessment"</t>
  </si>
  <si>
    <t>stainless steel</t>
  </si>
  <si>
    <t>What theorem states that the probability that a number n is prime is inversely proportional to its logarithm?</t>
  </si>
  <si>
    <t>"winds up" the debate</t>
  </si>
  <si>
    <t>Where was the 1857 riot?</t>
  </si>
  <si>
    <t>gets smaller</t>
  </si>
  <si>
    <t>according to a multiple access scheme</t>
  </si>
  <si>
    <t>One of the oldest depictions of civil disobedience is in Sophocles' play Antigone, in which Antigone, one of the daughters of former King of Thebes, Oedipus, defies Creon, the current King of Thebes, who is trying to stop her from giving her brother Polynices a proper burial. She gives a stirring speech in which she tells him that she must obey her conscience rather than human law. She is not at all afraid of the death he threatens her with (and eventually carries out), but she is afraid of how her conscience will smite her if she does not do this.</t>
  </si>
  <si>
    <t>a better relevant income</t>
  </si>
  <si>
    <t>How is dioxygen most simply described?</t>
  </si>
  <si>
    <t>How did Yesun Temur die</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</si>
  <si>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</si>
  <si>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</si>
  <si>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In contrast to product requirements or other laws that hinder market access, the Court of Justice developed a presumption that "selling arrangements" would be presumed to not fall into TFEU article 34, if they applied equally to all sellers, and affected them in the same manner in fact. In Keck and Mithouard two importers claimed that their prosecution under a French competition law, which prevented them selling Picon beer under wholesale price, was unlawful. The aim of the law was to prevent cut throat competition, not to hinder trade. The Court of Justice held, as "in law and in fact" it was an equally applicable "selling arrangement" (not something that alters a product's content) it was outside the scope of article 34, and so did not need to be justified. Selling arrangements can be held to have an unequal effect "in fact" particularly where traders from another member state are seeking to break into the market, but there are restrictions on advertising and marketing. In Konsumentombudsmannen v De Agostini the Court of Justice reviewed Swedish bans on advertising to children under age 12, and misleading commercials for skin care products. While the bans have remained (justifiable under article 36 or as a mandatory requirement) the Court emphasised that complete marketing bans could be disproportionate if advertising were "the only effective form of promotion enabling [a trader] to penetrate" the market. In Konsumentombudsmannen v Gourmet AB the Court suggested that a total ban for advertising alcohol on the radio, TV and in magazines could fall within article 34 where advertising was the only way for sellers to overcome consumers' "traditional social practices and to local habits and customs" to buy their products, but again the national courts would decide whether it was justified under article 36 to protect public health. Under the Unfair Commercial Practices Directive, the EU harmonised restrictions on restrictions on marketing and advertising, to forbid conduct that distorts average consumer behaviour, is misleading or aggressive, and sets out a list of examples that count as unfair. Increasingly, states have to give mutual recognition to each other's standards of regulation, while the EU has attempted to harmonise minimum ideals of best practice. The attempt to raise standards is hoped to avoid a regulatory "race to the bottom", while allowing consumers access to goods from around the continent.</t>
  </si>
  <si>
    <t>constructed the King's Road</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</si>
  <si>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</si>
  <si>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padlocking the gates</t>
  </si>
  <si>
    <t>Variable lymphocyte receptors</t>
  </si>
  <si>
    <t>Miller–Rabin primality test</t>
  </si>
  <si>
    <t>second most commonly</t>
  </si>
  <si>
    <t>one</t>
  </si>
  <si>
    <t>What property of the harmonic series 1 + 1/2 + 1/3 + 1/4 + ... shows that there is an infinite number of primes?</t>
  </si>
  <si>
    <t>mannerist</t>
  </si>
  <si>
    <t>Winter Film Capital of the World</t>
  </si>
  <si>
    <t>New France</t>
  </si>
  <si>
    <t>kteis 'comb' and φέρω pherō 'carry'</t>
  </si>
  <si>
    <t>the possession of already-wealthy individuals</t>
  </si>
  <si>
    <t>Who did not assert Russia's right to "self-determination?"</t>
  </si>
  <si>
    <t>Hendrix v Employee Insurance Institute</t>
  </si>
  <si>
    <t>Telenet was incorporated in 1973 and started operations in 1975. It went public in 1979 and was then sold to GTE</t>
  </si>
  <si>
    <t>rapidly raising population and traffic in cities along SR 99, as well as the desirability of Federal funding</t>
  </si>
  <si>
    <t>"Bauffet's Point"</t>
  </si>
  <si>
    <t>Confucian propriety and ancestor veneration</t>
  </si>
  <si>
    <t>don't believe in the legitimacy of any government</t>
  </si>
  <si>
    <t>generally unfounded and also marginal to the assessment</t>
  </si>
  <si>
    <t>When the law is a direct target of the protest, what is this called?</t>
  </si>
  <si>
    <t>What was the proportion of Huguenots to Catholics at their peak?</t>
  </si>
  <si>
    <t>anaerobic</t>
  </si>
  <si>
    <t>sodium carbonate and potassium carbonate</t>
  </si>
  <si>
    <t>rules that conflict with morality</t>
  </si>
  <si>
    <t>made a grade of A for all four years, and on any other graduate who took twelve weeks additional study at the University of Chicago</t>
  </si>
  <si>
    <t>What does the bolinopsis generally eat?</t>
  </si>
  <si>
    <t>when they would be married,</t>
  </si>
  <si>
    <t>Building construction is the process of adding structure to real property or construction of buildings. The majority of building construction jobs are small renovations, such as addition of a room, or renovation of a bathroom. Often, the owner of the property acts as laborer, paymaster, and design team for the entire project. Although building construction projects typically include various common elements, such as design, financial, estimating and legal considerations, many projects of varying sizes reach undesirable end results, such as structural collapse, cost overruns, and/or litigation. For this reason, those with experience in the field make detailed plans and maintain careful oversight during the project to ensure a positive outcome.</t>
  </si>
  <si>
    <t>Whose puppet did Islamists accuse the Saudi regime of being?</t>
  </si>
  <si>
    <t>Where did the Huguenots land in New York originally?</t>
  </si>
  <si>
    <t>In the 1960s, a series of discoveries, the most important of which was seafloor spreading, showed that the Earth's lithosphere, which includes the crust and rigid uppermost portion of the upper mantle, is separated into a number of tectonic plates that move across the plastically deforming, solid, upper mantle, which is called the asthenosphere. There is an intimate coupling between the movement of the plates on the surface and the convection of the mantle: oceanic plate motions and mantle convection currents always move in the same direction, because the oceanic lithosphere is the rigid upper thermal boundary layer of the convecting mantle. This coupling between rigid plates moving on the surface of the Earth and the convecting mantle is called plate tectonics.</t>
  </si>
  <si>
    <t>phagosome</t>
  </si>
  <si>
    <t>rose to higher political office</t>
  </si>
  <si>
    <t>When a person’s capabilities are lowered, they are in some way deprived of earning as much income as they would otherwise. An old, ill man cannot earn as much as a healthy young man; gender roles and customs may prevent a woman from receiving an education or working outside the home. There may be an epidemic that causes widespread panic, or there could be rampant violence in the area that prevents people from going to work for fear of their lives. As a result, income and economic inequality increases, and it becomes more difficult to reduce the gap without additional aid. To prevent such inequality, this approach believes it’s important to have political freedom, economic facilities, social opportunities, transparency guarantees, and protective security to ensure that people aren’t denied their functionings, capabilities, and agency and can thus work towards a better relevant income.</t>
  </si>
  <si>
    <t>In the capabilities approach, grow and income are considered a means to an end rather than what?</t>
  </si>
  <si>
    <t>66–34 Mya</t>
  </si>
  <si>
    <t>that a time-sharing system, based on Kemney's work at Dartmouth—which used a computer on loan from GE—could be profitable</t>
  </si>
  <si>
    <t>Cydippid ctenophores have bodies that are more or less rounded, sometimes nearly spherical and other times more cylindrical or egg-shaped; the common coastal "sea gooseberry," Pleurobrachia, sometimes has an egg-shaped body with the mouth at the narrow end, although some individuals are more uniformly round. From opposite sides of the body extends a pair of long, slender tentacles, each housed in a sheath into which it can be withdrawn. Some species of cydippids have bodies that are flattened to various extents, so that they are wider in the plane of the tentacles.</t>
  </si>
  <si>
    <t>42</t>
  </si>
  <si>
    <t>lengthening rubbing surfaces of the valve</t>
  </si>
  <si>
    <t>What does private ownership create a situation of?</t>
  </si>
  <si>
    <t>Who is the university accredited by?</t>
  </si>
  <si>
    <t>Who was Iqbal a critic of?</t>
  </si>
  <si>
    <t>Revolutionary civil disobedience</t>
  </si>
  <si>
    <t>ministers or party leaders</t>
  </si>
  <si>
    <t>reflective</t>
  </si>
  <si>
    <t>How many representatives does each electorate have?</t>
  </si>
  <si>
    <t>What does not fall under the field of analysis of algorithms&gt;</t>
  </si>
  <si>
    <t>actual temperature rise was near the top end of the range given</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</si>
  <si>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</si>
  <si>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How many large public parks does Fresno have?</t>
  </si>
  <si>
    <t>between 1.4 and 5.8 °C</t>
  </si>
  <si>
    <t>In which case was a Dutch national not entitled to continue receiving benefits when he moved to Belgium?</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</si>
  <si>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</si>
  <si>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to punish the Miami people of Pickawillany</t>
  </si>
  <si>
    <t>Rocks that are a depth where they are ductilely stretched are also often what?</t>
  </si>
  <si>
    <t>significant new evidence or events that change our understanding of climate science</t>
  </si>
  <si>
    <t>blockade French ports</t>
  </si>
  <si>
    <t>What responses protect the lungs by mechanically ejecting pathogens from the respiratory system?</t>
  </si>
  <si>
    <t>What is necessary to disobey?</t>
  </si>
  <si>
    <t>A Pharmacy Technician in the UK is considered a health care professional and often does not work under the direct supervision of a pharmacist (if employed in a hospital pharmacy) but instead is supervised and managed by other senior pharmacy technicians. In the UK the role of a PhT has grown and responsibility has been passed on to them to manage the pharmacy department and specialised areas in pharmacy practice allowing pharmacists the time to specialise in their expert field as medication consultants spending more time working with patients and in research. A pharmacy technician once qualified has to register as a professional on the General Pharmaceutical Council (GPhC) register. The GPhC is the governing body for pharmacy health care professionals and this is who regulates the practice of pharmacists and pharmacy technicians.</t>
  </si>
  <si>
    <t>What dictionary contains a non- violent definition?</t>
  </si>
  <si>
    <t>local-global principle</t>
  </si>
  <si>
    <t>What did the king do to regarding Huguenot education?</t>
  </si>
  <si>
    <t>What corresponds to solving the problem of multiplying three numbers/</t>
  </si>
  <si>
    <t>turning the whole climate science assessment process into a moderated "living" Wikipedia-IPCC</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</si>
  <si>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</si>
  <si>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punishment</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</si>
  <si>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</si>
  <si>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</si>
  <si>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Hamas has continued to be a major player in Palestine. From 2000 to 2007 it killed 542 people in 140 suicide bombing or "martyrdom operations". In the January 2006 legislative election—its first foray into the political process—it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</si>
  <si>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the U.S.</t>
  </si>
  <si>
    <t>Huguenot rebellions</t>
  </si>
  <si>
    <t>1950s through the 1970s</t>
  </si>
  <si>
    <t>town of the Ubii</t>
  </si>
  <si>
    <t>South American</t>
  </si>
  <si>
    <t>During the mass high school education movement from 1910–1940, there was an increase in skilled workers, which led to a decrease in the price of skilled labor. High school education during the period was designed to equip students with necessary skill sets to be able to perform at work. In fact, it differs from the present high school education, which is regarded as a stepping-stone to acquire college and advanced degrees. This decrease in wages caused a period of compression and decreased inequality between skilled and unskilled workers. Education is very important for the growth of the economy, however educational inequality in gender also influence towards the economy. Lagerlof and Galor stated that gender inequality in education can result to low economic growth, and continued gender inequality in education, thus creating a poverty trap. It is suggested that a large gap in male and female education may indicate backwardness and so may be associated with lower economic growth, which can explain why there is economic inequality between countries.</t>
  </si>
  <si>
    <t>distract Montcalm</t>
  </si>
  <si>
    <t>select their students</t>
  </si>
  <si>
    <t>Research by Harvard economist Robert Barro, found that there is "little overall relation between income inequality and rates of growth and investment". According to work by Barro in 1999 and 2000, high levels of inequality reduce growth in relatively poor countries but encourage growth in richer countries. A study of Swedish counties between 1960 and 2000 found a positive impact of inequality on growth with lead times of five years or less, but no correlation after ten years. Studies of larger data sets have found no correlations for any fixed lead time, and a negative impact on the duration of growth.</t>
  </si>
  <si>
    <t>the most rigorous, intense</t>
  </si>
  <si>
    <t>The 8- and 10-county definitions are not used for the greater Southern California Megaregion, one of the 11 megaregions of the United States. The megaregion's area is more expansive, extending east into Las Vegas, Nevada, and south across the Mexican border into Tijuana.</t>
  </si>
  <si>
    <t>Southern California</t>
  </si>
  <si>
    <t>deprived of earning as much income as they would otherwise</t>
  </si>
  <si>
    <t>colonizing</t>
  </si>
  <si>
    <t>Ctenophora</t>
  </si>
  <si>
    <t>mining licence fees</t>
  </si>
  <si>
    <t>What does high levels of inequality do for economic growth in richer countries?</t>
  </si>
  <si>
    <t>Strictly speaking who was included in DATANET 1</t>
  </si>
  <si>
    <t>Four</t>
  </si>
  <si>
    <t>firms engaged in managing construction projects without assuming direct financial responsibility for completion of the construction project</t>
  </si>
  <si>
    <t>Scotland Act 1998</t>
  </si>
  <si>
    <t>The Skirmish of the Brick Church</t>
  </si>
  <si>
    <t>Who did Britain exploit in India?</t>
  </si>
  <si>
    <t>Which entities have had to develop principles dedicated to conflict resolution between laws of different systems?</t>
  </si>
  <si>
    <t>Sweden v. Russia and allies</t>
  </si>
  <si>
    <t>political focus</t>
  </si>
  <si>
    <t>input encoding</t>
  </si>
  <si>
    <t>evenly round the body</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</si>
  <si>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</si>
  <si>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by a fee per unit of information transmitted, such as characters, packets, or messages</t>
  </si>
  <si>
    <t>In Japan, at the end of the Asuka period (538–710) and the early Nara period (710–794), the men who fulfilled roles similar to those of modern pharmacists were highly respected. The place of pharmacists in society was expressly defined in the Taihō Code (701) and re-stated in the Yōrō Code (718). Ranked positions in the pre-Heian Imperial court were established; and this organizational structure remained largely intact until the Meiji Restoration (1868). In this highly stable hierarchy, the pharmacists—and even pharmacist assistants—were assigned status superior to all others in health-related fields such as physicians and acupuncturists. In the Imperial household, the pharmacist was even ranked above the two personal physicians of the Emperor.</t>
  </si>
  <si>
    <t xml:space="preserve">2 differences betwen X.25 and ARPNET CITA technologies </t>
  </si>
  <si>
    <t>The university agreed to grant a degree to any graduate of affiliate schoos that did what?</t>
  </si>
  <si>
    <t>about 1820</t>
  </si>
  <si>
    <t>Reciprocating piston</t>
  </si>
  <si>
    <t>What was the period called that was 505 million years ago?</t>
  </si>
  <si>
    <t>What is the legislature of the European Union comprised of?</t>
  </si>
  <si>
    <t>Frame Relay was used to interconnect LANs across wide area networks. However, X.25 and well as Frame Relay have been supplanted</t>
  </si>
  <si>
    <t>Oxford's Magdalen Tower</t>
  </si>
  <si>
    <t>Late-Glacial valley</t>
  </si>
  <si>
    <t>"design build" contract</t>
  </si>
  <si>
    <t>painting, mathematics, calligraphy, poetry, and theater</t>
  </si>
  <si>
    <t>Prime_number</t>
  </si>
  <si>
    <t>to set up an insurance fund for employees to claim unpaid wages if their employers had gone insolvent, as the Insolvency Protection Directive required</t>
  </si>
  <si>
    <t>What implication can be derived for P and NP if P and co-NP are established to be unequal?</t>
  </si>
  <si>
    <t xml:space="preserve">When rock folds deep in the Earth it can fold one of two ways, when it buckles upwards it creates what? </t>
  </si>
  <si>
    <t>random access machines</t>
  </si>
  <si>
    <t>Due to the fact that the bureaucracy was dominated by El Temür, Tugh Temür is known for his cultural contribution instead. He adopted many measures honoring Confucianism and promoting Chinese cultural values. His most concrete effort to patronize Chinese learning was founding the Academy of the Pavilion of the Star of Literature (Chinese: 奎章閣學士院),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經世大典). Tugh Temür supported Zhu Xi's Neo-Confucianism and also devoted himself in Buddhism.</t>
  </si>
  <si>
    <t>the Liao, Jin, and Song</t>
  </si>
  <si>
    <t>Taking evidence from witnesses is one of committees' what?</t>
  </si>
  <si>
    <t>beta decay (of neutrons in atomic nuclei)</t>
  </si>
  <si>
    <t>the Channel Islands</t>
  </si>
  <si>
    <t>In what year were there 5751 Filipinos in Jacksonville</t>
  </si>
  <si>
    <t>Jacksonville is the most populous city in Florida, and the twelfth most populous city in the United States. As of 2010[update], there were 821,784 people and 366,273 households in the city. Jacksonville has the country's tenth-largest Arab population, with a total population of 5,751 according to the 2000 United States Census. Jacksonville has Florida's largest Filipino American community, with 25,033 in the metropolitan area as of the 2010 Census. Much of Jacksonville's Filipino community served in or has ties to the United States Navy.</t>
  </si>
  <si>
    <t>United Nations</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</si>
  <si>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</si>
  <si>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What other locations can the Booth School of Business be found?</t>
  </si>
  <si>
    <t>near their current locations</t>
  </si>
  <si>
    <t>exceeds any given number</t>
  </si>
  <si>
    <t>What is an example of a problem to which effective algorithms have provided a solution in spite of the intractability associated with the breadth of sizes?</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</si>
  <si>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</si>
  <si>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The San Bernardino-Riverside area maintains the business districts of Downtown San Bernardino, Hospitality Business/Financial Centre, University Town which are in San Bernardino and Downtown Riverside.</t>
  </si>
  <si>
    <t>a pivotal event in the Arab Muslim world</t>
  </si>
  <si>
    <t>Doctor of Pharmacy (Pharm. D.)</t>
  </si>
  <si>
    <t>Commission v Austria</t>
  </si>
  <si>
    <t>the 1997 Treaty of Amsterdam</t>
  </si>
  <si>
    <t>What kind of company is Sky UK Limited?</t>
  </si>
  <si>
    <t>What instrument is used to examine steam engine performance?</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</si>
  <si>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</si>
  <si>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What do all but one platycenida species lack?</t>
  </si>
  <si>
    <t>Contracts must be designed to ensure what?</t>
  </si>
  <si>
    <t>Many questions regarding prime numbers remain open, such as Goldbach's conjecture (that every even integer greater than 2 can be expressed as the sum of two primes), and the twin prime conjecture (that there are infinitely many pairs of primes whose difference is 2). Such questions spurred the development of various branches of number theory, focusing on analytic or algebraic aspects of numbers. Primes are used in several routines in information technology, such as public-key cryptography, which makes use of properties such as the difficulty of factoring large numbers into their prime factors. Prime numbers give rise to various generalizations in other mathematical domains, mainly algebra, such as prime elements and prime ideals.</t>
  </si>
  <si>
    <t>arbitrary integers</t>
  </si>
  <si>
    <t>agriculture and silviculture</t>
  </si>
  <si>
    <t>a "Conciliation Committee"</t>
  </si>
  <si>
    <t>connection-oriented operations</t>
  </si>
  <si>
    <t>large-scale development projects</t>
  </si>
  <si>
    <t>What, rather than Islamism, requires explanation?</t>
  </si>
  <si>
    <t>destruction of Israel</t>
  </si>
  <si>
    <t>that civil disobedience is only justified against governmental entities</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</si>
  <si>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</si>
  <si>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</si>
  <si>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 xml:space="preserve">How did user of Tymnet connect </t>
  </si>
  <si>
    <t>applied mathematics</t>
  </si>
  <si>
    <t>founding of new Protestant churches in Catholic-controlled regions</t>
  </si>
  <si>
    <t>How many intercollegiate sports does Harvard compete in NCAA division I</t>
  </si>
  <si>
    <t>rich and well</t>
  </si>
  <si>
    <t>at most one</t>
  </si>
  <si>
    <t>Amazon basin</t>
  </si>
  <si>
    <t>At the begin of the Holocene (~11,700 years ago), the Rhine occupied its Late-Glacial valley. As a meandering river, it reworked its ice-age braidplain. As sea-level continued to rise in the Netherlands, the formation of the Holocene Rhine-Meuse delta began (~8,000 years ago). Coeval absolute sea-level rise and tectonic subsidence have strongly influenced delta evolution. Other factors of importance to the shape of the delta are the local tectonic activities of the Peel Boundary Fault, the substrate and geomorphology, as inherited from the Last Glacial and the coastal-marine dynamics, such as barrier and tidal inlet formations.</t>
  </si>
  <si>
    <t xml:space="preserve">When was the divestment from South Africa movement? </t>
  </si>
  <si>
    <t>Eugene Fama</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</si>
  <si>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</si>
  <si>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zoning and building code requirements</t>
  </si>
  <si>
    <t>Seven Years' War</t>
  </si>
  <si>
    <t>through contact with Persian traders</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</si>
  <si>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樞密院)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Külüg Khan or Emperor Wuzong), but was usually abandoned shortly afterwards.</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</si>
  <si>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</si>
  <si>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While most Internet pharmacies sell prescription drugs and require a valid prescription, some Internet pharmacies sell prescription drugs without requiring a prescription. Many customers order drugs from such pharmacies to avoid the "inconvenience" of visiting a doctor or to obtain medications which their doctors were unwilling to prescribe. However, this practice has been criticized as potentially dangerous, especially by those who feel that only doctors can reliably assess contraindications, risk/benefit ratios, and an individual's overall suitability for use of a medication. There also have been reports of such pharmacies dispensing substandard products.</t>
  </si>
  <si>
    <t xml:space="preserve">DEC originally had 3 layers but evolved into how many layers </t>
  </si>
  <si>
    <t>In what year was the first known experiments on combustion and air conducted?</t>
  </si>
  <si>
    <t>intermediate network nodes asynchronously using first-in, first-out buffering</t>
  </si>
  <si>
    <t>the network was enhanced</t>
  </si>
  <si>
    <t>metamorphosed</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</si>
  <si>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1919–20 in the old Tsarist Empire in areas its forces occupied in Eastern Europe. The Soviet Union and the People’s Republic of China supported post–World War II communist movements in foreign nations and colonies to advance their own interests, but were not always successful.</t>
  </si>
  <si>
    <t>Battle of Fort Bull</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</si>
  <si>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</si>
  <si>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solve any problem in C</t>
  </si>
  <si>
    <t>failed to set up an insurance fund for employees to claim unpaid wages if their employers had gone insolvent</t>
  </si>
  <si>
    <t>that each side is capable of performing the obligations set out</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</si>
  <si>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</si>
  <si>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the Colorado Desert</t>
  </si>
  <si>
    <t>Gamma delta T cells (γδ T cells) possess an alternative T cell receptor (TCR) as opposed to CD4+ and CD8+ (αβ) T cells and share the characteristics of helper T cells, cytotoxic T cells and NK cells. The conditions that produce responses from γδ T cells are not fully understood. Like other 'unconventional' T cell subsets bearing invariant TCRs, such as CD1d-restricted Natural Killer T cells, γδ T cells straddle the border between innate and adaptive immunity. On one hand, γδ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Vγ9/Vδ2 T cells respond within hours to common molecules produced by microbes, and highly restricted Vδ1+ T cells in epithelia respond to stressed epithelial cells.</t>
  </si>
  <si>
    <t>1820</t>
  </si>
  <si>
    <t>Pathogen-associated molecular patterns</t>
  </si>
  <si>
    <t>use the proceedings as a forum to inform the jury and the public of the political circumstances surrounding the case</t>
  </si>
  <si>
    <t>breaking the law for self-gratification</t>
  </si>
  <si>
    <t>The majority may be powerful but it is not necessarily right</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</si>
  <si>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</si>
  <si>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Rhine</t>
  </si>
  <si>
    <t>fundamental theorem of arithmetic</t>
  </si>
  <si>
    <t>What type of income is the vast majority of the population dependent on?</t>
  </si>
  <si>
    <t>the original Fresno County Courthouse (demolished), the Fresno Carnegie Public Library (demolished)</t>
  </si>
  <si>
    <t>canalisation projects</t>
  </si>
  <si>
    <t>within the Maria Fold and Thrust Belt</t>
  </si>
  <si>
    <t>What is the largest suspension bridge in Germany?</t>
  </si>
  <si>
    <t>Economist Joseph Stiglitz presented evidence in 2009 that both global inequality and inequality within countries prevent growth by limiting aggregate demand. Economist Branko Milanovic, wrote in 2001 that, "The view that income inequality harms growth – or that improved equality can help sustain growth – has become more widely held in recent years. ... The main reason for this shift is the increasing importance of human capital in development. When physical capital mattered most, savings and investments were key. Then it was important to have a large contingent of rich people who could save a greater proportion of their income than the poor and invest it in physical capital. But now that human capital is scarcer than machines, widespread education has become the secret to growth."</t>
  </si>
  <si>
    <t xml:space="preserve">What did the analysis from the sediment deposits indicate? </t>
  </si>
  <si>
    <t>the Cape of Good Hope</t>
  </si>
  <si>
    <t>French troops put down the Camisard uprisings between what years?</t>
  </si>
  <si>
    <t>EXPTIME</t>
  </si>
  <si>
    <t xml:space="preserve">In the layered model of the Earth, the mantle has two layers below it. What are they? </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</si>
  <si>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</si>
  <si>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</si>
  <si>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South</t>
  </si>
  <si>
    <t>the young and the elderly</t>
  </si>
  <si>
    <t>nominate speakers</t>
  </si>
  <si>
    <t>random noise</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</si>
  <si>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</si>
  <si>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Its counties of Los Angeles, Orange, San Diego, San Bernardino, and Riverside are the five most populous in the state and all are in the top 15 most populous counties in the United States.</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</si>
  <si>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d'état.</t>
  </si>
  <si>
    <t>"Hugues hypothesis"</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</si>
  <si>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</si>
  <si>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Between the 1880s and World War II, Downtown Fresno flourished, filled with electric Street Cars, and contained some of the San Joaquin Valley's most beautiful architectural buildings. Among them, the original Fresno County Courthouse (demolished), the Fresno Carnegie Public Library (demolished), the Fresno Water Tower, the Bank of Italy Building, the Pacific Southwest Building, the San Joaquin Light &amp; Power Building (currently known as the Grand 1401), and the Hughes Hotel (burned down), to name a few.</t>
  </si>
  <si>
    <t>British America and New France</t>
  </si>
  <si>
    <t>What type of wages do people unable to afford an education receive?</t>
  </si>
  <si>
    <t>Of what mountain system are the Victorian Alps a part?</t>
  </si>
  <si>
    <t>John B. Goodenough</t>
  </si>
  <si>
    <t>The IPCC concentrates its activities on the tasks allotted to it by the relevant WMO Executive Council and UNEP Governing Council resolutions and decisions as well as on actions in support of the UNFCCC process. While the preparation of the assessment reports is a major IPCC function, it also supports other activities, such as the Data Distribution Centre and the National Greenhouse Gas Inventories Programme, required under the UNFCCC. This involves publishing default emission factors, which are factors used to derive emissions estimates based on the levels of fuel consumption, industrial production and so on.</t>
  </si>
  <si>
    <t>Which company owns ABC?</t>
  </si>
  <si>
    <t>What trading company helped settle Huguenots near the Cape?</t>
  </si>
  <si>
    <t>What fixed set of factors determine the actions of a deterministic Turing machine</t>
  </si>
  <si>
    <t>crust and rigid uppermost portion of the upper mantle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</si>
  <si>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</si>
  <si>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inversely</t>
  </si>
  <si>
    <t>How much dust is blown into the sonar every year</t>
  </si>
  <si>
    <t>What decreased in number between 1984 and 1991?</t>
  </si>
  <si>
    <t>Who stated he wanted Israel to vanish?</t>
  </si>
  <si>
    <t>iteratively</t>
  </si>
  <si>
    <t>the datagram model</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</si>
  <si>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</si>
  <si>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its central location</t>
  </si>
  <si>
    <t>Who can enforce European Union law?</t>
  </si>
  <si>
    <t>Who is eligible to toss their name in the hat to be First Minister?</t>
  </si>
  <si>
    <t>Cambrian period.</t>
  </si>
  <si>
    <t>double or triple non-French linguistic origins</t>
  </si>
  <si>
    <t>industrialized nations increased their reserves</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</si>
  <si>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</si>
  <si>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How did Natives in Logstown take Celeron's information?</t>
  </si>
  <si>
    <t>idealized point particles</t>
  </si>
  <si>
    <t>Buckland Valley</t>
  </si>
  <si>
    <t>Where do ctenophora live?</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</si>
  <si>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</si>
  <si>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</si>
  <si>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What is commonly believed to be the value relationship between P and co-NP</t>
  </si>
  <si>
    <t>What do voters reject in 1967</t>
  </si>
  <si>
    <t>the Santer Commission</t>
  </si>
  <si>
    <t>Huntington Boulevard</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</si>
  <si>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</si>
  <si>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</si>
  <si>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layered basaltic lava flows</t>
  </si>
  <si>
    <t>WHat does UserDatagram Protocol gaurentee</t>
  </si>
  <si>
    <t>core curriculum of seven classes</t>
  </si>
  <si>
    <t>well</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</si>
  <si>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</si>
  <si>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geomorphologic</t>
  </si>
  <si>
    <t>force of gravity</t>
  </si>
  <si>
    <t>What was the verdict on other alleged errors?</t>
  </si>
  <si>
    <t>How were most city officials elected in the 1960s?</t>
  </si>
  <si>
    <t>Bayeux Tapestry</t>
  </si>
  <si>
    <t>reflective of individual contributions</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</si>
  <si>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</si>
  <si>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a pivotal event</t>
  </si>
  <si>
    <t>User Datagram Protocol</t>
  </si>
  <si>
    <t>What type of arts flourished in the Yuan?</t>
  </si>
  <si>
    <t>Why are the small lakes in the parks emptied before winter?</t>
  </si>
  <si>
    <t>When do juvenile develop into adults?</t>
  </si>
  <si>
    <t>What entity is created if the three different institutions cannot come to a consensus at any stage?</t>
  </si>
  <si>
    <t>role of Yersinia pestis in the Black Death</t>
  </si>
  <si>
    <t>When did the Arab oil producers lift the embargo?</t>
  </si>
  <si>
    <t>The Computer Science Network</t>
  </si>
  <si>
    <t>introductory</t>
  </si>
  <si>
    <t>no revising chamber</t>
  </si>
  <si>
    <t>Who was Ralph in charge of being at war with?</t>
  </si>
  <si>
    <t>help preserve society's tolerance of civil disobedience</t>
  </si>
  <si>
    <t>How did the 2001 IPCC report compare to reality on sea levels?</t>
  </si>
  <si>
    <t>process of colonizing, influencing, and annexing other parts of the world</t>
  </si>
  <si>
    <t>Chicago Theological Seminary</t>
  </si>
  <si>
    <t>Sonia Shankman Orthogenic School</t>
  </si>
  <si>
    <t>delivery of these messages by store and forward switching</t>
  </si>
  <si>
    <t>How many bodies of water makes up Lake Constance?</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</si>
  <si>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</si>
  <si>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When was the settlement which would become Warsaw established?</t>
  </si>
  <si>
    <t>U.S</t>
  </si>
  <si>
    <t>France's claim to the region was superior to that of the British</t>
  </si>
  <si>
    <t>fee per unit of connection time</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</si>
  <si>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</si>
  <si>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Maria Fold and Thrust Belt</t>
  </si>
  <si>
    <t>26.7%</t>
  </si>
  <si>
    <t>Hendrix v Employee</t>
  </si>
  <si>
    <t>those who feel that only doctors can reliably assess contraindications, risk/benefit ratios, and an individual's overall suitability for use of a medication</t>
  </si>
  <si>
    <t>What has increased sediment and delta growth also produced in the Rhine?</t>
  </si>
  <si>
    <t>The Higher Learning Commission</t>
  </si>
  <si>
    <t>What type of engines does the American car typically have?</t>
  </si>
  <si>
    <t>Residential construction practices, technologies, and resources must conform to local building authority regulations and codes of practice. Materials readily available in the area generally dictate the construction materials used (e.g. brick versus stone, versus timber). Cost of construction on a per square meter (or per square foot) basis for houses can vary dramatically based on site conditions, local regulations, economies of scale (custom designed homes are often more expensive to build) and the availability of skilled tradespeople. As residential construction (as well as all other types of construction) can generate a lot of waste, careful planning again is needed here.</t>
  </si>
  <si>
    <t>greater density of cold water</t>
  </si>
  <si>
    <t>hiding a Jew in their house</t>
  </si>
  <si>
    <t>At what rank does GPS per capita set Victoria?</t>
  </si>
  <si>
    <t>What is the Rankine cycle sometimes called?</t>
  </si>
  <si>
    <t>The study also found that there were two previously unknown but related clades (genetic branches) of the Y. pestis genome associated with medieval mass graves. These clades (which are thought to be extinct) were found to be ancestral to modern isolates of the modern Y. pestis strains Y. p. orientalis and Y. p. medievalis, suggesting the plague may have entered Europe in two waves. Surveys of plague pit remains in France and England indicate the first variant entered Europe through the port of Marseille around November 1347 and spread through France over the next two years, eventually reaching England in the spring of 1349, where it spread through the country in three epidemics. Surveys of plague pit remains from the Dutch town of Bergen op Zoom showed the Y. pestis genotype responsible for the pandemic that spread through the Low Countries from 1350 differed from that found in Britain and France, implying Bergen op Zoom (and possibly other parts of the southern Netherlands) was not directly infected from England or France in 1349 and suggesting a second wave of plague, different from those in Britain and France, may have been carried to the Low Countries from Norway, the Hanseatic cities or another site.</t>
  </si>
  <si>
    <t>Hence, 6 is not prime. The image at the right illustrates that 12 is not prime: 12 = 3 · 4. No even number greater than 2 is prime because by definition, any such number n has at least three distinct divisors, namely 1, 2, and n. This implies that n is not prime. Accordingly, the term odd prime refers to any prime number greater than 2. Similarly, when written in the usual decimal system, all prime numbers larger than 5 end in 1, 3, 7, or 9, since even numbers are multiples of 2 and numbers ending in 0 or 5 are multiples of 5.</t>
  </si>
  <si>
    <t>probabilistic</t>
  </si>
  <si>
    <t>the Mongol and Turkic tribes</t>
  </si>
  <si>
    <t>the University of Chicago campus</t>
  </si>
  <si>
    <t>What was Tugh Temur known for?</t>
  </si>
  <si>
    <t>internal migration and urbanisation.</t>
  </si>
  <si>
    <t>What are sometimes present in the boiler's firebox crown?</t>
  </si>
  <si>
    <t>It has been argued that the term "civil disobedience" has always suffered from ambiguity and in modern times, become utterly debased. Marshall Cohen notes, "It has been used to describe everything from bringing a test-case in the federal courts to taking aim at a federal official. Indeed, for Vice President Agnew it has become a code-word describing the activities of muggers, arsonists, draft evaders, campaign hecklers, campus militants, anti-war demonstrators, juvenile delinquents and political assassins."</t>
  </si>
  <si>
    <t>Electorate of Brandenburg and Electorate of the Palatinate</t>
  </si>
  <si>
    <t>All of these processes do not necessarily occur in a single environment, and do not necessarily occur in a single order. The Hawaiian Islands, for example, consist almost entirely of layered basaltic lava flows. The sedimentary sequences of the mid-continental United States and the Grand Canyon in the southwestern United States contain almost-undeformed stacks of sedimentary rocks that have remained in place since Cambrian time. Other areas are much more geologically complex. In the southwestern United States, sedimentary, volcanic, and intrusive rocks have been metamorphosed, faulted, foliated, and folded. Even older rocks, such as the Acasta gneiss of the Slave craton in northwestern Canada, the oldest known rock in the world have been metamorphosed to the point where their origin is undiscernable without laboratory analysis. In addition, these processes can occur in stages. In many places, the Grand Canyon in the southwestern United States being a very visible example, the lower rock units were metamorphosed and deformed, and then deformation ended and the upper, undeformed units were deposited. Although any amount of rock emplacement and rock deformation can occur, and they can occur any number of times, these concepts provide a guide to understanding the geological history of an area.</t>
  </si>
  <si>
    <t>Abilene</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</si>
  <si>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</si>
  <si>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property tax policy</t>
  </si>
  <si>
    <t>form business partnerships with physicians</t>
  </si>
  <si>
    <t xml:space="preserve">Who operated the vBSN network </t>
  </si>
  <si>
    <t>elude host immune responses</t>
  </si>
  <si>
    <t>What is the English translation of tawhid?</t>
  </si>
  <si>
    <t>What style of sensing do scientist like to use to measure global radiance?</t>
  </si>
  <si>
    <t>What does connecting different Sky Q boxes enable them to do?</t>
  </si>
  <si>
    <t>According to the wealth concentration theory, what advantage do the wealthy have in accumulating new wealth?</t>
  </si>
  <si>
    <t>What organization did Iqbal join in London?</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</si>
  <si>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</si>
  <si>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Since its founding, the EU has operated among an increasing plurality of national and globalising legal systems. This has meant both the European Court of Justice and the highest national courts have had to develop principles to resolve conflicts of laws between different systems. Within the EU itself, the Court of Justice's view is that if EU law conflicts with a provision of national law, then EU law has primacy. In the first major case in 1964, Costa v ENEL, a Milanese lawyer, and former shareholder of an energy company, named Mr Costa refused to pay his electricity bill to Enel, as a protest against the nationalisation of the Italian energy corporations. He claimed the Italian nationalisation law conflicted with the Treaty of Rome, and requested a reference be made to both the Italian Constitutional Court and the Court of Justice under TFEU article 267. The Italian Constitutional Court gave an opinion that because the nationalisation law was from 1962, and the treaty was in force from 1958, Costa had no claim. By contrast, the Court of Justice held that ultimately the Treaty of Rome in no way prevented energy nationalisation, and in any case under the Treaty provisions only the Commission could have brought a claim, not Mr Costa. However, in principle, Mr Costa was entitled to plead that the Treaty conflicted with national law, and the court would have a duty to consider his claim to make a reference if there would be no appeal against its decision. The Court of Justice, repeating its view in Van Gend en Loos, said member states "albeit within limited spheres, have restricted their sovereign rights and created a body of law applicable both to their nationals and to themselves" on the "basis of reciprocity". EU law would not "be overridden by domestic legal provisions, however framed... without the legal basis of the community itself being called into question." This meant any "subsequent unilateral act" of the member state inapplicable. Similarly, in Amministrazione delle Finanze v Simmenthal SpA, a company, Simmenthal SpA, claimed that a public health inspection fee under an Italian law of 1970 for importing beef from France to Italy was contrary to two Regulations from 1964 and 1968. In "accordance with the principle of the precedence of Community law," said the Court of Justice, the "directly applicable measures of the institutions" (such as the Regulations in the case) "render automatically inapplicable any conflicting provision of current national law". This was necessary to prevent a "corresponding denial" of Treaty "obligations undertaken unconditionally and irrevocably by member states", that could "imperil the very foundations of the" EU. But despite the views of the Court of Justice, the national courts of member states have not accepted the same analysis.</t>
  </si>
  <si>
    <t>people who give services "for remuneration"</t>
  </si>
  <si>
    <t>What spurred increased support for government reform?</t>
  </si>
  <si>
    <t>The university was a founding force behind what conference?</t>
  </si>
  <si>
    <t>Who was the first American to travel to Amazon River</t>
  </si>
  <si>
    <t>What is a kind of defense response that makes the entire plant resistant to a particular agent?</t>
  </si>
  <si>
    <t>five most populous in the state</t>
  </si>
  <si>
    <t>world revolution</t>
  </si>
  <si>
    <t>What is the name of the region that is not defined by the eight or 10 county definitions?</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</si>
  <si>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</si>
  <si>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world's first commercial online service</t>
  </si>
  <si>
    <t>second</t>
  </si>
  <si>
    <t>time and space hierarchy theorems</t>
  </si>
  <si>
    <t>What did the Amazon rainforest do during the Middle Miocene?</t>
  </si>
  <si>
    <t>3–2.7 billion years ago</t>
  </si>
  <si>
    <t>The Saxon Garden, covering the area of 15.5 ha, was formally a royal garden. There are over 100 different species of trees and the avenues are a place to sit and relax. At the east end of the park, the Tomb of the Unknown Soldier is situated. In the 19th century the Krasiński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Krasiński Palace Garden is a popular strolling destination for the Varsovians. The Monument of the Warsaw Ghetto Uprising is also situated here. The Łazienki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Królikarnia Palace is situated on the old escarpment of the Vistula. The park has lanes running on a few levels deep into the ravines on both sides of the palace.</t>
  </si>
  <si>
    <t>connect two PDP-11 minicomputers</t>
  </si>
  <si>
    <t>CYCLADES</t>
  </si>
  <si>
    <t>What evidence between and among complexity classes would signify a theoretical watershed for complexity theory?</t>
  </si>
  <si>
    <t>What does a 2013 report on Nigeria suggest it's growth has done?</t>
  </si>
  <si>
    <t>tripartite</t>
  </si>
  <si>
    <t>diatomic gas</t>
  </si>
  <si>
    <t>Who in Warsaw has the power of legislative action?</t>
  </si>
  <si>
    <t>What type of fault boundary is defined by having widespread powerful earthquakes, as in the state of California?</t>
  </si>
  <si>
    <t>What stipend do students enrolled in priority courses receive?</t>
  </si>
  <si>
    <t>What is one of the largest music schools in Europe?</t>
  </si>
  <si>
    <t>ended inconclusively</t>
  </si>
  <si>
    <t>What was Tymnet</t>
  </si>
  <si>
    <t>How successful was the French revised efforts?</t>
  </si>
  <si>
    <t>Who purhcased the remaining 4 pacakages available to broadcasters?</t>
  </si>
  <si>
    <t>What is CSNET</t>
  </si>
  <si>
    <t>nationwide network</t>
  </si>
  <si>
    <t>the Black Death was much faster than that of modern bubonic plague</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</si>
  <si>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</si>
  <si>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In 1872, the Central Pacific Railroad established a station near Easterby's—by now a hugely productive wheat farm—for its new Southern Pacific line. Soon there was a store around the station and the store grew the town of Fresno Station, later called Fresno. Many Millerton residents, drawn by the convenience of the railroad and worried about flooding, moved to the new community. Fresno became an incorporated city in 1885. By 1931 the Fresno Traction Company operated 47 streetcars over 49 miles of track.</t>
  </si>
  <si>
    <t>ranked above the two personal physicians of the Emperor</t>
  </si>
  <si>
    <t>University_of_Chicago</t>
  </si>
  <si>
    <t>the 1950s</t>
  </si>
  <si>
    <t>The first historical reference to Warsaw dates back to the year 1313, at a time when Kraków served as the Polish capital city. Due to its central location between the Polish–Lithuanian Commonwealth's capitals of Kraków and Vilnius, Warsaw became the capital of the Commonwealth and of the Crown of the Kingdom of Poland when King Sigismund III Vasa moved his court from Kraków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</si>
  <si>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Where does a canonball dropped from the crow's nest of a ship actually land?</t>
  </si>
  <si>
    <t>French Church Street is in what Irish town?</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</si>
  <si>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</si>
  <si>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World War II</t>
  </si>
  <si>
    <t>analysis of algorithms</t>
  </si>
  <si>
    <t>The Rhine was not known to Herodotus and first enters the historical period in the 1st century BC in Roman-era geography. At that time, it formed the boundary between Gaul and Germania. The Upper Rhine had been part of the areal of the late Hallstatt culture since the 6th century BC, and by the 1st century BC, the areal of the La Tène culture covered almost its entire length, forming a contact zone with the Jastorf culture, i.e. the locus of early Celtic-Germanic cultural contact. In Roman geography, the Rhine formed the boundary between Gallia and Germania by definition; e.g. Maurus Servius Honoratus, Commentary on the Aeneid of Vergil (8.727) (Rhenus) fluvius Galliae, qui Germanos a Gallia dividit "(The Rhine is a) river of Gaul, which divides the Germanic people from Gaul."</t>
  </si>
  <si>
    <t>project coordinator</t>
  </si>
  <si>
    <t>How many times did southern California attempt to achieve a separate statehood?</t>
  </si>
  <si>
    <t>carrots, turnips, new varieties of lemons, eggplants, and melons, high-quality granulated sugar, and cotton</t>
  </si>
  <si>
    <t>receive no jail time</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</si>
  <si>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</si>
  <si>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In what decade did the Rankine cycle create 90% of electric power?</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</si>
  <si>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</si>
  <si>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sevenfold</t>
  </si>
  <si>
    <t>prime number theorem</t>
  </si>
  <si>
    <t>odd prime</t>
  </si>
  <si>
    <t>Giuga's conjecture says that this equation is also a sufficient condition for p to be prime. Another consequence of Fermat's little theorem is the following: if p is a prime number other than 2 and 5, 1/p is always a recurring decimal, whose period is p − 1 or a divisor of p − 1. The fraction 1/p expressed likewise in base q (rather than base 10) has similar effect, provided that p is not a prime factor of q. Wilson's theorem says that an integer p &gt; 1 is prime if and only if the factorial (p − 1)! + 1 is divisible by p. Moreover, an integer n &gt; 4 is composite if and only if (n − 1)! is divisible by n.</t>
  </si>
  <si>
    <t>uncivilized</t>
  </si>
  <si>
    <t>The Prince of Płock</t>
  </si>
  <si>
    <t>Bolshevik leaders</t>
  </si>
  <si>
    <t>Pauli exclusion principle</t>
  </si>
  <si>
    <t>cut off the French frontier forts</t>
  </si>
  <si>
    <t>The first fortified settlements on the site of today's Warsaw were located in Bródno (9th/10th century) and Jazdów (12th/13th century). After Jazdów was raided by nearby clans and dukes, a new similar settlement was established on the site of a small fishing village called Warszowa. The Prince of Płock, Bolesław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</si>
  <si>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Compared to other elements, how abundant does oxygen rank?</t>
  </si>
  <si>
    <t>Welfare Cash Card</t>
  </si>
  <si>
    <t>dioxygen</t>
  </si>
  <si>
    <t>The packet header can be small</t>
  </si>
  <si>
    <t>antiforms</t>
  </si>
  <si>
    <t>can produce both eggs and sperm at the same time.</t>
  </si>
  <si>
    <t>a world revolution</t>
  </si>
  <si>
    <t>The zeta function is closely related to prime numbers. For example, the aforementioned fact that there are infinitely many primes can also be seen using the zeta function: if there were only finitely many primes then ζ(1) would have a finite value. However, the harmonic series 1 + 1/2 + 1/3 + 1/4 + ... diverges (i.e., exceeds any given number), so there must be infinitely many primes. Another example of the richness of the zeta function and a glimpse of modern algebraic number theory is the following identity (Basel problem), due to Euler,</t>
  </si>
  <si>
    <t>gravity</t>
  </si>
  <si>
    <t>What made emigration to these colonies attractive?</t>
  </si>
  <si>
    <t>Conciliation Committee</t>
  </si>
  <si>
    <t>richest 1 percent</t>
  </si>
  <si>
    <t>What was the effect of the housing crash on the region?</t>
  </si>
  <si>
    <t xml:space="preserve">UChicago claims to have what kind of learning experience compared to other universities? </t>
  </si>
  <si>
    <t>The third assessment report (TAR) prominently featured a graph labeled "Millennial Northern Hemisphere temperature reconstruction" based on a 1999 paper by Michael E. Mann, Raymond S. Bradley and Malcolm K. Hughes (MBH99), which has been referred to as the "hockey stick graph". This graph extended the similar graph in Figure 3.20 from the IPCC Second Assessment Report of 1995, and differed from a schematic in the first assessment report that lacked temperature units, but appeared to depict larger global temperature variations over the past 1000 years, and higher temperatures during the Medieval Warm Period than the mid 20th century. The schematic was not an actual plot of data, and was based on a diagram of temperatures in central England, with temperatures increased on the basis of documentary evidence of Medieval vineyards in England. Even with this increase, the maximum it showed for the Medieval Warm Period did not reach temperatures recorded in central England in 2007. The MBH99 finding was supported by cited reconstructions by Jones et al. 1998, Pollack, Huang &amp; Shen 1998, Crowley &amp; Lowery 2000 and Briffa 2000, using differing data and methods. The Jones et al. and Briffa reconstructions were overlaid with the MBH99 reconstruction in Figure 2.21 of the IPCC report.</t>
  </si>
  <si>
    <t>St. Lawrence and Mississippi watersheds</t>
  </si>
  <si>
    <t>mouth of the Monongahela River</t>
  </si>
  <si>
    <t>Four thousand</t>
  </si>
  <si>
    <t>run IP over ATM or a version of MPLS</t>
  </si>
  <si>
    <t>Residential construction practices, technologies, and resources must conform to what?</t>
  </si>
  <si>
    <t>Who has criticized ordering from online pharmacies that don't require prescriptions?</t>
  </si>
  <si>
    <t>Oxygen therapy</t>
  </si>
  <si>
    <t>Private schools generally prefer to be called independent schools, because of their freedom to operate outside of government and local government control. Some of these are also known as public schools. Preparatory schools in the UK prepare pupils aged up to 13 years old to enter public schools. The name "public school" is based on the fact that the schools were open to pupils from anywhere, and not merely to those from a certain locality, and of any religion or occupation. According to The Good Schools Guide approximately 9 per cent of children being educated in the UK are doing so at fee-paying schools at GSCE level and 13 per cent at A-level.[citation needed] Many independent schools are single-sex (though this is becoming less common). Fees range from under £3,000 to £21,000 and above per year for day pupils, rising to £27,000+ per year for boarders. For details in Scotland, see "Meeting the Cost".</t>
  </si>
  <si>
    <t>The IPCC process on climate change and its efficiency and success has been compared with dealings with other environmental challenges (compare Ozone depletion and global warming). In case of the Ozone depletion global regulation based on the Montreal Protocol has been successful, in case of Climate Change, the Kyoto Protocol failed. The Ozone case was used to assess the efficiency of the IPCC process. The lockstep situation of the IPCC is having built a broad science consensus while states and governments still follow different, if not opposing goals. The underlying linear model of policy-making of more knowledge we have, the better the political response will be is being doubted.</t>
  </si>
  <si>
    <t>What is the CJEU's duty?</t>
  </si>
  <si>
    <t>Reciprocating piston type</t>
  </si>
  <si>
    <t>AUSTPAC was an Australian public X.25 network operated by Telstra. Started by Telecom Australia in the early 1980s, AUSTPAC was Australia's first public packet-switched data network, supporting applications such as on-line betting, financial applications — the Australian Tax Office made use of AUSTPAC — and remote terminal access to academic institutions, who maintained their connections to AUSTPAC up until the mid-late 1990s in some cases. Access can be via a dial-up terminal to a PAD, or, by linking a permanent X.25 node to the network.[citation needed]</t>
  </si>
  <si>
    <t>Medical knowledge had stagnated during the Middle Ages. The most authoritative account at the time came from the medical faculty in Paris in a report to the king of France that blamed the heavens, in the form of a conjunction of three planets in 1345 that caused a "great pestilence in the air". This report became the first and most widely circulated of a series of plague tracts that sought to give advice to sufferers. That the plague was caused by bad air became the most widely accepted theory. Today, this is known as the Miasma theory. The word 'plague' had no special significance at this time, and only the recurrence of outbreaks during the Middle Ages gave it the name that has become the medical term.</t>
  </si>
  <si>
    <t>major national and international patient information projects</t>
  </si>
  <si>
    <t>Cambrian time</t>
  </si>
  <si>
    <t>because it is a waste of resources</t>
  </si>
  <si>
    <t>southern and central parts of France,</t>
  </si>
  <si>
    <t>Natural killer cells</t>
  </si>
  <si>
    <t>the New Collegiate Division</t>
  </si>
  <si>
    <t>National Science Foundation</t>
  </si>
  <si>
    <t>the property owner</t>
  </si>
  <si>
    <t>Prime ideals are the points of algebro-geometric objects, via the notion of the spectrum of a ring. Arithmetic geometry also benefits from this notion, and many concepts exist in both geometry and number theory. For example, factorization or ramification of prime ideals when lifted to an extension field, a basic problem of algebraic number theory, bears some resemblance with ramification in geometry. Such ramification questions occur even in number-theoretic questions solely concerned with integers. For example, prime ideals in the ring of integers of quadratic number fields can be used in proving quadratic reciprocity, a statement that concerns the solvability of quadratic equations</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</si>
  <si>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</si>
  <si>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What do statements from the PO and member in charge of the bill also indicate?</t>
  </si>
  <si>
    <t>What is an example of a machine model that deviates from a generally accepted multi-tape Turing machine?</t>
  </si>
  <si>
    <t>Islamism, also known as Political Islam (Arabic: إسلام سياسي‎ islām siyāsī),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</si>
  <si>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NP-complete Boolean satisfiability problem</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</si>
  <si>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d’état.</t>
  </si>
  <si>
    <t>less workers are required</t>
  </si>
  <si>
    <t>What is the name given to the input string of a computational problem?</t>
  </si>
  <si>
    <t>What is the name of the third, permanent Huguenot church in New Rochelle?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</si>
  <si>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</si>
  <si>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</si>
  <si>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The outer surface bears usually eight comb rows, called swimming-plates, which are used for swimming. The rows are oriented to run from near the mouth (the "oral pole") to the opposite end (the "aboral pole"), and are spaced more or less evenly around the body, although spacing patterns vary by species and in most species the comb rows extend only part of the distance from the aboral pole towards the mouth. The "combs" (also called "ctenes" or "comb plates") run across each row, and each consists of thousands of unusually long cilia, up to 2 millimeters (0.079 in). Unlike conventional cilia and flagella, which has a filament structure arranged in a 9 + 2 pattern, these cilia are arranged in a 9 + 3 pattern, where the extra compact filament is suspected to have a supporting function. These normally beat so that the propulsion stroke is away from the mouth, although they can also reverse direction. Hence ctenophores usually swim in the direction in which the mouth is pointing, unlike jellyfish. When trying to escape predators, one species can accelerate to six times its normal speed; some other species reverse direction as part of their escape behavior, by reversing the power stroke of the comb plate cilia.</t>
  </si>
  <si>
    <t>the ghost of le roi Huguet</t>
  </si>
  <si>
    <t>the Red Turban rebels</t>
  </si>
  <si>
    <t>army of Germania Inferior</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</si>
  <si>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</si>
  <si>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</si>
  <si>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What are malum prohibitum considerations?</t>
  </si>
  <si>
    <t>Stable and radioactive isotope studies provide insight into what?</t>
  </si>
  <si>
    <t>use of a decentralized network with multiple paths between any two points, dividing user messages into message blocks, later called packets</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</si>
  <si>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</si>
  <si>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alternative T cell receptor (TCR)</t>
  </si>
  <si>
    <t>a hemicycle</t>
  </si>
  <si>
    <t>emphasize academics</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</si>
  <si>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</si>
  <si>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oceanic species</t>
  </si>
  <si>
    <t>What other role do many pharmacists play?</t>
  </si>
  <si>
    <t>What type of landscapes other than geologic and natural ecosystem landscapes can be found in southern California?</t>
  </si>
  <si>
    <t>Afrikaans</t>
  </si>
  <si>
    <t>What does the Sieve of Eratosthenes do?</t>
  </si>
  <si>
    <t>Open</t>
  </si>
  <si>
    <t>eight</t>
  </si>
  <si>
    <t>In 1271, Kublai Khan imposed the name Great Yuan (Chinese: 大元; pinyin: Dà Yuán; Wade–Giles: Ta-Yüan), establishing the Yuan dynasty. "Dà Yuán" (大元) is from the sentence "大哉乾元" (dà zai Qián Yuán / "Great is Qián, the Primal") in the Commentaries on the Classic of Changes (I Ching) section regarding Qián (乾). The counterpart in Mongolian language was Dai Ön Ulus, also rendered as Ikh Yuan Üls or Yekhe Yuan Ulus. In Mongolian, Dai Ön (Great Yuan) is often used in conjunction with the "Yeke Mongghul Ulus" (lit. "Great Mongol State"), resulting in Dai Ön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</si>
  <si>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The most widely accepted estimate for the Middle East, including Iraq, Iran and Syria, during this time, is for a death rate of about a third. The Black Death killed about 40% of Egypt's population. Half of Paris's population of 100,000 people died. In Italy, the population of Florence was reduced from 110–120 thousand inhabitants in 1338 down to 50 thousand in 1351. At least 60% of the population of Hamburg and Bremen perished, and a similar percentage of Londoners may have died from the disease as well. Interestingly while contemporary reports account of mass burial pits being created in response to the large numbers of dead, recent scientific investigations of a burial pit in Central London found well-preserved individuals to be buried in isolated, evenly spaced graves, suggesting at least some pre-planning and Christian burials at this time. Before 1350, there were about 170,000 settlements in Germany, and this was reduced by nearly 40,000 by 1450. In 1348, the plague spread so rapidly that before any physicians or government authorities had time to reflect upon its origins, about a third of the European population had already perished. In crowded cities, it was not uncommon for as much as 50% of the population to die. The disease bypassed some areas, and the most isolated areas were less vulnerable to contagion. Monks and priests were especially hard hit since they cared for victims of the Black Death.</t>
  </si>
  <si>
    <t>An evaporative cooling tower is also referred to as what kind of cooling tower?</t>
  </si>
  <si>
    <t>What is used to estimate emissions?</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</si>
  <si>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</si>
  <si>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Who influenced Bismark besides his neighbors?</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</si>
  <si>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Frédéric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</si>
  <si>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Southern_California</t>
  </si>
  <si>
    <t>Along with Stephenson and Walschaerts, what is an example of a simple motion?</t>
  </si>
  <si>
    <t>Which park is home to the Fresno Chafffee Zoo?</t>
  </si>
  <si>
    <t>high-speed interconnection</t>
  </si>
  <si>
    <t>the Port of Los Angeles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</si>
  <si>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</si>
  <si>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Central Banking economist Raghuram Rajan argues that "systematic economic inequalities, within the United States and around the world, have created deep financial 'fault lines' that have made [financial] crises more likely to happen than in the past" – the Financial crisis of 2007–08 being the most recent example. To compensate for stagnating and declining purchasing power, political pressure has developed to extend easier credit to the lower and middle income earners – particularly to buy homes – and easier credit in general to keep unemployment rates low. This has given the American economy a tendency to go "from bubble to bubble" fueled by unsustainable monetary stimulation.</t>
  </si>
  <si>
    <t>What did Germanic tribes establish with help from the Rhine?</t>
  </si>
  <si>
    <t>the mid-Eocene</t>
  </si>
  <si>
    <t>the United States Census Bureau</t>
  </si>
  <si>
    <t>In a computational problem, what can be described as a string over an alphabet?</t>
  </si>
  <si>
    <t>By what name is that first Huguenot church known today?</t>
  </si>
  <si>
    <t>Near Tamins-Reichenau the Anterior Rhine and the Posterior Rhine join and form the Rhine. The river makes a distinctive turn to the north near Chur. This section is nearly 86 km long, and descends from a height of 599 m to 396 m. It flows through a wide glacial alpine valley known as the Rhine Valley (German: Rheintal). Near Sargans a natural dam, only a few metres high, prevents it from flowing into the open Seeztal valley and then through Lake Walen and Lake Zurich into the river Aare. The Alpine Rhine begins in the most western part of the Swiss canton of Graubünden, and later forms the border between Switzerland to the West and Liechtenstein and later Austria to the East.</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</si>
  <si>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</si>
  <si>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the steam escapes</t>
  </si>
  <si>
    <t>Common Sense Realism of what Scottish philosophers did Agassiz incorporate in his dual view of knowedge?</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</si>
  <si>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</si>
  <si>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foot of the mast</t>
  </si>
  <si>
    <t>At which level of education is this sport becoming more popular?</t>
  </si>
  <si>
    <t>What is the lowest recorded temperature in Victoria?</t>
  </si>
  <si>
    <t>"villes de sûreté"</t>
  </si>
  <si>
    <t>Minister of the Interior</t>
  </si>
  <si>
    <t>In one experiment, Lavoisier observed that there was no overall increase in weight when tin and air were heated in a closed container. He noted that air rushed in when he opened the container, which indicated that part of the trapped air had been consumed. He also noted that the tin had increased in weight and that increase was the same as the weight of the air that rushed back in. This and other experiments on combustion were documented in his book Sur la combustion en général, which was published in 1777. In that work, he proved that air is a mixture of two gases; 'vital air', which is essential to combustion and respiration, and azote (Gk. ἄζωτον "lifeless"), which did not support either. Azote later became nitrogen in English, although it has kept the name in French and several other European languages.</t>
  </si>
  <si>
    <t>old boy network</t>
  </si>
  <si>
    <t>What buildings held the Milton Friedman Institute?</t>
  </si>
  <si>
    <t>Normans</t>
  </si>
  <si>
    <t>non-political Islam</t>
  </si>
  <si>
    <t>either its continental North American possessions east of the Mississippi or the Caribbean islands of Guadeloupe and Martinique,</t>
  </si>
  <si>
    <t>One computer model of future climate change caused by greenhouse gas emissions shows that the Amazon rainforest could become unsustainable under conditions of severely reduced rainfall and increased temperatures, leading to an almost complete loss of rainforest cover in the basin by 2100. However, simulations of Amazon basin climate change across many different models are not consistent in their estimation of any rainfall response, ranging from weak increases to strong decreases. The result indicates that the rainforest could be threatened though the 21st century by climate change in addition to deforestation.</t>
  </si>
  <si>
    <t>Trinity-St. Paul's Episcopal Church</t>
  </si>
  <si>
    <t>The waxy cuticle</t>
  </si>
  <si>
    <t>by the accidental introduction of the Mnemiopsis-eating North American ctenophore Beroe ovata,</t>
  </si>
  <si>
    <t>How did the Yuan come to have the 4 schools of medicine?</t>
  </si>
  <si>
    <t>Gamma delta T cells have a different version of what receptor?</t>
  </si>
  <si>
    <t>Conant devised programs</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</si>
  <si>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</si>
  <si>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suspected to have a supporting function</t>
  </si>
  <si>
    <t>What is the goal of individual civil disobedience?</t>
  </si>
  <si>
    <t>What are the 3 post popular libraries for undergraduates in the Harvard system?</t>
  </si>
  <si>
    <t>a fixed set of rules to determine its future actions</t>
  </si>
  <si>
    <t>automatically assigned addresses, updated the distributed namespace, and configured any required inter-network routing</t>
  </si>
  <si>
    <t>itself</t>
  </si>
  <si>
    <t>fermionic nature of electrons</t>
  </si>
  <si>
    <t>In what way do idea strings transmit tesion forces?</t>
  </si>
  <si>
    <t xml:space="preserve">What does Packet switching contrast with </t>
  </si>
  <si>
    <t>at least four</t>
  </si>
  <si>
    <t>it developed into a major part of the Internet backbone</t>
  </si>
  <si>
    <t>plead not guilty</t>
  </si>
  <si>
    <t>mainly in southwestern France</t>
  </si>
  <si>
    <t>After the 1940s, the Gothic style on campus began to give way to modern styles. In 1955, Eero Saarinen was contracted to develop a second master plan, which led to the construction of buildings both north and south of the Midway, including the Laird Bell Law Quadrangle (a complex designed by Saarinen); a series of arts buildings; a building designed by Ludwig Mies van der Rohe for the university's School of Social Service Administration;, a building which is to become the home of the Harris School of Public Policy Studies by Edward Durrell Stone, and the Regenstein Library, the largest building on campus, a brutalist structure designed by Walter Netsch of the Chicago firm Skidmore, Owings &amp; Merrill. Another master plan, designed in 1999 and updated in 2004, produced the Gerald Ratner Athletics Center (2003), the Max Palevsky Residential Commons (2001), South Campus Residence Hall and dining commons (2009), a new children's hospital, and other construction, expansions, and restorations. In 2011, the university completed the glass dome-shaped Joe and Rika Mansueto Library, which provides a grand reading room for the university library and prevents the need for an off-campus book depository.</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</si>
  <si>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façade.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</si>
  <si>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European_Union_law</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</si>
  <si>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</si>
  <si>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former Strathclyde Regional Council debating chamber</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</si>
  <si>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(1899–1902) is the most interesting of the late 19th-century architecture. Some 19th-century buildings in the Praga district (the Vistula’s right bank) have been restored although many have been poorly maintained. Warsaw’s municipal government authorities have decided to rebuild the Saxon Palace and the Brühl Palace, the most distinctive buildings in prewar Warsaw.</t>
  </si>
  <si>
    <t>The development of Terra Preta allowed for what to happen in the Amazon Forest?</t>
  </si>
  <si>
    <t>conditions of static equilibrium</t>
  </si>
  <si>
    <t>last weekend of September</t>
  </si>
  <si>
    <t>What parts of a conventional reciprocating steam engine could be replaced by a pistonless rotary engine?</t>
  </si>
  <si>
    <t>Where are Jersey and Guernsey</t>
  </si>
  <si>
    <t>by padlocking the gates</t>
  </si>
  <si>
    <t>Who conceptualized the aeolipile?</t>
  </si>
  <si>
    <t>Who ruled the duchy of Normandy</t>
  </si>
  <si>
    <t>the name was incorrect</t>
  </si>
  <si>
    <t>"Wise up or die."</t>
  </si>
  <si>
    <t>spin triplet state</t>
  </si>
  <si>
    <t>What did Standard &amp; Poor recommend to speed economy recovery?</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</si>
  <si>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</si>
  <si>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How were some modern economic inequalities created?</t>
  </si>
  <si>
    <t>Renmin University</t>
  </si>
  <si>
    <t>acquittal and avoid imprisonment</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</si>
  <si>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</si>
  <si>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How much do researchers now think sea levels will rise from 1990 to 2100?</t>
  </si>
  <si>
    <t xml:space="preserve">What would create a conflict between a problem X and problem C within the context of reduction? </t>
  </si>
  <si>
    <t>a citizen may rely on the Directive in such an action</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</si>
  <si>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Shōsōin, in Japan.</t>
  </si>
  <si>
    <t>How were the men who did tasks like those of today's pharmacists viewed in Japan in the Asuka and Nara periods?</t>
  </si>
  <si>
    <t>melt (magma and/or lava)</t>
  </si>
  <si>
    <t>In science, alumni include astronomers Carl Sagan, a prominent contributor to the scientific research of extraterrestrial life, and Edwin Hubble, known for "Hubble's Law", NASA astronaut John M. Grunsfeld, geneticist James Watson, best known as one of the co-discoverers of the structure of DNA, experimental physicist Luis Alvarez, popular environmentalist David Suzuki, balloonist Jeannette Piccard, biologists Ernest Everett Just and Lynn Margulis, computer scientist Richard Hamming, the creator of the Hamming Code, lithium-ion battery developer John B. Goodenough, mathematician and Fields Medal recipient Paul Joseph Cohen, and geochemist Clair Cameron Patterson, who developed the uranium-lead dating method into lead-lead dating. Nuclear physicist and researcher Stanton Friedman, who worked on some early projects involving nuclear-powered spacecraft propulsion systems, is also a graduate (M.Sc).</t>
  </si>
  <si>
    <t>making it seem like climate change is more serious by overstating the impact</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</si>
  <si>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</si>
  <si>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When did embankment of the major Rhine distributaries take palce?</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</si>
  <si>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</si>
  <si>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</si>
  <si>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Science Magazine</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</si>
  <si>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</si>
  <si>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Magdalen Tower</t>
  </si>
  <si>
    <t>albarellos from the 16th and 17th centuries, old prescription books and antique drugs</t>
  </si>
  <si>
    <t>What is the name of the longest bridge in Germany?</t>
  </si>
  <si>
    <t>To force Japan to be more involved in the crisis, what did Saudi and Kuwaiti government do?</t>
  </si>
  <si>
    <t>48.8 °C</t>
  </si>
  <si>
    <t>In 2010 the force absorbed 8 Gt of what</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</si>
  <si>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</si>
  <si>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Russia</t>
  </si>
  <si>
    <t>level of the top tax rate</t>
  </si>
  <si>
    <t>Who disliked the affiliate program?</t>
  </si>
  <si>
    <t xml:space="preserve"> what is Internet2</t>
  </si>
  <si>
    <t>Northern Europe and the Mid-Atlantic</t>
  </si>
  <si>
    <t>The plague struck various countries in the Middle East during the pandemic, leading to serious depopulation and permanent change in both economic and social structures. As it spread to western Europe, the disease entered the region from southern Russia also. By autumn 1347, the plague reached Alexandria in Egypt, probably through the port's trade with Constantinople, and ports on the Black Sea. During 1347, the disease travelled eastward to Gaza, and north along the eastern coast to cities in Lebanon, Syria and Palestine, including Ashkelon, Acre, Jerusalem, Sidon, Damascus, Homs, and Aleppo. In 1348–49, the disease reached Antioch. The city's residents fled to the north, most of them dying during the journey, but the infection had been spread to the people of Asia Minor.[citation needed]</t>
  </si>
  <si>
    <t>increasing importance of human capital in development</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</si>
  <si>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</si>
  <si>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</si>
  <si>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Under what instances can individuals rely on primary law in the Court of Justice of European Union?</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</si>
  <si>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</si>
  <si>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major business</t>
  </si>
  <si>
    <t>On what railroad was Salamanca used?</t>
  </si>
  <si>
    <t>eicosanoids</t>
  </si>
  <si>
    <t>Neutrophils and macrophages</t>
  </si>
  <si>
    <t>Hospital pharmacies can often be found within the premises of the hospital. Hospital pharmacies usually stock a larger range of medications, including more specialized medications, than would be feasible in the community setting. Most hospital medications are unit-dose, or a single dose of medicine. Hospital pharmacists and trained pharmacy technicians compound sterile products for patients including total parenteral nutrition (TPN), and other medications given intravenously. This is a complex process that requires adequate training of personnel, quality assurance of products, and adequate facilities. Several hospital pharmacies have decided to outsource high risk preparations and some other compounding functions to companies who specialize in compounding. The high cost of medications and drug-related technology, combined with the potential impact of medications and pharmacy services on patient-care outcomes and patient safety, make it imperative that hospital pharmacies perform at the highest level possible.</t>
  </si>
  <si>
    <t>What was report P-2626</t>
  </si>
  <si>
    <t>In what form is oxygen transported in smaller containers?</t>
  </si>
  <si>
    <t>literature, cartography, geography, and scientific education</t>
  </si>
  <si>
    <t>What was one proposal to let the IPCC respond to new evidence faster?</t>
  </si>
  <si>
    <t>dephlogisticated air</t>
  </si>
  <si>
    <t>The time and space hierarchy theorems</t>
  </si>
  <si>
    <t>ideological</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</si>
  <si>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</si>
  <si>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the most efficient algorithm</t>
  </si>
  <si>
    <t>In general, there are three sectors of construction: buildings, infrastructure and industrial. Building construction is usually further divided into residential and non-residential (commercial/institutional). Infrastructure is often called heavy/highway, heavy civil or heavy engineering. It includes large public works, dams, bridges, highways, water/wastewater and utility distribution. Industrial includes refineries, process chemical, power generation, mills and manufacturing plants. There are other ways to break the industry into sectors or markets.</t>
  </si>
  <si>
    <t>How does the IPCC prepare Special Reports?</t>
  </si>
  <si>
    <t>sell prescription drugs</t>
  </si>
  <si>
    <t>phlogiston theory of combustion and corrosion</t>
  </si>
  <si>
    <t>What does Untersee mean?</t>
  </si>
  <si>
    <t>reminding their countrymen of injustice</t>
  </si>
  <si>
    <t>the industrialized nations increased their reserves</t>
  </si>
  <si>
    <t>Who had established the Russian empire to its former glory prior to 1921?</t>
  </si>
  <si>
    <t>the Edict of Nantes</t>
  </si>
  <si>
    <t>continue worshiping in their Roman Catholic tradition, continued ownership of their property, and the right to remain undisturbed</t>
  </si>
  <si>
    <t>In addition to recirculating water, what do condensers do?</t>
  </si>
  <si>
    <t>There are hints in the surviving records of the ancient Egyptians that they had some knowledge of prime numbers: the Egyptian fraction expansions in the Rhind papyrus, for instance, have quite different forms for primes and for composites. However, the earliest surviving records of the explicit study of prime numbers come from the Ancient Greeks. Euclid's Elements (circa 300 BC) contain important theorems about primes, including the infinitude of primes and the fundamental theorem of arithmetic. Euclid also showed how to construct a perfect number from a Mersenne prime. The Sieve of Eratosthenes, attributed to Eratosthenes, is a simple method to compute primes, although the large primes found today with computers are not generated this way.</t>
  </si>
  <si>
    <t>Why does the Rhine water fall into depths at the Rheinbrech?</t>
  </si>
  <si>
    <t>Islam's pivotal turning point as occurring not with the death of Ali</t>
  </si>
  <si>
    <t>quick and decisive defeat</t>
  </si>
  <si>
    <t>What was Warsaw's population in 1901?</t>
  </si>
  <si>
    <t>Commission v Austria the Court</t>
  </si>
  <si>
    <t>the division of functions and tasks between the hosts at the edge of the network and the network core.</t>
  </si>
  <si>
    <t>How was the school able to bring aboard the best talented students?</t>
  </si>
  <si>
    <t>When did Augustus die?</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</si>
  <si>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</si>
  <si>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1756 to the signing of the peace treaty in 1763</t>
  </si>
  <si>
    <t>Who started the IPCC Trust Fund?</t>
  </si>
  <si>
    <t>claimants</t>
  </si>
  <si>
    <t>struggle, famine, and bitterness</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</si>
  <si>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</si>
  <si>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rise and fall according to market demand</t>
  </si>
  <si>
    <t>When did Warsaw become the capital of the Kingdom of Poland?</t>
  </si>
  <si>
    <t>When American car companies rolled out with their domestic replacement cars, which policy ended?</t>
  </si>
  <si>
    <t>Nearby, in Ogród Saski (the Saxon Garden), the Summer Theatre was in operation from 1870 to 1939, and in the inter-war period, the theatre complex also included Momus, Warsaw's first literary cabaret, and Leon Schiller's musical theatre Melodram. The Wojciech Bogusławski Theatre (1922–26), was the best example of "Polish monumental theatre". From the mid-1930s, the Great Theatre building housed the Upati Institute of Dramatic Arts – the first state-run academy of dramatic art, with an acting department and a stage directing department.</t>
  </si>
  <si>
    <t>What do some believe the Treaty of Versailles assisted in?</t>
  </si>
  <si>
    <t>comb-rows</t>
  </si>
  <si>
    <t>better relevant income</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</si>
  <si>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尚書省),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</si>
  <si>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Who moved his court from Kraków to Warsaw in 1596?</t>
  </si>
  <si>
    <t>1st century BC</t>
  </si>
  <si>
    <t>an evaluation of the appropriateness of the drug therapy</t>
  </si>
  <si>
    <t>What commission was censured in 1999, and paved the way for Commissioners to abuse their power?</t>
  </si>
  <si>
    <t>viewed as not being a civil disobedient</t>
  </si>
  <si>
    <t>humoral immunity versus cell-mediated immunity</t>
  </si>
  <si>
    <t>bark of mulberry trees</t>
  </si>
  <si>
    <t>How many valves did the Corliss engine use?</t>
  </si>
  <si>
    <t>What is an example of a steam-powered automobile?</t>
  </si>
  <si>
    <t>one-half mile</t>
  </si>
  <si>
    <t xml:space="preserve">In cases of shared physical medium how are they delivered </t>
  </si>
  <si>
    <t>third</t>
  </si>
  <si>
    <t>In a type III secretion system, proteins are transported to the host cell in order to do what?</t>
  </si>
  <si>
    <t>more than 100 universities</t>
  </si>
  <si>
    <t>What was result of French attack of trading centre?</t>
  </si>
  <si>
    <t>lawbreaking</t>
  </si>
  <si>
    <t>tuition-free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</si>
</sst>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1" t="s">
        <v>0</v>
      </c>
      <c r="B1" s="1" t="s">
        <v>1</v>
      </c>
    </row>
    <row r="2">
      <c r="A2" s="2" t="s">
        <v>2</v>
      </c>
      <c r="B2" s="2" t="str">
        <f>IFERROR(__xludf.DUMMYFUNCTION("GOOGLETRANSLATE(A2,""en"", ""mt"")"),"Liema netwerk kien iddisinjat mill-Franċiżi")</f>
        <v>Liema netwerk kien iddisinjat mill-Franċiżi</v>
      </c>
    </row>
    <row r="3">
      <c r="A3" s="2" t="s">
        <v>3</v>
      </c>
      <c r="B3" s="2" t="str">
        <f>IFERROR(__xludf.DUMMYFUNCTION("GOOGLETRANSLATE(A3,""en"", ""mt"")"),"Liema oqsma żdiedu fl-influwenza fuq l-ispiżerija fl-Istati Uniti?")</f>
        <v>Liema oqsma żdiedu fl-influwenza fuq l-ispiżerija fl-Istati Uniti?</v>
      </c>
    </row>
    <row r="4">
      <c r="A4" s="2" t="s">
        <v>4</v>
      </c>
      <c r="B4" s="2" t="str">
        <f>IFERROR(__xludf.DUMMYFUNCTION("GOOGLETRANSLATE(A4,""en"", ""mt"")"),"Liema funzjoni jagħmlu komposti bħall-fenol u l-aċetun iservu fil-manifattura ta 'ħafna sustanzi oħra?")</f>
        <v>Liema funzjoni jagħmlu komposti bħall-fenol u l-aċetun iservu fil-manifattura ta 'ħafna sustanzi oħra?</v>
      </c>
    </row>
    <row r="5">
      <c r="A5" s="2" t="s">
        <v>5</v>
      </c>
      <c r="B5" s="2" t="str">
        <f>IFERROR(__xludf.DUMMYFUNCTION("GOOGLETRANSLATE(A5,""en"", ""mt"")"),"Ċittadini Ġermaniżi Meta l-pulizija sigrieta ta ’Hitler talbu jkunu jafu jekk kinux qed jaħbu Lhudi f’darhom")</f>
        <v>Ċittadini Ġermaniżi Meta l-pulizija sigrieta ta ’Hitler talbu jkunu jafu jekk kinux qed jaħbu Lhudi f’darhom</v>
      </c>
    </row>
    <row r="6">
      <c r="A6" s="2" t="s">
        <v>6</v>
      </c>
      <c r="B6" s="2" t="str">
        <f>IFERROR(__xludf.DUMMYFUNCTION("GOOGLETRANSLATE(A6,""en"", ""mt"")"),"Gasquet (1908) sostna li l-isem Latin Atra Mors (Black Death) għall-epidemija tas-seklu 14 deher l-ewwel darba fiż-żminijiet moderni fl-1631 fi ktieb dwar l-istorja Daniża minn J.I. Pontanus: ""Vocatibant Mortem Vulgo &amp; Ab Effectu Atram. Isem. Fl-Ingilter"&amp;"ra, ma kienx sal-1823 li l-epidemija medjevali kienet l-ewwel imsejħa l-Black Death.")</f>
        <v>Gasquet (1908) sostna li l-isem Latin Atra Mors (Black Death) għall-epidemija tas-seklu 14 deher l-ewwel darba fiż-żminijiet moderni fl-1631 fi ktieb dwar l-istorja Daniża minn J.I. Pontanus: "Vocatibant Mortem Vulgo &amp; Ab Effectu Atram. Isem. Fl-Ingilterra, ma kienx sal-1823 li l-epidemija medjevali kienet l-ewwel imsejħa l-Black Death.</v>
      </c>
    </row>
    <row r="7">
      <c r="A7" s="2" t="s">
        <v>7</v>
      </c>
      <c r="B7" s="2" t="str">
        <f>IFERROR(__xludf.DUMMYFUNCTION("GOOGLETRANSLATE(A7,""en"", ""mt"")"),"Ministri fid-dipartimenti li huma magħżula għall-interrogazzjoni ta 'dak il-jum tas-seduta")</f>
        <v>Ministri fid-dipartimenti li huma magħżula għall-interrogazzjoni ta 'dak il-jum tas-seduta</v>
      </c>
    </row>
    <row r="8">
      <c r="A8" s="2" t="s">
        <v>8</v>
      </c>
      <c r="B8" s="2" t="str">
        <f>IFERROR(__xludf.DUMMYFUNCTION("GOOGLETRANSLATE(A8,""en"", ""mt"")"),"L-invażjoni falliet")</f>
        <v>L-invażjoni falliet</v>
      </c>
    </row>
    <row r="9">
      <c r="A9" s="2" t="s">
        <v>9</v>
      </c>
      <c r="B9" s="2" t="str">
        <f>IFERROR(__xludf.DUMMYFUNCTION("GOOGLETRANSLATE(A9,""en"", ""mt"")"),"Mill-1965, Donald Davies fil-Laboratorju Fiżiku Nazzjonali, ir-Renju Unit, żviluppa b'mod indipendenti l-istess metodoloġija ta 'rotta ta' messaġġi kif żviluppat minn Baran. Huwa sejjaħlu l-iswiċċ tal-pakkett, isem aktar aċċessibbli minn dak ta 'Baran, u "&amp;"ppropona li jibni netwerk nazzjonali fir-Renju Unit. Huwa ta taħdita dwar il-proposta fl-1966, u wara persuna mill-Ministeru tad-Difiża (MOD) qaltlu dwar ix-xogħol ta 'Baran. Membru tat-tim ta 'Davies (Roger Scantlebury) iltaqa' ma 'Lawrence Roberts fis-S"&amp;"ymposium ACM tal-1967 dwar il-prinċipji tas-sistema operattiva u ssuġġerixxah għall-użu fl-arpanet.")</f>
        <v>Mill-1965, Donald Davies fil-Laboratorju Fiżiku Nazzjonali, ir-Renju Unit, żviluppa b'mod indipendenti l-istess metodoloġija ta 'rotta ta' messaġġi kif żviluppat minn Baran. Huwa sejjaħlu l-iswiċċ tal-pakkett, isem aktar aċċessibbli minn dak ta 'Baran, u ppropona li jibni netwerk nazzjonali fir-Renju Unit. Huwa ta taħdita dwar il-proposta fl-1966, u wara persuna mill-Ministeru tad-Difiża (MOD) qaltlu dwar ix-xogħol ta 'Baran. Membru tat-tim ta 'Davies (Roger Scantlebury) iltaqa' ma 'Lawrence Roberts fis-Symposium ACM tal-1967 dwar il-prinċipji tas-sistema operattiva u ssuġġerixxah għall-użu fl-arpanet.</v>
      </c>
    </row>
    <row r="10">
      <c r="A10" s="2" t="s">
        <v>10</v>
      </c>
      <c r="B10" s="2" t="str">
        <f>IFERROR(__xludf.DUMMYFUNCTION("GOOGLETRANSLATE(A10,""en"", ""mt"")"),"X'inhuma d-differenzjali tad-dħul jekk il-kontribuzzjonijiet individwali kienu rilevanti għall-prodott soċjali?")</f>
        <v>X'inhuma d-differenzjali tad-dħul jekk il-kontribuzzjonijiet individwali kienu rilevanti għall-prodott soċjali?</v>
      </c>
    </row>
    <row r="11">
      <c r="A11" s="2" t="s">
        <v>11</v>
      </c>
      <c r="B11" s="2" t="str">
        <f>IFERROR(__xludf.DUMMYFUNCTION("GOOGLETRANSLATE(A11,""en"", ""mt"")"),"Ħafna mudelli ta 'magni differenti mill-magni standard tat-Turing b'ħafna tape ġew proposti fil-letteratura, pereżempju magni ta' aċċess bl-addoċċ. Forsi sorprendentement, kull wieħed minn dawn il-mudelli jista 'jiġi kkonvertit għal ieħor mingħajr ma jipp"&amp;"rovdi saħħa tal-komputazzjoni żejda. Il-konsum tal-ħin u tal-memorja ta 'dawn il-mudelli alternattivi jista' jvarja. Dak li dawn il-mudelli kollha għandhom komuni huwa li l-magni joperaw b'mod determinanti.")</f>
        <v>Ħafna mudelli ta 'magni differenti mill-magni standard tat-Turing b'ħafna tape ġew proposti fil-letteratura, pereżempju magni ta' aċċess bl-addoċċ. Forsi sorprendentement, kull wieħed minn dawn il-mudelli jista 'jiġi kkonvertit għal ieħor mingħajr ma jipprovdi saħħa tal-komputazzjoni żejda. Il-konsum tal-ħin u tal-memorja ta 'dawn il-mudelli alternattivi jista' jvarja. Dak li dawn il-mudelli kollha għandhom komuni huwa li l-magni joperaw b'mod determinanti.</v>
      </c>
    </row>
    <row r="12">
      <c r="A12" s="2" t="s">
        <v>12</v>
      </c>
      <c r="B12" s="2" t="str">
        <f>IFERROR(__xludf.DUMMYFUNCTION("GOOGLETRANSLATE(A12,""en"", ""mt"")"),"Ir-rotta ta 'pakkett teħtieġ li l-għoqda tfittex l-ID tal-konnessjoni f'tabella")</f>
        <v>Ir-rotta ta 'pakkett teħtieġ li l-għoqda tfittex l-ID tal-konnessjoni f'tabella</v>
      </c>
    </row>
    <row r="13">
      <c r="A13" s="2" t="s">
        <v>13</v>
      </c>
      <c r="B13" s="2" t="str">
        <f>IFERROR(__xludf.DUMMYFUNCTION("GOOGLETRANSLATE(A13,""en"", ""mt"")"),"Liema proġett Harvard waqaf minħabba l-kriżi finanzjarja?")</f>
        <v>Liema proġett Harvard waqaf minħabba l-kriżi finanzjarja?</v>
      </c>
    </row>
    <row r="14">
      <c r="A14" s="2" t="s">
        <v>14</v>
      </c>
      <c r="B14" s="2" t="str">
        <f>IFERROR(__xludf.DUMMYFUNCTION("GOOGLETRANSLATE(A14,""en"", ""mt"")"),"Kolonji tal-Amerika Ingliża u Franza l-ġdida")</f>
        <v>Kolonji tal-Amerika Ingliża u Franza l-ġdida</v>
      </c>
    </row>
    <row r="15">
      <c r="A15" s="2" t="s">
        <v>15</v>
      </c>
      <c r="B15" s="2" t="str">
        <f>IFERROR(__xludf.DUMMYFUNCTION("GOOGLETRANSLATE(A15,""en"", ""mt"")"),"Cytokine TGF-β")</f>
        <v>Cytokine TGF-β</v>
      </c>
    </row>
    <row r="16">
      <c r="A16" s="2" t="s">
        <v>16</v>
      </c>
      <c r="B16" s="2" t="str">
        <f>IFERROR(__xludf.DUMMYFUNCTION("GOOGLETRANSLATE(A16,""en"", ""mt"")"),"Porzjon żgħir tal-popolazzjoni jgħix dħul mill-proprjetà mhux mistħoqq")</f>
        <v>Porzjon żgħir tal-popolazzjoni jgħix dħul mill-proprjetà mhux mistħoqq</v>
      </c>
    </row>
    <row r="17">
      <c r="A17" s="2" t="s">
        <v>17</v>
      </c>
      <c r="B17" s="2" t="str">
        <f>IFERROR(__xludf.DUMMYFUNCTION("GOOGLETRANSLATE(A17,""en"", ""mt"")"),"X'inhu inqas f'pajjiżi b'aktar inugwaljanza għall-aqwa 21 pajjiż industrijalizzat?")</f>
        <v>X'inhu inqas f'pajjiżi b'aktar inugwaljanza għall-aqwa 21 pajjiż industrijalizzat?</v>
      </c>
    </row>
    <row r="18">
      <c r="A18" s="2" t="s">
        <v>18</v>
      </c>
      <c r="B18" s="2" t="str">
        <f>IFERROR(__xludf.DUMMYFUNCTION("GOOGLETRANSLATE(A18,""en"", ""mt"")"),"Iġbed")</f>
        <v>Iġbed</v>
      </c>
    </row>
    <row r="19">
      <c r="A19" s="2" t="s">
        <v>19</v>
      </c>
      <c r="B19" s="2" t="str">
        <f>IFERROR(__xludf.DUMMYFUNCTION("GOOGLETRANSLATE(A19,""en"", ""mt"")"),"Bond doppju kovalenti")</f>
        <v>Bond doppju kovalenti</v>
      </c>
    </row>
    <row r="20">
      <c r="A20" s="2" t="s">
        <v>20</v>
      </c>
      <c r="B20" s="2" t="str">
        <f>IFERROR(__xludf.DUMMYFUNCTION("GOOGLETRANSLATE(A20,""en"", ""mt"")"),"V8 u sitt ċilindru")</f>
        <v>V8 u sitt ċilindru</v>
      </c>
    </row>
    <row r="21" ht="15.75" customHeight="1">
      <c r="A21" s="2" t="s">
        <v>21</v>
      </c>
      <c r="B21" s="2" t="str">
        <f>IFERROR(__xludf.DUMMYFUNCTION("GOOGLETRANSLATE(A21,""en"", ""mt"")"),"tibgħat email lill-Libanu")</f>
        <v>tibgħat email lill-Libanu</v>
      </c>
    </row>
    <row r="22" ht="15.75" customHeight="1">
      <c r="A22" s="2" t="s">
        <v>22</v>
      </c>
      <c r="B22" s="2" t="str">
        <f>IFERROR(__xludf.DUMMYFUNCTION("GOOGLETRANSLATE(A22,""en"", ""mt"")"),"X'inhu spiss mifhum bħala l-kawża tar-riġidità tal-materja?")</f>
        <v>X'inhu spiss mifhum bħala l-kawża tar-riġidità tal-materja?</v>
      </c>
    </row>
    <row r="23" ht="15.75" customHeight="1">
      <c r="A23" s="2" t="s">
        <v>23</v>
      </c>
      <c r="B23" s="2" t="str">
        <f>IFERROR(__xludf.DUMMYFUNCTION("GOOGLETRANSLATE(A23,""en"", ""mt"")"),"Fuq liema affarijiet ikkonċentrat in-netwerk")</f>
        <v>Fuq liema affarijiet ikkonċentrat in-netwerk</v>
      </c>
    </row>
    <row r="24" ht="15.75" customHeight="1">
      <c r="A24" s="2" t="s">
        <v>24</v>
      </c>
      <c r="B24" s="2" t="str">
        <f>IFERROR(__xludf.DUMMYFUNCTION("GOOGLETRANSLATE(A24,""en"", ""mt"")"),"Fis-snin 1840 u 50, kien hemm tentattivi biex tingħeleb din il-problema permezz ta 'diversi gerijiet tal-valv tal-privattivi b'valv ta' espansjoni separat u varjabbli ta 'rkib fuq wara tal-valv tal-pjastra prinċipali; Dawn tal-aħħar ġeneralment kellhom qt"&amp;"ugħ fiss jew limitat. Is-setup ikkombinat ta approssimazzjoni ġusta tal-avvenimenti ideali, bi spejjeż ta 'żieda fil-frizzjoni u l-ilbies, u l-mekkaniżmu kellu tendenza li jkun ikkumplikat. Is-soluzzjoni ta 'kompromess tas-soltu kienet li tipprovdi dawra "&amp;"billi tittawwal l-uċuħ tal-valv b'tali mod li jirkbu fuq il-port fuq in-naħa tad-dħul, bl-effett li n-naħa tal-egżost tibqa' miftuħa għal perjodu itwal wara li tinqata 'fuq l-ammissjoni il-ġenb seħħ. Dan l-ispedjent minn dakinhar ġeneralment kien ikkunsid"&amp;"rat sodisfaċenti għal ħafna skopijiet u jagħmilha possibbli l-użu tal-mozzjonijiet aktar sempliċi ta 'Stephenson, Joy u Walschaerts. Corliss, u aktar tard, il-gerijiet tal-valv tal-poppet kellhom ammissjoni separati u valvi ta 'l-egżost misjuqa minn mekka"&amp;"niżmi ta' vjaġġ jew cams profilati sabiex jagħtu avvenimenti ideali; Ħafna minn dawn l-irkaptu qatt ma rnexxielhom barra mis-suq wieqaf minħabba diversi kwistjonijiet oħra inkluż tnixxija u mekkaniżmi aktar delikati.")</f>
        <v>Fis-snin 1840 u 50, kien hemm tentattivi biex tingħeleb din il-problema permezz ta 'diversi gerijiet tal-valv tal-privattivi b'valv ta' espansjoni separat u varjabbli ta 'rkib fuq wara tal-valv tal-pjastra prinċipali; Dawn tal-aħħar ġeneralment kellhom qtugħ fiss jew limitat. Is-setup ikkombinat ta approssimazzjoni ġusta tal-avvenimenti ideali, bi spejjeż ta 'żieda fil-frizzjoni u l-ilbies, u l-mekkaniżmu kellu tendenza li jkun ikkumplikat. Is-soluzzjoni ta 'kompromess tas-soltu kienet li tipprovdi dawra billi tittawwal l-uċuħ tal-valv b'tali mod li jirkbu fuq il-port fuq in-naħa tad-dħul, bl-effett li n-naħa tal-egżost tibqa' miftuħa għal perjodu itwal wara li tinqata 'fuq l-ammissjoni il-ġenb seħħ. Dan l-ispedjent minn dakinhar ġeneralment kien ikkunsidrat sodisfaċenti għal ħafna skopijiet u jagħmilha possibbli l-użu tal-mozzjonijiet aktar sempliċi ta 'Stephenson, Joy u Walschaerts. Corliss, u aktar tard, il-gerijiet tal-valv tal-poppet kellhom ammissjoni separati u valvi ta 'l-egżost misjuqa minn mekkaniżmi ta' vjaġġ jew cams profilati sabiex jagħtu avvenimenti ideali; Ħafna minn dawn l-irkaptu qatt ma rnexxielhom barra mis-suq wieqaf minħabba diversi kwistjonijiet oħra inkluż tnixxija u mekkaniżmi aktar delikati.</v>
      </c>
    </row>
    <row r="25" ht="15.75" customHeight="1">
      <c r="A25" s="2" t="s">
        <v>25</v>
      </c>
      <c r="B25" s="2" t="str">
        <f>IFERROR(__xludf.DUMMYFUNCTION("GOOGLETRANSLATE(A25,""en"", ""mt"")"),"Avvanzi magħmula fil-Lvant Nofsani fil-Botanika u l-Kimika")</f>
        <v>Avvanzi magħmula fil-Lvant Nofsani fil-Botanika u l-Kimika</v>
      </c>
    </row>
    <row r="26" ht="15.75" customHeight="1">
      <c r="A26" s="2" t="s">
        <v>26</v>
      </c>
      <c r="B26" s="2" t="str">
        <f>IFERROR(__xludf.DUMMYFUNCTION("GOOGLETRANSLATE(A26,""en"", ""mt"")"),"Fresno (/ ˈfrɛznoʊ / Frez-Noh), is-sede tal-kontea tal-Kontea ta 'Fresno, hija belt fl-Istat ta' l-Istati Uniti ta 'California. Mill-2015, il-popolazzjoni tal-belt kienet ta '520,159, u għamilha l-ħames l-akbar belt f'Kalifornja, l-akbar belt interna f'Ka"&amp;"lifornja u l-34 l-akbar livell fin-nazzjon. Fresno jinsab fiċ-ċentru tal-Wied ta 'San Joaquin u huwa l-akbar belt fil-Wied Ċentrali, li fiha l-Wied ta' San Joaquin. Huwa madwar 220 mil (350 km) fil-majjistral ta 'Los Angeles, 170 mil (270 km) fin-nofsinha"&amp;"r tal-kapitali tal-istat, Sacramento, jew 185 mil (300 km) fin-nofsinhar ta' San Francisco. L-isem Fresno jfisser ""siġra tal-irmied"" bl-Ispanjol, u weraq tal-irmied jidher fuq il-bandiera tal-belt.")</f>
        <v>Fresno (/ ˈfrɛznoʊ / Frez-Noh), is-sede tal-kontea tal-Kontea ta 'Fresno, hija belt fl-Istat ta' l-Istati Uniti ta 'California. Mill-2015, il-popolazzjoni tal-belt kienet ta '520,159, u għamilha l-ħames l-akbar belt f'Kalifornja, l-akbar belt interna f'Kalifornja u l-34 l-akbar livell fin-nazzjon. Fresno jinsab fiċ-ċentru tal-Wied ta 'San Joaquin u huwa l-akbar belt fil-Wied Ċentrali, li fiha l-Wied ta' San Joaquin. Huwa madwar 220 mil (350 km) fil-majjistral ta 'Los Angeles, 170 mil (270 km) fin-nofsinhar tal-kapitali tal-istat, Sacramento, jew 185 mil (300 km) fin-nofsinhar ta' San Francisco. L-isem Fresno jfisser "siġra tal-irmied" bl-Ispanjol, u weraq tal-irmied jidher fuq il-bandiera tal-belt.</v>
      </c>
    </row>
    <row r="27" ht="15.75" customHeight="1">
      <c r="A27" s="2" t="s">
        <v>27</v>
      </c>
      <c r="B27" s="2" t="str">
        <f>IFERROR(__xludf.DUMMYFUNCTION("GOOGLETRANSLATE(A27,""en"", ""mt"")"),"Meta arpnet u sita saru operattivi")</f>
        <v>Meta arpnet u sita saru operattivi</v>
      </c>
    </row>
    <row r="28" ht="15.75" customHeight="1">
      <c r="A28" s="2" t="s">
        <v>28</v>
      </c>
      <c r="B28" s="2" t="str">
        <f>IFERROR(__xludf.DUMMYFUNCTION("GOOGLETRANSLATE(A28,""en"", ""mt"")"),"Għażla tad-Droga, Doża, Rotta, Frekwenza, u Tul tat-Terapija")</f>
        <v>Għażla tad-Droga, Doża, Rotta, Frekwenza, u Tul tat-Terapija</v>
      </c>
    </row>
    <row r="29" ht="15.75" customHeight="1">
      <c r="A29" s="2" t="s">
        <v>29</v>
      </c>
      <c r="B29" s="2" t="str">
        <f>IFERROR(__xludf.DUMMYFUNCTION("GOOGLETRANSLATE(A29,""en"", ""mt"")"),"Liema entità żviluppat il-prinċipji tal-liġi tal-Unjoni Ewropea?")</f>
        <v>Liema entità żviluppat il-prinċipji tal-liġi tal-Unjoni Ewropea?</v>
      </c>
    </row>
    <row r="30" ht="15.75" customHeight="1">
      <c r="A30" s="2" t="s">
        <v>30</v>
      </c>
      <c r="B30" s="2" t="str">
        <f>IFERROR(__xludf.DUMMYFUNCTION("GOOGLETRANSLATE(A30,""en"", ""mt"")"),"Fresno għandu tliet parks pubbliċi kbar, tnejn fil-limiti tal-belt u wieħed fl-art tal-kontea lejn il-Lbiċ. Woodward Park, li fih il-Ġonna Ġappuniżi Shinzen, bosta żoni tal-pikniks u diversi mili ta ’traċċi, jinsab fit-Tramuntana ta’ Fresno u jinsab biswi"&amp;"t il-Parkway tax-Xmara San Joaquin. Roeding Park, qrib id-downtown Fresno, huwa d-dar taż-Żoo ta 'Fresno Chaffee, u Storyland u Playland Rotary. Kearney Park hija l-ikbar sistema tal-park tar-reġjun ta 'Fresno u hija d-dar ta' Kearney Mansion storika u ti"&amp;"lgħab li l-Gwerra Ċivili riveduta annwali, l-akbar mill-ġdid mill-ġdid tal-gwerra ċivili fil-kosta tal-punent ta 'l-Istati Uniti ta' l-Istati Uniti ta 'l-Istati Uniti ta' l-Istati Uniti ta 'l-Istati Uniti ta' l-Istati Uniti.")</f>
        <v>Fresno għandu tliet parks pubbliċi kbar, tnejn fil-limiti tal-belt u wieħed fl-art tal-kontea lejn il-Lbiċ. Woodward Park, li fih il-Ġonna Ġappuniżi Shinzen, bosta żoni tal-pikniks u diversi mili ta ’traċċi, jinsab fit-Tramuntana ta’ Fresno u jinsab biswit il-Parkway tax-Xmara San Joaquin. Roeding Park, qrib id-downtown Fresno, huwa d-dar taż-Żoo ta 'Fresno Chaffee, u Storyland u Playland Rotary. Kearney Park hija l-ikbar sistema tal-park tar-reġjun ta 'Fresno u hija d-dar ta' Kearney Mansion storika u tilgħab li l-Gwerra Ċivili riveduta annwali, l-akbar mill-ġdid mill-ġdid tal-gwerra ċivili fil-kosta tal-punent ta 'l-Istati Uniti ta' l-Istati Uniti ta 'l-Istati Uniti ta' l-Istati Uniti ta 'l-Istati Uniti ta' l-Istati Uniti.</v>
      </c>
    </row>
    <row r="31" ht="15.75" customHeight="1">
      <c r="A31" s="2" t="s">
        <v>31</v>
      </c>
      <c r="B31" s="2" t="str">
        <f>IFERROR(__xludf.DUMMYFUNCTION("GOOGLETRANSLATE(A31,""en"", ""mt"")"),"Iċ-ċentru tal-università f'Beijing jinsab ħdejn il-kampus tal-iskola?")</f>
        <v>Iċ-ċentru tal-università f'Beijing jinsab ħdejn il-kampus tal-iskola?</v>
      </c>
    </row>
    <row r="32" ht="15.75" customHeight="1">
      <c r="A32" s="2" t="s">
        <v>32</v>
      </c>
      <c r="B32" s="2" t="str">
        <f>IFERROR(__xludf.DUMMYFUNCTION("GOOGLETRANSLATE(A32,""en"", ""mt"")"),"ambigwu")</f>
        <v>ambigwu</v>
      </c>
    </row>
    <row r="33" ht="15.75" customHeight="1">
      <c r="A33" s="2" t="s">
        <v>33</v>
      </c>
      <c r="B33" s="2" t="str">
        <f>IFERROR(__xludf.DUMMYFUNCTION("GOOGLETRANSLATE(A33,""en"", ""mt"")"),"Phylum ta 'annimali")</f>
        <v>Phylum ta 'annimali</v>
      </c>
    </row>
    <row r="34" ht="15.75" customHeight="1">
      <c r="A34" s="2" t="s">
        <v>34</v>
      </c>
      <c r="B34" s="2" t="str">
        <f>IFERROR(__xludf.DUMMYFUNCTION("GOOGLETRANSLATE(A34,""en"", ""mt"")"),"Immedjatament wara l-ħin tad-deċiżjoni, isir ""dibattitu dwar il-membri"", li jdum 45 minuta. In-negozju tal-Membri huwa dibattitu dwar mozzjoni proposta minn MSP li mhux ministru Skoċċiż. Dawn il-mozzjonijiet huma fuq kwistjonijiet li jistgħu jkunu ta 'i"&amp;"nteress għal qasam partikolari bħal kostitwenza ta' membru stess, avveniment li jmiss jew tal-passat jew kwalunkwe oġġett ieħor li altrimenti ma jingħatax ħin parlamentari uffiċjali. Kif ukoll il-proponent, membri oħra normalment jikkontribwixxu għad-diba"&amp;"ttitu. Il-ministru rilevanti, li d-dipartiment tiegħu d-dibattitu u l-mozzjoni għandhom x'jaqsmu ma '""jispiċċaw"" id-dibattitu billi jitkellem wara l-parteċipanti l-oħra kollha.")</f>
        <v>Immedjatament wara l-ħin tad-deċiżjoni, isir "dibattitu dwar il-membri", li jdum 45 minuta. In-negozju tal-Membri huwa dibattitu dwar mozzjoni proposta minn MSP li mhux ministru Skoċċiż. Dawn il-mozzjonijiet huma fuq kwistjonijiet li jistgħu jkunu ta 'interess għal qasam partikolari bħal kostitwenza ta' membru stess, avveniment li jmiss jew tal-passat jew kwalunkwe oġġett ieħor li altrimenti ma jingħatax ħin parlamentari uffiċjali. Kif ukoll il-proponent, membri oħra normalment jikkontribwixxu għad-dibattitu. Il-ministru rilevanti, li d-dipartiment tiegħu d-dibattitu u l-mozzjoni għandhom x'jaqsmu ma '"jispiċċaw" id-dibattitu billi jitkellem wara l-parteċipanti l-oħra kollha.</v>
      </c>
    </row>
    <row r="35" ht="15.75" customHeight="1">
      <c r="A35" s="2" t="s">
        <v>35</v>
      </c>
      <c r="B35" s="2" t="str">
        <f>IFERROR(__xludf.DUMMYFUNCTION("GOOGLETRANSLATE(A35,""en"", ""mt"")"),"Il-Gwerra Franċiża u Indjana (1754-1763) kienet it-Teatru tal-Amerika ta ’Fuq tal-Gwerra Dinjija ta’ Seba ’Snin. Il-gwerra ġiet miġġielda bejn il-kolonji ta 'l-Amerika Ingliża u New France, biż-żewġ naħat sostnuti minn unitajiet militari mill-pajjiżi ġeni"&amp;"turi tagħhom tal-Gran Brittanja u Franza, kif ukoll l-alleati Amerikani Nattivi. Fil-bidu tal-gwerra, il-kolonji Franċiżi tal-Amerika ta ’Fuq kellhom popolazzjoni ta’ madwar 60,000 kolonizzatur Ewropew, meta mqabbla ma ’2 miljun fil-kolonji Ingliżi tal-Am"&amp;"erika ta’ Fuq. Il-Franċiż numeruż kien jiddependi partikolarment mill-Indjani. F’kunflitt twil, in-nazzjonijiet tal-metropoli ddikjaraw gwerra fuq xulxin fl-1756, li żdiedet il-gwerra minn affari reġjonali f’kunflitt interkontinentali.")</f>
        <v>Il-Gwerra Franċiża u Indjana (1754-1763) kienet it-Teatru tal-Amerika ta ’Fuq tal-Gwerra Dinjija ta’ Seba ’Snin. Il-gwerra ġiet miġġielda bejn il-kolonji ta 'l-Amerika Ingliża u New France, biż-żewġ naħat sostnuti minn unitajiet militari mill-pajjiżi ġenituri tagħhom tal-Gran Brittanja u Franza, kif ukoll l-alleati Amerikani Nattivi. Fil-bidu tal-gwerra, il-kolonji Franċiżi tal-Amerika ta ’Fuq kellhom popolazzjoni ta’ madwar 60,000 kolonizzatur Ewropew, meta mqabbla ma ’2 miljun fil-kolonji Ingliżi tal-Amerika ta’ Fuq. Il-Franċiż numeruż kien jiddependi partikolarment mill-Indjani. F’kunflitt twil, in-nazzjonijiet tal-metropoli ddikjaraw gwerra fuq xulxin fl-1756, li żdiedet il-gwerra minn affari reġjonali f’kunflitt interkontinentali.</v>
      </c>
    </row>
    <row r="36" ht="15.75" customHeight="1">
      <c r="A36" s="2" t="s">
        <v>36</v>
      </c>
      <c r="B36" s="2" t="str">
        <f>IFERROR(__xludf.DUMMYFUNCTION("GOOGLETRANSLATE(A36,""en"", ""mt"")"),"Prinċipji tal-Ġeoloġija")</f>
        <v>Prinċipji tal-Ġeoloġija</v>
      </c>
    </row>
    <row r="37" ht="15.75" customHeight="1">
      <c r="A37" s="2" t="s">
        <v>37</v>
      </c>
      <c r="B37" s="2" t="str">
        <f>IFERROR(__xludf.DUMMYFUNCTION("GOOGLETRANSLATE(A37,""en"", ""mt"")"),"'S Napuljun")</f>
        <v>'S Napuljun</v>
      </c>
    </row>
    <row r="38" ht="15.75" customHeight="1">
      <c r="A38" s="2" t="s">
        <v>38</v>
      </c>
      <c r="B38" s="2" t="str">
        <f>IFERROR(__xludf.DUMMYFUNCTION("GOOGLETRANSLATE(A38,""en"", ""mt"")"),"skomdi u mhux sanitarju")</f>
        <v>skomdi u mhux sanitarju</v>
      </c>
    </row>
    <row r="39" ht="15.75" customHeight="1">
      <c r="A39" s="2" t="s">
        <v>39</v>
      </c>
      <c r="B39" s="2" t="str">
        <f>IFERROR(__xludf.DUMMYFUNCTION("GOOGLETRANSLATE(A39,""en"", ""mt"")"),"Vjaġġaturi tal-Fond")</f>
        <v>Vjaġġaturi tal-Fond</v>
      </c>
    </row>
    <row r="40" ht="15.75" customHeight="1">
      <c r="A40" s="2" t="s">
        <v>40</v>
      </c>
      <c r="B40" s="2" t="str">
        <f>IFERROR(__xludf.DUMMYFUNCTION("GOOGLETRANSLATE(A40,""en"", ""mt"")"),"Anke jekk xi provi ta 'teoremi teoretiċi ta' kumplessità jassumu regolarment xi għażla konkreta ta 'kodifikazzjoni ta' input, wieħed jipprova jżomm id-diskussjoni astratta biżżejjed biex tkun indipendenti mill-għażla tal-kodifikazzjoni. Dan jista 'jinkise"&amp;"b billi jiġi żgurat li rappreżentazzjonijiet differenti jistgħu jiġu trasformati f'xulxin b'mod effiċjenti.")</f>
        <v>Anke jekk xi provi ta 'teoremi teoretiċi ta' kumplessità jassumu regolarment xi għażla konkreta ta 'kodifikazzjoni ta' input, wieħed jipprova jżomm id-diskussjoni astratta biżżejjed biex tkun indipendenti mill-għażla tal-kodifikazzjoni. Dan jista 'jinkiseb billi jiġi żgurat li rappreżentazzjonijiet differenti jistgħu jiġu trasformati f'xulxin b'mod effiċjenti.</v>
      </c>
    </row>
    <row r="41" ht="15.75" customHeight="1">
      <c r="A41" s="2" t="s">
        <v>41</v>
      </c>
      <c r="B41" s="2" t="str">
        <f>IFERROR(__xludf.DUMMYFUNCTION("GOOGLETRANSLATE(A41,""en"", ""mt"")"),"Orangery ġdid")</f>
        <v>Orangery ġdid</v>
      </c>
    </row>
    <row r="42" ht="15.75" customHeight="1">
      <c r="A42" s="2" t="s">
        <v>42</v>
      </c>
      <c r="B42" s="2" t="str">
        <f>IFERROR(__xludf.DUMMYFUNCTION("GOOGLETRANSLATE(A42,""en"", ""mt"")"),"mill-inqas 90% ċerti")</f>
        <v>mill-inqas 90% ċerti</v>
      </c>
    </row>
    <row r="43" ht="15.75" customHeight="1">
      <c r="A43" s="2" t="s">
        <v>43</v>
      </c>
      <c r="B43" s="2" t="str">
        <f>IFERROR(__xludf.DUMMYFUNCTION("GOOGLETRANSLATE(A43,""en"", ""mt"")"),"Liema ktieb kien ippubblikat is-seba 'lezzjonijiet Ingliżi ta' Iqbal?")</f>
        <v>Liema ktieb kien ippubblikat is-seba 'lezzjonijiet Ingliżi ta' Iqbal?</v>
      </c>
    </row>
    <row r="44" ht="15.75" customHeight="1">
      <c r="A44" s="2" t="s">
        <v>44</v>
      </c>
      <c r="B44" s="2" t="str">
        <f>IFERROR(__xludf.DUMMYFUNCTION("GOOGLETRANSLATE(A44,""en"", ""mt"")"),"Fit-18 ta ’Novembru 2015, Sky ħabbret Sky Q, firxa ta’ prodotti u servizzi li għandhom ikunu disponibbli fl-2016. Il-firxa Sky Q tikkonsisti fi tliet kaxex tal-aqwa sett (Sky Q, Sky Q Silver u Sky Q Mini), router tal-broadband (Sky Q Hub) u applikazzjonij"&amp;"iet mobbli. Il-kaxex ta 'fuq tas-Sky Q jintroduċu interface tal-utent ġdid, funzjonalità Wi-Fi Hotspot, power-line u konnettività Bluetooth u kontroll mill-bogħod ġdid sensittiv għall-mess. Is-Sema Q Mini Set Top Boxes jaqbdu mal-kaxex ta 'fuq tas-Silda S"&amp;"ett tal-Fidda b'konnessjoni Wi-Fi jew Power-Line minflok ma jirċievu l-għalf tas-satellita tagħhom stess. Dan jippermetti l-kaxxi ta 'fuq kollha stabbiliti f'familja biex jaqsmu reġistrazzjonijiet u midja oħra. Il-kaxxa ta 'fuq tas-Silda Sy Silver hija ka"&amp;"paċi tirċievi u turi xandiriet UHD, li Sky se tintroduċi aktar tard fl-2016.")</f>
        <v>Fit-18 ta ’Novembru 2015, Sky ħabbret Sky Q, firxa ta’ prodotti u servizzi li għandhom ikunu disponibbli fl-2016. Il-firxa Sky Q tikkonsisti fi tliet kaxex tal-aqwa sett (Sky Q, Sky Q Silver u Sky Q Mini), router tal-broadband (Sky Q Hub) u applikazzjonijiet mobbli. Il-kaxex ta 'fuq tas-Sky Q jintroduċu interface tal-utent ġdid, funzjonalità Wi-Fi Hotspot, power-line u konnettività Bluetooth u kontroll mill-bogħod ġdid sensittiv għall-mess. Is-Sema Q Mini Set Top Boxes jaqbdu mal-kaxex ta 'fuq tas-Silda Sett tal-Fidda b'konnessjoni Wi-Fi jew Power-Line minflok ma jirċievu l-għalf tas-satellita tagħhom stess. Dan jippermetti l-kaxxi ta 'fuq kollha stabbiliti f'familja biex jaqsmu reġistrazzjonijiet u midja oħra. Il-kaxxa ta 'fuq tas-Silda Sy Silver hija kapaċi tirċievi u turi xandiriet UHD, li Sky se tintroduċi aktar tard fl-2016.</v>
      </c>
    </row>
    <row r="45" ht="15.75" customHeight="1">
      <c r="A45" s="2" t="s">
        <v>45</v>
      </c>
      <c r="B45" s="2" t="str">
        <f>IFERROR(__xludf.DUMMYFUNCTION("GOOGLETRANSLATE(A45,""en"", ""mt"")"),"L-ekonomija tar-Rabat hija diversifikata ħafna: setturi tas-servizzi li jinkludu servizzi finanzjarji u tal-propjetà, saħħa, edukazzjoni, bejgħ bl-ingrossa, bejgħ bl-imnut, ospitalità u manifattura jikkostitwixxu l-maġġoranza tal-impjiegi. Il-prodott tota"&amp;"li ta 'l-istat gross ta' Victoria (GSP) huwa kklassifikat it-tieni fl-Awstralja, għalkemm ir-Rabat hija kklassifikata r-raba 'f'termini ta' GSP per capita minħabba l-attività limitata tagħha tal-minjieri. Kulturalment, Melbourne hija dar għal numru ta 'mu"&amp;"żewijiet, galleriji tal-arti u teatri u hija deskritta wkoll bħala l- ""kapitali sportiva tal-Awstralja"". Il-Melbourne Cricket Ground huwa l-akbar grawnd fl-Awstralja, u l-ospitanti tal-Olimpjadi tas-Sajf tal-1956 u l-Logħob tal-Commonwealth tal-2006. L-"&amp;"art hija meqjusa wkoll bħala d- ""dar spiritwali"" tal-cricket Awstraljan u r-regoli Awstraljani tal-futbol, ​​u tospita l-finali tal-Lega tal-Futbol Awstraljan (AFL) kull sena, ġeneralment tiġbed folol ta 'aktar minn 95,000 persuna. Ir-Rabat tinkludi tmi"&amp;"en universitajiet pubbliċi, bl-eqdem, l-Università ta ’Melbourne, wara li twaqqfet fl-1853.")</f>
        <v>L-ekonomija tar-Rabat hija diversifikata ħafna: setturi tas-servizzi li jinkludu servizzi finanzjarji u tal-propjetà, saħħa, edukazzjoni, bejgħ bl-ingrossa, bejgħ bl-imnut, ospitalità u manifattura jikkostitwixxu l-maġġoranza tal-impjiegi. Il-prodott totali ta 'l-istat gross ta' Victoria (GSP) huwa kklassifikat it-tieni fl-Awstralja, għalkemm ir-Rabat hija kklassifikata r-raba 'f'termini ta' GSP per capita minħabba l-attività limitata tagħha tal-minjieri. Kulturalment, Melbourne hija dar għal numru ta 'mużewijiet, galleriji tal-arti u teatri u hija deskritta wkoll bħala l- "kapitali sportiva tal-Awstralja". Il-Melbourne Cricket Ground huwa l-akbar grawnd fl-Awstralja, u l-ospitanti tal-Olimpjadi tas-Sajf tal-1956 u l-Logħob tal-Commonwealth tal-2006. L-art hija meqjusa wkoll bħala d- "dar spiritwali" tal-cricket Awstraljan u r-regoli Awstraljani tal-futbol, ​​u tospita l-finali tal-Lega tal-Futbol Awstraljan (AFL) kull sena, ġeneralment tiġbed folol ta 'aktar minn 95,000 persuna. Ir-Rabat tinkludi tmien universitajiet pubbliċi, bl-eqdem, l-Università ta ’Melbourne, wara li twaqqfet fl-1853.</v>
      </c>
    </row>
    <row r="46" ht="15.75" customHeight="1">
      <c r="A46" s="2" t="s">
        <v>46</v>
      </c>
      <c r="B46" s="2" t="str">
        <f>IFERROR(__xludf.DUMMYFUNCTION("GOOGLETRANSLATE(A46,""en"", ""mt"")"),"Suite proprjetarja ta 'protokolli ta' netwerking")</f>
        <v>Suite proprjetarja ta 'protokolli ta' netwerking</v>
      </c>
    </row>
    <row r="47" ht="15.75" customHeight="1">
      <c r="A47" s="2" t="s">
        <v>47</v>
      </c>
      <c r="B47" s="2" t="str">
        <f>IFERROR(__xludf.DUMMYFUNCTION("GOOGLETRANSLATE(A47,""en"", ""mt"")"),"F’Settembru 1760, u qabel ma faqqgħet xi ostilitajiet, il-Gvernatur Vaudreuil innegozja minn Montreal a kapitolazzjoni mal-Ġeneral Amherst. Amherst ingħatat it-talba ta 'Vaudreuil li kull resident Franċiż li għażel li jibqa' fil-kolonja jingħata l-libertà"&amp;" li jkompli jadura fit-tradizzjoni Kattolika Rumana tagħhom, kompla s-sjieda tal-propjetà tagħhom, u d-dritt li jibqgħu mhux disturbati fi djarhom. Il-Brittaniċi pprovdew trattament mediku għas-suldati Franċiżi morda u midruba u truppi regolari Franċiżi ġ"&amp;"ew mibgħuta lura lejn Franza abbord il-vapuri Ingliżi bi ftehim li ma kellhomx iservu mill-ġdid fil-gwerra preżenti.")</f>
        <v>F’Settembru 1760, u qabel ma faqqgħet xi ostilitajiet, il-Gvernatur Vaudreuil innegozja minn Montreal a kapitolazzjoni mal-Ġeneral Amherst. Amherst ingħatat it-talba ta 'Vaudreuil li kull resident Franċiż li għażel li jibqa' fil-kolonja jingħata l-libertà li jkompli jadura fit-tradizzjoni Kattolika Rumana tagħhom, kompla s-sjieda tal-propjetà tagħhom, u d-dritt li jibqgħu mhux disturbati fi djarhom. Il-Brittaniċi pprovdew trattament mediku għas-suldati Franċiżi morda u midruba u truppi regolari Franċiżi ġew mibgħuta lura lejn Franza abbord il-vapuri Ingliżi bi ftehim li ma kellhomx iservu mill-ġdid fil-gwerra preżenti.</v>
      </c>
    </row>
    <row r="48" ht="15.75" customHeight="1">
      <c r="A48" s="2" t="s">
        <v>48</v>
      </c>
      <c r="B48" s="2" t="str">
        <f>IFERROR(__xludf.DUMMYFUNCTION("GOOGLETRANSLATE(A48,""en"", ""mt"")"),"Meta l-Wahhabi ħatfet il-moskea grandjuża f'Mekka?")</f>
        <v>Meta l-Wahhabi ħatfet il-moskea grandjuża f'Mekka?</v>
      </c>
    </row>
    <row r="49" ht="15.75" customHeight="1">
      <c r="A49" s="2" t="s">
        <v>49</v>
      </c>
      <c r="B49" s="2" t="str">
        <f>IFERROR(__xludf.DUMMYFUNCTION("GOOGLETRANSLATE(A49,""en"", ""mt"")"),"X'inhu mira sekondarja li tinvoka mhux ħati?")</f>
        <v>X'inhu mira sekondarja li tinvoka mhux ħati?</v>
      </c>
    </row>
    <row r="50" ht="15.75" customHeight="1">
      <c r="A50" s="2" t="s">
        <v>50</v>
      </c>
      <c r="B50" s="2" t="str">
        <f>IFERROR(__xludf.DUMMYFUNCTION("GOOGLETRANSLATE(A50,""en"", ""mt"")"),"ingħata lill-Huguenots sostanzjali reliġjużi, politiċi u militari")</f>
        <v>ingħata lill-Huguenots sostanzjali reliġjużi, politiċi u militari</v>
      </c>
    </row>
    <row r="51" ht="15.75" customHeight="1">
      <c r="A51" s="2" t="s">
        <v>51</v>
      </c>
      <c r="B51" s="2" t="str">
        <f>IFERROR(__xludf.DUMMYFUNCTION("GOOGLETRANSLATE(A51,""en"", ""mt"")"),"X'kienet akkużata Zia-ul-Haq li uża l-Iżlamizzazzjoni biex tilleġittimizza?")</f>
        <v>X'kienet akkużata Zia-ul-Haq li uża l-Iżlamizzazzjoni biex tilleġittimizza?</v>
      </c>
    </row>
    <row r="52" ht="15.75" customHeight="1">
      <c r="A52" s="2" t="s">
        <v>52</v>
      </c>
      <c r="B52" s="2" t="str">
        <f>IFERROR(__xludf.DUMMYFUNCTION("GOOGLETRANSLATE(A52,""en"", ""mt"")"),"X'inhu ctenophora?")</f>
        <v>X'inhu ctenophora?</v>
      </c>
    </row>
    <row r="53" ht="15.75" customHeight="1">
      <c r="A53" s="2" t="s">
        <v>53</v>
      </c>
      <c r="B53" s="2" t="str">
        <f>IFERROR(__xludf.DUMMYFUNCTION("GOOGLETRANSLATE(A53,""en"", ""mt"")"),"Kemm idum biex l-effetti jimmanifestaw bħala bidliet fit-tkabbir ekonomiku?")</f>
        <v>Kemm idum biex l-effetti jimmanifestaw bħala bidliet fit-tkabbir ekonomiku?</v>
      </c>
    </row>
    <row r="54" ht="15.75" customHeight="1">
      <c r="A54" s="2" t="s">
        <v>54</v>
      </c>
      <c r="B54" s="2" t="str">
        <f>IFERROR(__xludf.DUMMYFUNCTION("GOOGLETRANSLATE(A54,""en"", ""mt"")"),"Għaliex il-klijenti jistgħu jordnaw mill-ispiżeriji tal-internet?")</f>
        <v>Għaliex il-klijenti jistgħu jordnaw mill-ispiżeriji tal-internet?</v>
      </c>
    </row>
    <row r="55" ht="15.75" customHeight="1">
      <c r="A55" s="2" t="s">
        <v>55</v>
      </c>
      <c r="B55" s="2" t="str">
        <f>IFERROR(__xludf.DUMMYFUNCTION("GOOGLETRANSLATE(A55,""en"", ""mt"")"),"qligħ ogħla")</f>
        <v>qligħ ogħla</v>
      </c>
    </row>
    <row r="56" ht="15.75" customHeight="1">
      <c r="A56" s="2" t="s">
        <v>56</v>
      </c>
      <c r="B56" s="2" t="str">
        <f>IFERROR(__xludf.DUMMYFUNCTION("GOOGLETRANSLATE(A56,""en"", ""mt"")"),"Filwaqt li tirrikonoxxi r-rwol ċentrali tat-tkabbir ekonomiku jista 'potenzjalment jilgħab fl-iżvilupp tal-bniedem, it-tnaqqis tal-faqar u l-kisba tal-għanijiet tal-iżvilupp tal-millennju, qed jinftiehem ħafna fost il-komunità tal-iżvilupp li għandhom isi"&amp;"ru sforzi speċjali biex jiżguraw li sezzjonijiet ifqar tas-soċjetà jkunu kapaċi jipparteċipaw fit-tkabbir ekonomiku. L-effett tat-tkabbir ekonomiku fuq it-tnaqqis tal-faqar - l-elastiċità tat-tkabbir tal-faqar - jista 'jiddependi fuq il-livell eżistenti t"&amp;"a' inugwaljanza. Pereżempju, bl-inugwaljanza baxxa pajjiż b'rata ta 'tkabbir ta' 2% għal kull ras u 40% tal-popolazzjoni tiegħu li tgħix fil-faqar, tista 'tnaqqas bin-nofs il-faqar f'għaxar snin, iżda pajjiż b'inugwaljanza għolja jieħu kważi 60 sena biex "&amp;"jinkiseb l-istess tnaqqis Jonqos Fi kliem is-Segretarju Ġenerali tal-projbizzjoni tan-Nazzjonijiet Uniti Ki-moon: ""Filwaqt li t-tkabbir ekonomiku huwa meħtieġ, mhuwiex biżżejjed għall-progress fit-tnaqqis tal-faqar.""")</f>
        <v>Filwaqt li tirrikonoxxi r-rwol ċentrali tat-tkabbir ekonomiku jista 'potenzjalment jilgħab fl-iżvilupp tal-bniedem, it-tnaqqis tal-faqar u l-kisba tal-għanijiet tal-iżvilupp tal-millennju, qed jinftiehem ħafna fost il-komunità tal-iżvilupp li għandhom isiru sforzi speċjali biex jiżguraw li sezzjonijiet ifqar tas-soċjetà jkunu kapaċi jipparteċipaw fit-tkabbir ekonomiku. L-effett tat-tkabbir ekonomiku fuq it-tnaqqis tal-faqar - l-elastiċità tat-tkabbir tal-faqar - jista 'jiddependi fuq il-livell eżistenti ta' inugwaljanza. Pereżempju, bl-inugwaljanza baxxa pajjiż b'rata ta 'tkabbir ta' 2% għal kull ras u 40% tal-popolazzjoni tiegħu li tgħix fil-faqar, tista 'tnaqqas bin-nofs il-faqar f'għaxar snin, iżda pajjiż b'inugwaljanza għolja jieħu kważi 60 sena biex jinkiseb l-istess tnaqqis Jonqos Fi kliem is-Segretarju Ġenerali tal-projbizzjoni tan-Nazzjonijiet Uniti Ki-moon: "Filwaqt li t-tkabbir ekonomiku huwa meħtieġ, mhuwiex biżżejjed għall-progress fit-tnaqqis tal-faqar."</v>
      </c>
    </row>
    <row r="57" ht="15.75" customHeight="1">
      <c r="A57" s="2" t="s">
        <v>57</v>
      </c>
      <c r="B57" s="2" t="str">
        <f>IFERROR(__xludf.DUMMYFUNCTION("GOOGLETRANSLATE(A57,""en"", ""mt"")"),"popolazzjoni mxerrda u distanza")</f>
        <v>popolazzjoni mxerrda u distanza</v>
      </c>
    </row>
    <row r="58" ht="15.75" customHeight="1">
      <c r="A58" s="2" t="s">
        <v>58</v>
      </c>
      <c r="B58" s="2" t="str">
        <f>IFERROR(__xludf.DUMMYFUNCTION("GOOGLETRANSLATE(A58,""en"", ""mt"")"),"biex tnaddafhom")</f>
        <v>biex tnaddafhom</v>
      </c>
    </row>
    <row r="59" ht="15.75" customHeight="1">
      <c r="A59" s="2" t="s">
        <v>59</v>
      </c>
      <c r="B59" s="2" t="str">
        <f>IFERROR(__xludf.DUMMYFUNCTION("GOOGLETRANSLATE(A59,""en"", ""mt"")"),"Minħabba li ħafna nies anzjani issa qed jieħdu bosta mediċini iżda jkomplu jgħixu barra minn settings istituzzjonali")</f>
        <v>Minħabba li ħafna nies anzjani issa qed jieħdu bosta mediċini iżda jkomplu jgħixu barra minn settings istituzzjonali</v>
      </c>
    </row>
    <row r="60" ht="15.75" customHeight="1">
      <c r="A60" s="2" t="s">
        <v>60</v>
      </c>
      <c r="B60" s="2" t="str">
        <f>IFERROR(__xludf.DUMMYFUNCTION("GOOGLETRANSLATE(A60,""en"", ""mt"")"),"Assoċjazzjoni ta 'Universitajiet Amerikani")</f>
        <v>Assoċjazzjoni ta 'Universitajiet Amerikani</v>
      </c>
    </row>
    <row r="61" ht="15.75" customHeight="1">
      <c r="A61" s="2" t="s">
        <v>61</v>
      </c>
      <c r="B61" s="2" t="str">
        <f>IFERROR(__xludf.DUMMYFUNCTION("GOOGLETRANSLATE(A61,""en"", ""mt"")"),"L-ewwel borża ta 'Varsavja ġiet stabbilita fl-1817 u kompliet tinnegozja sat-Tieni Gwerra Dinjija. Ġie stabbilit mill-ġdid f'April 1991, wara t-tmiem tal-kontroll komunista ta 'wara l-gwerra tal-pajjiż u l-introduzzjoni mill-ġdid ta' ekonomija tas-suq ħie"&amp;"les. Illum, il-Borża ta 'Varsavja (WSE) hija, skond ħafna indikaturi, l-akbar suq fir-reġjun, b'374 kumpanija elenkata u kapitalizzazzjoni totali ta' 162 584 mln EUR mill-31 ta 'Awwissu 2009. mill-1991 sal-2000, il-Borża kienet , ironikament, li jinsab fi"&amp;"l-bini użat qabel bħala l-kwartieri ġenerali tal-Partit tal-Ħaddiema Magħquda Pollakka (PZPR).")</f>
        <v>L-ewwel borża ta 'Varsavja ġiet stabbilita fl-1817 u kompliet tinnegozja sat-Tieni Gwerra Dinjija. Ġie stabbilit mill-ġdid f'April 1991, wara t-tmiem tal-kontroll komunista ta 'wara l-gwerra tal-pajjiż u l-introduzzjoni mill-ġdid ta' ekonomija tas-suq ħieles. Illum, il-Borża ta 'Varsavja (WSE) hija, skond ħafna indikaturi, l-akbar suq fir-reġjun, b'374 kumpanija elenkata u kapitalizzazzjoni totali ta' 162 584 mln EUR mill-31 ta 'Awwissu 2009. mill-1991 sal-2000, il-Borża kienet , ironikament, li jinsab fil-bini użat qabel bħala l-kwartieri ġenerali tal-Partit tal-Ħaddiema Magħquda Pollakka (PZPR).</v>
      </c>
    </row>
    <row r="62" ht="15.75" customHeight="1">
      <c r="A62" s="2" t="s">
        <v>62</v>
      </c>
      <c r="B62" s="2" t="str">
        <f>IFERROR(__xludf.DUMMYFUNCTION("GOOGLETRANSLATE(A62,""en"", ""mt"")"),"Iżlamista")</f>
        <v>Iżlamista</v>
      </c>
    </row>
    <row r="63" ht="15.75" customHeight="1">
      <c r="A63" s="2" t="s">
        <v>63</v>
      </c>
      <c r="B63" s="2" t="str">
        <f>IFERROR(__xludf.DUMMYFUNCTION("GOOGLETRANSLATE(A63,""en"", ""mt"")"),"X'kienet Davies riedet tibni")</f>
        <v>X'kienet Davies riedet tibni</v>
      </c>
    </row>
    <row r="64" ht="15.75" customHeight="1">
      <c r="A64" s="2" t="s">
        <v>64</v>
      </c>
      <c r="B64" s="2" t="str">
        <f>IFERROR(__xludf.DUMMYFUNCTION("GOOGLETRANSLATE(A64,""en"", ""mt"")"),"il-kap tal-gvern kien ikun qed jaġixxi fil-kapaċità tagħha jew tiegħu bħala uffiċjal pubbliku")</f>
        <v>il-kap tal-gvern kien ikun qed jaġixxi fil-kapaċità tagħha jew tiegħu bħala uffiċjal pubbliku</v>
      </c>
    </row>
    <row r="65" ht="15.75" customHeight="1">
      <c r="A65" s="2" t="s">
        <v>65</v>
      </c>
      <c r="B65" s="2" t="str">
        <f>IFERROR(__xludf.DUMMYFUNCTION("GOOGLETRANSLATE(A65,""en"", ""mt"")"),"il-mehrież u l-lida u l-karattru ℞ (reċipjent)")</f>
        <v>il-mehrież u l-lida u l-karattru ℞ (reċipjent)</v>
      </c>
    </row>
    <row r="66" ht="15.75" customHeight="1">
      <c r="A66" s="2" t="s">
        <v>66</v>
      </c>
      <c r="B66" s="2" t="str">
        <f>IFERROR(__xludf.DUMMYFUNCTION("GOOGLETRANSLATE(A66,""en"", ""mt"")"),"Sieur de la Salle kien esplora l-pajjiż ta 'Ohio kważi seklu qabel")</f>
        <v>Sieur de la Salle kien esplora l-pajjiż ta 'Ohio kważi seklu qabel</v>
      </c>
    </row>
    <row r="67" ht="15.75" customHeight="1">
      <c r="A67" s="2" t="s">
        <v>67</v>
      </c>
      <c r="B67" s="2" t="str">
        <f>IFERROR(__xludf.DUMMYFUNCTION("GOOGLETRANSLATE(A67,""en"", ""mt"")"),"Qabbad kompjuters ospitanti (servers) f'eluf ta 'kumpaniji kbar, istituzzjonijiet edukattivi, u aġenziji tal-gvern")</f>
        <v>Qabbad kompjuters ospitanti (servers) f'eluf ta 'kumpaniji kbar, istituzzjonijiet edukattivi, u aġenziji tal-gvern</v>
      </c>
    </row>
    <row r="68" ht="15.75" customHeight="1">
      <c r="A68" s="2" t="s">
        <v>68</v>
      </c>
      <c r="B68" s="2" t="str">
        <f>IFERROR(__xludf.DUMMYFUNCTION("GOOGLETRANSLATE(A68,""en"", ""mt"")"),"Meta l-Baċin tad-Drenaġġ tal-Amażon kien maħsub li nqasam f'nofs l-Amerika t'Isfel?")</f>
        <v>Meta l-Baċin tad-Drenaġġ tal-Amażon kien maħsub li nqasam f'nofs l-Amerika t'Isfel?</v>
      </c>
    </row>
    <row r="69" ht="15.75" customHeight="1">
      <c r="A69" s="2" t="s">
        <v>69</v>
      </c>
      <c r="B69" s="2" t="str">
        <f>IFERROR(__xludf.DUMMYFUNCTION("GOOGLETRANSLATE(A69,""en"", ""mt"")"),"nisa")</f>
        <v>nisa</v>
      </c>
    </row>
    <row r="70" ht="15.75" customHeight="1">
      <c r="A70" s="2" t="s">
        <v>70</v>
      </c>
      <c r="B70" s="2" t="str">
        <f>IFERROR(__xludf.DUMMYFUNCTION("GOOGLETRANSLATE(A70,""en"", ""mt"")"),"Liema att stabbilixxa l-poteri tal-Parlament bħala leġiżlatura devolta?")</f>
        <v>Liema att stabbilixxa l-poteri tal-Parlament bħala leġiżlatura devolta?</v>
      </c>
    </row>
    <row r="71" ht="15.75" customHeight="1">
      <c r="A71" s="2" t="s">
        <v>71</v>
      </c>
      <c r="B71" s="2" t="str">
        <f>IFERROR(__xludf.DUMMYFUNCTION("GOOGLETRANSLATE(A71,""en"", ""mt"")"),"Il-pesta setgħet daħlet fl-Ewropa f'żewġ mewġ")</f>
        <v>Il-pesta setgħet daħlet fl-Ewropa f'żewġ mewġ</v>
      </c>
    </row>
    <row r="72" ht="15.75" customHeight="1">
      <c r="A72" s="2" t="s">
        <v>72</v>
      </c>
      <c r="B72" s="2" t="str">
        <f>IFERROR(__xludf.DUMMYFUNCTION("GOOGLETRANSLATE(A72,""en"", ""mt"")"),"Li kien sar sinjur u prosperu qabel l-1 Gwerra Dinjija")</f>
        <v>Li kien sar sinjur u prosperu qabel l-1 Gwerra Dinjija</v>
      </c>
    </row>
    <row r="73" ht="15.75" customHeight="1">
      <c r="A73" s="2" t="s">
        <v>73</v>
      </c>
      <c r="B73" s="2" t="str">
        <f>IFERROR(__xludf.DUMMYFUNCTION("GOOGLETRANSLATE(A73,""en"", ""mt"")"),"l-armata u l-popolazzjoni")</f>
        <v>l-armata u l-popolazzjoni</v>
      </c>
    </row>
    <row r="74" ht="15.75" customHeight="1">
      <c r="A74" s="2" t="s">
        <v>74</v>
      </c>
      <c r="B74" s="2" t="str">
        <f>IFERROR(__xludf.DUMMYFUNCTION("GOOGLETRANSLATE(A74,""en"", ""mt"")"),"Interkonnessjoni tan-Netwerks Nazzjonali X.25")</f>
        <v>Interkonnessjoni tan-Netwerks Nazzjonali X.25</v>
      </c>
    </row>
    <row r="75" ht="15.75" customHeight="1">
      <c r="A75" s="2" t="s">
        <v>75</v>
      </c>
      <c r="B75" s="2" t="str">
        <f>IFERROR(__xludf.DUMMYFUNCTION("GOOGLETRANSLATE(A75,""en"", ""mt"")"),"1969")</f>
        <v>1969</v>
      </c>
    </row>
    <row r="76" ht="15.75" customHeight="1">
      <c r="A76" s="2" t="s">
        <v>76</v>
      </c>
      <c r="B76" s="2" t="str">
        <f>IFERROR(__xludf.DUMMYFUNCTION("GOOGLETRANSLATE(A76,""en"", ""mt"")"),"Ir-Raba 'Gwerra Interkolonjali u l-Gwerra l-Kbira għall-Imperu")</f>
        <v>Ir-Raba 'Gwerra Interkolonjali u l-Gwerra l-Kbira għall-Imperu</v>
      </c>
    </row>
    <row r="77" ht="15.75" customHeight="1">
      <c r="A77" s="2" t="s">
        <v>77</v>
      </c>
      <c r="B77" s="2" t="str">
        <f>IFERROR(__xludf.DUMMYFUNCTION("GOOGLETRANSLATE(A77,""en"", ""mt"")"),"ospiti responsabbli għal twassil affidabbli ta 'dejta")</f>
        <v>ospiti responsabbli għal twassil affidabbli ta 'dejta</v>
      </c>
    </row>
    <row r="78" ht="15.75" customHeight="1">
      <c r="A78" s="2" t="s">
        <v>78</v>
      </c>
      <c r="B78" s="2" t="str">
        <f>IFERROR(__xludf.DUMMYFUNCTION("GOOGLETRANSLATE(A78,""en"", ""mt"")"),"Kemm mill-popolazzjoni Ewropea qatlet il-Mewt l-Iswed?")</f>
        <v>Kemm mill-popolazzjoni Ewropea qatlet il-Mewt l-Iswed?</v>
      </c>
    </row>
    <row r="79" ht="15.75" customHeight="1">
      <c r="A79" s="2" t="s">
        <v>79</v>
      </c>
      <c r="B79" s="2" t="str">
        <f>IFERROR(__xludf.DUMMYFUNCTION("GOOGLETRANSLATE(A79,""en"", ""mt"")"),"Howard Zinn jikteb, ""Jista 'jkun hemm ħafna drabi meta d-dimostranti jagħżlu li jmorru l-ħabs, bħala mod kif ikomplu l-protesta tagħhom, bħala mod kif ifakkru lil pajjiżhom ta' inġustizzja. Iżda dan huwa differenti mill-kunċett li jridu jmorru l-ħabs bħa"&amp;"la Parti minn regola marbuta mad-diżubbidjenza ċivili. Il-punt ewlieni huwa li l-ispirtu ta 'protesta għandu jinżamm it-triq kollha, kemm jekk isir billi jibqa' l-ħabs, jew billi jevadiha. Li taċċetta l-ħabs b'mod penitenti bħala adeżjoni għal 'ir-regoli "&amp;"""Huwa li jaqleb f'daqqa għal spirtu ta 'sussistenza, biex iwaqqa' s-serjetà tal-protesta ... b'mod partikolari, l-insistenza neo-konservattiva fuq motiv ħati għandha tiġi eliminata.""")</f>
        <v>Howard Zinn jikteb, "Jista 'jkun hemm ħafna drabi meta d-dimostranti jagħżlu li jmorru l-ħabs, bħala mod kif ikomplu l-protesta tagħhom, bħala mod kif ifakkru lil pajjiżhom ta' inġustizzja. Iżda dan huwa differenti mill-kunċett li jridu jmorru l-ħabs bħala Parti minn regola marbuta mad-diżubbidjenza ċivili. Il-punt ewlieni huwa li l-ispirtu ta 'protesta għandu jinżamm it-triq kollha, kemm jekk isir billi jibqa' l-ħabs, jew billi jevadiha. Li taċċetta l-ħabs b'mod penitenti bħala adeżjoni għal 'ir-regoli "Huwa li jaqleb f'daqqa għal spirtu ta 'sussistenza, biex iwaqqa' s-serjetà tal-protesta ... b'mod partikolari, l-insistenza neo-konservattiva fuq motiv ħati għandha tiġi eliminata."</v>
      </c>
    </row>
    <row r="80" ht="15.75" customHeight="1">
      <c r="A80" s="2" t="s">
        <v>80</v>
      </c>
      <c r="B80" s="2" t="str">
        <f>IFERROR(__xludf.DUMMYFUNCTION("GOOGLETRANSLATE(A80,""en"", ""mt"")"),"kompletament uman")</f>
        <v>kompletament uman</v>
      </c>
    </row>
    <row r="81" ht="15.75" customHeight="1">
      <c r="A81" s="2" t="s">
        <v>81</v>
      </c>
      <c r="B81" s="2" t="str">
        <f>IFERROR(__xludf.DUMMYFUNCTION("GOOGLETRANSLATE(A81,""en"", ""mt"")"),"Post ta 'Varsavja")</f>
        <v>Post ta 'Varsavja</v>
      </c>
    </row>
    <row r="82" ht="15.75" customHeight="1">
      <c r="A82" s="2" t="s">
        <v>82</v>
      </c>
      <c r="B82" s="2" t="str">
        <f>IFERROR(__xludf.DUMMYFUNCTION("GOOGLETRANSLATE(A82,""en"", ""mt"")"),"mhux kriġeniku")</f>
        <v>mhux kriġeniku</v>
      </c>
    </row>
    <row r="83" ht="15.75" customHeight="1">
      <c r="A83" s="2" t="s">
        <v>83</v>
      </c>
      <c r="B83" s="2" t="str">
        <f>IFERROR(__xludf.DUMMYFUNCTION("GOOGLETRANSLATE(A83,""en"", ""mt"")"),"X’ma sema ’l-abbonament għal BSKYB?")</f>
        <v>X’ma sema ’l-abbonament għal BSKYB?</v>
      </c>
    </row>
    <row r="84" ht="15.75" customHeight="1">
      <c r="A84" s="2" t="s">
        <v>84</v>
      </c>
      <c r="B84" s="2" t="str">
        <f>IFERROR(__xludf.DUMMYFUNCTION("GOOGLETRANSLATE(A84,""en"", ""mt"")"),"Kemm żgur li d-dikjarazzjoni qalu li x-xjenzati kienu li t-temperaturi jibqgħu jogħlew?")</f>
        <v>Kemm żgur li d-dikjarazzjoni qalu li x-xjenzati kienu li t-temperaturi jibqgħu jogħlew?</v>
      </c>
    </row>
    <row r="85" ht="15.75" customHeight="1">
      <c r="A85" s="2" t="s">
        <v>85</v>
      </c>
      <c r="B85" s="2" t="str">
        <f>IFERROR(__xludf.DUMMYFUNCTION("GOOGLETRANSLATE(A85,""en"", ""mt"")"),"Fil-laboratorju, l-istratigrafiji janalizzaw kampjuni ta 'sezzjonijiet stratigrafiċi li jistgħu jintbagħtu lura mill-qasam, bħal dawk minn qlub tat-tħaffir. Stratigraphers janalizzaw ukoll dejta minn stħarriġ ġeofiżiku li juru l-postijiet ta 'unitajiet st"&amp;"ratigrafiċi fis-sub-wiċċ. Dejta ġeofiżika u zkuk tal-bir jistgħu jiġu kkombinati biex jipproduċu veduta aħjar tas-sub-wiċċ, u l-istratigrafiċi spiss jużaw programmi tal-kompjuter biex jagħmlu dan fi tliet dimensjonijiet. Stratigraphers jistgħu mbagħad już"&amp;"aw din id-dejta biex jibnu mill-ġdid proċessi antiki li jseħħu fuq il-wiċċ tad-dinja, jinterpretaw ambjenti tal-passat, u jsibu żoni għall-ilma, il-faħam u l-estrazzjoni tal-idrokarburi.")</f>
        <v>Fil-laboratorju, l-istratigrafiji janalizzaw kampjuni ta 'sezzjonijiet stratigrafiċi li jistgħu jintbagħtu lura mill-qasam, bħal dawk minn qlub tat-tħaffir. Stratigraphers janalizzaw ukoll dejta minn stħarriġ ġeofiżiku li juru l-postijiet ta 'unitajiet stratigrafiċi fis-sub-wiċċ. Dejta ġeofiżika u zkuk tal-bir jistgħu jiġu kkombinati biex jipproduċu veduta aħjar tas-sub-wiċċ, u l-istratigrafiċi spiss jużaw programmi tal-kompjuter biex jagħmlu dan fi tliet dimensjonijiet. Stratigraphers jistgħu mbagħad jużaw din id-dejta biex jibnu mill-ġdid proċessi antiki li jseħħu fuq il-wiċċ tad-dinja, jinterpretaw ambjenti tal-passat, u jsibu żoni għall-ilma, il-faħam u l-estrazzjoni tal-idrokarburi.</v>
      </c>
    </row>
    <row r="86" ht="15.75" customHeight="1">
      <c r="A86" s="2" t="s">
        <v>86</v>
      </c>
      <c r="B86" s="2" t="str">
        <f>IFERROR(__xludf.DUMMYFUNCTION("GOOGLETRANSLATE(A86,""en"", ""mt"")"),"Iż-żona tal-belt moderna ta 'Jacksonville ilha abitata għal eluf ta' snin. Fuq l-Iswed tal-Gżira Hammock fil-Preserva Nazzjonali Ekoloġika u Storika ta ’Timucuan, tim tal-Università ta’ Florida tat-Tramuntana skopra wħud mill-eqdem fdalijiet tal-fuħħar fl"&amp;"-Istati Uniti, li jmorru għall-2500 QK. Fis-seklu 16, il-bidu tal-era storika, ir-reġjun kien abitat mill-Mocama, sottogrupp kostali tal-poplu ta 'Timucua. Fil-ħin tal-kuntatt mal-Ewropej, l-irħula kollha tal-Mocama fil-preżent Jacksonville kienu parti mi"&amp;"ll-kapna qawwija magħrufa bħala s-Saturawa, iċċentrata madwar il-bokka tax-Xmara San Ġwann. Mappa bikrija turi raħal imsejjaħ Ossachite fis-sit ta 'dak li issa huwa d-downtown ta' Jacksonville; Dan jista 'jkun l-ewwel isem irreġistrat għal dik iż-żona.")</f>
        <v>Iż-żona tal-belt moderna ta 'Jacksonville ilha abitata għal eluf ta' snin. Fuq l-Iswed tal-Gżira Hammock fil-Preserva Nazzjonali Ekoloġika u Storika ta ’Timucuan, tim tal-Università ta’ Florida tat-Tramuntana skopra wħud mill-eqdem fdalijiet tal-fuħħar fl-Istati Uniti, li jmorru għall-2500 QK. Fis-seklu 16, il-bidu tal-era storika, ir-reġjun kien abitat mill-Mocama, sottogrupp kostali tal-poplu ta 'Timucua. Fil-ħin tal-kuntatt mal-Ewropej, l-irħula kollha tal-Mocama fil-preżent Jacksonville kienu parti mill-kapna qawwija magħrufa bħala s-Saturawa, iċċentrata madwar il-bokka tax-Xmara San Ġwann. Mappa bikrija turi raħal imsejjaħ Ossachite fis-sit ta 'dak li issa huwa d-downtown ta' Jacksonville; Dan jista 'jkun l-ewwel isem irreġistrat għal dik iż-żona.</v>
      </c>
    </row>
    <row r="87" ht="15.75" customHeight="1">
      <c r="A87" s="2" t="s">
        <v>87</v>
      </c>
      <c r="B87" s="2" t="str">
        <f>IFERROR(__xludf.DUMMYFUNCTION("GOOGLETRANSLATE(A87,""en"", ""mt"")"),"X'inhu l-effett osservabbli tal-iskambju tal-boson w u z?")</f>
        <v>X'inhu l-effett osservabbli tal-iskambju tal-boson w u z?</v>
      </c>
    </row>
    <row r="88" ht="15.75" customHeight="1">
      <c r="A88" s="2" t="s">
        <v>88</v>
      </c>
      <c r="B88" s="2" t="str">
        <f>IFERROR(__xludf.DUMMYFUNCTION("GOOGLETRANSLATE(A88,""en"", ""mt"")"),"Qrati tal-Istati Membri u l-Qorti tal-Ġustizzja tal-Unjoni Ewropea")</f>
        <v>Qrati tal-Istati Membri u l-Qorti tal-Ġustizzja tal-Unjoni Ewropea</v>
      </c>
    </row>
    <row r="89" ht="15.75" customHeight="1">
      <c r="A89" s="2" t="s">
        <v>89</v>
      </c>
      <c r="B89" s="2" t="str">
        <f>IFERROR(__xludf.DUMMYFUNCTION("GOOGLETRANSLATE(A89,""en"", ""mt"")"),"Terra Preta (Dinja l-Iswed), li hija mqassma fuq żoni kbar fil-foresta tal-Amażonja, issa hija aċċettata b'mod wiesa 'bħala prodott ta' ġestjoni indiġena tal-ħamrija. L-iżvilupp ta 'din il-ħamrija fertili ppermetta l-agrikoltura u s-silvikultura fl-ambjen"&amp;"t li qabel kien ostili; Fis-sens li porzjonijiet kbar tal-foresta tropikali tal-Amażonja huma probabbilment ir-riżultat ta 'sekli ta' ġestjoni tal-bniedem, aktar milli jseħħu b'mod naturali kif suppost kien suppost. Fir-reġjun tat-tribù Xingu, il-fdalijie"&amp;"t ta 'wħud minn dawn l-insedjamenti kbar f'nofs il-foresta tal-Amażonja nstabu fl-2003 minn Michael Heckenberger u l-kollegi tal-Università ta' Florida. Fost dawk kien hemm evidenza ta 'toroq, pontijiet u pjazi kbar.")</f>
        <v>Terra Preta (Dinja l-Iswed), li hija mqassma fuq żoni kbar fil-foresta tal-Amażonja, issa hija aċċettata b'mod wiesa 'bħala prodott ta' ġestjoni indiġena tal-ħamrija. L-iżvilupp ta 'din il-ħamrija fertili ppermetta l-agrikoltura u s-silvikultura fl-ambjent li qabel kien ostili; Fis-sens li porzjonijiet kbar tal-foresta tropikali tal-Amażonja huma probabbilment ir-riżultat ta 'sekli ta' ġestjoni tal-bniedem, aktar milli jseħħu b'mod naturali kif suppost kien suppost. Fir-reġjun tat-tribù Xingu, il-fdalijiet ta 'wħud minn dawn l-insedjamenti kbar f'nofs il-foresta tal-Amażonja nstabu fl-2003 minn Michael Heckenberger u l-kollegi tal-Università ta' Florida. Fost dawk kien hemm evidenza ta 'toroq, pontijiet u pjazi kbar.</v>
      </c>
    </row>
    <row r="90" ht="15.75" customHeight="1">
      <c r="A90" s="2" t="s">
        <v>90</v>
      </c>
      <c r="B90" s="2" t="str">
        <f>IFERROR(__xludf.DUMMYFUNCTION("GOOGLETRANSLATE(A90,""en"", ""mt"")"),"Arja")</f>
        <v>Arja</v>
      </c>
    </row>
    <row r="91" ht="15.75" customHeight="1">
      <c r="A91" s="2" t="s">
        <v>91</v>
      </c>
      <c r="B91" s="2" t="str">
        <f>IFERROR(__xludf.DUMMYFUNCTION("GOOGLETRANSLATE(A91,""en"", ""mt"")"),"Varsavja (Pollakk: Warszawa [varˈʂava] (Isma); ara wkoll ismijiet oħra) hija l-kapitali u l-ikbar belt tal-Polonja. Tinsab fuq ix-Xmara Vistula fil-Lvant-Ċentrali tal-Polonja, bejn wieħed u ieħor 260 kilometru (160 mi) mill-Baħar Baltiku u 300 kilometru ("&amp;"190 mi) mill-Muntanji tal-Karpazji. Il-popolazzjoni tagħha hija stmata għal 1.740 miljun resident f'żona metropolitana akbar ta '2.666 miljun resident, li tagħmel Varsavja l-iktar belt kapitali l-iktar popolata fl-Unjoni Ewropea. Il-limiti tal-belt ikopru"&amp;" 516.9 kilometri kwadri (199.6 sq mi), filwaqt li ż-żona metropolitana tkopri 6,100.43 kilometri kwadri (2,355.39 sq mi).")</f>
        <v>Varsavja (Pollakk: Warszawa [varˈʂava] (Isma); ara wkoll ismijiet oħra) hija l-kapitali u l-ikbar belt tal-Polonja. Tinsab fuq ix-Xmara Vistula fil-Lvant-Ċentrali tal-Polonja, bejn wieħed u ieħor 260 kilometru (160 mi) mill-Baħar Baltiku u 300 kilometru (190 mi) mill-Muntanji tal-Karpazji. Il-popolazzjoni tagħha hija stmata għal 1.740 miljun resident f'żona metropolitana akbar ta '2.666 miljun resident, li tagħmel Varsavja l-iktar belt kapitali l-iktar popolata fl-Unjoni Ewropea. Il-limiti tal-belt ikopru 516.9 kilometri kwadri (199.6 sq mi), filwaqt li ż-żona metropolitana tkopri 6,100.43 kilometri kwadri (2,355.39 sq mi).</v>
      </c>
    </row>
    <row r="92" ht="15.75" customHeight="1">
      <c r="A92" s="2" t="s">
        <v>92</v>
      </c>
      <c r="B92" s="2" t="str">
        <f>IFERROR(__xludf.DUMMYFUNCTION("GOOGLETRANSLATE(A92,""en"", ""mt"")"),"Meta jkunu miżżewġin, u lil min")</f>
        <v>Meta jkunu miżżewġin, u lil min</v>
      </c>
    </row>
    <row r="93" ht="15.75" customHeight="1">
      <c r="A93" s="2" t="s">
        <v>93</v>
      </c>
      <c r="B93" s="2" t="str">
        <f>IFERROR(__xludf.DUMMYFUNCTION("GOOGLETRANSLATE(A93,""en"", ""mt"")"),"Solvabilità ta 'ekwazzjonijiet kwadratiċi")</f>
        <v>Solvabilità ta 'ekwazzjonijiet kwadratiċi</v>
      </c>
    </row>
    <row r="94" ht="15.75" customHeight="1">
      <c r="A94" s="2" t="s">
        <v>94</v>
      </c>
      <c r="B94" s="2" t="str">
        <f>IFERROR(__xludf.DUMMYFUNCTION("GOOGLETRANSLATE(A94,""en"", ""mt"")"),"Projezzjonijiet ġelatinużi mmarkati biċ-ċili")</f>
        <v>Projezzjonijiet ġelatinużi mmarkati biċ-ċili</v>
      </c>
    </row>
    <row r="95" ht="15.75" customHeight="1">
      <c r="A95" s="2" t="s">
        <v>95</v>
      </c>
      <c r="B95" s="2" t="str">
        <f>IFERROR(__xludf.DUMMYFUNCTION("GOOGLETRANSLATE(A95,""en"", ""mt"")"),"X'inhu mod wieħed kif jistgħu jiġu kkodifikati graffs?")</f>
        <v>X'inhu mod wieħed kif jistgħu jiġu kkodifikati graffs?</v>
      </c>
    </row>
    <row r="96" ht="15.75" customHeight="1">
      <c r="A96" s="2" t="s">
        <v>96</v>
      </c>
      <c r="B96" s="2" t="str">
        <f>IFERROR(__xludf.DUMMYFUNCTION("GOOGLETRANSLATE(A96,""en"", ""mt"")"),"X’għandu jagħmel il-gvern Taljan fi Francovich v l-Italja?")</f>
        <v>X’għandu jagħmel il-gvern Taljan fi Francovich v l-Italja?</v>
      </c>
    </row>
    <row r="97" ht="15.75" customHeight="1">
      <c r="A97" s="2" t="s">
        <v>97</v>
      </c>
      <c r="B97" s="2" t="str">
        <f>IFERROR(__xludf.DUMMYFUNCTION("GOOGLETRANSLATE(A97,""en"", ""mt"")"),"X'kien l-isem tal-lokomottiva li ddebutta fl-1808?")</f>
        <v>X'kien l-isem tal-lokomottiva li ddebutta fl-1808?</v>
      </c>
    </row>
    <row r="98" ht="15.75" customHeight="1">
      <c r="A98" s="2" t="s">
        <v>98</v>
      </c>
      <c r="B98" s="2" t="str">
        <f>IFERROR(__xludf.DUMMYFUNCTION("GOOGLETRANSLATE(A98,""en"", ""mt"")"),"miżata għal kull unità ta 'informazzjoni trażmessa")</f>
        <v>miżata għal kull unità ta 'informazzjoni trażmessa</v>
      </c>
    </row>
    <row r="99" ht="15.75" customHeight="1">
      <c r="A99" s="2" t="s">
        <v>99</v>
      </c>
      <c r="B99" s="2" t="str">
        <f>IFERROR(__xludf.DUMMYFUNCTION("GOOGLETRANSLATE(A99,""en"", ""mt"")"),"Black_death")</f>
        <v>Black_death</v>
      </c>
    </row>
    <row r="100" ht="15.75" customHeight="1">
      <c r="A100" s="2" t="s">
        <v>100</v>
      </c>
      <c r="B100" s="2" t="str">
        <f>IFERROR(__xludf.DUMMYFUNCTION("GOOGLETRANSLATE(A100,""en"", ""mt"")"),"waqa 'b'mod sinifikanti")</f>
        <v>waqa 'b'mod sinifikanti</v>
      </c>
    </row>
    <row r="101" ht="15.75" customHeight="1">
      <c r="A101" s="2" t="s">
        <v>101</v>
      </c>
      <c r="B101" s="2" t="str">
        <f>IFERROR(__xludf.DUMMYFUNCTION("GOOGLETRANSLATE(A101,""en"", ""mt"")"),"Il-klassifikazzjoni tal-aspetti tal-foresta tal-Amażonja hija importanti għall-immappjar liema tip ta 'emissjoni?")</f>
        <v>Il-klassifikazzjoni tal-aspetti tal-foresta tal-Amażonja hija importanti għall-immappjar liema tip ta 'emissjoni?</v>
      </c>
    </row>
    <row r="102" ht="15.75" customHeight="1">
      <c r="A102" s="2" t="s">
        <v>102</v>
      </c>
      <c r="B102" s="2" t="str">
        <f>IFERROR(__xludf.DUMMYFUNCTION("GOOGLETRANSLATE(A102,""en"", ""mt"")"),"Tribujiet Nattivi")</f>
        <v>Tribujiet Nattivi</v>
      </c>
    </row>
    <row r="103" ht="15.75" customHeight="1">
      <c r="A103" s="2" t="s">
        <v>103</v>
      </c>
      <c r="B103" s="2" t="str">
        <f>IFERROR(__xludf.DUMMYFUNCTION("GOOGLETRANSLATE(A103,""en"", ""mt"")"),"Tipprevjeni l-installazzjoni ta 'immaġini pagani")</f>
        <v>Tipprevjeni l-installazzjoni ta 'immaġini pagani</v>
      </c>
    </row>
    <row r="104" ht="15.75" customHeight="1">
      <c r="A104" s="2" t="s">
        <v>104</v>
      </c>
      <c r="B104" s="2" t="str">
        <f>IFERROR(__xludf.DUMMYFUNCTION("GOOGLETRANSLATE(A104,""en"", ""mt"")"),"saff tal-ożonu")</f>
        <v>saff tal-ożonu</v>
      </c>
    </row>
    <row r="105" ht="15.75" customHeight="1">
      <c r="A105" s="2" t="s">
        <v>105</v>
      </c>
      <c r="B105" s="2" t="str">
        <f>IFERROR(__xludf.DUMMYFUNCTION("GOOGLETRANSLATE(A105,""en"", ""mt"")"),"Liema ktieb minn Edward qal ippreżenta lill-Punent bħala l- ""oħrajn?""")</f>
        <v>Liema ktieb minn Edward qal ippreżenta lill-Punent bħala l- "oħrajn?"</v>
      </c>
    </row>
    <row r="106" ht="15.75" customHeight="1">
      <c r="A106" s="2" t="s">
        <v>106</v>
      </c>
      <c r="B106" s="2" t="str">
        <f>IFERROR(__xludf.DUMMYFUNCTION("GOOGLETRANSLATE(A106,""en"", ""mt"")"),"Fil-biċċa l-kbira tal-pajjiżi, id-dispensarju huwa soġġett għal-leġislazzjoni tal-ispiżerija; b'rekwiżiti għal kundizzjonijiet ta 'ħażna, testi obbligatorji, tagħmir, eċċ., Speċifikati fil-leġislazzjoni. Fejn darba kien il-każ li l-ispiżjara baqgħu fil-me"&amp;"diċini tad-dispensarju tat-taħlit / tqassim, kien hemm tendenza dejjem tiżdied lejn l-użu ta 'tekniċi tal-ispiżerija mħarrġa waqt li l-ispiżjar iqatta' aktar ħin jikkomunika mal-pazjenti. It-tekniċi tal-ispiżerija issa huma aktar dipendenti fuq l-awtomazz"&amp;"joni biex jgħinuhom fir-rwol il-ġdid tagħhom li jittrattaw il-preskrizzjonijiet tal-pazjenti u l-kwistjonijiet tas-sigurtà tal-pazjent.")</f>
        <v>Fil-biċċa l-kbira tal-pajjiżi, id-dispensarju huwa soġġett għal-leġislazzjoni tal-ispiżerija; b'rekwiżiti għal kundizzjonijiet ta 'ħażna, testi obbligatorji, tagħmir, eċċ., Speċifikati fil-leġislazzjoni. Fejn darba kien il-każ li l-ispiżjara baqgħu fil-mediċini tad-dispensarju tat-taħlit / tqassim, kien hemm tendenza dejjem tiżdied lejn l-użu ta 'tekniċi tal-ispiżerija mħarrġa waqt li l-ispiżjar iqatta' aktar ħin jikkomunika mal-pazjenti. It-tekniċi tal-ispiżerija issa huma aktar dipendenti fuq l-awtomazzjoni biex jgħinuhom fir-rwol il-ġdid tagħhom li jittrattaw il-preskrizzjonijiet tal-pazjenti u l-kwistjonijiet tas-sigurtà tal-pazjent.</v>
      </c>
    </row>
    <row r="107" ht="15.75" customHeight="1">
      <c r="A107" s="2" t="s">
        <v>107</v>
      </c>
      <c r="B107" s="2" t="str">
        <f>IFERROR(__xludf.DUMMYFUNCTION("GOOGLETRANSLATE(A107,""en"", ""mt"")"),"Għawwiema iżgħar u aktar dgħajfa bħal rotifers u larva tal-molluski u tal-krustaċji.")</f>
        <v>Għawwiema iżgħar u aktar dgħajfa bħal rotifers u larva tal-molluski u tal-krustaċji.</v>
      </c>
    </row>
    <row r="108" ht="15.75" customHeight="1">
      <c r="A108" s="2" t="s">
        <v>108</v>
      </c>
      <c r="B108" s="2" t="str">
        <f>IFERROR(__xludf.DUMMYFUNCTION("GOOGLETRANSLATE(A108,""en"", ""mt"")"),"Dak li kien użat biex tikklassifika l-popolazzjoni tal-Amażonja f'erba 'kategoriji")</f>
        <v>Dak li kien użat biex tikklassifika l-popolazzjoni tal-Amażonja f'erba 'kategoriji</v>
      </c>
    </row>
    <row r="109" ht="15.75" customHeight="1">
      <c r="A109" s="2" t="s">
        <v>109</v>
      </c>
      <c r="B109" s="2" t="str">
        <f>IFERROR(__xludf.DUMMYFUNCTION("GOOGLETRANSLATE(A109,""en"", ""mt"")"),"Peabody Museum of Arkeology and Ethnology")</f>
        <v>Peabody Museum of Arkeology and Ethnology</v>
      </c>
    </row>
    <row r="110" ht="15.75" customHeight="1">
      <c r="A110" s="2" t="s">
        <v>110</v>
      </c>
      <c r="B110" s="2" t="str">
        <f>IFERROR(__xludf.DUMMYFUNCTION("GOOGLETRANSLATE(A110,""en"", ""mt"")"),"Forzi irregolari Franċiżi (Scouts Kanadiżi u Indjani) ffastidjaw lil Fort William Henry matul l-ewwel nofs tal-1757. F'Jannar huma ħarbu lill-gwardjani Ingliżi qrib Ticonderoga. Fi Frar nedew rejd qalbiena kontra l-pożizzjoni madwar il-Lag Frozen George, "&amp;"li jeqirdu l-imħażen u l-bini barra l-fortifikazzjoni ewlenija. Fil-bidu ta ’Awwissu, Montcalm u 7,000 truppa assedjaw il-forti, li kapitulaw bi ftehim biex jirtiraw taħt il-parole. Meta beda l-irtirar, uħud mill-alleati Indjani ta 'Montcalm, irrabjaw fl-"&amp;"opportunità mitlufa għal Loot, attakkaw il-kolonna Ingliża, qatlu u qabdu diversi mijiet ta' rġiel, nisa, tfal, u skjavi. Il-konsegwenzi ta 'l-assedju setgħu kkontribwew għat-trasmissjoni ta' ġidri f'popolazzjonijiet Indjani remoti; Peress li xi Indjani k"&amp;"ienu rrappurtati li vvjaġġaw minn lil hinn mill-Mississippi biex jipparteċipaw fil-kampanja u rritornaw wara li ġew esposti għal trasportaturi Ewropej.")</f>
        <v>Forzi irregolari Franċiżi (Scouts Kanadiżi u Indjani) ffastidjaw lil Fort William Henry matul l-ewwel nofs tal-1757. F'Jannar huma ħarbu lill-gwardjani Ingliżi qrib Ticonderoga. Fi Frar nedew rejd qalbiena kontra l-pożizzjoni madwar il-Lag Frozen George, li jeqirdu l-imħażen u l-bini barra l-fortifikazzjoni ewlenija. Fil-bidu ta ’Awwissu, Montcalm u 7,000 truppa assedjaw il-forti, li kapitulaw bi ftehim biex jirtiraw taħt il-parole. Meta beda l-irtirar, uħud mill-alleati Indjani ta 'Montcalm, irrabjaw fl-opportunità mitlufa għal Loot, attakkaw il-kolonna Ingliża, qatlu u qabdu diversi mijiet ta' rġiel, nisa, tfal, u skjavi. Il-konsegwenzi ta 'l-assedju setgħu kkontribwew għat-trasmissjoni ta' ġidri f'popolazzjonijiet Indjani remoti; Peress li xi Indjani kienu rrappurtati li vvjaġġaw minn lil hinn mill-Mississippi biex jipparteċipaw fil-kampanja u rritornaw wara li ġew esposti għal trasportaturi Ewropej.</v>
      </c>
    </row>
    <row r="111" ht="15.75" customHeight="1">
      <c r="A111" s="2" t="s">
        <v>111</v>
      </c>
      <c r="B111" s="2" t="str">
        <f>IFERROR(__xludf.DUMMYFUNCTION("GOOGLETRANSLATE(A111,""en"", ""mt"")"),"Huwa mar lejn in-nofsinhar, saq jew qabad negozjanti Ingliżi")</f>
        <v>Huwa mar lejn in-nofsinhar, saq jew qabad negozjanti Ingliżi</v>
      </c>
    </row>
    <row r="112" ht="15.75" customHeight="1">
      <c r="A112" s="2" t="s">
        <v>112</v>
      </c>
      <c r="B112" s="2" t="str">
        <f>IFERROR(__xludf.DUMMYFUNCTION("GOOGLETRANSLATE(A112,""en"", ""mt"")"),"Madwar erba 'rġiel li jattendu l-Kulleġġ ta' Harvard għal kull mara li tistudja f'Radcliffe")</f>
        <v>Madwar erba 'rġiel li jattendu l-Kulleġġ ta' Harvard għal kull mara li tistudja f'Radcliffe</v>
      </c>
    </row>
    <row r="113" ht="15.75" customHeight="1">
      <c r="A113" s="2" t="s">
        <v>113</v>
      </c>
      <c r="B113" s="2" t="str">
        <f>IFERROR(__xludf.DUMMYFUNCTION("GOOGLETRANSLATE(A113,""en"", ""mt"")"),"L-żieda għall-poter ta 'Adolf Hitler")</f>
        <v>L-żieda għall-poter ta 'Adolf Hitler</v>
      </c>
    </row>
    <row r="114" ht="15.75" customHeight="1">
      <c r="A114" s="2" t="s">
        <v>114</v>
      </c>
      <c r="B114" s="2" t="str">
        <f>IFERROR(__xludf.DUMMYFUNCTION("GOOGLETRANSLATE(A114,""en"", ""mt"")"),"Organizzazzjoni Meteoroloġika Dinjija (WMO) u l-Programm tal-Ambjent tan-Nazzjonijiet Uniti (UNEP),")</f>
        <v>Organizzazzjoni Meteoroloġika Dinjija (WMO) u l-Programm tal-Ambjent tan-Nazzjonijiet Uniti (UNEP),</v>
      </c>
    </row>
    <row r="115" ht="15.75" customHeight="1">
      <c r="A115" s="2" t="s">
        <v>115</v>
      </c>
      <c r="B115" s="2" t="str">
        <f>IFERROR(__xludf.DUMMYFUNCTION("GOOGLETRANSLATE(A115,""en"", ""mt"")"),"Riċettur taċ-ċelloli T (TCR)")</f>
        <v>Riċettur taċ-ċelloli T (TCR)</v>
      </c>
    </row>
    <row r="116" ht="15.75" customHeight="1">
      <c r="A116" s="2" t="s">
        <v>116</v>
      </c>
      <c r="B116" s="2" t="str">
        <f>IFERROR(__xludf.DUMMYFUNCTION("GOOGLETRANSLATE(A116,""en"", ""mt"")"),"Forts Shirley kien tella 'fil-Carry Oneida")</f>
        <v>Forts Shirley kien tella 'fil-Carry Oneida</v>
      </c>
    </row>
    <row r="117" ht="15.75" customHeight="1">
      <c r="A117" s="2" t="s">
        <v>117</v>
      </c>
      <c r="B117" s="2" t="str">
        <f>IFERROR(__xludf.DUMMYFUNCTION("GOOGLETRANSLATE(A117,""en"", ""mt"")"),"Halford Mackinder u Friedrich Ratzel fejn x'tip ta 'ġeografi?")</f>
        <v>Halford Mackinder u Friedrich Ratzel fejn x'tip ta 'ġeografi?</v>
      </c>
    </row>
    <row r="118" ht="15.75" customHeight="1">
      <c r="A118" s="2" t="s">
        <v>118</v>
      </c>
      <c r="B118" s="2" t="str">
        <f>IFERROR(__xludf.DUMMYFUNCTION("GOOGLETRANSLATE(A118,""en"", ""mt"")"),"Sal-1620 il-Huguenots kienu fuq id-difiża, u l-gvern dejjem applika pressjoni. Serje ta 'tliet gwerer ċivili żgħar magħrufa bħala r-ribelljonijiet Huguenot faqqgħu, l-aktar fil-Lbiċ ta' Franza, bejn l-1621 u l-1629. Revolted kontra l-Awtorità Rjali. Ir-re"&amp;"wwixta seħħet għaxar snin wara l-mewt ta 'Henry IV, Huguenot qabel ma kkonverta għall-Kattoliċiżmu, li kien ipproteġi lill-Protestanti permezz tal-editt ta' Nantes. Is-suċċessur tiegħu Louis XIII, taħt ir-regenza tal-omm Kattolika Taljana tiegħu Marie de "&amp;"'Medici, sar aktar intolleranti għall-Protestantiżmu. Il-Huguenots jirrispondu billi jistabbilixxu strutturi politiċi u militari indipendenti, jistabbilixxu kuntatti diplomatiċi ma 'poteri barranin, u jduru b'mod miftuħ kontra l-poter ċentrali. Ir-ribellj"&amp;"onijiet ġew imrażżna mill-kuruna Franċiża. [Ċitazzjoni meħtieġa]")</f>
        <v>Sal-1620 il-Huguenots kienu fuq id-difiża, u l-gvern dejjem applika pressjoni. Serje ta 'tliet gwerer ċivili żgħar magħrufa bħala r-ribelljonijiet Huguenot faqqgħu, l-aktar fil-Lbiċ ta' Franza, bejn l-1621 u l-1629. Revolted kontra l-Awtorità Rjali. Ir-rewwixta seħħet għaxar snin wara l-mewt ta 'Henry IV, Huguenot qabel ma kkonverta għall-Kattoliċiżmu, li kien ipproteġi lill-Protestanti permezz tal-editt ta' Nantes. Is-suċċessur tiegħu Louis XIII, taħt ir-regenza tal-omm Kattolika Taljana tiegħu Marie de 'Medici, sar aktar intolleranti għall-Protestantiżmu. Il-Huguenots jirrispondu billi jistabbilixxu strutturi politiċi u militari indipendenti, jistabbilixxu kuntatti diplomatiċi ma 'poteri barranin, u jduru b'mod miftuħ kontra l-poter ċentrali. Ir-ribelljonijiet ġew imrażżna mill-kuruna Franċiża. [Ċitazzjoni meħtieġa]</v>
      </c>
    </row>
    <row r="119" ht="15.75" customHeight="1">
      <c r="A119" s="2" t="s">
        <v>119</v>
      </c>
      <c r="B119" s="2" t="str">
        <f>IFERROR(__xludf.DUMMYFUNCTION("GOOGLETRANSLATE(A119,""en"", ""mt"")"),"Minbarra t-tort ta 'San Jacinto, u t-tort ta' Elsinore, isemmu tort ieħor.")</f>
        <v>Minbarra t-tort ta 'San Jacinto, u t-tort ta' Elsinore, isemmu tort ieħor.</v>
      </c>
    </row>
    <row r="120" ht="15.75" customHeight="1">
      <c r="A120" s="2" t="s">
        <v>120</v>
      </c>
      <c r="B120" s="2" t="str">
        <f>IFERROR(__xludf.DUMMYFUNCTION("GOOGLETRANSLATE(A120,""en"", ""mt"")"),"Liema ktieb minn Edward qal ippreżenta l-Lvant bħala l- ""oħrajn?""")</f>
        <v>Liema ktieb minn Edward qal ippreżenta l-Lvant bħala l- "oħrajn?"</v>
      </c>
    </row>
    <row r="121" ht="15.75" customHeight="1">
      <c r="A121" s="2" t="s">
        <v>121</v>
      </c>
      <c r="B121" s="2" t="str">
        <f>IFERROR(__xludf.DUMMYFUNCTION("GOOGLETRANSLATE(A121,""en"", ""mt"")"),"Wieħed minn kull ħamsa")</f>
        <v>Wieħed minn kull ħamsa</v>
      </c>
    </row>
    <row r="122" ht="15.75" customHeight="1">
      <c r="A122" s="2" t="s">
        <v>122</v>
      </c>
      <c r="B122" s="2" t="str">
        <f>IFERROR(__xludf.DUMMYFUNCTION("GOOGLETRANSLATE(A122,""en"", ""mt"")"),"il-Papa u d-duttrina tat-transubstantjazzjoni")</f>
        <v>il-Papa u d-duttrina tat-transubstantjazzjoni</v>
      </c>
    </row>
    <row r="123" ht="15.75" customHeight="1">
      <c r="A123" s="2" t="s">
        <v>123</v>
      </c>
      <c r="B123" s="2" t="str">
        <f>IFERROR(__xludf.DUMMYFUNCTION("GOOGLETRANSLATE(A123,""en"", ""mt"")"),"Dak li kien Austpac")</f>
        <v>Dak li kien Austpac</v>
      </c>
    </row>
    <row r="124" ht="15.75" customHeight="1">
      <c r="A124" s="2" t="s">
        <v>124</v>
      </c>
      <c r="B124" s="2" t="str">
        <f>IFERROR(__xludf.DUMMYFUNCTION("GOOGLETRANSLATE(A124,""en"", ""mt"")"),"Ir-rwol tal-ispiżjar kliniku jinvolvi l-ħolqien ta 'pjan komprensiv ta' terapija ta 'mediċina għal problemi speċifiċi għall-pazjent, l-identifikazzjoni ta' għanijiet ta 'terapija, u tirrevedi l-mediċini preskritti kollha qabel it-tqassim u l-għoti lill-pa"&amp;"zjent. Il-proċess ta 'reviżjoni ħafna drabi jinvolvi evalwazzjoni ta' l-adegwatezza tat-terapija tal-mediċina (per eżempju, l-għażla tal-mediċina, id-doża, ir-rotta, il-frekwenza, u t-tul tat-terapija) u l-effikaċja tagħha. L-ispiżjar għandu wkoll jimmoni"&amp;"torja għal interazzjonijiet potenzjali ta 'mediċini, reazzjonijiet avversi għall-mediċina, u jivvaluta l-allerġiji tal-mediċina tal-pazjent waqt li jiddisinja u jibda pjan ta' terapija ta 'mediċina.")</f>
        <v>Ir-rwol tal-ispiżjar kliniku jinvolvi l-ħolqien ta 'pjan komprensiv ta' terapija ta 'mediċina għal problemi speċifiċi għall-pazjent, l-identifikazzjoni ta' għanijiet ta 'terapija, u tirrevedi l-mediċini preskritti kollha qabel it-tqassim u l-għoti lill-pazjent. Il-proċess ta 'reviżjoni ħafna drabi jinvolvi evalwazzjoni ta' l-adegwatezza tat-terapija tal-mediċina (per eżempju, l-għażla tal-mediċina, id-doża, ir-rotta, il-frekwenza, u t-tul tat-terapija) u l-effikaċja tagħha. L-ispiżjar għandu wkoll jimmonitorja għal interazzjonijiet potenzjali ta 'mediċini, reazzjonijiet avversi għall-mediċina, u jivvaluta l-allerġiji tal-mediċina tal-pazjent waqt li jiddisinja u jibda pjan ta' terapija ta 'mediċina.</v>
      </c>
    </row>
    <row r="125" ht="15.75" customHeight="1">
      <c r="A125" s="2" t="s">
        <v>125</v>
      </c>
      <c r="B125" s="2" t="str">
        <f>IFERROR(__xludf.DUMMYFUNCTION("GOOGLETRANSLATE(A125,""en"", ""mt"")"),"San Lawrenz u Mississippi")</f>
        <v>San Lawrenz u Mississippi</v>
      </c>
    </row>
    <row r="126" ht="15.75" customHeight="1">
      <c r="A126" s="2" t="s">
        <v>126</v>
      </c>
      <c r="B126" s="2" t="str">
        <f>IFERROR(__xludf.DUMMYFUNCTION("GOOGLETRANSLATE(A126,""en"", ""mt"")"),"X'għamel il-bdil ta 'blokka ta' messaġġi adattivi distribwiti")</f>
        <v>X'għamel il-bdil ta 'blokka ta' messaġġi adattivi distribwiti</v>
      </c>
    </row>
    <row r="127" ht="15.75" customHeight="1">
      <c r="A127" s="2" t="s">
        <v>127</v>
      </c>
      <c r="B127" s="2" t="str">
        <f>IFERROR(__xludf.DUMMYFUNCTION("GOOGLETRANSLATE(A127,""en"", ""mt"")"),"OC-48C")</f>
        <v>OC-48C</v>
      </c>
    </row>
    <row r="128" ht="15.75" customHeight="1">
      <c r="A128" s="2" t="s">
        <v>128</v>
      </c>
      <c r="B128" s="2" t="str">
        <f>IFERROR(__xludf.DUMMYFUNCTION("GOOGLETRANSLATE(A128,""en"", ""mt"")"),"F'Lulju 2013, il-Qorti Għolja tal-Ġustizzja Ingliża sabet li l-użu ta 'Microsoft tat-terminu ""SkyDrive"" kiser id-dritt ta' Sky għat-trademark ""Sky"". Fil-31 ta 'Lulju 2013, BSKYB u Microsoft ħabbru s-saldu tagħhom, li fih Microsoft ma jappellawx id-deċ"&amp;"iżjoni, u jerġgħu jibdew is-servizz ta' ħażna tas-sħab skydrive tagħha wara ""perjodu raġonevoli ta 'żmien biex jippermettu tranżizzjoni ordnata għal marka ġdida,"" ""Termini finanzjarji u oħrajn, li d-dettalji tagħhom huma kunfidenzjali"". Fis-27 ta 'Jan"&amp;"nar 2014, Microsoft ħabbret ""li SkyDrive dalwaqt se ssir OneDrive"" u ""SkyDrive Pro"" isir ""OneDrive for Business"".")</f>
        <v>F'Lulju 2013, il-Qorti Għolja tal-Ġustizzja Ingliża sabet li l-użu ta 'Microsoft tat-terminu "SkyDrive" kiser id-dritt ta' Sky għat-trademark "Sky". Fil-31 ta 'Lulju 2013, BSKYB u Microsoft ħabbru s-saldu tagħhom, li fih Microsoft ma jappellawx id-deċiżjoni, u jerġgħu jibdew is-servizz ta' ħażna tas-sħab skydrive tagħha wara "perjodu raġonevoli ta 'żmien biex jippermettu tranżizzjoni ordnata għal marka ġdida," "Termini finanzjarji u oħrajn, li d-dettalji tagħhom huma kunfidenzjali". Fis-27 ta 'Jannar 2014, Microsoft ħabbret "li SkyDrive dalwaqt se ssir OneDrive" u "SkyDrive Pro" isir "OneDrive for Business".</v>
      </c>
    </row>
    <row r="129" ht="15.75" customHeight="1">
      <c r="A129" s="2" t="s">
        <v>129</v>
      </c>
      <c r="B129" s="2" t="str">
        <f>IFERROR(__xludf.DUMMYFUNCTION("GOOGLETRANSLATE(A129,""en"", ""mt"")"),"diversi mijiet")</f>
        <v>diversi mijiet</v>
      </c>
    </row>
    <row r="130" ht="15.75" customHeight="1">
      <c r="A130" s="2" t="s">
        <v>130</v>
      </c>
      <c r="B130" s="2" t="str">
        <f>IFERROR(__xludf.DUMMYFUNCTION("GOOGLETRANSLATE(A130,""en"", ""mt"")"),"Il-Gżejjer Faroe")</f>
        <v>Il-Gżejjer Faroe</v>
      </c>
    </row>
    <row r="131" ht="15.75" customHeight="1">
      <c r="A131" s="2" t="s">
        <v>131</v>
      </c>
      <c r="B131" s="2" t="str">
        <f>IFERROR(__xludf.DUMMYFUNCTION("GOOGLETRANSLATE(A131,""en"", ""mt"")"),"Wara n-nar ta 'Jacksonville, x'għamel il-gvernatur ta' Florida?")</f>
        <v>Wara n-nar ta 'Jacksonville, x'għamel il-gvernatur ta' Florida?</v>
      </c>
    </row>
    <row r="132" ht="15.75" customHeight="1">
      <c r="A132" s="2" t="s">
        <v>132</v>
      </c>
      <c r="B132" s="2" t="str">
        <f>IFERROR(__xludf.DUMMYFUNCTION("GOOGLETRANSLATE(A132,""en"", ""mt"")"),"Stadtholder William III ta ’Orange, li aktar tard sar Re tal-Ingilterra, ħareġ bħala l-aktar avversarju b’saħħtu tar-Re Louis XIV wara li l-Franċiżi attakkaw ir-Repubblika Olandiża fl-1672. William ifforma l-Lega ta’ Augsburg bħala koalizzjoni biex toppon"&amp;"i lil Louis u l-istat Franċiż. Konsegwentement, ħafna Huguenots ikkunsidraw ir-Repubblika Olandiża sinjura u kalvinista, li wasslet lill-oppożizzjoni għal Louis XIV, bħala l-iktar pajjiż attraenti għall-eżilju wara r-revoka tal-editt ta 'Nantes. Huma sabu"&amp;" wkoll ħafna knejjes kalvinisti li jitkellmu bil-Franċiż hemmhekk.")</f>
        <v>Stadtholder William III ta ’Orange, li aktar tard sar Re tal-Ingilterra, ħareġ bħala l-aktar avversarju b’saħħtu tar-Re Louis XIV wara li l-Franċiżi attakkaw ir-Repubblika Olandiża fl-1672. William ifforma l-Lega ta’ Augsburg bħala koalizzjoni biex topponi lil Louis u l-istat Franċiż. Konsegwentement, ħafna Huguenots ikkunsidraw ir-Repubblika Olandiża sinjura u kalvinista, li wasslet lill-oppożizzjoni għal Louis XIV, bħala l-iktar pajjiż attraenti għall-eżilju wara r-revoka tal-editt ta 'Nantes. Huma sabu wkoll ħafna knejjes kalvinisti li jitkellmu bil-Franċiż hemmhekk.</v>
      </c>
    </row>
    <row r="133" ht="15.75" customHeight="1">
      <c r="A133" s="2" t="s">
        <v>133</v>
      </c>
      <c r="B133" s="2" t="str">
        <f>IFERROR(__xludf.DUMMYFUNCTION("GOOGLETRANSLATE(A133,""en"", ""mt"")"),"Typhus, ġidri u infezzjonijiet respiratorji")</f>
        <v>Typhus, ġidri u infezzjonijiet respiratorji</v>
      </c>
    </row>
    <row r="134" ht="15.75" customHeight="1">
      <c r="A134" s="2" t="s">
        <v>134</v>
      </c>
      <c r="B134" s="2" t="str">
        <f>IFERROR(__xludf.DUMMYFUNCTION("GOOGLETRANSLATE(A134,""en"", ""mt"")"),"Din il-bidla diġà bdiet f'xi pajjiżi; Pereżempju, l-ispiżjara fl-Awstralja jirċievu remunerazzjoni mill-gvern Awstraljan biex iwettqu reviżjonijiet komprensivi ta 'mediċini fid-dar. Fil-Kanada, l-ispiżjara f'ċerti provinċji għandhom drittijiet ta 'preskri"&amp;"zzjoni limitati (bħal fl-Alberta u l-Kolumbja Brittanika) jew huma remunerati mill-gvern provinċjali tagħhom għal servizzi estiżi bħal reviżjonijiet ta' mediċini (medschecks fl-Ontario). Fir-Renju Unit, l-ispiżjara li jagħmlu taħriġ addizzjonali qed jiksb"&amp;"u drittijiet li jippreskrivu u dan minħabba edukazzjoni fl-ispiżerija. Huma wkoll qed jitħallsu mill-Gvern għar-reviżjonijiet tal-użu tal-mediċina. Fl-Iskozja l-ispiżjar jista 'jikteb preskrizzjonijiet għal pazjenti rreġistrati Skoċċiżi tal-mediċini regol"&amp;"ari tagħhom, għall-maġġoranza tal-mediċini, ħlief għal mediċini kkontrollati, meta l-pazjent ma jkunx jista' jara lit-tabib tagħhom, kif jista 'jiġri jekk huma' l bogħod mid-dar jew it-tabib huwa mhux disponibbli. Fl-Istati Uniti, il-kura farmaċewtika jew"&amp;" l-ispiżerija klinika kellhom influwenza li qed tevolvi fuq il-prattika tal-ispiżerija. Barra minn hekk, il-grad tad-Duttur tal-Ispiżerija (Pharm. D.) issa huwa meħtieġ qabel ma jidħol fil-prattika u xi spiżjara issa jtemmu sena jew sentejn ta 'taħriġ ta'"&amp;" residenza jew boroż ta 'studju wara l-gradwazzjoni. Barra minn hekk, l-ispiżjara konsulenti, li tradizzjonalment operaw primarjament fid-djar tal-anzjani issa qed jespandu f'konsultazzjoni diretta mal-pazjenti, taħt il-bandiera ta '""Pharmacy tal-Kura An"&amp;"zjana.""")</f>
        <v>Din il-bidla diġà bdiet f'xi pajjiżi; Pereżempju, l-ispiżjara fl-Awstralja jirċievu remunerazzjoni mill-gvern Awstraljan biex iwettqu reviżjonijiet komprensivi ta 'mediċini fid-dar. Fil-Kanada, l-ispiżjara f'ċerti provinċji għandhom drittijiet ta 'preskrizzjoni limitati (bħal fl-Alberta u l-Kolumbja Brittanika) jew huma remunerati mill-gvern provinċjali tagħhom għal servizzi estiżi bħal reviżjonijiet ta' mediċini (medschecks fl-Ontario). Fir-Renju Unit, l-ispiżjara li jagħmlu taħriġ addizzjonali qed jiksbu drittijiet li jippreskrivu u dan minħabba edukazzjoni fl-ispiżerija. Huma wkoll qed jitħallsu mill-Gvern għar-reviżjonijiet tal-użu tal-mediċina. Fl-Iskozja l-ispiżjar jista 'jikteb preskrizzjonijiet għal pazjenti rreġistrati Skoċċiżi tal-mediċini regolari tagħhom, għall-maġġoranza tal-mediċini, ħlief għal mediċini kkontrollati, meta l-pazjent ma jkunx jista' jara lit-tabib tagħhom, kif jista 'jiġri jekk huma' l bogħod mid-dar jew it-tabib huwa mhux disponibbli. Fl-Istati Uniti, il-kura farmaċewtika jew l-ispiżerija klinika kellhom influwenza li qed tevolvi fuq il-prattika tal-ispiżerija. Barra minn hekk, il-grad tad-Duttur tal-Ispiżerija (Pharm. D.) issa huwa meħtieġ qabel ma jidħol fil-prattika u xi spiżjara issa jtemmu sena jew sentejn ta 'taħriġ ta' residenza jew boroż ta 'studju wara l-gradwazzjoni. Barra minn hekk, l-ispiżjara konsulenti, li tradizzjonalment operaw primarjament fid-djar tal-anzjani issa qed jespandu f'konsultazzjoni diretta mal-pazjenti, taħt il-bandiera ta '"Pharmacy tal-Kura Anzjana."</v>
      </c>
    </row>
    <row r="135" ht="15.75" customHeight="1">
      <c r="A135" s="2" t="s">
        <v>135</v>
      </c>
      <c r="B135" s="2" t="str">
        <f>IFERROR(__xludf.DUMMYFUNCTION("GOOGLETRANSLATE(A135,""en"", ""mt"")"),"Politika tat-Taxxa tal-Propjetà Ad Valorem")</f>
        <v>Politika tat-Taxxa tal-Propjetà Ad Valorem</v>
      </c>
    </row>
    <row r="136" ht="15.75" customHeight="1">
      <c r="A136" s="2" t="s">
        <v>136</v>
      </c>
      <c r="B136" s="2" t="str">
        <f>IFERROR(__xludf.DUMMYFUNCTION("GOOGLETRANSLATE(A136,""en"", ""mt"")"),"Wara l-1279")</f>
        <v>Wara l-1279</v>
      </c>
    </row>
    <row r="137" ht="15.75" customHeight="1">
      <c r="A137" s="2" t="s">
        <v>137</v>
      </c>
      <c r="B137" s="2" t="str">
        <f>IFERROR(__xludf.DUMMYFUNCTION("GOOGLETRANSLATE(A137,""en"", ""mt"")"),"Liema att jistabbilixxi t-terminu biex jiġġudika l-konfini tas-sanità li magħhom l-individwi li jixtiequ joqogħdu fuq l-SP għandhom jaderixxu?")</f>
        <v>Liema att jistabbilixxi t-terminu biex jiġġudika l-konfini tas-sanità li magħhom l-individwi li jixtiequ joqogħdu fuq l-SP għandhom jaderixxu?</v>
      </c>
    </row>
    <row r="138" ht="15.75" customHeight="1">
      <c r="A138" s="2" t="s">
        <v>138</v>
      </c>
      <c r="B138" s="2" t="str">
        <f>IFERROR(__xludf.DUMMYFUNCTION("GOOGLETRANSLATE(A138,""en"", ""mt"")"),"li tikkonferma l-pożizzjoni tal-Gran Brittanja bħala l-poter kolonjali dominanti fil-Lvant ta 'l-Amerika")</f>
        <v>li tikkonferma l-pożizzjoni tal-Gran Brittanja bħala l-poter kolonjali dominanti fil-Lvant ta 'l-Amerika</v>
      </c>
    </row>
    <row r="139" ht="15.75" customHeight="1">
      <c r="A139" s="2" t="s">
        <v>139</v>
      </c>
      <c r="B139" s="2" t="str">
        <f>IFERROR(__xludf.DUMMYFUNCTION("GOOGLETRANSLATE(A139,""en"", ""mt"")"),"Qabel it-Tieni Gwerra Dinjija, Fresno kellu ħafna kwartieri etniċi, inklużi Little Armenja, Belt Ġermaniża, Little Italja, u Chinatown. Fl-1940, l-Uffiċċju taċ-Ċensiment irrapporta l-popolazzjoni ta 'Fresno bħala 94.0% abjad, 3.3% iswed u 2.7% Asjatiku. ("&amp;"Inkongruż, Chinatown kien primarjament viċinat Ġappuniż u llum għadhom in-negozji Ġappuniżi-Amerikani). Matul l-1942, Pinedale, f’dak li issa hu North Fresno, kien is-sit taċ-Ċentru tal-Assemblea Pinedale, faċilità interim għar-rilokazzjoni taż-żona ta ’F"&amp;"resno Amerikani Ġappuniżi għal kampijiet ta’ internament. Il-fieri ta 'Fresno ġiet użata wkoll bħala ċentru ta' assemblaġġ.")</f>
        <v>Qabel it-Tieni Gwerra Dinjija, Fresno kellu ħafna kwartieri etniċi, inklużi Little Armenja, Belt Ġermaniża, Little Italja, u Chinatown. Fl-1940, l-Uffiċċju taċ-Ċensiment irrapporta l-popolazzjoni ta 'Fresno bħala 94.0% abjad, 3.3% iswed u 2.7% Asjatiku. (Inkongruż, Chinatown kien primarjament viċinat Ġappuniż u llum għadhom in-negozji Ġappuniżi-Amerikani). Matul l-1942, Pinedale, f’dak li issa hu North Fresno, kien is-sit taċ-Ċentru tal-Assemblea Pinedale, faċilità interim għar-rilokazzjoni taż-żona ta ’Fresno Amerikani Ġappuniżi għal kampijiet ta’ internament. Il-fieri ta 'Fresno ġiet użata wkoll bħala ċentru ta' assemblaġġ.</v>
      </c>
    </row>
    <row r="140" ht="15.75" customHeight="1">
      <c r="A140" s="2" t="s">
        <v>140</v>
      </c>
      <c r="B140" s="2" t="str">
        <f>IFERROR(__xludf.DUMMYFUNCTION("GOOGLETRANSLATE(A140,""en"", ""mt"")"),"Minħabba l-korpi artab u ġelatinużi tagħhom, iċ-ċtenofori huma estremament rari daqs il-fossili, u l-fossili li ġew interpretati bħala ctenophores instabu biss f'Lagerstätten, postijiet fejn l-ambjent kien eċċezzjonalment adattat għall-preservazzjoni ta '"&amp;"tessut artab. Sa nofs is-snin disgħin ġew magħrufa biss żewġ kampjuni tajbin biżżejjed għall-analiżi, iż-żewġ membri tal-Grupp tal-Kuruna, mill-perjodu bikri tad-Devonian (Emsian). Tliet speċi putattivi addizzjonali nstabu fil-Burgess Shale u blat Kanadiż"&amp;"i oħra ta 'età simili, madwar 505 miljun sena ilu fil-perjodu ta' Mid-Cambrian. It-tlieta apparentement ma kellhomx tentakli iżda kellhom bejn 24 u 80 ringiela tal-moxt, ferm iktar mit-8 tipiċi ta 'speċi ħajjin. Jidher ukoll li kellhom strutturi interni s"&amp;"imili għall-organi b'differenza minn kull ħaġa misjuba f'ċtenofori ħajjin. Waħda mill-ispeċi fossili l-ewwel irrappurtata fl-1996 kellha ħalq kbir, apparentement imdawwar minn tarf mitwi li seta 'kien muskolari. L-evidenza miċ-Ċina sena wara tissuġġerixxi"&amp;" li tali ctenophores kienu mifruxa fil-Cambrian, imma forsi differenti ħafna mill-ispeċi moderna - pereżempju r-rewwijiet tal-moxt tal-fossili kienu mmuntati fuq paletti prominenti. L-eoandromeda ta 'Ediacaran tista' tirrapreżenta b'mod putattiv ġelatina.")</f>
        <v>Minħabba l-korpi artab u ġelatinużi tagħhom, iċ-ċtenofori huma estremament rari daqs il-fossili, u l-fossili li ġew interpretati bħala ctenophores instabu biss f'Lagerstätten, postijiet fejn l-ambjent kien eċċezzjonalment adattat għall-preservazzjoni ta 'tessut artab. Sa nofs is-snin disgħin ġew magħrufa biss żewġ kampjuni tajbin biżżejjed għall-analiżi, iż-żewġ membri tal-Grupp tal-Kuruna, mill-perjodu bikri tad-Devonian (Emsian). Tliet speċi putattivi addizzjonali nstabu fil-Burgess Shale u blat Kanadiżi oħra ta 'età simili, madwar 505 miljun sena ilu fil-perjodu ta' Mid-Cambrian. It-tlieta apparentement ma kellhomx tentakli iżda kellhom bejn 24 u 80 ringiela tal-moxt, ferm iktar mit-8 tipiċi ta 'speċi ħajjin. Jidher ukoll li kellhom strutturi interni simili għall-organi b'differenza minn kull ħaġa misjuba f'ċtenofori ħajjin. Waħda mill-ispeċi fossili l-ewwel irrappurtata fl-1996 kellha ħalq kbir, apparentement imdawwar minn tarf mitwi li seta 'kien muskolari. L-evidenza miċ-Ċina sena wara tissuġġerixxi li tali ctenophores kienu mifruxa fil-Cambrian, imma forsi differenti ħafna mill-ispeċi moderna - pereżempju r-rewwijiet tal-moxt tal-fossili kienu mmuntati fuq paletti prominenti. L-eoandromeda ta 'Ediacaran tista' tirrapreżenta b'mod putattiv ġelatina.</v>
      </c>
    </row>
    <row r="141" ht="15.75" customHeight="1">
      <c r="A141" s="2" t="s">
        <v>141</v>
      </c>
      <c r="B141" s="2" t="str">
        <f>IFERROR(__xludf.DUMMYFUNCTION("GOOGLETRANSLATE(A141,""en"", ""mt"")"),"1990s")</f>
        <v>1990s</v>
      </c>
    </row>
    <row r="142" ht="15.75" customHeight="1">
      <c r="A142" s="2" t="s">
        <v>142</v>
      </c>
      <c r="B142" s="2" t="str">
        <f>IFERROR(__xludf.DUMMYFUNCTION("GOOGLETRANSLATE(A142,""en"", ""mt"")"),"Minbarra d-drogi, x'iktar jipprovdu l-ispiżeriji speċjalizzati?")</f>
        <v>Minbarra d-drogi, x'iktar jipprovdu l-ispiżeriji speċjalizzati?</v>
      </c>
    </row>
    <row r="143" ht="15.75" customHeight="1">
      <c r="A143" s="2" t="s">
        <v>143</v>
      </c>
      <c r="B143" s="2" t="str">
        <f>IFERROR(__xludf.DUMMYFUNCTION("GOOGLETRANSLATE(A143,""en"", ""mt"")"),"X'inhu fattur importanti li jikkontribwixxi għall-inugwaljanza għall-individwi?")</f>
        <v>X'inhu fattur importanti li jikkontribwixxi għall-inugwaljanza għall-individwi?</v>
      </c>
    </row>
    <row r="144" ht="15.75" customHeight="1">
      <c r="A144" s="2" t="s">
        <v>144</v>
      </c>
      <c r="B144" s="2" t="str">
        <f>IFERROR(__xludf.DUMMYFUNCTION("GOOGLETRANSLATE(A144,""en"", ""mt"")"),"X'inhu l-isem tal-kurrikulu ewlieni tal-università?")</f>
        <v>X'inhu l-isem tal-kurrikulu ewlieni tal-università?</v>
      </c>
    </row>
    <row r="145" ht="15.75" customHeight="1">
      <c r="A145" s="2" t="s">
        <v>145</v>
      </c>
      <c r="B145" s="2" t="str">
        <f>IFERROR(__xludf.DUMMYFUNCTION("GOOGLETRANSLATE(A145,""en"", ""mt"")"),"Minbarra l-Klabb tal-Karozzi tan-Nofsinhar ta 'California, liema AAA Auto Club oħra għażlet li tissimplifika l-qasma?")</f>
        <v>Minbarra l-Klabb tal-Karozzi tan-Nofsinhar ta 'California, liema AAA Auto Club oħra għażlet li tissimplifika l-qasma?</v>
      </c>
    </row>
    <row r="146" ht="15.75" customHeight="1">
      <c r="A146" s="2" t="s">
        <v>146</v>
      </c>
      <c r="B146" s="2" t="str">
        <f>IFERROR(__xludf.DUMMYFUNCTION("GOOGLETRANSLATE(A146,""en"", ""mt"")"),"Ippubblika s-sejbiet tiegħu l-ewwel")</f>
        <v>Ippubblika s-sejbiet tiegħu l-ewwel</v>
      </c>
    </row>
    <row r="147" ht="15.75" customHeight="1">
      <c r="A147" s="2" t="s">
        <v>147</v>
      </c>
      <c r="B147" s="2" t="str">
        <f>IFERROR(__xludf.DUMMYFUNCTION("GOOGLETRANSLATE(A147,""en"", ""mt"")"),"Waħda mill-ewwel implimentazzjonijiet massivi tagħha ġiet ikkawżata mill-Eġizzjani kontra l-okkupazzjoni Ingliża fir-rivoluzzjoni tal-1919. Id-diżubbidjenza ċivili hija waħda mill-ħafna modi kif in-nies irribellaw kontra dak li jqisu li huma liġijiet inġu"&amp;"sti. Intuża f'ħafna movimenti ta 'reżistenza mhux vjolenti fl-Indja (il-kampanji ta' Gandhi għall-Indipendenza mill-Imperu Brittaniku), fir-rivoluzzjoni tal-bellus taċ-Ċekoslovakkja u fil-Ġermanja tal-Lvant biex jitneħħew il-gvernijiet komunisti tagħhom, "&amp;"fl-Afrika t'Isfel fil-ġlieda kontra l-apartheid, fid-drittijiet ċivili Amerikani Amerikani Moviment, fir-rivoluzzjoni tal-kant biex iġġib l-indipendenza lill-pajjiżi tal-Baltiku mill-Unjoni Sovjetika, reċentement bir-Rivoluzzjoni tal-Rose tal-2003 fil-Ġeo"&amp;"rġja u r-Rivoluzzjoni Orange tal-2004 fl-Ukrajna, fost movimenti varji oħra mad-dinja kollha.")</f>
        <v>Waħda mill-ewwel implimentazzjonijiet massivi tagħha ġiet ikkawżata mill-Eġizzjani kontra l-okkupazzjoni Ingliża fir-rivoluzzjoni tal-1919. Id-diżubbidjenza ċivili hija waħda mill-ħafna modi kif in-nies irribellaw kontra dak li jqisu li huma liġijiet inġusti. Intuża f'ħafna movimenti ta 'reżistenza mhux vjolenti fl-Indja (il-kampanji ta' Gandhi għall-Indipendenza mill-Imperu Brittaniku), fir-rivoluzzjoni tal-bellus taċ-Ċekoslovakkja u fil-Ġermanja tal-Lvant biex jitneħħew il-gvernijiet komunisti tagħhom, fl-Afrika t'Isfel fil-ġlieda kontra l-apartheid, fid-drittijiet ċivili Amerikani Amerikani Moviment, fir-rivoluzzjoni tal-kant biex iġġib l-indipendenza lill-pajjiżi tal-Baltiku mill-Unjoni Sovjetika, reċentement bir-Rivoluzzjoni tal-Rose tal-2003 fil-Ġeorġja u r-Rivoluzzjoni Orange tal-2004 fl-Ukrajna, fost movimenti varji oħra mad-dinja kollha.</v>
      </c>
    </row>
    <row r="148" ht="15.75" customHeight="1">
      <c r="A148" s="2" t="s">
        <v>148</v>
      </c>
      <c r="B148" s="2" t="str">
        <f>IFERROR(__xludf.DUMMYFUNCTION("GOOGLETRANSLATE(A148,""en"", ""mt"")"),"livell eżistenti ta 'inugwaljanza")</f>
        <v>livell eżistenti ta 'inugwaljanza</v>
      </c>
    </row>
    <row r="149" ht="15.75" customHeight="1">
      <c r="A149" s="2" t="s">
        <v>149</v>
      </c>
      <c r="B149" s="2" t="str">
        <f>IFERROR(__xludf.DUMMYFUNCTION("GOOGLETRANSLATE(A149,""en"", ""mt"")"),"Ibgħat l-għajnuna u xi kultant imorru lilhom infushom biex jiġġieldu għall-fidi tagħhom")</f>
        <v>Ibgħat l-għajnuna u xi kultant imorru lilhom infushom biex jiġġieldu għall-fidi tagħhom</v>
      </c>
    </row>
    <row r="150" ht="15.75" customHeight="1">
      <c r="A150" s="2" t="s">
        <v>150</v>
      </c>
      <c r="B150" s="2" t="str">
        <f>IFERROR(__xludf.DUMMYFUNCTION("GOOGLETRANSLATE(A150,""en"", ""mt"")"),"L-Amerka ta 'Fuq")</f>
        <v>L-Amerka ta 'Fuq</v>
      </c>
    </row>
    <row r="151" ht="15.75" customHeight="1">
      <c r="A151" s="2" t="s">
        <v>151</v>
      </c>
      <c r="B151" s="2" t="str">
        <f>IFERROR(__xludf.DUMMYFUNCTION("GOOGLETRANSLATE(A151,""en"", ""mt"")"),"Aristotile pprovda diskussjoni filosofika tal-kunċett ta 'forza bħala parti integrali tal-kosmoloġija Aristoteljana. Fil-fehma ta 'Aristotile, l-isfera terrestri kien fiha erba' elementi li jiġu għall-mistrieħ f'postijiet naturali differenti fihom. Aristo"&amp;"tile kien jemmen li oġġetti bla waqfien fid-dinja, dawk komposti l-aktar mill-elementi tad-dinja u l-ilma, biex ikunu fil-post naturali tagħhom fuq l-art u li jibqgħu hekk jekk jitħallew waħedhom. Huwa ddistingwa bejn it-tendenza intrinsika ta 'oġġetti li"&amp;" jsibu l- ""post naturali"" tagħhom (per eżempju, biex il-korpi tqal jaqgħu), li wasslu għal ""moviment naturali"", u moviment mhux naturali jew sfurzat, li kien jeħtieġ l-applikazzjoni kontinwa ta' forza. Din it-teorija, ibbażata fuq l-esperjenza ta 'kul"&amp;"jum ta' kif l-oġġetti jiċċaqalqu, bħall-applikazzjoni kostanti ta 'forza meħtieġa biex iżżomm karrettun miexi, kellha problemi kunċettwali li tirrappreżenta l-imġieba tal-projettili, bħat-titjira tal-vleġeġ. Il-post fejn l-Archer jiċċaqlaq il-projettili k"&amp;"ien fil-bidu tat-titjira, u filwaqt li l-projettili baħħru fl-arja, l-ebda kawża effiċjenti li tista 'tinstab ma taġixxi fuqha. Aristotile kien konxju ta 'din il-problema u ppropona li l-arja spostata permezz tat-triq tal-projettili ġġorr il-projettili għ"&amp;"all-mira tagħha. Din l-ispjegazzjoni titlob kontinwu bħall-arja għall-bidla fil-post b'mod ġenerali.")</f>
        <v>Aristotile pprovda diskussjoni filosofika tal-kunċett ta 'forza bħala parti integrali tal-kosmoloġija Aristoteljana. Fil-fehma ta 'Aristotile, l-isfera terrestri kien fiha erba' elementi li jiġu għall-mistrieħ f'postijiet naturali differenti fihom. Aristotile kien jemmen li oġġetti bla waqfien fid-dinja, dawk komposti l-aktar mill-elementi tad-dinja u l-ilma, biex ikunu fil-post naturali tagħhom fuq l-art u li jibqgħu hekk jekk jitħallew waħedhom. Huwa ddistingwa bejn it-tendenza intrinsika ta 'oġġetti li jsibu l- "post naturali" tagħhom (per eżempju, biex il-korpi tqal jaqgħu), li wasslu għal "moviment naturali", u moviment mhux naturali jew sfurzat, li kien jeħtieġ l-applikazzjoni kontinwa ta' forza. Din it-teorija, ibbażata fuq l-esperjenza ta 'kuljum ta' kif l-oġġetti jiċċaqalqu, bħall-applikazzjoni kostanti ta 'forza meħtieġa biex iżżomm karrettun miexi, kellha problemi kunċettwali li tirrappreżenta l-imġieba tal-projettili, bħat-titjira tal-vleġeġ. Il-post fejn l-Archer jiċċaqlaq il-projettili kien fil-bidu tat-titjira, u filwaqt li l-projettili baħħru fl-arja, l-ebda kawża effiċjenti li tista 'tinstab ma taġixxi fuqha. Aristotile kien konxju ta 'din il-problema u ppropona li l-arja spostata permezz tat-triq tal-projettili ġġorr il-projettili għall-mira tagħha. Din l-ispjegazzjoni titlob kontinwu bħall-arja għall-bidla fil-post b'mod ġenerali.</v>
      </c>
    </row>
    <row r="152" ht="15.75" customHeight="1">
      <c r="A152" s="2" t="s">
        <v>152</v>
      </c>
      <c r="B152" s="2" t="str">
        <f>IFERROR(__xludf.DUMMYFUNCTION("GOOGLETRANSLATE(A152,""en"", ""mt"")"),"Regolamenti finanzjarji u regoli tal-WMO")</f>
        <v>Regolamenti finanzjarji u regoli tal-WMO</v>
      </c>
    </row>
    <row r="153" ht="15.75" customHeight="1">
      <c r="A153" s="2" t="s">
        <v>153</v>
      </c>
      <c r="B153" s="2" t="str">
        <f>IFERROR(__xludf.DUMMYFUNCTION("GOOGLETRANSLATE(A153,""en"", ""mt"")"),"King Malcolm III tal-Iskozja")</f>
        <v>King Malcolm III tal-Iskozja</v>
      </c>
    </row>
    <row r="154" ht="15.75" customHeight="1">
      <c r="A154" s="2" t="s">
        <v>154</v>
      </c>
      <c r="B154" s="2" t="str">
        <f>IFERROR(__xludf.DUMMYFUNCTION("GOOGLETRANSLATE(A154,""en"", ""mt"")"),"Għal liema tip ta 'organiżmi huwa tossiku bl-ossiġnu?")</f>
        <v>Għal liema tip ta 'organiżmi huwa tossiku bl-ossiġnu?</v>
      </c>
    </row>
    <row r="155" ht="15.75" customHeight="1">
      <c r="A155" s="2" t="s">
        <v>155</v>
      </c>
      <c r="B155" s="2" t="str">
        <f>IFERROR(__xludf.DUMMYFUNCTION("GOOGLETRANSLATE(A155,""en"", ""mt"")"),"Meta jkunu miżżewġin")</f>
        <v>Meta jkunu miżżewġin</v>
      </c>
    </row>
    <row r="156" ht="15.75" customHeight="1">
      <c r="A156" s="2" t="s">
        <v>156</v>
      </c>
      <c r="B156" s="2" t="str">
        <f>IFERROR(__xludf.DUMMYFUNCTION("GOOGLETRANSLATE(A156,""en"", ""mt"")"),"Il-prinċipju ta 'relazzjonijiet transkonfinali")</f>
        <v>Il-prinċipju ta 'relazzjonijiet transkonfinali</v>
      </c>
    </row>
    <row r="157" ht="15.75" customHeight="1">
      <c r="A157" s="2" t="s">
        <v>157</v>
      </c>
      <c r="B157" s="2" t="str">
        <f>IFERROR(__xludf.DUMMYFUNCTION("GOOGLETRANSLATE(A157,""en"", ""mt"")"),"bla piż")</f>
        <v>bla piż</v>
      </c>
    </row>
    <row r="158" ht="15.75" customHeight="1">
      <c r="A158" s="2" t="s">
        <v>158</v>
      </c>
      <c r="B158" s="2" t="str">
        <f>IFERROR(__xludf.DUMMYFUNCTION("GOOGLETRANSLATE(A158,""en"", ""mt"")"),"Akkademja tax-Xjenzi Pollakka")</f>
        <v>Akkademja tax-Xjenzi Pollakka</v>
      </c>
    </row>
    <row r="159" ht="15.75" customHeight="1">
      <c r="A159" s="2" t="s">
        <v>159</v>
      </c>
      <c r="B159" s="2" t="str">
        <f>IFERROR(__xludf.DUMMYFUNCTION("GOOGLETRANSLATE(A159,""en"", ""mt"")"),"zip ""il-ħalq jingħalaq meta l-annimal ma jkunx qed jitma ',")</f>
        <v>zip "il-ħalq jingħalaq meta l-annimal ma jkunx qed jitma ',</v>
      </c>
    </row>
    <row r="160" ht="15.75" customHeight="1">
      <c r="A160" s="2" t="s">
        <v>160</v>
      </c>
      <c r="B160" s="2" t="str">
        <f>IFERROR(__xludf.DUMMYFUNCTION("GOOGLETRANSLATE(A160,""en"", ""mt"")"),"Fejn ġew solvuti l-Amerikani tat-Tramuntana Franċiżi?")</f>
        <v>Fejn ġew solvuti l-Amerikani tat-Tramuntana Franċiżi?</v>
      </c>
    </row>
    <row r="161" ht="15.75" customHeight="1">
      <c r="A161" s="2" t="s">
        <v>161</v>
      </c>
      <c r="B161" s="2" t="str">
        <f>IFERROR(__xludf.DUMMYFUNCTION("GOOGLETRANSLATE(A161,""en"", ""mt"")"),"X'inhu eżempju ta 'diżubbidjenza illegali?")</f>
        <v>X'inhu eżempju ta 'diżubbidjenza illegali?</v>
      </c>
    </row>
    <row r="162" ht="15.75" customHeight="1">
      <c r="A162" s="2" t="s">
        <v>162</v>
      </c>
      <c r="B162" s="2" t="str">
        <f>IFERROR(__xludf.DUMMYFUNCTION("GOOGLETRANSLATE(A162,""en"", ""mt"")"),"Liema dilemma hija eżempju tajjeb ta 'diżubbidjenza ċivili morali?")</f>
        <v>Liema dilemma hija eżempju tajjeb ta 'diżubbidjenza ċivili morali?</v>
      </c>
    </row>
    <row r="163" ht="15.75" customHeight="1">
      <c r="A163" s="2" t="s">
        <v>163</v>
      </c>
      <c r="B163" s="2" t="str">
        <f>IFERROR(__xludf.DUMMYFUNCTION("GOOGLETRANSLATE(A163,""en"", ""mt"")"),"X'inhu terminu ieħor għal kompressjoni eċċessiva?")</f>
        <v>X'inhu terminu ieħor għal kompressjoni eċċessiva?</v>
      </c>
    </row>
    <row r="164" ht="15.75" customHeight="1">
      <c r="A164" s="2" t="s">
        <v>164</v>
      </c>
      <c r="B164" s="2" t="str">
        <f>IFERROR(__xludf.DUMMYFUNCTION("GOOGLETRANSLATE(A164,""en"", ""mt"")"),"Minħabba l-post ċentrali tiegħu")</f>
        <v>Minħabba l-post ċentrali tiegħu</v>
      </c>
    </row>
    <row r="165" ht="15.75" customHeight="1">
      <c r="A165" s="2" t="s">
        <v>165</v>
      </c>
      <c r="B165" s="2" t="str">
        <f>IFERROR(__xludf.DUMMYFUNCTION("GOOGLETRANSLATE(A165,""en"", ""mt"")"),"X’jagħmel il-ministru li kien jagħmel il-katalist tan-negozju tal-membri billi jitkellem wara kulħadd?")</f>
        <v>X’jagħmel il-ministru li kien jagħmel il-katalist tan-negozju tal-membri billi jitkellem wara kulħadd?</v>
      </c>
    </row>
    <row r="166" ht="15.75" customHeight="1">
      <c r="A166" s="2" t="s">
        <v>166</v>
      </c>
      <c r="B166" s="2" t="str">
        <f>IFERROR(__xludf.DUMMYFUNCTION("GOOGLETRANSLATE(A166,""en"", ""mt"")"),"X'kienet it-teorija ta 'Norman Cantor dwar il-pesta?")</f>
        <v>X'kienet it-teorija ta 'Norman Cantor dwar il-pesta?</v>
      </c>
    </row>
    <row r="167" ht="15.75" customHeight="1">
      <c r="A167" s="2" t="s">
        <v>167</v>
      </c>
      <c r="B167" s="2" t="str">
        <f>IFERROR(__xludf.DUMMYFUNCTION("GOOGLETRANSLATE(A167,""en"", ""mt"")"),"Għaliex huwa importanti li ndaħħlu preċiżament il-blat fit-taqsima stratigrafika?")</f>
        <v>Għaliex huwa importanti li ndaħħlu preċiżament il-blat fit-taqsima stratigrafika?</v>
      </c>
    </row>
    <row r="168" ht="15.75" customHeight="1">
      <c r="A168" s="2" t="s">
        <v>168</v>
      </c>
      <c r="B168" s="2" t="str">
        <f>IFERROR(__xludf.DUMMYFUNCTION("GOOGLETRANSLATE(A168,""en"", ""mt"")"),"Alex Seropian")</f>
        <v>Alex Seropian</v>
      </c>
    </row>
    <row r="169" ht="15.75" customHeight="1">
      <c r="A169" s="2" t="s">
        <v>169</v>
      </c>
      <c r="B169" s="2" t="str">
        <f>IFERROR(__xludf.DUMMYFUNCTION("GOOGLETRANSLATE(A169,""en"", ""mt"")"),"Netwerks taż-żona lokali permessi jiġu stabbiliti ad hoc mingħajr ir-rekwiżit għal router jew server ċentralizzat")</f>
        <v>Netwerks taż-żona lokali permessi jiġu stabbiliti ad hoc mingħajr ir-rekwiżit għal router jew server ċentralizzat</v>
      </c>
    </row>
    <row r="170" ht="15.75" customHeight="1">
      <c r="A170" s="2" t="s">
        <v>170</v>
      </c>
      <c r="B170" s="2" t="str">
        <f>IFERROR(__xludf.DUMMYFUNCTION("GOOGLETRANSLATE(A170,""en"", ""mt"")"),"Għin biex tippreserva t-tolleranza tas-soċjetà")</f>
        <v>Għin biex tippreserva t-tolleranza tas-soċjetà</v>
      </c>
    </row>
    <row r="171" ht="15.75" customHeight="1">
      <c r="A171" s="2" t="s">
        <v>171</v>
      </c>
      <c r="B171" s="2" t="str">
        <f>IFERROR(__xludf.DUMMYFUNCTION("GOOGLETRANSLATE(A171,""en"", ""mt"")"),"Fl-2014, l-ekonomisti bl-aġenzija ta 'klassifikazzjoni Standard &amp; Poor ikkonkludew li d-disparità li twessa' bejn iċ-ċittadini l-aktar sinjuri ta 'l-Istati Uniti u l-bqija tan-nazzjon naqqsu l-irkupru tagħha mir-riċessjoni 2008-2009 u għamluha aktar suxxe"&amp;"ttibbli għal boom-and-bust ċikli. Biex tirrimedja parzjalment id-distakk tal-ġid u t-tkabbir bil-mod li jirriżulta, S&amp;P irrakkomanda li jiżdied l-aċċess għall-edukazzjoni. Huwa stma li jekk il-ħaddiem medju tal-Istati Uniti jkun temm sena oħra ta 'skola, "&amp;"iżid tkabbir ta' $ 105 biljun addizzjonali għall-ekonomija tal-pajjiż fuq ħames snin.")</f>
        <v>Fl-2014, l-ekonomisti bl-aġenzija ta 'klassifikazzjoni Standard &amp; Poor ikkonkludew li d-disparità li twessa' bejn iċ-ċittadini l-aktar sinjuri ta 'l-Istati Uniti u l-bqija tan-nazzjon naqqsu l-irkupru tagħha mir-riċessjoni 2008-2009 u għamluha aktar suxxettibbli għal boom-and-bust ċikli. Biex tirrimedja parzjalment id-distakk tal-ġid u t-tkabbir bil-mod li jirriżulta, S&amp;P irrakkomanda li jiżdied l-aċċess għall-edukazzjoni. Huwa stma li jekk il-ħaddiem medju tal-Istati Uniti jkun temm sena oħra ta 'skola, iżid tkabbir ta' $ 105 biljun addizzjonali għall-ekonomija tal-pajjiż fuq ħames snin.</v>
      </c>
    </row>
    <row r="172" ht="15.75" customHeight="1">
      <c r="A172" s="2" t="s">
        <v>172</v>
      </c>
      <c r="B172" s="2" t="str">
        <f>IFERROR(__xludf.DUMMYFUNCTION("GOOGLETRANSLATE(A172,""en"", ""mt"")"),"""Lag t'Isfel""")</f>
        <v>"Lag t'Isfel"</v>
      </c>
    </row>
    <row r="173" ht="15.75" customHeight="1">
      <c r="A173" s="2" t="s">
        <v>173</v>
      </c>
      <c r="B173" s="2" t="str">
        <f>IFERROR(__xludf.DUMMYFUNCTION("GOOGLETRANSLATE(A173,""en"", ""mt"")"),"Is-servizz diġitali ta 'BSKYB ġie mniedi uffiċjalment fl-1 ta' Ottubru 1998 taħt l-isem Sky Digital, għalkemm it-testijiet fuq skala żgħira saru qabel dakinhar. F'dan iż-żmien l-użu tal-marka Diġitali Sky għamel distinzjoni importanti bejn is-servizz il-ġ"&amp;"did u s-servizzi analogi ta 'Sky. Il-punti ewlenin tal-bejgħ kienu t-titjib fl-istampi u l-kwalità tal-ħoss, numru miżjud ta 'kanali u servizz interattiv miftuħ .... Issa msejjaħ Sky Active, BSKYB ikkompeta ma' l-offerta terrestri ondigital (aktar tard IT"&amp;"V) offerta u servizzi tal-kejbil. Fi żmien 30 jum, aktar minn 100,000 digiboxes kienu nbiegħu, li jgħinu d-deċiżjoni ta 'BSKYB imsaħħaħ li tagħti lil DigiBoxes u minidish b'xejn minn Mejju 1999.")</f>
        <v>Is-servizz diġitali ta 'BSKYB ġie mniedi uffiċjalment fl-1 ta' Ottubru 1998 taħt l-isem Sky Digital, għalkemm it-testijiet fuq skala żgħira saru qabel dakinhar. F'dan iż-żmien l-użu tal-marka Diġitali Sky għamel distinzjoni importanti bejn is-servizz il-ġdid u s-servizzi analogi ta 'Sky. Il-punti ewlenin tal-bejgħ kienu t-titjib fl-istampi u l-kwalità tal-ħoss, numru miżjud ta 'kanali u servizz interattiv miftuħ .... Issa msejjaħ Sky Active, BSKYB ikkompeta ma' l-offerta terrestri ondigital (aktar tard ITV) offerta u servizzi tal-kejbil. Fi żmien 30 jum, aktar minn 100,000 digiboxes kienu nbiegħu, li jgħinu d-deċiżjoni ta 'BSKYB imsaħħaħ li tagħti lil DigiBoxes u minidish b'xejn minn Mejju 1999.</v>
      </c>
    </row>
    <row r="174" ht="15.75" customHeight="1">
      <c r="A174" s="2" t="s">
        <v>174</v>
      </c>
      <c r="B174" s="2" t="str">
        <f>IFERROR(__xludf.DUMMYFUNCTION("GOOGLETRANSLATE(A174,""en"", ""mt"")"),"jiksbu medikazzjoni kosteffikaċi")</f>
        <v>jiksbu medikazzjoni kosteffikaċi</v>
      </c>
    </row>
    <row r="175" ht="15.75" customHeight="1">
      <c r="A175" s="2" t="s">
        <v>175</v>
      </c>
      <c r="B175" s="2" t="str">
        <f>IFERROR(__xludf.DUMMYFUNCTION("GOOGLETRANSLATE(A175,""en"", ""mt"")"),"Il-forza qawwija taġixxi biss direttament fuq partiċelli elementari. Madankollu, residwu tal-forza huwa osservat bejn hadrons (l-iktar eżempju magħruf huwa l-forza li taġixxi bejn in-nukleoni fin-nuklei atomiċi) bħala l-forza nukleari. Hawnhekk il-forza q"&amp;"awwija taġixxi indirettament, trasmessa bħala gluons, li jiffurmaw parti mill-Mesons Virtwali PI u Rho, li klassikament jittrasmettu l-forza nukleari (ara dan is-suġġett għal aktar). Il-falliment ta 'ħafna tfittxijiet għal quarks ħielsa wera li l-partiċel"&amp;"li elementari affettwati mhumiex osservabbli direttament. Dan il-fenomenu jissejjaħ il-magħluq tal-kulur.")</f>
        <v>Il-forza qawwija taġixxi biss direttament fuq partiċelli elementari. Madankollu, residwu tal-forza huwa osservat bejn hadrons (l-iktar eżempju magħruf huwa l-forza li taġixxi bejn in-nukleoni fin-nuklei atomiċi) bħala l-forza nukleari. Hawnhekk il-forza qawwija taġixxi indirettament, trasmessa bħala gluons, li jiffurmaw parti mill-Mesons Virtwali PI u Rho, li klassikament jittrasmettu l-forza nukleari (ara dan is-suġġett għal aktar). Il-falliment ta 'ħafna tfittxijiet għal quarks ħielsa wera li l-partiċelli elementari affettwati mhumiex osservabbli direttament. Dan il-fenomenu jissejjaħ il-magħluq tal-kulur.</v>
      </c>
    </row>
    <row r="176" ht="15.75" customHeight="1">
      <c r="A176" s="2" t="s">
        <v>176</v>
      </c>
      <c r="B176" s="2" t="str">
        <f>IFERROR(__xludf.DUMMYFUNCTION("GOOGLETRANSLATE(A176,""en"", ""mt"")"),"Sistema awtokratika-burokratika")</f>
        <v>Sistema awtokratika-burokratika</v>
      </c>
    </row>
    <row r="177" ht="15.75" customHeight="1">
      <c r="A177" s="2" t="s">
        <v>177</v>
      </c>
      <c r="B177" s="2" t="str">
        <f>IFERROR(__xludf.DUMMYFUNCTION("GOOGLETRANSLATE(A177,""en"", ""mt"")"),"Hemm tliet tipi ewlenin ta 'blat: igneous, sedimentarji, u metamorfiċi. Iċ-ċiklu tal-blat huwa kunċett importanti fil-ġeoloġija li juri r-relazzjonijiet bejn dawn it-tliet tipi ta 'blat, u magma. Meta blat jikkristallizza minn tidwib (magma u / jew lava),"&amp;" huwa blat igneous. Dan il-blat jista 'jitħaffef u jitnaqqar, u mbagħad jerġa' jiġi mdaħħal mill-ġdid u mdaħħal fi blat sedimentarju, jew jinbidel fi blat metamorfiku minħabba s-sħana u l-pressjoni li jibdlu l-kontenut minerali tal-blat li jagħtih drapp k"&amp;"aratteristiku. Il-blat sedimentarju jista 'mbagħad jiġi sussegwentement jinbidel fi blat metamorfiku minħabba s-sħana u l-pressjoni u mbagħad jiġi mtawwal, imnaqqar, depożitat, u litifikat, fl-aħħar isir blat sedimentarju. Il-blat sedimentarju jista 'wkol"&amp;"l jerġa' jiġi evitat u mill-ġdid, u l-blat metamorfiku jista 'wkoll jgħaddi minn metamorfiżmu addizzjonali. It-tliet tipi ta 'blat kollha jistgħu jerġgħu jinħallu; Meta jiġri dan, hija ffurmata magma ġdida, li minnha blat igneous jista 'jerġa' jikkristall"&amp;"izza.")</f>
        <v>Hemm tliet tipi ewlenin ta 'blat: igneous, sedimentarji, u metamorfiċi. Iċ-ċiklu tal-blat huwa kunċett importanti fil-ġeoloġija li juri r-relazzjonijiet bejn dawn it-tliet tipi ta 'blat, u magma. Meta blat jikkristallizza minn tidwib (magma u / jew lava), huwa blat igneous. Dan il-blat jista 'jitħaffef u jitnaqqar, u mbagħad jerġa' jiġi mdaħħal mill-ġdid u mdaħħal fi blat sedimentarju, jew jinbidel fi blat metamorfiku minħabba s-sħana u l-pressjoni li jibdlu l-kontenut minerali tal-blat li jagħtih drapp karatteristiku. Il-blat sedimentarju jista 'mbagħad jiġi sussegwentement jinbidel fi blat metamorfiku minħabba s-sħana u l-pressjoni u mbagħad jiġi mtawwal, imnaqqar, depożitat, u litifikat, fl-aħħar isir blat sedimentarju. Il-blat sedimentarju jista 'wkoll jerġa' jiġi evitat u mill-ġdid, u l-blat metamorfiku jista 'wkoll jgħaddi minn metamorfiżmu addizzjonali. It-tliet tipi ta 'blat kollha jistgħu jerġgħu jinħallu; Meta jiġri dan, hija ffurmata magma ġdida, li minnha blat igneous jista 'jerġa' jikkristallizza.</v>
      </c>
    </row>
    <row r="178" ht="15.75" customHeight="1">
      <c r="A178" s="2" t="s">
        <v>178</v>
      </c>
      <c r="B178" s="2" t="str">
        <f>IFERROR(__xludf.DUMMYFUNCTION("GOOGLETRANSLATE(A178,""en"", ""mt"")"),"Kif jissejjaħ spiżjar li jgħaddi l-eżami tal-ispiżjar ambulatorju?")</f>
        <v>Kif jissejjaħ spiżjar li jgħaddi l-eżami tal-ispiżjar ambulatorju?</v>
      </c>
    </row>
    <row r="179" ht="15.75" customHeight="1">
      <c r="A179" s="2" t="s">
        <v>179</v>
      </c>
      <c r="B179" s="2" t="str">
        <f>IFERROR(__xludf.DUMMYFUNCTION("GOOGLETRANSLATE(A179,""en"", ""mt"")"),"Ir-Reġistru tal-Kunsill Farmaċewtiku Ġenerali (GPHC)")</f>
        <v>Ir-Reġistru tal-Kunsill Farmaċewtiku Ġenerali (GPHC)</v>
      </c>
    </row>
    <row r="180" ht="15.75" customHeight="1">
      <c r="A180" s="2" t="s">
        <v>180</v>
      </c>
      <c r="B180" s="2" t="str">
        <f>IFERROR(__xludf.DUMMYFUNCTION("GOOGLETRANSLATE(A180,""en"", ""mt"")"),"Fluttwazzjonijiet fil-klima")</f>
        <v>Fluttwazzjonijiet fil-klima</v>
      </c>
    </row>
    <row r="181" ht="15.75" customHeight="1">
      <c r="A181" s="2" t="s">
        <v>181</v>
      </c>
      <c r="B181" s="2" t="str">
        <f>IFERROR(__xludf.DUMMYFUNCTION("GOOGLETRANSLATE(A181,""en"", ""mt"")"),"X'kienet il-protesta f'Antigone?")</f>
        <v>X'kienet il-protesta f'Antigone?</v>
      </c>
    </row>
    <row r="182" ht="15.75" customHeight="1">
      <c r="A182" s="2" t="s">
        <v>182</v>
      </c>
      <c r="B182" s="2" t="str">
        <f>IFERROR(__xludf.DUMMYFUNCTION("GOOGLETRANSLATE(A182,""en"", ""mt"")"),"Issottometti l-kastig")</f>
        <v>Issottometti l-kastig</v>
      </c>
    </row>
    <row r="183" ht="15.75" customHeight="1">
      <c r="A183" s="2" t="s">
        <v>183</v>
      </c>
      <c r="B183" s="2" t="str">
        <f>IFERROR(__xludf.DUMMYFUNCTION("GOOGLETRANSLATE(A183,""en"", ""mt"")"),"Għalkemm mhux karburant ___ huwa l-kompost kimiku, jiġġenera l-iktar okkorrenza ta 'splużjonijiet.")</f>
        <v>Għalkemm mhux karburant ___ huwa l-kompost kimiku, jiġġenera l-iktar okkorrenza ta 'splużjonijiet.</v>
      </c>
    </row>
    <row r="184" ht="15.75" customHeight="1">
      <c r="A184" s="2" t="s">
        <v>184</v>
      </c>
      <c r="B184" s="2" t="str">
        <f>IFERROR(__xludf.DUMMYFUNCTION("GOOGLETRANSLATE(A184,""en"", ""mt"")"),"Liema entitajiet huma inklużi fis-sistema federali tal-kura tas-saħħa?")</f>
        <v>Liema entitajiet huma inklużi fis-sistema federali tal-kura tas-saħħa?</v>
      </c>
    </row>
    <row r="185" ht="15.75" customHeight="1">
      <c r="A185" s="2" t="s">
        <v>185</v>
      </c>
      <c r="B185" s="2" t="str">
        <f>IFERROR(__xludf.DUMMYFUNCTION("GOOGLETRANSLATE(A185,""en"", ""mt"")"),"Kemm hemm skejjel professjonali l-Università ta 'Chicago?")</f>
        <v>Kemm hemm skejjel professjonali l-Università ta 'Chicago?</v>
      </c>
    </row>
    <row r="186" ht="15.75" customHeight="1">
      <c r="A186" s="2" t="s">
        <v>186</v>
      </c>
      <c r="B186" s="2" t="str">
        <f>IFERROR(__xludf.DUMMYFUNCTION("GOOGLETRANSLATE(A186,""en"", ""mt"")"),"Alġebriku")</f>
        <v>Alġebriku</v>
      </c>
    </row>
    <row r="187" ht="15.75" customHeight="1">
      <c r="A187" s="2" t="s">
        <v>187</v>
      </c>
      <c r="B187" s="2" t="str">
        <f>IFERROR(__xludf.DUMMYFUNCTION("GOOGLETRANSLATE(A187,""en"", ""mt"")"),"Huwa eħfef jew aktar diffiċli li tbiddel il-liġi tal-UE milli tibqa 'l-istess?")</f>
        <v>Huwa eħfef jew aktar diffiċli li tbiddel il-liġi tal-UE milli tibqa 'l-istess?</v>
      </c>
    </row>
    <row r="188" ht="15.75" customHeight="1">
      <c r="A188" s="2" t="s">
        <v>188</v>
      </c>
      <c r="B188" s="2" t="str">
        <f>IFERROR(__xludf.DUMMYFUNCTION("GOOGLETRANSLATE(A188,""en"", ""mt"")"),"Università tad-Difiża Nazzjonali")</f>
        <v>Università tad-Difiża Nazzjonali</v>
      </c>
    </row>
    <row r="189" ht="15.75" customHeight="1">
      <c r="A189" s="2" t="s">
        <v>189</v>
      </c>
      <c r="B189" s="2" t="str">
        <f>IFERROR(__xludf.DUMMYFUNCTION("GOOGLETRANSLATE(A189,""en"", ""mt"")"),"L-ipersensittività hija rispons immuni li jagħmel ħsara lit-tessuti tal-ġisem stess. Huma maqsuma f'erba 'klassijiet (Tip I - IV) ibbażati fuq il-mekkaniżmi involuti u l-kors tal-ħin tar-reazzjoni ipersensittiva. L-ipersensittività tat-Tip I hija reazzjon"&amp;"i immedjata jew anafilattika, ħafna drabi assoċjata ma 'allerġija. Is-sintomi jistgħu jvarjaw minn skumdità ħafifa sal-mewt. L-ipersensittività tat-Tip I hija medjata minn IgE, li tikkawża d-degranulazzjoni ta 'ċelloli mast u basophils meta tkun marbuta m"&amp;"ill-antiġen. Ipersensittività tat-Tip II isseħħ meta l-antikorpi jorbtu ma 'antiġeni fuq iċ-ċelloli tal-pazjent stess, li jimmarkawhom għall-qerda. Dan jissejjaħ ukoll sensittività eċċessiva (jew ċitotossika) li jiddependi mill-antikorpi, u huwa medjat mi"&amp;"nn antikorpi IgG u IgM. Kumplessi immuni (aggregazzjonijiet ta 'antiġeni, proteini li jikkumplimentaw, u antikorpi IgG u IgM) depożitati f'diversi tessuti li jqanqlu reazzjonijiet ta' sensittività eċċessiva tat-tip III. Ipersensittività tat-Tip IV (magħru"&amp;"fa wkoll bħala sensittività eċċessiva medjata miċ-ċelloli jew ittardjata) ġeneralment tieħu bejn jumejn u tlett ijiem biex tiżviluppa. Reazzjonijiet tat-tip IV huma involuti f'ħafna mard awtoimmuni u infettiv, iżda jistgħu jinvolvu wkoll dermatite ta 'kun"&amp;"tatt (velenu Ivy). Dawn ir-reazzjonijiet huma medjati minn ċelloli T, monokiti, u makrofaġi.")</f>
        <v>L-ipersensittività hija rispons immuni li jagħmel ħsara lit-tessuti tal-ġisem stess. Huma maqsuma f'erba 'klassijiet (Tip I - IV) ibbażati fuq il-mekkaniżmi involuti u l-kors tal-ħin tar-reazzjoni ipersensittiva. L-ipersensittività tat-Tip I hija reazzjoni immedjata jew anafilattika, ħafna drabi assoċjata ma 'allerġija. Is-sintomi jistgħu jvarjaw minn skumdità ħafifa sal-mewt. L-ipersensittività tat-Tip I hija medjata minn IgE, li tikkawża d-degranulazzjoni ta 'ċelloli mast u basophils meta tkun marbuta mill-antiġen. Ipersensittività tat-Tip II isseħħ meta l-antikorpi jorbtu ma 'antiġeni fuq iċ-ċelloli tal-pazjent stess, li jimmarkawhom għall-qerda. Dan jissejjaħ ukoll sensittività eċċessiva (jew ċitotossika) li jiddependi mill-antikorpi, u huwa medjat minn antikorpi IgG u IgM. Kumplessi immuni (aggregazzjonijiet ta 'antiġeni, proteini li jikkumplimentaw, u antikorpi IgG u IgM) depożitati f'diversi tessuti li jqanqlu reazzjonijiet ta' sensittività eċċessiva tat-tip III. Ipersensittività tat-Tip IV (magħrufa wkoll bħala sensittività eċċessiva medjata miċ-ċelloli jew ittardjata) ġeneralment tieħu bejn jumejn u tlett ijiem biex tiżviluppa. Reazzjonijiet tat-tip IV huma involuti f'ħafna mard awtoimmuni u infettiv, iżda jistgħu jinvolvu wkoll dermatite ta 'kuntatt (velenu Ivy). Dawn ir-reazzjonijiet huma medjati minn ċelloli T, monokiti, u makrofaġi.</v>
      </c>
    </row>
    <row r="190" ht="15.75" customHeight="1">
      <c r="A190" s="2" t="s">
        <v>190</v>
      </c>
      <c r="B190" s="2" t="str">
        <f>IFERROR(__xludf.DUMMYFUNCTION("GOOGLETRANSLATE(A190,""en"", ""mt"")"),"Sistema ta 'sekrezzjoni tat-Tip III")</f>
        <v>Sistema ta 'sekrezzjoni tat-Tip III</v>
      </c>
    </row>
    <row r="191" ht="15.75" customHeight="1">
      <c r="A191" s="2" t="s">
        <v>191</v>
      </c>
      <c r="B191" s="2" t="str">
        <f>IFERROR(__xludf.DUMMYFUNCTION("GOOGLETRANSLATE(A191,""en"", ""mt"")"),"It-teoremi tal-ġerarkija tal-ħin u tal-ispazju jiffurmaw il-bażi għall-biċċa l-kbira tar-riżultati tas-separazzjoni tal-klassijiet tal-kumplessità. Pereżempju, it-teorema tal-ġerarkija tal-ħin tgħidilna li P tinsab strettament fl-eżptime, u t-teorema tal-"&amp;"ġerarkija spazjali tgħidilna li L hija strettament tinsab fi PSPACE.")</f>
        <v>It-teoremi tal-ġerarkija tal-ħin u tal-ispazju jiffurmaw il-bażi għall-biċċa l-kbira tar-riżultati tas-separazzjoni tal-klassijiet tal-kumplessità. Pereżempju, it-teorema tal-ġerarkija tal-ħin tgħidilna li P tinsab strettament fl-eżptime, u t-teorema tal-ġerarkija spazjali tgħidilna li L hija strettament tinsab fi PSPACE.</v>
      </c>
    </row>
    <row r="192" ht="15.75" customHeight="1">
      <c r="A192" s="2" t="s">
        <v>192</v>
      </c>
      <c r="B192" s="2" t="str">
        <f>IFERROR(__xludf.DUMMYFUNCTION("GOOGLETRANSLATE(A192,""en"", ""mt"")"),"Botanika u Kimika")</f>
        <v>Botanika u Kimika</v>
      </c>
    </row>
    <row r="193" ht="15.75" customHeight="1">
      <c r="A193" s="2" t="s">
        <v>193</v>
      </c>
      <c r="B193" s="2" t="str">
        <f>IFERROR(__xludf.DUMMYFUNCTION("GOOGLETRANSLATE(A193,""en"", ""mt"")"),"Preskrizzjonijiet tal-pazjenti u kwistjonijiet ta 'sigurtà tal-pazjent")</f>
        <v>Preskrizzjonijiet tal-pazjenti u kwistjonijiet ta 'sigurtà tal-pazjent</v>
      </c>
    </row>
    <row r="194" ht="15.75" customHeight="1">
      <c r="A194" s="2" t="s">
        <v>194</v>
      </c>
      <c r="B194" s="2" t="str">
        <f>IFERROR(__xludf.DUMMYFUNCTION("GOOGLETRANSLATE(A194,""en"", ""mt"")"),"X'ġibu meta tidher is-somma tal-forzi b'żieda fil-vettur?")</f>
        <v>X'ġibu meta tidher is-somma tal-forzi b'żieda fil-vettur?</v>
      </c>
    </row>
    <row r="195" ht="15.75" customHeight="1">
      <c r="A195" s="2" t="s">
        <v>195</v>
      </c>
      <c r="B195" s="2" t="str">
        <f>IFERROR(__xludf.DUMMYFUNCTION("GOOGLETRANSLATE(A195,""en"", ""mt"")"),"Filwaqt li l-eżistenza ta 'dawn id-dipartimenti tal-gvern ċentrali u s-sitt ministeri (li kienu ġew introdotti mill-dinastiji Sui u Tang) taw immaġni siniċizzata fl-amministrazzjoni tal-wan, il-funzjonijiet attwali ta' dawn il-ministeri rriflettew ukoll k"&amp;"if il-prijoritajiet u l-politiki Mongoljani reġgħu bdew mill-ġdid u reditjaw dawk istituzzjonijiet. Pereżempju, l-awtorità tas-sistema legali tal-wan, il-Ministeru tal-Ġustizzja, ma estendietx għal każijiet legali li jinvolvu Mongoli u Semuren, li kellhom"&amp;" qrati separati tal-ġustizzja. Każijiet li jinvolvu membri ta 'aktar minn grupp etniku wieħed ġew deċiżi minn bord imħallat li jikkonsisti minn Ċiniżi u Mongoli. Eżempju ieħor kien l-insinifikanti tal-Ministeru tal-Gwerra meta mqabbel mad-dinastiji Ċiniżi"&amp;" indiġeni, peress li l-awtorità militari reali fi żminijiet ta 'Yuan kienet toqgħod fil-Kunsill Privat.")</f>
        <v>Filwaqt li l-eżistenza ta 'dawn id-dipartimenti tal-gvern ċentrali u s-sitt ministeri (li kienu ġew introdotti mill-dinastiji Sui u Tang) taw immaġni siniċizzata fl-amministrazzjoni tal-wan, il-funzjonijiet attwali ta' dawn il-ministeri rriflettew ukoll kif il-prijoritajiet u l-politiki Mongoljani reġgħu bdew mill-ġdid u reditjaw dawk istituzzjonijiet. Pereżempju, l-awtorità tas-sistema legali tal-wan, il-Ministeru tal-Ġustizzja, ma estendietx għal każijiet legali li jinvolvu Mongoli u Semuren, li kellhom qrati separati tal-ġustizzja. Każijiet li jinvolvu membri ta 'aktar minn grupp etniku wieħed ġew deċiżi minn bord imħallat li jikkonsisti minn Ċiniżi u Mongoli. Eżempju ieħor kien l-insinifikanti tal-Ministeru tal-Gwerra meta mqabbel mad-dinastiji Ċiniżi indiġeni, peress li l-awtorità militari reali fi żminijiet ta 'Yuan kienet toqgħod fil-Kunsill Privat.</v>
      </c>
    </row>
    <row r="196" ht="15.75" customHeight="1">
      <c r="A196" s="2" t="s">
        <v>196</v>
      </c>
      <c r="B196" s="2" t="str">
        <f>IFERROR(__xludf.DUMMYFUNCTION("GOOGLETRANSLATE(A196,""en"", ""mt"")"),"attakka l-kolonna Ingliża")</f>
        <v>attakka l-kolonna Ingliża</v>
      </c>
    </row>
    <row r="197" ht="15.75" customHeight="1">
      <c r="A197" s="2" t="s">
        <v>197</v>
      </c>
      <c r="B197" s="2" t="str">
        <f>IFERROR(__xludf.DUMMYFUNCTION("GOOGLETRANSLATE(A197,""en"", ""mt"")"),"separatament mit-tobba")</f>
        <v>separatament mit-tobba</v>
      </c>
    </row>
    <row r="198" ht="15.75" customHeight="1">
      <c r="A198" s="2" t="s">
        <v>198</v>
      </c>
      <c r="B198" s="2" t="str">
        <f>IFERROR(__xludf.DUMMYFUNCTION("GOOGLETRANSLATE(A198,""en"", ""mt"")"),"Ibgħat email lill-Libanu, New Hampshire City Councilors")</f>
        <v>Ibgħat email lill-Libanu, New Hampshire City Councilors</v>
      </c>
    </row>
    <row r="199" ht="15.75" customHeight="1">
      <c r="A199" s="2" t="s">
        <v>199</v>
      </c>
      <c r="B199" s="2" t="str">
        <f>IFERROR(__xludf.DUMMYFUNCTION("GOOGLETRANSLATE(A199,""en"", ""mt"")"),"ċertu numru ta 'salarji tal-għalliema jitħallsu mill-istat")</f>
        <v>ċertu numru ta 'salarji tal-għalliema jitħallsu mill-istat</v>
      </c>
    </row>
    <row r="200" ht="15.75" customHeight="1">
      <c r="A200" s="2" t="s">
        <v>200</v>
      </c>
      <c r="B200" s="2" t="str">
        <f>IFERROR(__xludf.DUMMYFUNCTION("GOOGLETRANSLATE(A200,""en"", ""mt"")"),"Liema organizzazzjoni rranġat għall-fondazzjoni tal-iskola?")</f>
        <v>Liema organizzazzjoni rranġat għall-fondazzjoni tal-iskola?</v>
      </c>
    </row>
    <row r="201" ht="15.75" customHeight="1">
      <c r="A201" s="2" t="s">
        <v>201</v>
      </c>
      <c r="B201" s="2" t="str">
        <f>IFERROR(__xludf.DUMMYFUNCTION("GOOGLETRANSLATE(A201,""en"", ""mt"")"),"L-ekonomija neoklassika ta 'fehmiet inugwaljanzi fid-distribuzzjoni tad-dħul bħala li jirriżultaw minn differenzi fil-valur miżjud mix-xogħol, il-kapital u l-art. Fi ħdan id-distribuzzjoni tad-dħul tax-xogħol hija dovuta għal differenzi fil-valur miżjud m"&amp;"inn klassifikazzjonijiet differenti tal-ħaddiema. F'din il-perspettiva, il-pagi u l-profitti huma ddeterminati mill-valur miżjud marġinali ta 'kull attur ekonomiku (ħaddiem, kapitalist / sid tan-negozju, sid). Għalhekk, f'ekonomija tas-suq, l-inugwaljanza"&amp;" hija riflessjoni tad-distakk fil-produttività bejn professjonijiet imħallsa ħafna u professjonijiet b'paga baxxa.")</f>
        <v>L-ekonomija neoklassika ta 'fehmiet inugwaljanzi fid-distribuzzjoni tad-dħul bħala li jirriżultaw minn differenzi fil-valur miżjud mix-xogħol, il-kapital u l-art. Fi ħdan id-distribuzzjoni tad-dħul tax-xogħol hija dovuta għal differenzi fil-valur miżjud minn klassifikazzjonijiet differenti tal-ħaddiema. F'din il-perspettiva, il-pagi u l-profitti huma ddeterminati mill-valur miżjud marġinali ta 'kull attur ekonomiku (ħaddiem, kapitalist / sid tan-negozju, sid). Għalhekk, f'ekonomija tas-suq, l-inugwaljanza hija riflessjoni tad-distakk fil-produttività bejn professjonijiet imħallsa ħafna u professjonijiet b'paga baxxa.</v>
      </c>
    </row>
    <row r="202" ht="15.75" customHeight="1">
      <c r="A202" s="2" t="s">
        <v>202</v>
      </c>
      <c r="B202" s="2" t="str">
        <f>IFERROR(__xludf.DUMMYFUNCTION("GOOGLETRANSLATE(A202,""en"", ""mt"")"),"Kif tinżamm propjetà mhux reġistrata f'forma informali?")</f>
        <v>Kif tinżamm propjetà mhux reġistrata f'forma informali?</v>
      </c>
    </row>
    <row r="203" ht="15.75" customHeight="1">
      <c r="A203" s="2" t="s">
        <v>203</v>
      </c>
      <c r="B203" s="2" t="str">
        <f>IFERROR(__xludf.DUMMYFUNCTION("GOOGLETRANSLATE(A203,""en"", ""mt"")"),"huma ewlenin. In-numri ewlenin ta 'din il-forma huma magħrufa bħala primes fattwali. Primes oħra fejn jew P + 1 jew P - 1 huma ta 'forma partikolari jinkludu s-Sophie Germain Primes (primes tal-Formola 2P + 1 bi P prim), primes primorial, Fermat Primes u "&amp;"Mersenne Primes, jiġifieri, numri ewlenin li huma tal-forma 2p - 1, fejn P hija prim arbitrarju. It-test Lucas-Lehmer huwa partikolarment mgħaġġel għan-numri ta 'din il-forma. Din hija r-raġuni għaliex l-akbar prim magħruf kważi dejjem kien Mersenne prim "&amp;"mill-bidunett tal-kompjuters elettroniċi.")</f>
        <v>huma ewlenin. In-numri ewlenin ta 'din il-forma huma magħrufa bħala primes fattwali. Primes oħra fejn jew P + 1 jew P - 1 huma ta 'forma partikolari jinkludu s-Sophie Germain Primes (primes tal-Formola 2P + 1 bi P prim), primes primorial, Fermat Primes u Mersenne Primes, jiġifieri, numri ewlenin li huma tal-forma 2p - 1, fejn P hija prim arbitrarju. It-test Lucas-Lehmer huwa partikolarment mgħaġġel għan-numri ta 'din il-forma. Din hija r-raġuni għaliex l-akbar prim magħruf kważi dejjem kien Mersenne prim mill-bidunett tal-kompjuters elettroniċi.</v>
      </c>
    </row>
    <row r="204" ht="15.75" customHeight="1">
      <c r="A204" s="2" t="s">
        <v>204</v>
      </c>
      <c r="B204" s="2" t="str">
        <f>IFERROR(__xludf.DUMMYFUNCTION("GOOGLETRANSLATE(A204,""en"", ""mt"")"),"It-terminu ""Southern"" California ġeneralment jirreferi għal kemm mill-iktar kontej tan-Nofsinhar tal-istat?")</f>
        <v>It-terminu "Southern" California ġeneralment jirreferi għal kemm mill-iktar kontej tan-Nofsinhar tal-istat?</v>
      </c>
    </row>
    <row r="205" ht="15.75" customHeight="1">
      <c r="A205" s="2" t="s">
        <v>205</v>
      </c>
      <c r="B205" s="2" t="str">
        <f>IFERROR(__xludf.DUMMYFUNCTION("GOOGLETRANSLATE(A205,""en"", ""mt"")"),"L-istadju 3 huwa l-aħħar stadju tal-abbozz u huwa meqjus f'laqgħa tal-Parlament kollu. Dan l-istadju jinkludi żewġ partijiet: konsiderazzjoni ta 'emendi għall-abbozz ta' liġi bħala dibattitu ġenerali, u vot finali fuq l-abbozz ta 'liġi. Il-membri tal-oppo"&amp;"żizzjoni jistgħu jwaqqfu ""emendi ta 'inkaljar"" għall-abbozz, iddisinjat biex ifixkel aktar il-progress u jieħu l-ħin parlamentari, biex jikkawża li l-abbozz jaqa' mingħajr ma jittieħed vot finali. Wara dibattitu ġenerali dwar il-forma finali tal-abbozz,"&amp;" il-membri jipproċedu jivvutaw fil-ħin tad-deċiżjoni dwar jekk jaqblux mal-prinċipji ġenerali tal-abbozz finali.")</f>
        <v>L-istadju 3 huwa l-aħħar stadju tal-abbozz u huwa meqjus f'laqgħa tal-Parlament kollu. Dan l-istadju jinkludi żewġ partijiet: konsiderazzjoni ta 'emendi għall-abbozz ta' liġi bħala dibattitu ġenerali, u vot finali fuq l-abbozz ta 'liġi. Il-membri tal-oppożizzjoni jistgħu jwaqqfu "emendi ta 'inkaljar" għall-abbozz, iddisinjat biex ifixkel aktar il-progress u jieħu l-ħin parlamentari, biex jikkawża li l-abbozz jaqa' mingħajr ma jittieħed vot finali. Wara dibattitu ġenerali dwar il-forma finali tal-abbozz, il-membri jipproċedu jivvutaw fil-ħin tad-deċiżjoni dwar jekk jaqblux mal-prinċipji ġenerali tal-abbozz finali.</v>
      </c>
    </row>
    <row r="206" ht="15.75" customHeight="1">
      <c r="A206" s="2" t="s">
        <v>206</v>
      </c>
      <c r="B206" s="2" t="str">
        <f>IFERROR(__xludf.DUMMYFUNCTION("GOOGLETRANSLATE(A206,""en"", ""mt"")"),"memorja passiva għal żmien qasir jew memorja attiva fit-tul")</f>
        <v>memorja passiva għal żmien qasir jew memorja attiva fit-tul</v>
      </c>
    </row>
    <row r="207" ht="15.75" customHeight="1">
      <c r="A207" s="2" t="s">
        <v>207</v>
      </c>
      <c r="B207" s="2" t="str">
        <f>IFERROR(__xludf.DUMMYFUNCTION("GOOGLETRANSLATE(A207,""en"", ""mt"")"),"livelli aktar baxxi ta 'inugwaljanza")</f>
        <v>livelli aktar baxxi ta 'inugwaljanza</v>
      </c>
    </row>
    <row r="208" ht="15.75" customHeight="1">
      <c r="A208" s="2" t="s">
        <v>208</v>
      </c>
      <c r="B208" s="2" t="str">
        <f>IFERROR(__xludf.DUMMYFUNCTION("GOOGLETRANSLATE(A208,""en"", ""mt"")"),"Min ordna r-reviżjoni tal-poppa?")</f>
        <v>Min ordna r-reviżjoni tal-poppa?</v>
      </c>
    </row>
    <row r="209" ht="15.75" customHeight="1">
      <c r="A209" s="2" t="s">
        <v>209</v>
      </c>
      <c r="B209" s="2" t="str">
        <f>IFERROR(__xludf.DUMMYFUNCTION("GOOGLETRANSLATE(A209,""en"", ""mt"")"),"Il-kunflitt huwa magħruf b'ismijiet multipli. Fl-Amerika Ingliża, il-gwerer spiss kienu msejħa wara l-monarka Brittanika seduta, bħall-gwerra tar-Re William jew il-gwerra tar-Reġina Anne. Peress li diġà kien hemm il-gwerra tar-Re Ġorġ fl-1740s, il-kolonis"&amp;"ti Ingliżi semmew it-tieni gwerra fir-renju tar-Re Ġorġ wara l-avversarji tagħhom, u saret magħrufa bħala l-Gwerra Franċiża u Indjana. Dan l-isem tradizzjonali jkompli bħala l-istandard fl-Istati Uniti, iżda joskura l-fatt li l-Indjani ġġieldu fuq iż-żewġ"&amp;" naħat tal-kunflitt, u li dan kien parti mill-gwerra tas-seba 'snin, kunflitt ferm akbar bejn Franza u l-Gran Brittanja. L-istoriċi Amerikani ġeneralment jużaw l-isem tradizzjonali jew xi kultant il-gwerra tas-seba ’snin. Ismijiet oħra, inqas użati għall-"&amp;"gwerra jinkludu r-raba 'gwerra interkolonjali u l-gwerra kbira għall-imperu.")</f>
        <v>Il-kunflitt huwa magħruf b'ismijiet multipli. Fl-Amerika Ingliża, il-gwerer spiss kienu msejħa wara l-monarka Brittanika seduta, bħall-gwerra tar-Re William jew il-gwerra tar-Reġina Anne. Peress li diġà kien hemm il-gwerra tar-Re Ġorġ fl-1740s, il-kolonisti Ingliżi semmew it-tieni gwerra fir-renju tar-Re Ġorġ wara l-avversarji tagħhom, u saret magħrufa bħala l-Gwerra Franċiża u Indjana. Dan l-isem tradizzjonali jkompli bħala l-istandard fl-Istati Uniti, iżda joskura l-fatt li l-Indjani ġġieldu fuq iż-żewġ naħat tal-kunflitt, u li dan kien parti mill-gwerra tas-seba 'snin, kunflitt ferm akbar bejn Franza u l-Gran Brittanja. L-istoriċi Amerikani ġeneralment jużaw l-isem tradizzjonali jew xi kultant il-gwerra tas-seba ’snin. Ismijiet oħra, inqas użati għall-gwerra jinkludu r-raba 'gwerra interkolonjali u l-gwerra kbira għall-imperu.</v>
      </c>
    </row>
    <row r="210" ht="15.75" customHeight="1">
      <c r="A210" s="2" t="s">
        <v>210</v>
      </c>
      <c r="B210" s="2" t="str">
        <f>IFERROR(__xludf.DUMMYFUNCTION("GOOGLETRANSLATE(A210,""en"", ""mt"")"),"Xi jgħin l-Istitut tal-Edukazzjoni Urbana?")</f>
        <v>Xi jgħin l-Istitut tal-Edukazzjoni Urbana?</v>
      </c>
    </row>
    <row r="211" ht="15.75" customHeight="1">
      <c r="A211" s="2" t="s">
        <v>211</v>
      </c>
      <c r="B211" s="2" t="str">
        <f>IFERROR(__xludf.DUMMYFUNCTION("GOOGLETRANSLATE(A211,""en"", ""mt"")"),"Xi tirrifletti t-taħlita ta 'stili arkitettoniċi ta' Varsavja?")</f>
        <v>Xi tirrifletti t-taħlita ta 'stili arkitettoniċi ta' Varsavja?</v>
      </c>
    </row>
    <row r="212" ht="15.75" customHeight="1">
      <c r="A212" s="2" t="s">
        <v>212</v>
      </c>
      <c r="B212" s="2" t="str">
        <f>IFERROR(__xludf.DUMMYFUNCTION("GOOGLETRANSLATE(A212,""en"", ""mt"")"),"Il-limiti ta 'fuq u t'isfel huma ġeneralment iddikjarati bl-użu ta' notazzjoni kbira O, li taħbi fatturi kostanti u termini iżgħar. Dan jagħmel il-limiti indipendenti mid-dettalji speċifiċi tal-mudell tal-komputazzjoni użat. Pereżempju, jekk t (n) = 7n2 +"&amp;" 15n + 40, fin-notazzjoni kbira waħda tikteb t (n) = o (n2).")</f>
        <v>Il-limiti ta 'fuq u t'isfel huma ġeneralment iddikjarati bl-użu ta' notazzjoni kbira O, li taħbi fatturi kostanti u termini iżgħar. Dan jagħmel il-limiti indipendenti mid-dettalji speċifiċi tal-mudell tal-komputazzjoni użat. Pereżempju, jekk t (n) = 7n2 + 15n + 40, fin-notazzjoni kbira waħda tikteb t (n) = o (n2).</v>
      </c>
    </row>
    <row r="213" ht="15.75" customHeight="1">
      <c r="A213" s="2" t="s">
        <v>213</v>
      </c>
      <c r="B213" s="2" t="str">
        <f>IFERROR(__xludf.DUMMYFUNCTION("GOOGLETRANSLATE(A213,""en"", ""mt"")"),"Diverti")</f>
        <v>Diverti</v>
      </c>
    </row>
    <row r="214" ht="15.75" customHeight="1">
      <c r="A214" s="2" t="s">
        <v>214</v>
      </c>
      <c r="B214" s="2" t="str">
        <f>IFERROR(__xludf.DUMMYFUNCTION("GOOGLETRANSLATE(A214,""en"", ""mt"")"),"Il-Każ tal-Qorti Suprema tal-1978 tal-Fondazzjoni FCC v. Pacifica")</f>
        <v>Il-Każ tal-Qorti Suprema tal-1978 tal-Fondazzjoni FCC v. Pacifica</v>
      </c>
    </row>
    <row r="215" ht="15.75" customHeight="1">
      <c r="A215" s="2" t="s">
        <v>215</v>
      </c>
      <c r="B215" s="2" t="str">
        <f>IFERROR(__xludf.DUMMYFUNCTION("GOOGLETRANSLATE(A215,""en"", ""mt"")"),"enżimi")</f>
        <v>enżimi</v>
      </c>
    </row>
    <row r="216" ht="15.75" customHeight="1">
      <c r="A216" s="2" t="s">
        <v>216</v>
      </c>
      <c r="B216" s="2" t="str">
        <f>IFERROR(__xludf.DUMMYFUNCTION("GOOGLETRANSLATE(A216,""en"", ""mt"")"),"X'inhuma t-theddid ewlieni li qed tiffaċċja l-Amazon Rainforest fis-seklu attwali?")</f>
        <v>X'inhuma t-theddid ewlieni li qed tiffaċċja l-Amazon Rainforest fis-seklu attwali?</v>
      </c>
    </row>
    <row r="217" ht="15.75" customHeight="1">
      <c r="A217" s="2" t="s">
        <v>217</v>
      </c>
      <c r="B217" s="2" t="str">
        <f>IFERROR(__xludf.DUMMYFUNCTION("GOOGLETRANSLATE(A217,""en"", ""mt"")"),"Liema filosofija tal-ħsieb tindirizza l-inugwaljanza tal-ġid?")</f>
        <v>Liema filosofija tal-ħsieb tindirizza l-inugwaljanza tal-ġid?</v>
      </c>
    </row>
    <row r="218" ht="15.75" customHeight="1">
      <c r="A218" s="2" t="s">
        <v>218</v>
      </c>
      <c r="B218" s="2" t="str">
        <f>IFERROR(__xludf.DUMMYFUNCTION("GOOGLETRANSLATE(A218,""en"", ""mt"")"),"Operazzjonijiet orjentati lejn il-konnessjoni. Imma X.25 jagħmel dan fis-saff tan-netwerk tal-mudell OSI. Frame Relay jagħmel dan fil-livell tnejn, is-saff tal-link tad-dejta")</f>
        <v>Operazzjonijiet orjentati lejn il-konnessjoni. Imma X.25 jagħmel dan fis-saff tan-netwerk tal-mudell OSI. Frame Relay jagħmel dan fil-livell tnejn, is-saff tal-link tad-dejta</v>
      </c>
    </row>
    <row r="219" ht="15.75" customHeight="1">
      <c r="A219" s="2" t="s">
        <v>219</v>
      </c>
      <c r="B219" s="2" t="str">
        <f>IFERROR(__xludf.DUMMYFUNCTION("GOOGLETRANSLATE(A219,""en"", ""mt"")"),"Għaliex l-università eventwalment ħalliet il-konferenza?")</f>
        <v>Għaliex l-università eventwalment ħalliet il-konferenza?</v>
      </c>
    </row>
    <row r="220" ht="15.75" customHeight="1">
      <c r="A220" s="2" t="s">
        <v>220</v>
      </c>
      <c r="B220" s="2" t="str">
        <f>IFERROR(__xludf.DUMMYFUNCTION("GOOGLETRANSLATE(A220,""en"", ""mt"")"),"Jekk l-uċuħ tal-unitajiet tal-blat fil-jingħalaq jibqgħu jippuntaw 'il fuq, huma jissejħu?")</f>
        <v>Jekk l-uċuħ tal-unitajiet tal-blat fil-jingħalaq jibqgħu jippuntaw 'il fuq, huma jissejħu?</v>
      </c>
    </row>
    <row r="221" ht="15.75" customHeight="1">
      <c r="A221" s="2" t="s">
        <v>221</v>
      </c>
      <c r="B221" s="2" t="str">
        <f>IFERROR(__xludf.DUMMYFUNCTION("GOOGLETRANSLATE(A221,""en"", ""mt"")"),"Fil-fokus tiegħu fuq il-kalifat, il-partit jieħu ħsieb differenti tal-istorja Musulmana minn xi Iżlamisti oħra bħal Muhammad Qutb. HT jara l-punt ta 'bidla tal-Islam l-Islam bħala li ma jseħħx mal-mewt ta' Ali, jew wieħed mill-erba 'l-oħra ta' kalifi ggwi"&amp;"dati bir-raġun fis-7 seklu, iżda bl-abolizzjoni tal-kalifat Ottoman fl-1924. Dan huwa maħsub li temm is-sistema Iżlamika vera , xi ħaġa li għaliha tort ""il-poteri kolonjali li ma jemmnux (Kafir) li taħdem permezz tal-modernist Tork Mustafa Kemal Atatürk.")</f>
        <v>Fil-fokus tiegħu fuq il-kalifat, il-partit jieħu ħsieb differenti tal-istorja Musulmana minn xi Iżlamisti oħra bħal Muhammad Qutb. HT jara l-punt ta 'bidla tal-Islam l-Islam bħala li ma jseħħx mal-mewt ta' Ali, jew wieħed mill-erba 'l-oħra ta' kalifi ggwidati bir-raġun fis-7 seklu, iżda bl-abolizzjoni tal-kalifat Ottoman fl-1924. Dan huwa maħsub li temm is-sistema Iżlamika vera , xi ħaġa li għaliha tort "il-poteri kolonjali li ma jemmnux (Kafir) li taħdem permezz tal-modernist Tork Mustafa Kemal Atatürk.</v>
      </c>
    </row>
    <row r="222" ht="15.75" customHeight="1">
      <c r="A222" s="2" t="s">
        <v>222</v>
      </c>
      <c r="B222" s="2" t="str">
        <f>IFERROR(__xludf.DUMMYFUNCTION("GOOGLETRANSLATE(A222,""en"", ""mt"")"),"Li r-rwol tagħhom huwa li tiddisinja x-xogħlijiet, tħejji l-ispeċifikazzjonijiet u tipproduċi tpinġijiet tal-kostruzzjoni, tamministra l-kuntratt, tenera x-xogħlijiet, u timmaniġġja x-xogħlijiet mill-bidu sal-tlestija")</f>
        <v>Li r-rwol tagħhom huwa li tiddisinja x-xogħlijiet, tħejji l-ispeċifikazzjonijiet u tipproduċi tpinġijiet tal-kostruzzjoni, tamministra l-kuntratt, tenera x-xogħlijiet, u timmaniġġja x-xogħlijiet mill-bidu sal-tlestija</v>
      </c>
    </row>
    <row r="223" ht="15.75" customHeight="1">
      <c r="A223" s="2" t="s">
        <v>223</v>
      </c>
      <c r="B223" s="2" t="str">
        <f>IFERROR(__xludf.DUMMYFUNCTION("GOOGLETRANSLATE(A223,""en"", ""mt"")"),"It-torque huwa l-ekwivalenti tar-rotazzjoni tal-forza bl-istess mod li l-angolu huwa l-ekwivalenti rotazzjonali għall-pożizzjoni, il-veloċità angolari għall-veloċità, u l-momentum angolari għall-momentum. Bħala konsegwenza tal-ewwel liġi ta 'mozzjoni ta' "&amp;"Newton, teżisti inerzja rotazzjonali li tiżgura li l-korpi kollha jżommu l-momentum angolari tagħhom sakemm ma jaġixxux minn torque żbilanċjat. Bl-istess mod, it-tieni liġi ta 'moviment ta' Newton tista 'tintuża biex toħroġ ekwazzjoni analoga għall-aċċell"&amp;"erazzjoni angolari istantanja tal-korp riġidu:")</f>
        <v>It-torque huwa l-ekwivalenti tar-rotazzjoni tal-forza bl-istess mod li l-angolu huwa l-ekwivalenti rotazzjonali għall-pożizzjoni, il-veloċità angolari għall-veloċità, u l-momentum angolari għall-momentum. Bħala konsegwenza tal-ewwel liġi ta 'mozzjoni ta' Newton, teżisti inerzja rotazzjonali li tiżgura li l-korpi kollha jżommu l-momentum angolari tagħhom sakemm ma jaġixxux minn torque żbilanċjat. Bl-istess mod, it-tieni liġi ta 'moviment ta' Newton tista 'tintuża biex toħroġ ekwazzjoni analoga għall-aċċellerazzjoni angolari istantanja tal-korp riġidu:</v>
      </c>
    </row>
    <row r="224" ht="15.75" customHeight="1">
      <c r="A224" s="2" t="s">
        <v>224</v>
      </c>
      <c r="B224" s="2" t="str">
        <f>IFERROR(__xludf.DUMMYFUNCTION("GOOGLETRANSLATE(A224,""en"", ""mt"")"),"P mhix daqs np")</f>
        <v>P mhix daqs np</v>
      </c>
    </row>
    <row r="225" ht="15.75" customHeight="1">
      <c r="A225" s="2" t="s">
        <v>225</v>
      </c>
      <c r="B225" s="2" t="str">
        <f>IFERROR(__xludf.DUMMYFUNCTION("GOOGLETRANSLATE(A225,""en"", ""mt"")"),"Storja turbulenti tal-belt")</f>
        <v>Storja turbulenti tal-belt</v>
      </c>
    </row>
    <row r="226" ht="15.75" customHeight="1">
      <c r="A226" s="2" t="s">
        <v>226</v>
      </c>
      <c r="B226" s="2" t="str">
        <f>IFERROR(__xludf.DUMMYFUNCTION("GOOGLETRANSLATE(A226,""en"", ""mt"")"),"Kemm it-trab tal-windblown iħalli s-Saħara kull sena?")</f>
        <v>Kemm it-trab tal-windblown iħalli s-Saħara kull sena?</v>
      </c>
    </row>
    <row r="227" ht="15.75" customHeight="1">
      <c r="A227" s="2" t="s">
        <v>227</v>
      </c>
      <c r="B227" s="2" t="str">
        <f>IFERROR(__xludf.DUMMYFUNCTION("GOOGLETRANSLATE(A227,""en"", ""mt"")"),"AD 0–1250")</f>
        <v>AD 0–1250</v>
      </c>
    </row>
    <row r="228" ht="15.75" customHeight="1">
      <c r="A228" s="2" t="s">
        <v>228</v>
      </c>
      <c r="B228" s="2" t="str">
        <f>IFERROR(__xludf.DUMMYFUNCTION("GOOGLETRANSLATE(A228,""en"", ""mt"")"),"Għal xiex iwasslu l-mekkaniżmi ta 'tqassim mill-ġdid?")</f>
        <v>Għal xiex iwasslu l-mekkaniżmi ta 'tqassim mill-ġdid?</v>
      </c>
    </row>
    <row r="229" ht="15.75" customHeight="1">
      <c r="A229" s="2" t="s">
        <v>229</v>
      </c>
      <c r="B229" s="2" t="str">
        <f>IFERROR(__xludf.DUMMYFUNCTION("GOOGLETRANSLATE(A229,""en"", ""mt"")"),"Ir-ribelljoni hija ħafna iktar distruttiva")</f>
        <v>Ir-ribelljoni hija ħafna iktar distruttiva</v>
      </c>
    </row>
    <row r="230" ht="15.75" customHeight="1">
      <c r="A230" s="2" t="s">
        <v>230</v>
      </c>
      <c r="B230" s="2" t="str">
        <f>IFERROR(__xludf.DUMMYFUNCTION("GOOGLETRANSLATE(A230,""en"", ""mt"")"),"X'inhu s-soltu l-għan li tieħu bargain ta 'motiv?")</f>
        <v>X'inhu s-soltu l-għan li tieħu bargain ta 'motiv?</v>
      </c>
    </row>
    <row r="231" ht="15.75" customHeight="1">
      <c r="A231" s="2" t="s">
        <v>231</v>
      </c>
      <c r="B231" s="2" t="str">
        <f>IFERROR(__xludf.DUMMYFUNCTION("GOOGLETRANSLATE(A231,""en"", ""mt"")"),"L-Erbgħa")</f>
        <v>L-Erbgħa</v>
      </c>
    </row>
    <row r="232" ht="15.75" customHeight="1">
      <c r="A232" s="2" t="s">
        <v>232</v>
      </c>
      <c r="B232" s="2" t="str">
        <f>IFERROR(__xludf.DUMMYFUNCTION("GOOGLETRANSLATE(A232,""en"", ""mt"")"),"ħsara fil-proprjetà")</f>
        <v>ħsara fil-proprjetà</v>
      </c>
    </row>
    <row r="233" ht="15.75" customHeight="1">
      <c r="A233" s="2" t="s">
        <v>233</v>
      </c>
      <c r="B233" s="2" t="str">
        <f>IFERROR(__xludf.DUMMYFUNCTION("GOOGLETRANSLATE(A233,""en"", ""mt"")"),"L-ikbar divisor komuni huwa wieħed")</f>
        <v>L-ikbar divisor komuni huwa wieħed</v>
      </c>
    </row>
    <row r="234" ht="15.75" customHeight="1">
      <c r="A234" s="2" t="s">
        <v>234</v>
      </c>
      <c r="B234" s="2" t="str">
        <f>IFERROR(__xludf.DUMMYFUNCTION("GOOGLETRANSLATE(A234,""en"", ""mt"")"),"L-ewwel netwerk ta 'dejta pubblika liċenzjata mill-FCC fl-Istati Uniti")</f>
        <v>L-ewwel netwerk ta 'dejta pubblika liċenzjata mill-FCC fl-Istati Uniti</v>
      </c>
    </row>
    <row r="235" ht="15.75" customHeight="1">
      <c r="A235" s="2" t="s">
        <v>235</v>
      </c>
      <c r="B235" s="2" t="str">
        <f>IFERROR(__xludf.DUMMYFUNCTION("GOOGLETRANSLATE(A235,""en"", ""mt"")"),"fil-fatt")</f>
        <v>fil-fatt</v>
      </c>
    </row>
    <row r="236" ht="15.75" customHeight="1">
      <c r="A236" s="2" t="s">
        <v>236</v>
      </c>
      <c r="B236" s="2" t="str">
        <f>IFERROR(__xludf.DUMMYFUNCTION("GOOGLETRANSLATE(A236,""en"", ""mt"")"),"Id-dinastija Norman kellha impatt politiku, kulturali u militari maġġuri fuq l-Ewropa medjevali u anke l-Lvant Qarib. In-Normanni kienu famużi għall-ispirtu marzjali tagħhom u eventwalment għall-piety Christian tagħhom, u saru esponenti tal-ortodossija Ka"&amp;"ttolika li fihom assimilaw. Huma adottaw il-lingwa gallo-rumanz ta 'l-art Franki li huma stabbilixxew, id-djalett tagħhom isir magħruf bħala Norman, Normaund jew Norman Franċiż, lingwa letterarja importanti. Id-Dukat tan-Normandija, li huma ffurmaw bit-tr"&amp;"attat mal-kuruna Franċiża, kien fief kbir ta ’Franza medjevali, u taħt Richard I tan-Normandija ġie ffalsifikat ġo prinċipat koeżiv u formidabbli fil-kariga feudali. In-Normanni huma nnotati kemm għall-kultura tagħhom, bħall-arkitettura Rumanika unika tag"&amp;"ħhom u t-tradizzjonijiet mużikali, kif ukoll għall-kisbiet u l-innovazzjonijiet militari sinifikanti tagħhom. Norman Adventurers waqqfu r-Renju ta ’Sqallija taħt Roger II wara li rbħu l-Italja tan-Nofsinhar fuq is-Saraċens u l-Biżantini, u expedition f’is"&amp;"em id-Duka tagħhom, William the Conqueror, wasslet għall-konkwista Norman tal-Ingilterra fil-Battalja ta’ Hastings fl-1066. Norman Cultural u influwenza militari mifruxa minn dawn iċ-ċentri Ewropej ġodda għall-istati tal-Kruċjati tal-Lvant Qarib, fejn il-"&amp;"Prinċep Bohemond tagħhom waqqaf il-Prinċipat ta 'Antijokja fil-Levant, lejn l-Iskozja u Wales fil-Gran Brittanja, lejn l-Irlanda, u lejn il-kosti ta' l-Afrika ta 'Fuq u l-Gżejjer Kanarji.")</f>
        <v>Id-dinastija Norman kellha impatt politiku, kulturali u militari maġġuri fuq l-Ewropa medjevali u anke l-Lvant Qarib. In-Normanni kienu famużi għall-ispirtu marzjali tagħhom u eventwalment għall-piety Christian tagħhom, u saru esponenti tal-ortodossija Kattolika li fihom assimilaw. Huma adottaw il-lingwa gallo-rumanz ta 'l-art Franki li huma stabbilixxew, id-djalett tagħhom isir magħruf bħala Norman, Normaund jew Norman Franċiż, lingwa letterarja importanti. Id-Dukat tan-Normandija, li huma ffurmaw bit-trattat mal-kuruna Franċiża, kien fief kbir ta ’Franza medjevali, u taħt Richard I tan-Normandija ġie ffalsifikat ġo prinċipat koeżiv u formidabbli fil-kariga feudali. In-Normanni huma nnotati kemm għall-kultura tagħhom, bħall-arkitettura Rumanika unika tagħhom u t-tradizzjonijiet mużikali, kif ukoll għall-kisbiet u l-innovazzjonijiet militari sinifikanti tagħhom. Norman Adventurers waqqfu r-Renju ta ’Sqallija taħt Roger II wara li rbħu l-Italja tan-Nofsinhar fuq is-Saraċens u l-Biżantini, u expedition f’isem id-Duka tagħhom, William the Conqueror, wasslet għall-konkwista Norman tal-Ingilterra fil-Battalja ta’ Hastings fl-1066. Norman Cultural u influwenza militari mifruxa minn dawn iċ-ċentri Ewropej ġodda għall-istati tal-Kruċjati tal-Lvant Qarib, fejn il-Prinċep Bohemond tagħhom waqqaf il-Prinċipat ta 'Antijokja fil-Levant, lejn l-Iskozja u Wales fil-Gran Brittanja, lejn l-Irlanda, u lejn il-kosti ta' l-Afrika ta 'Fuq u l-Gżejjer Kanarji.</v>
      </c>
    </row>
    <row r="237" ht="15.75" customHeight="1">
      <c r="A237" s="2" t="s">
        <v>237</v>
      </c>
      <c r="B237" s="2" t="str">
        <f>IFERROR(__xludf.DUMMYFUNCTION("GOOGLETRANSLATE(A237,""en"", ""mt"")"),"L-ewwel reazzjoni nukleari magħmula minnha nnifisha tad-dinja,")</f>
        <v>L-ewwel reazzjoni nukleari magħmula minnha nnifisha tad-dinja,</v>
      </c>
    </row>
    <row r="238" ht="15.75" customHeight="1">
      <c r="A238" s="2" t="s">
        <v>238</v>
      </c>
      <c r="B238" s="2" t="str">
        <f>IFERROR(__xludf.DUMMYFUNCTION("GOOGLETRANSLATE(A238,""en"", ""mt"")"),"Kif qabbel ir-rapport tal-IPCC tal-2001 mar-realtà fuq il-livelli tat-temperatura?")</f>
        <v>Kif qabbel ir-rapport tal-IPCC tal-2001 mar-realtà fuq il-livelli tat-temperatura?</v>
      </c>
    </row>
    <row r="239" ht="15.75" customHeight="1">
      <c r="A239" s="2" t="s">
        <v>239</v>
      </c>
      <c r="B239" s="2" t="str">
        <f>IFERROR(__xludf.DUMMYFUNCTION("GOOGLETRANSLATE(A239,""en"", ""mt"")"),"Kif irrisponda r-Re Louis XV għall-pjanijiet Ingliżi?")</f>
        <v>Kif irrisponda r-Re Louis XV għall-pjanijiet Ingliżi?</v>
      </c>
    </row>
    <row r="240" ht="15.75" customHeight="1">
      <c r="A240" s="2" t="s">
        <v>240</v>
      </c>
      <c r="B240" s="2" t="str">
        <f>IFERROR(__xludf.DUMMYFUNCTION("GOOGLETRANSLATE(A240,""en"", ""mt"")"),"X'inhu magħruf dwar il-klassijiet ta 'kumplessità bejn L u P li jipprevjeni aktar id-determinazzjoni tar-relazzjoni ta' valur bejn L u P?")</f>
        <v>X'inhu magħruf dwar il-klassijiet ta 'kumplessità bejn L u P li jipprevjeni aktar id-determinazzjoni tar-relazzjoni ta' valur bejn L u P?</v>
      </c>
    </row>
    <row r="241" ht="15.75" customHeight="1">
      <c r="A241" s="2" t="s">
        <v>241</v>
      </c>
      <c r="B241" s="2" t="str">
        <f>IFERROR(__xludf.DUMMYFUNCTION("GOOGLETRANSLATE(A241,""en"", ""mt"")"),"Fiż-żona ta 'Los Angeles hemm id-distretti kummerċjali ewlenin ta' Downtown Burbank, Downtown Santa Monica, Downtown Glendale u Downtown Long Beach. Los Angeles innifsu għandu bosta distretti tan-negozju fosthom id-Distrett tan-Negozju Ċentrali ta ’Los An"&amp;"geles kif ukoll dawk li kisbu l-Wilshire Boulevard Miracle Mile inkluż Century City, Westwood u Warner Centre fil-Wied ta’ San Fernando.")</f>
        <v>Fiż-żona ta 'Los Angeles hemm id-distretti kummerċjali ewlenin ta' Downtown Burbank, Downtown Santa Monica, Downtown Glendale u Downtown Long Beach. Los Angeles innifsu għandu bosta distretti tan-negozju fosthom id-Distrett tan-Negozju Ċentrali ta ’Los Angeles kif ukoll dawk li kisbu l-Wilshire Boulevard Miracle Mile inkluż Century City, Westwood u Warner Centre fil-Wied ta’ San Fernando.</v>
      </c>
    </row>
    <row r="242" ht="15.75" customHeight="1">
      <c r="A242" s="2" t="s">
        <v>242</v>
      </c>
      <c r="B242" s="2" t="str">
        <f>IFERROR(__xludf.DUMMYFUNCTION("GOOGLETRANSLATE(A242,""en"", ""mt"")"),"Fost l-aktar klassijiet importanti ta 'komposti organiċi li fihom l-ossiġnu hemm (fejn ""R"" huwa grupp organiku): alkoħol (R-OH); eteri (R-O-R); ketoni (r-co-r); Aldehydes (R-Co-H); Aċidi karbossiliċi (R-COOH); esteri (r-coo-r); aċidu aċidużi (r-co-o-co-"&amp;"r); u amidi (r-c (o) -nr
2). Hemm ħafna solventi organiċi importanti li fihom ossiġnu, inklużi: aċetun, metanol, etanol, isopropanol, furan, THF, dietil ether, dijossan, aċetat tal-etil, DMF, DMS, DMSO, aċidu aċetiku, u aċidu formiku. Aċetun ((ch
3)
2co) "&amp;"u fenol (c
6h
5OH) jintużaw bħala materjali ta 'l-alimentazzjoni fis-sintesi ta' ħafna sustanzi differenti. Komposti organiċi importanti oħra li fihom l-ossiġnu huma: gliċerol, formaldehyde, glutaraldehyde, aċidu ċitriku, anhydride aċetiku, u aċetamide. L"&amp;"-epossidi huma eteri li fihom l-atomu tal-ossiġnu huwa parti minn ċirku ta 'tliet atomi.")</f>
        <v>Fost l-aktar klassijiet importanti ta 'komposti organiċi li fihom l-ossiġnu hemm (fejn "R" huwa grupp organiku): alkoħol (R-OH); eteri (R-O-R); ketoni (r-co-r); Aldehydes (R-Co-H); Aċidi karbossiliċi (R-COOH); esteri (r-coo-r); aċidu aċidużi (r-co-o-co-r); u amidi (r-c (o) -nr
2). Hemm ħafna solventi organiċi importanti li fihom ossiġnu, inklużi: aċetun, metanol, etanol, isopropanol, furan, THF, dietil ether, dijossan, aċetat tal-etil, DMF, DMS, DMSO, aċidu aċetiku, u aċidu formiku. Aċetun ((ch
3)
2co) u fenol (c
6h
5OH) jintużaw bħala materjali ta 'l-alimentazzjoni fis-sintesi ta' ħafna sustanzi differenti. Komposti organiċi importanti oħra li fihom l-ossiġnu huma: gliċerol, formaldehyde, glutaraldehyde, aċidu ċitriku, anhydride aċetiku, u aċetamide. L-epossidi huma eteri li fihom l-atomu tal-ossiġnu huwa parti minn ċirku ta 'tliet atomi.</v>
      </c>
    </row>
    <row r="243" ht="15.75" customHeight="1">
      <c r="A243" s="2" t="s">
        <v>243</v>
      </c>
      <c r="B243" s="2" t="str">
        <f>IFERROR(__xludf.DUMMYFUNCTION("GOOGLETRANSLATE(A243,""en"", ""mt"")"),"Immaniġġja d-dipartiment tal-ispiżerija u oqsma speċjalizzati fil-prattika tal-ispiżerija")</f>
        <v>Immaniġġja d-dipartiment tal-ispiżerija u oqsma speċjalizzati fil-prattika tal-ispiżerija</v>
      </c>
    </row>
    <row r="244" ht="15.75" customHeight="1">
      <c r="A244" s="2" t="s">
        <v>244</v>
      </c>
      <c r="B244" s="2" t="str">
        <f>IFERROR(__xludf.DUMMYFUNCTION("GOOGLETRANSLATE(A244,""en"", ""mt"")"),"Biex tgħin biex jitnaqqas il-konsum, fl-1974 ġie impost limitu massimu ta 'veloċità massima ta' 55 mph (madwar 88 km / h) permezz tal-Att dwar il-Konservazzjoni tal-Enerġija ta 'l-Awtostrada ta' Emerġenza. L-iżvilupp tar-riżerva strateġika tal-pitrolju be"&amp;"da fl-1975, u fl-1977 inħoloq id-Dipartiment tal-Enerġija fil-livell tal-Kabinett, segwit mill-Att Nazzjonali dwar l-Enerġija tal-1978. [Ċitazzjoni meħtieġa] fit-28 ta 'Novembru, 1995, Bill Clinton iffirma l-Att Nazzjonali tad-Deżin tal-Highway , li jispi"&amp;"ċċa l-limitu federali ta 'veloċità ta' 55 mph (89 km / h), li jippermetti lill-istati jirrestawraw il-limitu ta 'veloċità massima preċedenti tagħhom.")</f>
        <v>Biex tgħin biex jitnaqqas il-konsum, fl-1974 ġie impost limitu massimu ta 'veloċità massima ta' 55 mph (madwar 88 km / h) permezz tal-Att dwar il-Konservazzjoni tal-Enerġija ta 'l-Awtostrada ta' Emerġenza. L-iżvilupp tar-riżerva strateġika tal-pitrolju beda fl-1975, u fl-1977 inħoloq id-Dipartiment tal-Enerġija fil-livell tal-Kabinett, segwit mill-Att Nazzjonali dwar l-Enerġija tal-1978. [Ċitazzjoni meħtieġa] fit-28 ta 'Novembru, 1995, Bill Clinton iffirma l-Att Nazzjonali tad-Deżin tal-Highway , li jispiċċa l-limitu federali ta 'veloċità ta' 55 mph (89 km / h), li jippermetti lill-istati jirrestawraw il-limitu ta 'veloċità massima preċedenti tagħhom.</v>
      </c>
    </row>
    <row r="245" ht="15.75" customHeight="1">
      <c r="A245" s="2" t="s">
        <v>245</v>
      </c>
      <c r="B245" s="2" t="str">
        <f>IFERROR(__xludf.DUMMYFUNCTION("GOOGLETRANSLATE(A245,""en"", ""mt"")"),"X'inhu l-isem tat-truppa tat-teatru improvisazzjonali tal-istudenti?")</f>
        <v>X'inhu l-isem tat-truppa tat-teatru improvisazzjonali tal-istudenti?</v>
      </c>
    </row>
    <row r="246" ht="15.75" customHeight="1">
      <c r="A246" s="2" t="s">
        <v>246</v>
      </c>
      <c r="B246" s="2" t="str">
        <f>IFERROR(__xludf.DUMMYFUNCTION("GOOGLETRANSLATE(A246,""en"", ""mt"")"),"Kien hemm bidliet insinifikanti fil-veġetazzjoni tal-foresta tropikali tal-Amażonja sa l-aħħar x'inhu")</f>
        <v>Kien hemm bidliet insinifikanti fil-veġetazzjoni tal-foresta tropikali tal-Amażonja sa l-aħħar x'inhu</v>
      </c>
    </row>
    <row r="247" ht="15.75" customHeight="1">
      <c r="A247" s="2" t="s">
        <v>247</v>
      </c>
      <c r="B247" s="2" t="str">
        <f>IFERROR(__xludf.DUMMYFUNCTION("GOOGLETRANSLATE(A247,""en"", ""mt"")"),"Id-dinastija Yuan kienet l-ewwel darba li l-poplu Ċiniż mhux nattiv iddeċieda ċ-Ċina kollha. Fl-istorijografija tal-Mongolja, ġeneralment huwa meqjus bħala t-tkomplija tal-imperu Mongoljan. Il-Mongoli huma magħrufa ħafna li jaduraw is-sema eterna, u skont"&amp;" l-ideoloġija tradizzjonali Mongoljana, il-wan huwa meqjus bħala ""l-bidu ta 'numru infinit ta' bnedmin, il-pedament tal-paċi u l-kuntentizza, il-poter tal-istat, il-ħolma ta 'ħafna popli, minbarraha M'hemm xejn kbir jew prezzjuż. "" Fl-istorijografija tr"&amp;"adizzjonali taċ-Ċina, min-naħa l-oħra, id-dinastija Yuan ġeneralment hija meqjusa bħala d-dinastija leġittima bejn id-dinastija tal-kanzunetta u d-dinastija Ming. Innota, madankollu, id-dinastija Yuan hija tradizzjonalment estiża biex tkopri l-imperu Mong"&amp;"oljan qabel l-istabbiliment formali ta 'Kublai Khan tal-Yuan fl-1271, parzjalment minħabba li Kublai kellu n-nannu tiegħu Genghis Khan poġġa fir-rekord uffiċjali bħala l-fundatur tad-Dynasty jew Taizu (Ċiniż:太祖). Minkejja l-istorijografija tradizzjonali k"&amp;"if ukoll il-fehmiet uffiċjali (inkluża l-gvern tad-dinastija Ming li ħakem id-dinastija Yuan), jeżistu wkoll nies Ċiniżi [li?] Li ma kkunsidrawx id-dinastija Yuan bħala dinastija leġittima taċ-Ċina, iżda pjuttost Bħala perjodu ta 'dominazzjoni barranija. "&amp;"Dawn tal-aħħar jemmnu li Han Ċiniż ġew ittrattati bħala ċittadini tat-tieni klassi, [ċitazzjoni meħtieġa] u li ċ-Ċina staġnaw ekonomikament u xjentifikament.")</f>
        <v>Id-dinastija Yuan kienet l-ewwel darba li l-poplu Ċiniż mhux nattiv iddeċieda ċ-Ċina kollha. Fl-istorijografija tal-Mongolja, ġeneralment huwa meqjus bħala t-tkomplija tal-imperu Mongoljan. Il-Mongoli huma magħrufa ħafna li jaduraw is-sema eterna, u skont l-ideoloġija tradizzjonali Mongoljana, il-wan huwa meqjus bħala "l-bidu ta 'numru infinit ta' bnedmin, il-pedament tal-paċi u l-kuntentizza, il-poter tal-istat, il-ħolma ta 'ħafna popli, minbarraha M'hemm xejn kbir jew prezzjuż. " Fl-istorijografija tradizzjonali taċ-Ċina, min-naħa l-oħra, id-dinastija Yuan ġeneralment hija meqjusa bħala d-dinastija leġittima bejn id-dinastija tal-kanzunetta u d-dinastija Ming. Innota, madankollu, id-dinastija Yuan hija tradizzjonalment estiża biex tkopri l-imperu Mongoljan qabel l-istabbiliment formali ta 'Kublai Khan tal-Yuan fl-1271, parzjalment minħabba li Kublai kellu n-nannu tiegħu Genghis Khan poġġa fir-rekord uffiċjali bħala l-fundatur tad-Dynasty jew Taizu (Ċiniż:太祖). Minkejja l-istorijografija tradizzjonali kif ukoll il-fehmiet uffiċjali (inkluża l-gvern tad-dinastija Ming li ħakem id-dinastija Yuan), jeżistu wkoll nies Ċiniżi [li?] Li ma kkunsidrawx id-dinastija Yuan bħala dinastija leġittima taċ-Ċina, iżda pjuttost Bħala perjodu ta 'dominazzjoni barranija. Dawn tal-aħħar jemmnu li Han Ċiniż ġew ittrattati bħala ċittadini tat-tieni klassi, [ċitazzjoni meħtieġa] u li ċ-Ċina staġnaw ekonomikament u xjentifikament.</v>
      </c>
    </row>
    <row r="248" ht="15.75" customHeight="1">
      <c r="A248" s="2" t="s">
        <v>248</v>
      </c>
      <c r="B248" s="2" t="str">
        <f>IFERROR(__xludf.DUMMYFUNCTION("GOOGLETRANSLATE(A248,""en"", ""mt"")"),"Teorija tal-Phlogiston")</f>
        <v>Teorija tal-Phlogiston</v>
      </c>
    </row>
    <row r="249" ht="15.75" customHeight="1">
      <c r="A249" s="2" t="s">
        <v>249</v>
      </c>
      <c r="B249" s="2" t="str">
        <f>IFERROR(__xludf.DUMMYFUNCTION("GOOGLETRANSLATE(A249,""en"", ""mt"")"),"Is-Soċjologu Jake Rosenfield ta 'l-Università ta' Washington jafferma li t-tnaqqis tax-xogħol organizzat fl-Istati Uniti kellu rwol aktar sinifikanti fl-espansjoni tad-distakk fid-dħul minn bidliet teknoloġiċi u globalizzazzjoni, li kienu wkoll esperjenza"&amp;"ti minn nazzjonijiet industrijalizzati oħra li ma esperjenzawx wieqfa żidiet fl-inugwaljanza. Huwa jirrimarka li n-nazzjonijiet b'rati għoljin ta 'unjonizzazzjoni, partikolarment fl-Iskandinavja, għandhom livelli baxxi ħafna ta' inugwaljanza, u jikkonklud"&amp;"i ""l-mudell storiku huwa ċar; ix-xejra transnazzjonali hija ċara: l-inugwaljanza għolja tmur id f'id ma 'xogħol dgħajjef movimenti u viċi versa. """)</f>
        <v>Is-Soċjologu Jake Rosenfield ta 'l-Università ta' Washington jafferma li t-tnaqqis tax-xogħol organizzat fl-Istati Uniti kellu rwol aktar sinifikanti fl-espansjoni tad-distakk fid-dħul minn bidliet teknoloġiċi u globalizzazzjoni, li kienu wkoll esperjenzati minn nazzjonijiet industrijalizzati oħra li ma esperjenzawx wieqfa żidiet fl-inugwaljanza. Huwa jirrimarka li n-nazzjonijiet b'rati għoljin ta 'unjonizzazzjoni, partikolarment fl-Iskandinavja, għandhom livelli baxxi ħafna ta' inugwaljanza, u jikkonkludi "l-mudell storiku huwa ċar; ix-xejra transnazzjonali hija ċara: l-inugwaljanza għolja tmur id f'id ma 'xogħol dgħajjef movimenti u viċi versa. "</v>
      </c>
    </row>
    <row r="250" ht="15.75" customHeight="1">
      <c r="A250" s="2" t="s">
        <v>250</v>
      </c>
      <c r="B250" s="2" t="str">
        <f>IFERROR(__xludf.DUMMYFUNCTION("GOOGLETRANSLATE(A250,""en"", ""mt"")"),"X'qis il-Mongoli?")</f>
        <v>X'qis il-Mongoli?</v>
      </c>
    </row>
    <row r="251" ht="15.75" customHeight="1">
      <c r="A251" s="2" t="s">
        <v>251</v>
      </c>
      <c r="B251" s="2" t="str">
        <f>IFERROR(__xludf.DUMMYFUNCTION("GOOGLETRANSLATE(A251,""en"", ""mt"")"),"Il-ħalq tar-Renu fil-Lag Constance jifforma delta interna. Id-delta hija delimitata fil-Punent mill-Alter Rhein (""Old Rhine"") u fil-Lvant minn sezzjoni moderna kanalizzata. Il-biċċa l-kbira tad-delta hija santwarju tar-riserva naturali u tal-għasafar. D"&amp;"an jinkludi l-bliet Awstrijaċi ta 'Gaißau, Höchst u Fußach. Ir-Rhine Naturali oriġinarjament ramifikat f'mill-inqas żewġ dirgħajn u ffurma gżejjer żgħar billi jippreċipitaw is-sedimenti. Fid-djalett Alemannic lokali, is-singular huwa ppronunzjat ""Isel"" "&amp;"u din hija wkoll il-pronunzja lokali ta 'Esel (""Donkey""). Ħafna oqsma lokali għandhom isem uffiċjali li fih dan l-element.")</f>
        <v>Il-ħalq tar-Renu fil-Lag Constance jifforma delta interna. Id-delta hija delimitata fil-Punent mill-Alter Rhein ("Old Rhine") u fil-Lvant minn sezzjoni moderna kanalizzata. Il-biċċa l-kbira tad-delta hija santwarju tar-riserva naturali u tal-għasafar. Dan jinkludi l-bliet Awstrijaċi ta 'Gaißau, Höchst u Fußach. Ir-Rhine Naturali oriġinarjament ramifikat f'mill-inqas żewġ dirgħajn u ffurma gżejjer żgħar billi jippreċipitaw is-sedimenti. Fid-djalett Alemannic lokali, is-singular huwa ppronunzjat "Isel" u din hija wkoll il-pronunzja lokali ta 'Esel ("Donkey"). Ħafna oqsma lokali għandhom isem uffiċjali li fih dan l-element.</v>
      </c>
    </row>
    <row r="252" ht="15.75" customHeight="1">
      <c r="A252" s="2" t="s">
        <v>252</v>
      </c>
      <c r="B252" s="2" t="str">
        <f>IFERROR(__xludf.DUMMYFUNCTION("GOOGLETRANSLATE(A252,""en"", ""mt"")"),"muturi elettriċi u kombustjoni interna")</f>
        <v>muturi elettriċi u kombustjoni interna</v>
      </c>
    </row>
    <row r="253" ht="15.75" customHeight="1">
      <c r="A253" s="2" t="s">
        <v>253</v>
      </c>
      <c r="B253" s="2" t="str">
        <f>IFERROR(__xludf.DUMMYFUNCTION("GOOGLETRANSLATE(A253,""en"", ""mt"")"),"Ġew introdotti trakkijiet kompatti, bħalma huma t-Toyota Hilux u t-trakk Datsun, segwit mit-trakk Mazda (mibjugħ bħala l-Ford Courier), u l-Chevrolet Luv tal-Isuzu mibni. Mitsubishi rebranded il-forte tiegħu bħala d-Dodge D-50 ftit snin wara l-kriżi taż-ż"&amp;"ejt. Mazda, Mitsushi u Isuzu kellhom sħubijiet konġunti ma 'Ford, Chrysler, u GM, rispettivament. Aktar tard il-produtturi Amerikani introduċew is-sostituzzjonijiet domestiċi tagħhom (Ford Ranger, Dodge Dakota u l-Chevrolet S10 / GMC S-15), u temmew il-po"&amp;"litika ta 'importazzjoni magħżula tagħhom.")</f>
        <v>Ġew introdotti trakkijiet kompatti, bħalma huma t-Toyota Hilux u t-trakk Datsun, segwit mit-trakk Mazda (mibjugħ bħala l-Ford Courier), u l-Chevrolet Luv tal-Isuzu mibni. Mitsubishi rebranded il-forte tiegħu bħala d-Dodge D-50 ftit snin wara l-kriżi taż-żejt. Mazda, Mitsushi u Isuzu kellhom sħubijiet konġunti ma 'Ford, Chrysler, u GM, rispettivament. Aktar tard il-produtturi Amerikani introduċew is-sostituzzjonijiet domestiċi tagħhom (Ford Ranger, Dodge Dakota u l-Chevrolet S10 / GMC S-15), u temmew il-politika ta 'importazzjoni magħżula tagħhom.</v>
      </c>
    </row>
    <row r="254" ht="15.75" customHeight="1">
      <c r="A254" s="2" t="s">
        <v>254</v>
      </c>
      <c r="B254" s="2" t="str">
        <f>IFERROR(__xludf.DUMMYFUNCTION("GOOGLETRANSLATE(A254,""en"", ""mt"")"),"Fl-2004, dokumenti deklassifikati żvelaw li l-Istati Uniti kienet tant distraught miż-żieda fil-prezzijiet taż-żejt u li ġiet ikkontestata minn pajjiżi mhux żviluppati li huma kkunsidraw fil-qosor azzjoni militari biex jaħtfu bil-forza l-kampijiet taż-żej"&amp;"t tal-Lvant Nofsani fl-aħħar tal-1973. Għalkemm ma ġie msemmi l-ebda pjan espliċitu, a Il-konversazzjoni bejn is-Segretarju tad-Difiża tal-Istati Uniti James Schlesinger u l-Ambaxxatur Brittaniku għall-Istati Uniti Lord Cromer żvelat li Schlesinger kien q"&amp;"allu li ""ma kienx għadu ovvju għalih li l-Istati Uniti ma setgħux jużaw il-forza."" Il-Prim Ministru Ingliż Edward Heath kien tant inkwetat minn din il-prospett li ordna stima tal-intelliġenza Ingliża tal-intenzjonijiet tal-Istati Uniti, li kkonkluda li "&amp;"l-Amerika ""tista 'tikkunsidra li ma setgħetx tittollera sitwazzjoni li fiha l-Istati Uniti u l-alleati tagħha kienu fil-ħniena ta' grupp żgħir ta ' Pajjiżi mhux raġonevoli, ""u li jippreferu operazzjoni rapida biex jaħtfu l-kampijiet taż-żejt fl-Arabja S"&amp;"awdija u l-Kuwajt, u possibbilment ġie deċiż Abu Dhabi fl-azzjoni militari. Għalkemm ir-rispons Sovjetiku għal att bħal dan x'aktarx ma jinvolvix forza, l-intelliġenza wissiet ""l-okkupazzjoni Amerikana teħtieġ li ddum 10 snin hekk kif il-Punent żviluppa "&amp;"sorsi ta 'enerġija alternattivi, u jirriżulta fl-"" aljenazzjoni totali ""tal-Għarab u ħafna mill- Bqija tat-Tielet Dinja. """)</f>
        <v>Fl-2004, dokumenti deklassifikati żvelaw li l-Istati Uniti kienet tant distraught miż-żieda fil-prezzijiet taż-żejt u li ġiet ikkontestata minn pajjiżi mhux żviluppati li huma kkunsidraw fil-qosor azzjoni militari biex jaħtfu bil-forza l-kampijiet taż-żejt tal-Lvant Nofsani fl-aħħar tal-1973. Għalkemm ma ġie msemmi l-ebda pjan espliċitu, a Il-konversazzjoni bejn is-Segretarju tad-Difiża tal-Istati Uniti James Schlesinger u l-Ambaxxatur Brittaniku għall-Istati Uniti Lord Cromer żvelat li Schlesinger kien qallu li "ma kienx għadu ovvju għalih li l-Istati Uniti ma setgħux jużaw il-forza." Il-Prim Ministru Ingliż Edward Heath kien tant inkwetat minn din il-prospett li ordna stima tal-intelliġenza Ingliża tal-intenzjonijiet tal-Istati Uniti, li kkonkluda li l-Amerika "tista 'tikkunsidra li ma setgħetx tittollera sitwazzjoni li fiha l-Istati Uniti u l-alleati tagħha kienu fil-ħniena ta' grupp żgħir ta ' Pajjiżi mhux raġonevoli, "u li jippreferu operazzjoni rapida biex jaħtfu l-kampijiet taż-żejt fl-Arabja Sawdija u l-Kuwajt, u possibbilment ġie deċiż Abu Dhabi fl-azzjoni militari. Għalkemm ir-rispons Sovjetiku għal att bħal dan x'aktarx ma jinvolvix forza, l-intelliġenza wissiet "l-okkupazzjoni Amerikana teħtieġ li ddum 10 snin hekk kif il-Punent żviluppa sorsi ta 'enerġija alternattivi, u jirriżulta fl-" aljenazzjoni totali "tal-Għarab u ħafna mill- Bqija tat-Tielet Dinja. "</v>
      </c>
    </row>
    <row r="255" ht="15.75" customHeight="1">
      <c r="A255" s="2" t="s">
        <v>255</v>
      </c>
      <c r="B255" s="2" t="str">
        <f>IFERROR(__xludf.DUMMYFUNCTION("GOOGLETRANSLATE(A255,""en"", ""mt"")"),"L-Att tal-Kolonja tar-Rabat")</f>
        <v>L-Att tal-Kolonja tar-Rabat</v>
      </c>
    </row>
    <row r="256" ht="15.75" customHeight="1">
      <c r="A256" s="2" t="s">
        <v>256</v>
      </c>
      <c r="B256" s="2" t="str">
        <f>IFERROR(__xludf.DUMMYFUNCTION("GOOGLETRANSLATE(A256,""en"", ""mt"")"),"Għaliex wieħed irid jagħti diskors?")</f>
        <v>Għaliex wieħed irid jagħti diskors?</v>
      </c>
    </row>
    <row r="257" ht="15.75" customHeight="1">
      <c r="A257" s="2" t="s">
        <v>257</v>
      </c>
      <c r="B257" s="2" t="str">
        <f>IFERROR(__xludf.DUMMYFUNCTION("GOOGLETRANSLATE(A257,""en"", ""mt"")"),"Liema kanal ħa post l-ivvjaġġar tas-sema?")</f>
        <v>Liema kanal ħa post l-ivvjaġġar tas-sema?</v>
      </c>
    </row>
    <row r="258" ht="15.75" customHeight="1">
      <c r="A258" s="2" t="s">
        <v>258</v>
      </c>
      <c r="B258" s="2" t="str">
        <f>IFERROR(__xludf.DUMMYFUNCTION("GOOGLETRANSLATE(A258,""en"", ""mt"")"),"ingħata lill-Protestanti ugwaljanza mal-Kattoliċi")</f>
        <v>ingħata lill-Protestanti ugwaljanza mal-Kattoliċi</v>
      </c>
    </row>
    <row r="259" ht="15.75" customHeight="1">
      <c r="A259" s="2" t="s">
        <v>259</v>
      </c>
      <c r="B259" s="2" t="str">
        <f>IFERROR(__xludf.DUMMYFUNCTION("GOOGLETRANSLATE(A259,""en"", ""mt"")"),"ibbażat fil-komunità")</f>
        <v>ibbażat fil-komunità</v>
      </c>
    </row>
    <row r="260" ht="15.75" customHeight="1">
      <c r="A260" s="2" t="s">
        <v>260</v>
      </c>
      <c r="B260" s="2" t="str">
        <f>IFERROR(__xludf.DUMMYFUNCTION("GOOGLETRANSLATE(A260,""en"", ""mt"")"),"Kemm huwa l-Kulleġġ Fresno City mid-Distrett tat-Torri?")</f>
        <v>Kemm huwa l-Kulleġġ Fresno City mid-Distrett tat-Torri?</v>
      </c>
    </row>
    <row r="261" ht="15.75" customHeight="1">
      <c r="A261" s="2" t="s">
        <v>261</v>
      </c>
      <c r="B261" s="2" t="str">
        <f>IFERROR(__xludf.DUMMYFUNCTION("GOOGLETRANSLATE(A261,""en"", ""mt"")"),"Klassi I MHC")</f>
        <v>Klassi I MHC</v>
      </c>
    </row>
    <row r="262" ht="15.75" customHeight="1">
      <c r="A262" s="2" t="s">
        <v>262</v>
      </c>
      <c r="B262" s="2" t="str">
        <f>IFERROR(__xludf.DUMMYFUNCTION("GOOGLETRANSLATE(A262,""en"", ""mt"")"),"Mainstream Nazzjonalist u Sekularist Kungress Nazzjonali Indjan")</f>
        <v>Mainstream Nazzjonalist u Sekularist Kungress Nazzjonali Indjan</v>
      </c>
    </row>
    <row r="263" ht="15.75" customHeight="1">
      <c r="A263" s="2" t="s">
        <v>263</v>
      </c>
      <c r="B263" s="2" t="str">
        <f>IFERROR(__xludf.DUMMYFUNCTION("GOOGLETRANSLATE(A263,""en"", ""mt"")"),"Is-sħana meħtieġa għat-togħlija tal-ilma u l-forniment tal-fwar tista 'tiġi derivata minn sorsi varji, l-iktar komunement minn ħruq ta' materjali kombustibbli b'forniment xieraq ta 'arja fi spazju magħluq (imsejjaħ kamra tal-kombustjoni varjament, firebox"&amp;"). F’xi każijiet is-sors tas-sħana huwa reattur nukleari, enerġija ġeotermali, enerġija solari jew sħana tal-iskart minn magna ta ’kombustjoni interna jew proċess industrijali. Fil-każ ta 'magni tal-fwar tal-mudell jew tal-ġugarell, is-sors tas-sħana jist"&amp;"a' jkun element ta 'tisħin elettriku.")</f>
        <v>Is-sħana meħtieġa għat-togħlija tal-ilma u l-forniment tal-fwar tista 'tiġi derivata minn sorsi varji, l-iktar komunement minn ħruq ta' materjali kombustibbli b'forniment xieraq ta 'arja fi spazju magħluq (imsejjaħ kamra tal-kombustjoni varjament, firebox). F’xi każijiet is-sors tas-sħana huwa reattur nukleari, enerġija ġeotermali, enerġija solari jew sħana tal-iskart minn magna ta ’kombustjoni interna jew proċess industrijali. Fil-każ ta 'magni tal-fwar tal-mudell jew tal-ġugarell, is-sors tas-sħana jista' jkun element ta 'tisħin elettriku.</v>
      </c>
    </row>
    <row r="264" ht="15.75" customHeight="1">
      <c r="A264" s="2" t="s">
        <v>264</v>
      </c>
      <c r="B264" s="2" t="str">
        <f>IFERROR(__xludf.DUMMYFUNCTION("GOOGLETRANSLATE(A264,""en"", ""mt"")"),"Fir-rigward tal-kumpaniji, il-Qorti tal-Ġustizzja miżmuma f'R (Daily Mail and General Trust Plc) v HM Teżor li l-istati membri jistgħu jirrestrinġu kumpanija li tmexxi s-sede tan-negozju tagħha, mingħajr ma tikser l-artikolu 49. TFEU dan kien ifisser il-k"&amp;"umpanija ewlenija tal-gazzetta ta 'Daily Mail Ma setgħetx tevadi t-taxxa billi tbiddel ir-residenza tagħha lill-Olanda mingħajr ma l-ewwel issetilja l-kontijiet tat-taxxa tagħha fir-Renju Unit. Ir-Renju Unit ma kellux għalfejn jiġġustifika l-azzjoni tiegħ"&amp;"u, billi r-regoli dwar is-siġġijiet tal-kumpanija ma kinux għadhom armonizzati. B'kuntrast, f'Centros Ltd v Erhversus-OG Selkabssyelsen Il-Qorti tal-Ġustizzja sabet li kumpanija limitata tar-Renju Unit li topera fid-Danimarka ma setgħetx tkun meħtieġa li "&amp;"tikkonforma mar-regoli tal-kapital azzjonarju minimu tad-Danimarka. Il-liġi tar-Renju Unit kienet teħtieġ biss £ 1 ta 'kapital biex tibda kumpanija, filwaqt li l-leġiżlatura tad-Danimarka ħadet il-fehma li l-kumpaniji għandhom jinbdew biss jekk kellhom 20"&amp;"0,000 Krone Daniż (madwar € 27,000) biex jipproteġu l-kredituri jekk il-kumpanija falliet u marret insolventi. Il-Qorti tal-Ġustizzja qalet li l-liġi kapitali minima tad-Danimarka kisret il-libertà ta 'stabbiliment ta' Centros Ltd u ma setgħetx tkun iġġus"&amp;"tifikata, minħabba li kumpanija fir-Renju Unit setgħet tipprovdi servizzi fid-Danimarka mingħajr ma tkun stabbilita hemmhekk, u kien hemm mezzi inqas restrittivi biex jinkiseb l-għan ta ' Protezzjoni tal-kreditur. Dan l-approċċ ġie kkritikat bħala li pote"&amp;"nzjalment jiftaħ l-UE għal kompetizzjoni regolatorja mhux ġustifikata, u tellieqa lejn il-qiegħ fl-istandards, bħal fl-Istati Uniti fejn l-istat Delaware jattira ħafna kumpaniji u ħafna drabi huwa argumentat li għandu l-agħar standards tar-responsabbiltà "&amp;"tal-bordijiet, u baxx Bħala riżultat ta 'taxxi korporattivi. Bl-istess mod fil-kostruzzjoni ta 'überseering bv v nordic gmbH Il-Qorti tal-Ġustizzja ddeċidiet li qorti Ġermaniża ma setgħetx tiċħad lil kumpanija tal-bini Olandiża d-dritt li tinforza kuntrat"&amp;"t fil-Ġermanja fuq il-bażi li ma kinitx validament inkorporata fil-Ġermanja. Għalkemm ir-restrizzjonijiet fuq il-libertà tal-istabbiliment jistgħu jiġu ġġustifikati mill-protezzjoni tal-kredituri, id-drittijiet tax-xogħol biex jipparteċipaw fix-xogħol, je"&amp;"w l-interess pubbliku fil-ġbir tat-taxxi, iċ-ċaħda tal-kapaċità marret wisq: kienet ""negazzjoni diretta"" tad-dritt ta 'stabbiliment. Madankollu, fil-Cartesio Oktató és Szolgáltató bt il-Qorti tal-Ġustizzja affermat mill-ġdid li minħabba li l-korporazzjo"&amp;"nijiet huma maħluqa mil-liġi, huma fil-prinċipju huma soġġetti għal kwalunkwe regoli għall-formazzjoni li stat ta 'inkorporazzjoni jixtieq jimponi. Dan kien ifisser li l-awtoritajiet Ungeriżi jistgħu jipprevjenu kumpanija milli tbiddel l-amministrazzjoni "&amp;"ċentrali tagħha lejn l-Italja waqt li kienet għadha topera u ġiet inkorporata fl-Ungerija. Għalhekk, il-qorti tiġbed distinzjoni bejn id-dritt ta 'stabbiliment għal kumpaniji barranin (fejn ir-restrizzjonijiet għandhom ikunu ġġustifikati), u d-dritt tal-I"&amp;"stat li jiddetermina l-kundizzjonijiet għall-kumpaniji inkorporati fit-territorju tagħha, għalkemm mhuwiex kompletament ċar għaliex.")</f>
        <v>Fir-rigward tal-kumpaniji, il-Qorti tal-Ġustizzja miżmuma f'R (Daily Mail and General Trust Plc) v HM Teżor li l-istati membri jistgħu jirrestrinġu kumpanija li tmexxi s-sede tan-negozju tagħha, mingħajr ma tikser l-artikolu 49. TFEU dan kien ifisser il-kumpanija ewlenija tal-gazzetta ta 'Daily Mail Ma setgħetx tevadi t-taxxa billi tbiddel ir-residenza tagħha lill-Olanda mingħajr ma l-ewwel issetilja l-kontijiet tat-taxxa tagħha fir-Renju Unit. Ir-Renju Unit ma kellux għalfejn jiġġustifika l-azzjoni tiegħu, billi r-regoli dwar is-siġġijiet tal-kumpanija ma kinux għadhom armonizzati. B'kuntrast, f'Centros Ltd v Erhversus-OG Selkabssyelsen Il-Qorti tal-Ġustizzja sabet li kumpanija limitata tar-Renju Unit li topera fid-Danimarka ma setgħetx tkun meħtieġa li tikkonforma mar-regoli tal-kapital azzjonarju minimu tad-Danimarka. Il-liġi tar-Renju Unit kienet teħtieġ biss £ 1 ta 'kapital biex tibda kumpanija, filwaqt li l-leġiżlatura tad-Danimarka ħadet il-fehma li l-kumpaniji għandhom jinbdew biss jekk kellhom 200,000 Krone Daniż (madwar € 27,000) biex jipproteġu l-kredituri jekk il-kumpanija falliet u marret insolventi. Il-Qorti tal-Ġustizzja qalet li l-liġi kapitali minima tad-Danimarka kisret il-libertà ta 'stabbiliment ta' Centros Ltd u ma setgħetx tkun iġġustifikata, minħabba li kumpanija fir-Renju Unit setgħet tipprovdi servizzi fid-Danimarka mingħajr ma tkun stabbilita hemmhekk, u kien hemm mezzi inqas restrittivi biex jinkiseb l-għan ta ' Protezzjoni tal-kreditur. Dan l-approċċ ġie kkritikat bħala li potenzjalment jiftaħ l-UE għal kompetizzjoni regolatorja mhux ġustifikata, u tellieqa lejn il-qiegħ fl-istandards, bħal fl-Istati Uniti fejn l-istat Delaware jattira ħafna kumpaniji u ħafna drabi huwa argumentat li għandu l-agħar standards tar-responsabbiltà tal-bordijiet, u baxx Bħala riżultat ta 'taxxi korporattivi. Bl-istess mod fil-kostruzzjoni ta 'überseering bv v nordic gmbH Il-Qorti tal-Ġustizzja ddeċidiet li qorti Ġermaniża ma setgħetx tiċħad lil kumpanija tal-bini Olandiża d-dritt li tinforza kuntratt fil-Ġermanja fuq il-bażi li ma kinitx validament inkorporata fil-Ġermanja. Għalkemm ir-restrizzjonijiet fuq il-libertà tal-istabbiliment jistgħu jiġu ġġustifikati mill-protezzjoni tal-kredituri, id-drittijiet tax-xogħol biex jipparteċipaw fix-xogħol, jew l-interess pubbliku fil-ġbir tat-taxxi, iċ-ċaħda tal-kapaċità marret wisq: kienet "negazzjoni diretta" tad-dritt ta 'stabbiliment. Madankollu, fil-Cartesio Oktató és Szolgáltató bt il-Qorti tal-Ġustizzja affermat mill-ġdid li minħabba li l-korporazzjonijiet huma maħluqa mil-liġi, huma fil-prinċipju huma soġġetti għal kwalunkwe regoli għall-formazzjoni li stat ta 'inkorporazzjoni jixtieq jimponi. Dan kien ifisser li l-awtoritajiet Ungeriżi jistgħu jipprevjenu kumpanija milli tbiddel l-amministrazzjoni ċentrali tagħha lejn l-Italja waqt li kienet għadha topera u ġiet inkorporata fl-Ungerija. Għalhekk, il-qorti tiġbed distinzjoni bejn id-dritt ta 'stabbiliment għal kumpaniji barranin (fejn ir-restrizzjonijiet għandhom ikunu ġġustifikati), u d-dritt tal-Istat li jiddetermina l-kundizzjonijiet għall-kumpaniji inkorporati fit-territorju tagħha, għalkemm mhuwiex kompletament ċar għaliex.</v>
      </c>
    </row>
    <row r="265" ht="15.75" customHeight="1">
      <c r="A265" s="2" t="s">
        <v>265</v>
      </c>
      <c r="B265" s="2" t="str">
        <f>IFERROR(__xludf.DUMMYFUNCTION("GOOGLETRANSLATE(A265,""en"", ""mt"")"),"il-qerda ta 'Iżrael")</f>
        <v>il-qerda ta 'Iżrael</v>
      </c>
    </row>
    <row r="266" ht="15.75" customHeight="1">
      <c r="A266" s="2" t="s">
        <v>266</v>
      </c>
      <c r="B266" s="2" t="str">
        <f>IFERROR(__xludf.DUMMYFUNCTION("GOOGLETRANSLATE(A266,""en"", ""mt"")"),"1997 Trattat ta 'Amsterdam")</f>
        <v>1997 Trattat ta 'Amsterdam</v>
      </c>
    </row>
    <row r="267" ht="15.75" customHeight="1">
      <c r="A267" s="2" t="s">
        <v>267</v>
      </c>
      <c r="B267" s="2" t="str">
        <f>IFERROR(__xludf.DUMMYFUNCTION("GOOGLETRANSLATE(A267,""en"", ""mt"")"),"il-forza oriġinali")</f>
        <v>il-forza oriġinali</v>
      </c>
    </row>
    <row r="268" ht="15.75" customHeight="1">
      <c r="A268" s="2" t="s">
        <v>268</v>
      </c>
      <c r="B268" s="2" t="str">
        <f>IFERROR(__xludf.DUMMYFUNCTION("GOOGLETRANSLATE(A268,""en"", ""mt"")"),"X'inhu l-paragun fil-prezz bejn l-iskejjel privati ​​Awstraljani kontra l-pubbliku?")</f>
        <v>X'inhu l-paragun fil-prezz bejn l-iskejjel privati ​​Awstraljani kontra l-pubbliku?</v>
      </c>
    </row>
    <row r="269" ht="15.75" customHeight="1">
      <c r="A269" s="2" t="s">
        <v>269</v>
      </c>
      <c r="B269" s="2" t="str">
        <f>IFERROR(__xludf.DUMMYFUNCTION("GOOGLETRANSLATE(A269,""en"", ""mt"")"),"Liema simbolu kien użat sa kmieni fis-seklu 20?")</f>
        <v>Liema simbolu kien użat sa kmieni fis-seklu 20?</v>
      </c>
    </row>
    <row r="270" ht="15.75" customHeight="1">
      <c r="A270" s="2" t="s">
        <v>270</v>
      </c>
      <c r="B270" s="2" t="str">
        <f>IFERROR(__xludf.DUMMYFUNCTION("GOOGLETRANSLATE(A270,""en"", ""mt"")"),"Unitajiet ta 'kiri ta' kwalità")</f>
        <v>Unitajiet ta 'kiri ta' kwalità</v>
      </c>
    </row>
    <row r="271" ht="15.75" customHeight="1">
      <c r="A271" s="2" t="s">
        <v>271</v>
      </c>
      <c r="B271" s="2" t="str">
        <f>IFERROR(__xludf.DUMMYFUNCTION("GOOGLETRANSLATE(A271,""en"", ""mt"")"),"X'inhu l-isem tal-liġi li imponiet il-limitu tal-veloċità?")</f>
        <v>X'inhu l-isem tal-liġi li imponiet il-limitu tal-veloċità?</v>
      </c>
    </row>
    <row r="272" ht="15.75" customHeight="1">
      <c r="A272" s="2" t="s">
        <v>272</v>
      </c>
      <c r="B272" s="2" t="str">
        <f>IFERROR(__xludf.DUMMYFUNCTION("GOOGLETRANSLATE(A272,""en"", ""mt"")"),"L-għan tal-liġi tal-kompetizzjoni Franċiża kien li tagħmel xiex?")</f>
        <v>L-għan tal-liġi tal-kompetizzjoni Franċiża kien li tagħmel xiex?</v>
      </c>
    </row>
    <row r="273" ht="15.75" customHeight="1">
      <c r="A273" s="2" t="s">
        <v>273</v>
      </c>
      <c r="B273" s="2" t="str">
        <f>IFERROR(__xludf.DUMMYFUNCTION("GOOGLETRANSLATE(A273,""en"", ""mt"")"),"inqas")</f>
        <v>inqas</v>
      </c>
    </row>
    <row r="274" ht="15.75" customHeight="1">
      <c r="A274" s="2" t="s">
        <v>274</v>
      </c>
      <c r="B274" s="2" t="str">
        <f>IFERROR(__xludf.DUMMYFUNCTION("GOOGLETRANSLATE(A274,""en"", ""mt"")"),"Diviżjoni Ġdida Kolleġġjata")</f>
        <v>Diviżjoni Ġdida Kolleġġjata</v>
      </c>
    </row>
    <row r="275" ht="15.75" customHeight="1">
      <c r="A275" s="2" t="s">
        <v>275</v>
      </c>
      <c r="B275" s="2" t="str">
        <f>IFERROR(__xludf.DUMMYFUNCTION("GOOGLETRANSLATE(A275,""en"", ""mt"")"),"L-organizzazzjonijiet kollha tal-istudenti rikonoxxuti, mill-Università ta ’Chicago Scavenger Hunt sal-mudell tan-NU, minbarra timijiet akkademiċi, klabb sportiv, gruppi tal-arti, u aktar huma ffinanzjati mill-gvern tal-istudenti tal-Università ta’ Chicag"&amp;"o. Il-gvern tal-istudenti huwa magħmul minn studenti gradwati u li għadhom ma ggradwawx eletti biex jirrappreżentaw lill-membri mill-unità akkademika rispettiva tagħhom. Huwa mmexxi minn kumitat eżekuttiv, ippresedut minn president bl-għajnuna ta 'żewġ vi"&amp;"ċi presidenti, wieħed għall-amministrazzjoni u l-ieħor għall-ħajja tal-istudenti, elett flimkien bħala lavanja mill-korp tal-istudenti kull rebbiegħa. Il-baġit annwali tiegħu huwa akbar minn $ 2 miljun.")</f>
        <v>L-organizzazzjonijiet kollha tal-istudenti rikonoxxuti, mill-Università ta ’Chicago Scavenger Hunt sal-mudell tan-NU, minbarra timijiet akkademiċi, klabb sportiv, gruppi tal-arti, u aktar huma ffinanzjati mill-gvern tal-istudenti tal-Università ta’ Chicago. Il-gvern tal-istudenti huwa magħmul minn studenti gradwati u li għadhom ma ggradwawx eletti biex jirrappreżentaw lill-membri mill-unità akkademika rispettiva tagħhom. Huwa mmexxi minn kumitat eżekuttiv, ippresedut minn president bl-għajnuna ta 'żewġ viċi presidenti, wieħed għall-amministrazzjoni u l-ieħor għall-ħajja tal-istudenti, elett flimkien bħala lavanja mill-korp tal-istudenti kull rebbiegħa. Il-baġit annwali tiegħu huwa akbar minn $ 2 miljun.</v>
      </c>
    </row>
    <row r="276" ht="15.75" customHeight="1">
      <c r="A276" s="2" t="s">
        <v>276</v>
      </c>
      <c r="B276" s="2" t="str">
        <f>IFERROR(__xludf.DUMMYFUNCTION("GOOGLETRANSLATE(A276,""en"", ""mt"")"),"L-istorja tal-magna tal-fwar tinfirex lura sa l-ewwel seklu WK; L-ewwel magna tal-fwar rudimentarja rreġistrata hija l-eolipile deskritta mill-eroj tal-matematiku Grieg ta ’Lixandra. Fis-sekli li ġejjin, il-ftit ""magni"" li jaħdmu bil-fwar kienu magħrufa"&amp;", bħall-apparat ta 'l-eolipile, essenzjalment sperimentali użati mill-inventuri biex juru l-proprjetajiet tal-fwar. Apparat rudimentarju tat-turbina tal-fwar ġie deskritt minn Taqi al-Din fl-1551 u minn Giovanni Branca fl-1629. Jerónimo de Ayanz y Beaumon"&amp;"t irċieva privattivi fl-1606 għal ħamsin invenzjonijiet li jaħdmu bil-fwar, inkluża pompa tal-ilma biex tixxotta l-minjieri inundati. Denis Papin, refuġjat Huguenot, għamel xi xogħol utli fuq il-fwar diġestur fl-1679, u l-ewwel uża pistun biex jgħolli l-p"&amp;"iżijiet fl-1690.")</f>
        <v>L-istorja tal-magna tal-fwar tinfirex lura sa l-ewwel seklu WK; L-ewwel magna tal-fwar rudimentarja rreġistrata hija l-eolipile deskritta mill-eroj tal-matematiku Grieg ta ’Lixandra. Fis-sekli li ġejjin, il-ftit "magni" li jaħdmu bil-fwar kienu magħrufa, bħall-apparat ta 'l-eolipile, essenzjalment sperimentali użati mill-inventuri biex juru l-proprjetajiet tal-fwar. Apparat rudimentarju tat-turbina tal-fwar ġie deskritt minn Taqi al-Din fl-1551 u minn Giovanni Branca fl-1629. Jerónimo de Ayanz y Beaumont irċieva privattivi fl-1606 għal ħamsin invenzjonijiet li jaħdmu bil-fwar, inkluża pompa tal-ilma biex tixxotta l-minjieri inundati. Denis Papin, refuġjat Huguenot, għamel xi xogħol utli fuq il-fwar diġestur fl-1679, u l-ewwel uża pistun biex jgħolli l-piżijiet fl-1690.</v>
      </c>
    </row>
    <row r="277" ht="15.75" customHeight="1">
      <c r="A277" s="2" t="s">
        <v>277</v>
      </c>
      <c r="B277" s="2" t="str">
        <f>IFERROR(__xludf.DUMMYFUNCTION("GOOGLETRANSLATE(A277,""en"", ""mt"")"),"Kif tissejjaħ terra preta?")</f>
        <v>Kif tissejjaħ terra preta?</v>
      </c>
    </row>
    <row r="278" ht="15.75" customHeight="1">
      <c r="A278" s="2" t="s">
        <v>278</v>
      </c>
      <c r="B278" s="2" t="str">
        <f>IFERROR(__xludf.DUMMYFUNCTION("GOOGLETRANSLATE(A278,""en"", ""mt"")"),"Protokoll tal-Internet")</f>
        <v>Protokoll tal-Internet</v>
      </c>
    </row>
    <row r="279" ht="15.75" customHeight="1">
      <c r="A279" s="2" t="s">
        <v>279</v>
      </c>
      <c r="B279" s="2" t="str">
        <f>IFERROR(__xludf.DUMMYFUNCTION("GOOGLETRANSLATE(A279,""en"", ""mt"")"),"X'inhuma xi faċilitajiet eżistenti?")</f>
        <v>X'inhuma xi faċilitajiet eżistenti?</v>
      </c>
    </row>
    <row r="280" ht="15.75" customHeight="1">
      <c r="A280" s="2" t="s">
        <v>280</v>
      </c>
      <c r="B280" s="2" t="str">
        <f>IFERROR(__xludf.DUMMYFUNCTION("GOOGLETRANSLATE(A280,""en"", ""mt"")"),"Is-salarji tal-għalliema jitħallsu mill-istat")</f>
        <v>Is-salarji tal-għalliema jitħallsu mill-istat</v>
      </c>
    </row>
    <row r="281" ht="15.75" customHeight="1">
      <c r="A281" s="2" t="s">
        <v>281</v>
      </c>
      <c r="B281" s="2" t="str">
        <f>IFERROR(__xludf.DUMMYFUNCTION("GOOGLETRANSLATE(A281,""en"", ""mt"")"),"foresta miftuħa u ħaxix")</f>
        <v>foresta miftuħa u ħaxix</v>
      </c>
    </row>
    <row r="282" ht="15.75" customHeight="1">
      <c r="A282" s="2" t="s">
        <v>282</v>
      </c>
      <c r="B282" s="2" t="str">
        <f>IFERROR(__xludf.DUMMYFUNCTION("GOOGLETRANSLATE(A282,""en"", ""mt"")"),"kunċett ta 'swiċċjar ta' blokka ta 'messaġġi adattivi distribwiti")</f>
        <v>kunċett ta 'swiċċjar ta' blokka ta 'messaġġi adattivi distribwiti</v>
      </c>
    </row>
    <row r="283" ht="15.75" customHeight="1">
      <c r="A283" s="2" t="s">
        <v>283</v>
      </c>
      <c r="B283" s="2" t="str">
        <f>IFERROR(__xludf.DUMMYFUNCTION("GOOGLETRANSLATE(A283,""en"", ""mt"")"),"Letteratura tal-ivvjaġġar, kartografija, ġeografija, u edukazzjoni xjentifika")</f>
        <v>Letteratura tal-ivvjaġġar, kartografija, ġeografija, u edukazzjoni xjentifika</v>
      </c>
    </row>
    <row r="284" ht="15.75" customHeight="1">
      <c r="A284" s="2" t="s">
        <v>284</v>
      </c>
      <c r="B284" s="2" t="str">
        <f>IFERROR(__xludf.DUMMYFUNCTION("GOOGLETRANSLATE(A284,""en"", ""mt"")"),"il-konvenjenza tal-ferrovija u mħassba dwar l-għargħar")</f>
        <v>il-konvenjenza tal-ferrovija u mħassba dwar l-għargħar</v>
      </c>
    </row>
    <row r="285" ht="15.75" customHeight="1">
      <c r="A285" s="2" t="s">
        <v>285</v>
      </c>
      <c r="B285" s="2" t="str">
        <f>IFERROR(__xludf.DUMMYFUNCTION("GOOGLETRANSLATE(A285,""en"", ""mt"")"),"Għal xiex huwa magħruf il-Pedanius Dioscorides?")</f>
        <v>Għal xiex huwa magħruf il-Pedanius Dioscorides?</v>
      </c>
    </row>
    <row r="286" ht="15.75" customHeight="1">
      <c r="A286" s="2" t="s">
        <v>286</v>
      </c>
      <c r="B286" s="2" t="str">
        <f>IFERROR(__xludf.DUMMYFUNCTION("GOOGLETRANSLATE(A286,""en"", ""mt"")"),"Harvard kien ikklassifikat ħafna minn bosta klassifiki universitarji. B'mod partikolari, hija kkonkludiet b'mod konsistenti l-klassifika akkademika ta 'universitajiet dinjija (ARWU) mill-2003, u l-klassifiki ta' reputazzjoni dinjija mill-2011, meta ġew ip"&amp;"pubblikati l-ewwel darba tali tabelli tal-kampjonat. Meta l-QS and Times ġew ippubblikati fi sħubija bħala l-klassifika tal-Università Dinjija tal-QS matul l-2004-2009, Harvard kien ukoll meqjus l-ewwel wieħed kull sena. Il-programm undergraduate tal-univ"&amp;"ersità kien kontinwament fost l-aqwa tnejn fir-Rapport tal-Aħbarijiet u Dinjija tal-Istati Uniti. Fl-2014, Harvard qabeż il-klassifika tal-università permezz ta ’prestazzjoni akkademika (URAP). Ġie kklassifikat it-8 fir-Rapport tas-Salarju tal-Kulleġġ Pay"&amp;"scale 2013-2014 u l-14-il sena fuq il-klassifikazzjonijiet tal-valur tal-Edukazzjoni tal-Kulleġġ Payscale 2013. Minn stħarriġ magħmul mir-Reviżjoni ta 'Princeton, Harvard huwa t-tieni l-iktar komunement imsejjaħ ""Dream College"", kemm għall-istudenti kif"&amp;" ukoll għall-ġenituri fl-2013, u kien l-ewwel nominat mill-ġenituri fl-2009. Fl-2011. Fl-2011, il-Minjieri Paristich: Universitajiet tad-Dinja tal-Klassifikazzjoni Professjonali Ikklassifikat l-1 Università ta 'Harvard fid-Dinja f'termini ta' numru ta 'po"&amp;"żizzjoni ta' CEO ta 'Alumni f'Fortune Global 500 Company.")</f>
        <v>Harvard kien ikklassifikat ħafna minn bosta klassifiki universitarji. B'mod partikolari, hija kkonkludiet b'mod konsistenti l-klassifika akkademika ta 'universitajiet dinjija (ARWU) mill-2003, u l-klassifiki ta' reputazzjoni dinjija mill-2011, meta ġew ippubblikati l-ewwel darba tali tabelli tal-kampjonat. Meta l-QS and Times ġew ippubblikati fi sħubija bħala l-klassifika tal-Università Dinjija tal-QS matul l-2004-2009, Harvard kien ukoll meqjus l-ewwel wieħed kull sena. Il-programm undergraduate tal-università kien kontinwament fost l-aqwa tnejn fir-Rapport tal-Aħbarijiet u Dinjija tal-Istati Uniti. Fl-2014, Harvard qabeż il-klassifika tal-università permezz ta ’prestazzjoni akkademika (URAP). Ġie kklassifikat it-8 fir-Rapport tas-Salarju tal-Kulleġġ Payscale 2013-2014 u l-14-il sena fuq il-klassifikazzjonijiet tal-valur tal-Edukazzjoni tal-Kulleġġ Payscale 2013. Minn stħarriġ magħmul mir-Reviżjoni ta 'Princeton, Harvard huwa t-tieni l-iktar komunement imsejjaħ "Dream College", kemm għall-istudenti kif ukoll għall-ġenituri fl-2013, u kien l-ewwel nominat mill-ġenituri fl-2009. Fl-2011. Fl-2011, il-Minjieri Paristich: Universitajiet tad-Dinja tal-Klassifikazzjoni Professjonali Ikklassifikat l-1 Università ta 'Harvard fid-Dinja f'termini ta' numru ta 'pożizzjoni ta' CEO ta 'Alumni f'Fortune Global 500 Company.</v>
      </c>
    </row>
    <row r="287" ht="15.75" customHeight="1">
      <c r="A287" s="2" t="s">
        <v>287</v>
      </c>
      <c r="B287" s="2" t="str">
        <f>IFERROR(__xludf.DUMMYFUNCTION("GOOGLETRANSLATE(A287,""en"", ""mt"")"),"Fid-dinja industrijalizzata moderna, il-kostruzzjoni ġeneralment tinvolvi t-traduzzjoni tad-disinji fir-realtà. Tim ta 'disinn formali jista' jkun immuntat biex jippjana l-proċeduri fiżiċi, u biex jintegra dawk il-proċeduri mal-partijiet l-oħra. Id-disinn"&amp;" ġeneralment jikkonsisti minn tpinġijiet u speċifikazzjonijiet, ġeneralment ippreparati minn tim tad-disinn li jinkludi perit, inġiniera ċivili, inġiniera mekkaniċi, inġiniera elettriċi, inġiniera strutturali, inġiniera tal-protezzjoni tan-nar, konsulenti"&amp;" tal-ippjanar, konsulenti arkitettoniċi, u konsulenti arkeoloġiċi. It-tim tad-disinn huwa l-iktar użat komunement minn (i.e. f'kuntratt ma ') is-sid tal-propjetà. Taħt din is-sistema, ladarba d-disinn jitlesta mit-tim tad-disinn, numru ta 'kumpaniji tal-k"&amp;"ostruzzjoni jew kumpaniji tal-ġestjoni tal-kostruzzjoni jistgħu mbagħad jintalbu jagħmlu offerta għax-xogħol, jew ibbażati direttament fuq id-disinn, jew fuq il-bażi tat-tpinġijiet u Abbozz ta ’Kwantitajiet ipprovduti minn Surveyor tal-Kwantità. Wara l-ev"&amp;"alwazzjoni tal-offerti, is-sid tipikament jagħti kuntratt lill-offerent l-iktar effiċjenti fl-infiq.")</f>
        <v>Fid-dinja industrijalizzata moderna, il-kostruzzjoni ġeneralment tinvolvi t-traduzzjoni tad-disinji fir-realtà. Tim ta 'disinn formali jista' jkun immuntat biex jippjana l-proċeduri fiżiċi, u biex jintegra dawk il-proċeduri mal-partijiet l-oħra. Id-disinn ġeneralment jikkonsisti minn tpinġijiet u speċifikazzjonijiet, ġeneralment ippreparati minn tim tad-disinn li jinkludi perit, inġiniera ċivili, inġiniera mekkaniċi, inġiniera elettriċi, inġiniera strutturali, inġiniera tal-protezzjoni tan-nar, konsulenti tal-ippjanar, konsulenti arkitettoniċi, u konsulenti arkeoloġiċi. It-tim tad-disinn huwa l-iktar użat komunement minn (i.e. f'kuntratt ma ') is-sid tal-propjetà. Taħt din is-sistema, ladarba d-disinn jitlesta mit-tim tad-disinn, numru ta 'kumpaniji tal-kostruzzjoni jew kumpaniji tal-ġestjoni tal-kostruzzjoni jistgħu mbagħad jintalbu jagħmlu offerta għax-xogħol, jew ibbażati direttament fuq id-disinn, jew fuq il-bażi tat-tpinġijiet u Abbozz ta ’Kwantitajiet ipprovduti minn Surveyor tal-Kwantità. Wara l-evalwazzjoni tal-offerti, is-sid tipikament jagħti kuntratt lill-offerent l-iktar effiċjenti fl-infiq.</v>
      </c>
    </row>
    <row r="288" ht="15.75" customHeight="1">
      <c r="A288" s="2" t="s">
        <v>288</v>
      </c>
      <c r="B288" s="2" t="str">
        <f>IFERROR(__xludf.DUMMYFUNCTION("GOOGLETRANSLATE(A288,""en"", ""mt"")"),"L-elezzjoni pproduċiet gvern ta 'SNP b'maġġoranza, u għamel dan l-ewwel darba fil-Parlament Skoċċiż fejn partit ikkmanda maġġoranza parlamentari. L-SNP ħa 16-il siġġu mix-xogħol, b'ħafna mill-figuri ewlenin tagħhom ma rritornawx lill-Parlament, għalkemm i"&amp;"l-Mexxej Laburista Iain Gray żamm Lvant Lothian bi 151 vot. L-SNP ħa tmien siġġijiet oħra mid-Demokratiċi Liberali u siġġu wieħed mill-Konservattivi. Il-maġġoranza ġenerali tal-SNP fissret li kien hemm biżżejjed appoġġ fil-Parlament Skoċċiż biex iżomm ref"&amp;"erendum dwar l-indipendenza Skoċċiża.")</f>
        <v>L-elezzjoni pproduċiet gvern ta 'SNP b'maġġoranza, u għamel dan l-ewwel darba fil-Parlament Skoċċiż fejn partit ikkmanda maġġoranza parlamentari. L-SNP ħa 16-il siġġu mix-xogħol, b'ħafna mill-figuri ewlenin tagħhom ma rritornawx lill-Parlament, għalkemm il-Mexxej Laburista Iain Gray żamm Lvant Lothian bi 151 vot. L-SNP ħa tmien siġġijiet oħra mid-Demokratiċi Liberali u siġġu wieħed mill-Konservattivi. Il-maġġoranza ġenerali tal-SNP fissret li kien hemm biżżejjed appoġġ fil-Parlament Skoċċiż biex iżomm referendum dwar l-indipendenza Skoċċiża.</v>
      </c>
    </row>
    <row r="289" ht="15.75" customHeight="1">
      <c r="A289" s="2" t="s">
        <v>289</v>
      </c>
      <c r="B289" s="2" t="str">
        <f>IFERROR(__xludf.DUMMYFUNCTION("GOOGLETRANSLATE(A289,""en"", ""mt"")"),"Konsorzju ta ’diversi kuntratturi")</f>
        <v>Konsorzju ta ’diversi kuntratturi</v>
      </c>
    </row>
    <row r="290" ht="15.75" customHeight="1">
      <c r="A290" s="2" t="s">
        <v>290</v>
      </c>
      <c r="B290" s="2" t="str">
        <f>IFERROR(__xludf.DUMMYFUNCTION("GOOGLETRANSLATE(A290,""en"", ""mt"")"),"sinjur u tajjeb soċjalment")</f>
        <v>sinjur u tajjeb soċjalment</v>
      </c>
    </row>
    <row r="291" ht="15.75" customHeight="1">
      <c r="A291" s="2" t="s">
        <v>291</v>
      </c>
      <c r="B291" s="2" t="str">
        <f>IFERROR(__xludf.DUMMYFUNCTION("GOOGLETRANSLATE(A291,""en"", ""mt"")"),"Hockey stick graff")</f>
        <v>Hockey stick graff</v>
      </c>
    </row>
    <row r="292" ht="15.75" customHeight="1">
      <c r="A292" s="2" t="s">
        <v>292</v>
      </c>
      <c r="B292" s="2" t="str">
        <f>IFERROR(__xludf.DUMMYFUNCTION("GOOGLETRANSLATE(A292,""en"", ""mt"")"),"X'inhu l-isem ta 'algoritmu wieħed utli għall-ittestjar b'mod konvenjenti tal-primalità ta' numri kbar?")</f>
        <v>X'inhu l-isem ta 'algoritmu wieħed utli għall-ittestjar b'mod konvenjenti tal-primalità ta' numri kbar?</v>
      </c>
    </row>
    <row r="293" ht="15.75" customHeight="1">
      <c r="A293" s="2" t="s">
        <v>293</v>
      </c>
      <c r="B293" s="2" t="str">
        <f>IFERROR(__xludf.DUMMYFUNCTION("GOOGLETRANSLATE(A293,""en"", ""mt"")"),"Liema molekula għandha x-xemx fi proporzjon ogħla mid-Dinja?")</f>
        <v>Liema molekula għandha x-xemx fi proporzjon ogħla mid-Dinja?</v>
      </c>
    </row>
    <row r="294" ht="15.75" customHeight="1">
      <c r="A294" s="2" t="s">
        <v>294</v>
      </c>
      <c r="B294" s="2" t="str">
        <f>IFERROR(__xludf.DUMMYFUNCTION("GOOGLETRANSLATE(A294,""en"", ""mt"")"),"In-Nofsinhar ta ’California tikkonsisti f’żona statistika kkombinata, tmien żoni statistiċi metropolitani, żona metropolitana internazzjonali, u diversi diviżjonijiet metropolitani. Ir-reġjun huwa dar għal żewġ żoni metropolitani estiżi li jaqbżu l-ħames "&amp;"miljun fil-popolazzjoni. Dawn huma l-akbar żona ta ’Los Angeles fi 17,786,419, u San Diego - Tijuana f’5,105.768. Minn dawn iż-żoni metropolitani, iż-żona metropolitana ta 'Los Angeles-santa Ana-Ana, iż-żona metropolitana ta' Riverside-san Bernardino-Onta"&amp;"rio, u ż-żona metropolitana ta 'Oxnard-Eljun Oaks-Ventura jiffurmaw Los Angeles akbar; Filwaqt li ż-żona metropolitana El Centro u ż-żona metropolitana ta 'San Diego-Carlsbad-San Marcos jiffurmaw ir-reġjun tal-fruntiera tan-Nofsinhar. It-Tramuntana ta 'Lo"&amp;"s Angeles huma ż-żoni ta' Santa Barbara, San Luis Obispo, u Bakersfield Metropolitan.")</f>
        <v>In-Nofsinhar ta ’California tikkonsisti f’żona statistika kkombinata, tmien żoni statistiċi metropolitani, żona metropolitana internazzjonali, u diversi diviżjonijiet metropolitani. Ir-reġjun huwa dar għal żewġ żoni metropolitani estiżi li jaqbżu l-ħames miljun fil-popolazzjoni. Dawn huma l-akbar żona ta ’Los Angeles fi 17,786,419, u San Diego - Tijuana f’5,105.768. Minn dawn iż-żoni metropolitani, iż-żona metropolitana ta 'Los Angeles-santa Ana-Ana, iż-żona metropolitana ta' Riverside-san Bernardino-Ontario, u ż-żona metropolitana ta 'Oxnard-Eljun Oaks-Ventura jiffurmaw Los Angeles akbar; Filwaqt li ż-żona metropolitana El Centro u ż-żona metropolitana ta 'San Diego-Carlsbad-San Marcos jiffurmaw ir-reġjun tal-fruntiera tan-Nofsinhar. It-Tramuntana ta 'Los Angeles huma ż-żoni ta' Santa Barbara, San Luis Obispo, u Bakersfield Metropolitan.</v>
      </c>
    </row>
    <row r="295" ht="15.75" customHeight="1">
      <c r="A295" s="2" t="s">
        <v>295</v>
      </c>
      <c r="B295" s="2" t="str">
        <f>IFERROR(__xludf.DUMMYFUNCTION("GOOGLETRANSLATE(A295,""en"", ""mt"")"),"interface standardizzata")</f>
        <v>interface standardizzata</v>
      </c>
    </row>
    <row r="296" ht="15.75" customHeight="1">
      <c r="A296" s="2" t="s">
        <v>296</v>
      </c>
      <c r="B296" s="2" t="str">
        <f>IFERROR(__xludf.DUMMYFUNCTION("GOOGLETRANSLATE(A296,""en"", ""mt"")"),"Cork City")</f>
        <v>Cork City</v>
      </c>
    </row>
    <row r="297" ht="15.75" customHeight="1">
      <c r="A297" s="2" t="s">
        <v>297</v>
      </c>
      <c r="B297" s="2" t="str">
        <f>IFERROR(__xludf.DUMMYFUNCTION("GOOGLETRANSLATE(A297,""en"", ""mt"")"),"Ippompja l-ilma barra mill-mesoglea")</f>
        <v>Ippompja l-ilma barra mill-mesoglea</v>
      </c>
    </row>
    <row r="298" ht="15.75" customHeight="1">
      <c r="A298" s="2" t="s">
        <v>298</v>
      </c>
      <c r="B298" s="2" t="str">
        <f>IFERROR(__xludf.DUMMYFUNCTION("GOOGLETRANSLATE(A298,""en"", ""mt"")"),"Liema sintomu relatat mal-ġilda jidher mill-pesta pnewmonika?")</f>
        <v>Liema sintomu relatat mal-ġilda jidher mill-pesta pnewmonika?</v>
      </c>
    </row>
    <row r="299" ht="15.75" customHeight="1">
      <c r="A299" s="2" t="s">
        <v>299</v>
      </c>
      <c r="B299" s="2" t="str">
        <f>IFERROR(__xludf.DUMMYFUNCTION("GOOGLETRANSLATE(A299,""en"", ""mt"")"),"Huma ġew aċċettati u tħallew jaduraw liberament")</f>
        <v>Huma ġew aċċettati u tħallew jaduraw liberament</v>
      </c>
    </row>
    <row r="300" ht="15.75" customHeight="1">
      <c r="A300" s="2" t="s">
        <v>300</v>
      </c>
      <c r="B300" s="2" t="str">
        <f>IFERROR(__xludf.DUMMYFUNCTION("GOOGLETRANSLATE(A300,""en"", ""mt"")"),"Biex tevita l- ""inkonvenjent"" li żżur tabib jew li jiksbu mediċini li t-tobba tagħhom ma riedux jippreskrivu")</f>
        <v>Biex tevita l- "inkonvenjent" li żżur tabib jew li jiksbu mediċini li t-tobba tagħhom ma riedux jippreskrivu</v>
      </c>
    </row>
    <row r="301" ht="15.75" customHeight="1">
      <c r="A301" s="2" t="s">
        <v>301</v>
      </c>
      <c r="B301" s="2" t="str">
        <f>IFERROR(__xludf.DUMMYFUNCTION("GOOGLETRANSLATE(A301,""en"", ""mt"")"),"eventwalment jonqos")</f>
        <v>eventwalment jonqos</v>
      </c>
    </row>
    <row r="302" ht="15.75" customHeight="1">
      <c r="A302" s="2" t="s">
        <v>302</v>
      </c>
      <c r="B302" s="2" t="str">
        <f>IFERROR(__xludf.DUMMYFUNCTION("GOOGLETRANSLATE(A302,""en"", ""mt"")"),"Kublai reġa 'rrifjuta l-moviment tal-kapitali Mongolja minn Karakorum fil-Mongolja għal Khanbaliq fl-1264, billi bena belt ġdida qrib il-kapital ta' Jurchen Zhongdu, issa moderna ta 'Beijing, fl-1266. Fl-1271, Kublai formalment iddikjara l-mandat tas-sema"&amp;" u ddikjara li 1272 kien L-ewwel sena tal-Yuan il-Kbir (Ċiniż: 大 大) fl-istil ta 'dinastija Ċiniża tradizzjonali. L-isem tad-dinastija oriġina mill-I Ching u jiddeskrivi l- ""oriġini tal-univers"" jew ""forza primarja"". Kublai ipproklama Khanbaliq il- ""k"&amp;"apitali kbira"" jew daidu (Dadu, Ċiniż: 大都 biċ-Ċiniż) tad-dinastija. L-isem tal-era nbidel għal Zhiyuan għal Herald era ġdida tal-istorja Ċiniża. L-adozzjoni ta 'isem dinastiku leġittimizzat regola Mongoljana billi tintegra l-gvern fin-narrattiva tas-suċċ"&amp;"essjoni politika tradizzjonali Ċiniża. Khublai evoka l-immaġni pubblika tiegħu bħala imperatur tas-salvja billi segwa r-ritwali tal-propjetà Confucian u l-venerazzjoni tal-antenati, filwaqt li fl-istess ħin żamm l-għeruq tiegħu bħala mexxej mill-Steppes.")</f>
        <v>Kublai reġa 'rrifjuta l-moviment tal-kapitali Mongolja minn Karakorum fil-Mongolja għal Khanbaliq fl-1264, billi bena belt ġdida qrib il-kapital ta' Jurchen Zhongdu, issa moderna ta 'Beijing, fl-1266. Fl-1271, Kublai formalment iddikjara l-mandat tas-sema u ddikjara li 1272 kien L-ewwel sena tal-Yuan il-Kbir (Ċiniż: 大 大) fl-istil ta 'dinastija Ċiniża tradizzjonali. L-isem tad-dinastija oriġina mill-I Ching u jiddeskrivi l- "oriġini tal-univers" jew "forza primarja". Kublai ipproklama Khanbaliq il- "kapitali kbira" jew daidu (Dadu, Ċiniż: 大都 biċ-Ċiniż) tad-dinastija. L-isem tal-era nbidel għal Zhiyuan għal Herald era ġdida tal-istorja Ċiniża. L-adozzjoni ta 'isem dinastiku leġittimizzat regola Mongoljana billi tintegra l-gvern fin-narrattiva tas-suċċessjoni politika tradizzjonali Ċiniża. Khublai evoka l-immaġni pubblika tiegħu bħala imperatur tas-salvja billi segwa r-ritwali tal-propjetà Confucian u l-venerazzjoni tal-antenati, filwaqt li fl-istess ħin żamm l-għeruq tiegħu bħala mexxej mill-Steppes.</v>
      </c>
    </row>
    <row r="303" ht="15.75" customHeight="1">
      <c r="A303" s="2" t="s">
        <v>303</v>
      </c>
      <c r="B303" s="2" t="str">
        <f>IFERROR(__xludf.DUMMYFUNCTION("GOOGLETRANSLATE(A303,""en"", ""mt"")"),"Sussegwentement, Californios (mhux sodisfatti bit-taxxi u l-liġijiet tal-art inġusti) u s-southers favur l-iskjavitù fil- ""kontej tal-baqar"" popolati ħafif fin-Nofsinhar ta 'California li ppruvaw tliet darbiet fl-1850s biex jiksbu stat ta' stat separat "&amp;"jew territorjali separat mit-Tramuntana ta 'California. L-aħħar attentat, l-Att Pico tal-1859, ġie mgħoddi mil-Leġislatura tal-Istat ta ’Kalifornja u ffirmat mill-Gvernatur tal-Istat John B. Weller. Ġie approvat bil-kbir bi kważi 75% tal-votanti fit-terri"&amp;"torju propost ta 'Colorado. Dan it-territorju kellu jinkludi l-kontej kollha sal-Kontea ta 'Tulare ħafna dak iż-żmien ikbar (li kien jinkludi dak li issa huwa Kings, ħafna mill-Kern, u parti mill-kontej Inyo) u l-Kontea ta' San Luis Obispo. Il-proposta nt"&amp;"bagħtet lil Washington, D.C. ma 'avukat qawwi fis-Senatur Milton Latham. Madankollu, il-kriżi tas-seċessjoni wara l-elezzjoni ta 'Abraham Lincoln fl-1860 wasslet għall-proposta li qatt ma tasal għal vot.")</f>
        <v>Sussegwentement, Californios (mhux sodisfatti bit-taxxi u l-liġijiet tal-art inġusti) u s-southers favur l-iskjavitù fil- "kontej tal-baqar" popolati ħafif fin-Nofsinhar ta 'California li ppruvaw tliet darbiet fl-1850s biex jiksbu stat ta' stat separat jew territorjali separat mit-Tramuntana ta 'California. L-aħħar attentat, l-Att Pico tal-1859, ġie mgħoddi mil-Leġislatura tal-Istat ta ’Kalifornja u ffirmat mill-Gvernatur tal-Istat John B. Weller. Ġie approvat bil-kbir bi kważi 75% tal-votanti fit-territorju propost ta 'Colorado. Dan it-territorju kellu jinkludi l-kontej kollha sal-Kontea ta 'Tulare ħafna dak iż-żmien ikbar (li kien jinkludi dak li issa huwa Kings, ħafna mill-Kern, u parti mill-kontej Inyo) u l-Kontea ta' San Luis Obispo. Il-proposta ntbagħtet lil Washington, D.C. ma 'avukat qawwi fis-Senatur Milton Latham. Madankollu, il-kriżi tas-seċessjoni wara l-elezzjoni ta 'Abraham Lincoln fl-1860 wasslet għall-proposta li qatt ma tasal għal vot.</v>
      </c>
    </row>
    <row r="304" ht="15.75" customHeight="1">
      <c r="A304" s="2" t="s">
        <v>304</v>
      </c>
      <c r="B304" s="2" t="str">
        <f>IFERROR(__xludf.DUMMYFUNCTION("GOOGLETRANSLATE(A304,""en"", ""mt"")"),"Riċerkaturi Brittaniċi Richard G. Wilkinson u Kate Pickett sabu rati ogħla ta 'problemi tas-saħħa u soċjali (obeżità, mard mentali, omiċidi, twelid adoloxxenti, inkarċerazzjoni, kunflitt tat-tfal, użu tad-droga), u rati aktar baxxi ta' oġġetti soċjali (għ"&amp;"omor tal-ħajja (l-istennija tal-ħajja mill-pajjiż, Prestazzjoni edukattiva, fiduċja fost barranin, status tan-nisa, mobilità soċjali, anke numru ta 'privattivi maħruġa) f'pajjiżi u stati b'inugwaljanza ogħla. Bl-użu ta 'statistika minn 23 pajjiż żviluppat"&amp;" u l-50 stat ta' l-Istati Uniti, sabu problemi soċjali / ta 'saħħa aktar baxxi f'pajjiżi bħall-Ġappun u l-Finlandja u stati bħall-Utah u New Hampshire b'livelli għoljin ta' ugwaljanza, milli f'pajjiżi (l-Istati Uniti u r-Renju Unit) u stati (Mississippi u"&amp;" New York) b'differenzi kbar fid-dħul tad-djar.")</f>
        <v>Riċerkaturi Brittaniċi Richard G. Wilkinson u Kate Pickett sabu rati ogħla ta 'problemi tas-saħħa u soċjali (obeżità, mard mentali, omiċidi, twelid adoloxxenti, inkarċerazzjoni, kunflitt tat-tfal, użu tad-droga), u rati aktar baxxi ta' oġġetti soċjali (għomor tal-ħajja (l-istennija tal-ħajja mill-pajjiż, Prestazzjoni edukattiva, fiduċja fost barranin, status tan-nisa, mobilità soċjali, anke numru ta 'privattivi maħruġa) f'pajjiżi u stati b'inugwaljanza ogħla. Bl-użu ta 'statistika minn 23 pajjiż żviluppat u l-50 stat ta' l-Istati Uniti, sabu problemi soċjali / ta 'saħħa aktar baxxi f'pajjiżi bħall-Ġappun u l-Finlandja u stati bħall-Utah u New Hampshire b'livelli għoljin ta' ugwaljanza, milli f'pajjiżi (l-Istati Uniti u r-Renju Unit) u stati (Mississippi u New York) b'differenzi kbar fid-dħul tad-djar.</v>
      </c>
    </row>
    <row r="305" ht="15.75" customHeight="1">
      <c r="A305" s="2" t="s">
        <v>305</v>
      </c>
      <c r="B305" s="2" t="str">
        <f>IFERROR(__xludf.DUMMYFUNCTION("GOOGLETRANSLATE(A305,""en"", ""mt"")"),"Kumitat għall-Kummerċ, ix-Xjenza u t-Trasport")</f>
        <v>Kumitat għall-Kummerċ, ix-Xjenza u t-Trasport</v>
      </c>
    </row>
    <row r="306" ht="15.75" customHeight="1">
      <c r="A306" s="2" t="s">
        <v>306</v>
      </c>
      <c r="B306" s="2" t="str">
        <f>IFERROR(__xludf.DUMMYFUNCTION("GOOGLETRANSLATE(A306,""en"", ""mt"")"),"X'inhu l-isem ta 'tip wieħed ta' test tal-primalità moderna?")</f>
        <v>X'inhu l-isem ta 'tip wieħed ta' test tal-primalità moderna?</v>
      </c>
    </row>
    <row r="307" ht="15.75" customHeight="1">
      <c r="A307" s="2" t="s">
        <v>307</v>
      </c>
      <c r="B307" s="2" t="str">
        <f>IFERROR(__xludf.DUMMYFUNCTION("GOOGLETRANSLATE(A307,""en"", ""mt"")"),"Faċilità interim għar-rilokazzjoni taż-żona ta 'Fresno Amerikani Ġappuniżi għal kampijiet ta' internament")</f>
        <v>Faċilità interim għar-rilokazzjoni taż-żona ta 'Fresno Amerikani Ġappuniżi għal kampijiet ta' internament</v>
      </c>
    </row>
    <row r="308" ht="15.75" customHeight="1">
      <c r="A308" s="2" t="s">
        <v>308</v>
      </c>
      <c r="B308" s="2" t="str">
        <f>IFERROR(__xludf.DUMMYFUNCTION("GOOGLETRANSLATE(A308,""en"", ""mt"")"),"Żeoliti Molekulari Molekulari")</f>
        <v>Żeoliti Molekulari Molekulari</v>
      </c>
    </row>
    <row r="309" ht="15.75" customHeight="1">
      <c r="A309" s="2" t="s">
        <v>309</v>
      </c>
      <c r="B309" s="2" t="str">
        <f>IFERROR(__xludf.DUMMYFUNCTION("GOOGLETRANSLATE(A309,""en"", ""mt"")"),"Tliet tipi ta 'moviment")</f>
        <v>Tliet tipi ta 'moviment</v>
      </c>
    </row>
    <row r="310" ht="15.75" customHeight="1">
      <c r="A310" s="2" t="s">
        <v>310</v>
      </c>
      <c r="B310" s="2" t="str">
        <f>IFERROR(__xludf.DUMMYFUNCTION("GOOGLETRANSLATE(A310,""en"", ""mt"")"),"Henry ta ’Navarra")</f>
        <v>Henry ta ’Navarra</v>
      </c>
    </row>
    <row r="311" ht="15.75" customHeight="1">
      <c r="A311" s="2" t="s">
        <v>311</v>
      </c>
      <c r="B311" s="2" t="str">
        <f>IFERROR(__xludf.DUMMYFUNCTION("GOOGLETRANSLATE(A311,""en"", ""mt"")"),"jibnu n-netwerks iddedikati tagħhom stess")</f>
        <v>jibnu n-netwerks iddedikati tagħhom stess</v>
      </c>
    </row>
    <row r="312" ht="15.75" customHeight="1">
      <c r="A312" s="2" t="s">
        <v>312</v>
      </c>
      <c r="B312" s="2" t="str">
        <f>IFERROR(__xludf.DUMMYFUNCTION("GOOGLETRANSLATE(A312,""en"", ""mt"")"),"Minbarra d-downtown ta 'San Bernardino, u l-belt universitarja, x'inhu l-isem ta' distrett ta 'negozju ieħor fiż-żona ta' San Bernardino-Riverside?")</f>
        <v>Minbarra d-downtown ta 'San Bernardino, u l-belt universitarja, x'inhu l-isem ta' distrett ta 'negozju ieħor fiż-żona ta' San Bernardino-Riverside?</v>
      </c>
    </row>
    <row r="313" ht="15.75" customHeight="1">
      <c r="A313" s="2" t="s">
        <v>313</v>
      </c>
      <c r="B313" s="2" t="str">
        <f>IFERROR(__xludf.DUMMYFUNCTION("GOOGLETRANSLATE(A313,""en"", ""mt"")"),"bejn 1.4 u 5.8 ° C 'il fuq mil-livelli tal-1990")</f>
        <v>bejn 1.4 u 5.8 ° C 'il fuq mil-livelli tal-1990</v>
      </c>
    </row>
    <row r="314" ht="15.75" customHeight="1">
      <c r="A314" s="2" t="s">
        <v>314</v>
      </c>
      <c r="B314" s="2" t="str">
        <f>IFERROR(__xludf.DUMMYFUNCTION("GOOGLETRANSLATE(A314,""en"", ""mt"")"),"Il-Mainframe CDC fil-Michigan State University fil-East Lansing")</f>
        <v>Il-Mainframe CDC fil-Michigan State University fil-East Lansing</v>
      </c>
    </row>
    <row r="315" ht="15.75" customHeight="1">
      <c r="A315" s="2" t="s">
        <v>315</v>
      </c>
      <c r="B315" s="2" t="str">
        <f>IFERROR(__xludf.DUMMYFUNCTION("GOOGLETRANSLATE(A315,""en"", ""mt"")"),"Computtional_complexity_theory")</f>
        <v>Computtional_complexity_theory</v>
      </c>
    </row>
    <row r="316" ht="15.75" customHeight="1">
      <c r="A316" s="2" t="s">
        <v>316</v>
      </c>
      <c r="B316" s="2" t="str">
        <f>IFERROR(__xludf.DUMMYFUNCTION("GOOGLETRANSLATE(A316,""en"", ""mt"")"),"sogħla u għatis")</f>
        <v>sogħla u għatis</v>
      </c>
    </row>
    <row r="317" ht="15.75" customHeight="1">
      <c r="A317" s="2" t="s">
        <v>317</v>
      </c>
      <c r="B317" s="2" t="str">
        <f>IFERROR(__xludf.DUMMYFUNCTION("GOOGLETRANSLATE(A317,""en"", ""mt"")"),"Jegħleb sekulari")</f>
        <v>Jegħleb sekulari</v>
      </c>
    </row>
    <row r="318" ht="15.75" customHeight="1">
      <c r="A318" s="2" t="s">
        <v>318</v>
      </c>
      <c r="B318" s="2" t="str">
        <f>IFERROR(__xludf.DUMMYFUNCTION("GOOGLETRANSLATE(A318,""en"", ""mt"")"),"Dak li jservi bħala barriera bijoloġika billi jikkompeti għall-ispazju u l-ikel fil-passaġġ GI?")</f>
        <v>Dak li jservi bħala barriera bijoloġika billi jikkompeti għall-ispazju u l-ikel fil-passaġġ GI?</v>
      </c>
    </row>
    <row r="319" ht="15.75" customHeight="1">
      <c r="A319" s="2" t="s">
        <v>319</v>
      </c>
      <c r="B319" s="2" t="str">
        <f>IFERROR(__xludf.DUMMYFUNCTION("GOOGLETRANSLATE(A319,""en"", ""mt"")"),"In-numru totali ta 'siġġijiet fil-Parlament huma allokati lill-partijiet proporzjonalment man-numru ta' voti riċevuti fit-tieni vot tal-votazzjoni bl-użu tal-metodu D'Hondt. Pereżempju, biex jiġi ddeterminat min jingħata l-ewwel sedil tal-lista, in-numru "&amp;"ta 'voti tal-lista mitfugħa għal kull parti huwa maqsum minn wieħed flimkien mal-għadd ta' siġġijiet li l-partit rebaħ fir-reġjun (f'dan il-punt biss siġġijiet ta 'kostitwenza). Il-partit bl-ogħla kwozjent jingħata s-sedil, li mbagħad jiġi miżjud mas-siġġ"&amp;"ijiet tal-kostitwenza tiegħu fl-allokazzjoni tat-tieni siġġu. Dan huwa ripetut b'mod iterattiv sakemm is-siġġijiet kollha tal-lista disponibbli jiġu allokati.")</f>
        <v>In-numru totali ta 'siġġijiet fil-Parlament huma allokati lill-partijiet proporzjonalment man-numru ta' voti riċevuti fit-tieni vot tal-votazzjoni bl-użu tal-metodu D'Hondt. Pereżempju, biex jiġi ddeterminat min jingħata l-ewwel sedil tal-lista, in-numru ta 'voti tal-lista mitfugħa għal kull parti huwa maqsum minn wieħed flimkien mal-għadd ta' siġġijiet li l-partit rebaħ fir-reġjun (f'dan il-punt biss siġġijiet ta 'kostitwenza). Il-partit bl-ogħla kwozjent jingħata s-sedil, li mbagħad jiġi miżjud mas-siġġijiet tal-kostitwenza tiegħu fl-allokazzjoni tat-tieni siġġu. Dan huwa ripetut b'mod iterattiv sakemm is-siġġijiet kollha tal-lista disponibbli jiġu allokati.</v>
      </c>
    </row>
    <row r="320" ht="15.75" customHeight="1">
      <c r="A320" s="2" t="s">
        <v>320</v>
      </c>
      <c r="B320" s="2" t="str">
        <f>IFERROR(__xludf.DUMMYFUNCTION("GOOGLETRANSLATE(A320,""en"", ""mt"")"),"Liema kampanja bdiet ir-reġim komunista wara d-DWWII?")</f>
        <v>Liema kampanja bdiet ir-reġim komunista wara d-DWWII?</v>
      </c>
    </row>
    <row r="321" ht="15.75" customHeight="1">
      <c r="A321" s="2" t="s">
        <v>321</v>
      </c>
      <c r="B321" s="2" t="str">
        <f>IFERROR(__xludf.DUMMYFUNCTION("GOOGLETRANSLATE(A321,""en"", ""mt"")"),"X'jiġri man-norma meta numru jiġi mmultiplikat b'P?")</f>
        <v>X'jiġri man-norma meta numru jiġi mmultiplikat b'P?</v>
      </c>
    </row>
    <row r="322" ht="15.75" customHeight="1">
      <c r="A322" s="2" t="s">
        <v>322</v>
      </c>
      <c r="B322" s="2" t="str">
        <f>IFERROR(__xludf.DUMMYFUNCTION("GOOGLETRANSLATE(A322,""en"", ""mt"")"),"X'kien imsejjaħ Jacksonville bħala wara l-konsolidazzjoni?")</f>
        <v>X'kien imsejjaħ Jacksonville bħala wara l-konsolidazzjoni?</v>
      </c>
    </row>
    <row r="323" ht="15.75" customHeight="1">
      <c r="A323" s="2" t="s">
        <v>323</v>
      </c>
      <c r="B323" s="2" t="str">
        <f>IFERROR(__xludf.DUMMYFUNCTION("GOOGLETRANSLATE(A323,""en"", ""mt"")"),"Magni tal-fwar jista 'jingħad li kienu l-forza li tiċċaqlaq wara r-rivoluzzjoni industrijali u rat makkinarju ta' sewqan ta 'użu kummerċjali mifrux f'fabbriki, imtieħen u minjieri; Stazzjonijiet ta 'l-ippumpjar li jħaddmu; u jimbotta apparat tat-trasport "&amp;"bħal lokomottivi tal-ferrovija, vapuri, dgħajjes tal-fwar u vetturi tat-triq. L-użu tagħhom fl-agrikoltura wassal għal żieda fl-art disponibbli għall-kultivazzjoni. F'ħin jew ieħor hemm tratturi tar-razzett li jaħdmu bil-fwar, muturi (mingħajr ħafna suċċe"&amp;"ss) u anke karozzi bħala l-Steamer Stanley.")</f>
        <v>Magni tal-fwar jista 'jingħad li kienu l-forza li tiċċaqlaq wara r-rivoluzzjoni industrijali u rat makkinarju ta' sewqan ta 'użu kummerċjali mifrux f'fabbriki, imtieħen u minjieri; Stazzjonijiet ta 'l-ippumpjar li jħaddmu; u jimbotta apparat tat-trasport bħal lokomottivi tal-ferrovija, vapuri, dgħajjes tal-fwar u vetturi tat-triq. L-użu tagħhom fl-agrikoltura wassal għal żieda fl-art disponibbli għall-kultivazzjoni. F'ħin jew ieħor hemm tratturi tar-razzett li jaħdmu bil-fwar, muturi (mingħajr ħafna suċċess) u anke karozzi bħala l-Steamer Stanley.</v>
      </c>
    </row>
    <row r="324" ht="15.75" customHeight="1">
      <c r="A324" s="2" t="s">
        <v>324</v>
      </c>
      <c r="B324" s="2" t="str">
        <f>IFERROR(__xludf.DUMMYFUNCTION("GOOGLETRANSLATE(A324,""en"", ""mt"")"),"Irbaħ il-ħelsien")</f>
        <v>Irbaħ il-ħelsien</v>
      </c>
    </row>
    <row r="325" ht="15.75" customHeight="1">
      <c r="A325" s="2" t="s">
        <v>325</v>
      </c>
      <c r="B325" s="2" t="str">
        <f>IFERROR(__xludf.DUMMYFUNCTION("GOOGLETRANSLATE(A325,""en"", ""mt"")"),"Ir-raġuni għar-regola tal-maġġoranza hija r-riskju għoli ta 'kunflitt ta' interess u / jew l-evitar ta 'poteri assoluti. Inkella, it-tabib ikollu interess finanzjarju fl-awto fid- ""dijanjosi"" kemm jista 'jkun kundizzjonijiet, u biex jesaġera s-serjetà t"&amp;"agħhom, għax hu jew hi jistgħu mbagħad ibigħu aktar mediċini lill-pazjent. Tali interess innifsu f'kunflitti direttament ma 'l-interess tal-pazjent biex jikseb medikazzjoni kosteffikaċi u jevita l-użu bla bżonn ta' medikazzjoni li jista 'jkollha effetti s"&amp;"ekondarji. Din is-sistema tirrifletti ħafna xebh mas-sistema tal-kontrolli u l-bilanċi tal-Istati Uniti u ta 'ħafna gvernijiet oħra. [Ċitazzjoni meħtieġa]")</f>
        <v>Ir-raġuni għar-regola tal-maġġoranza hija r-riskju għoli ta 'kunflitt ta' interess u / jew l-evitar ta 'poteri assoluti. Inkella, it-tabib ikollu interess finanzjarju fl-awto fid- "dijanjosi" kemm jista 'jkun kundizzjonijiet, u biex jesaġera s-serjetà tagħhom, għax hu jew hi jistgħu mbagħad ibigħu aktar mediċini lill-pazjent. Tali interess innifsu f'kunflitti direttament ma 'l-interess tal-pazjent biex jikseb medikazzjoni kosteffikaċi u jevita l-użu bla bżonn ta' medikazzjoni li jista 'jkollha effetti sekondarji. Din is-sistema tirrifletti ħafna xebh mas-sistema tal-kontrolli u l-bilanċi tal-Istati Uniti u ta 'ħafna gvernijiet oħra. [Ċitazzjoni meħtieġa]</v>
      </c>
    </row>
    <row r="326" ht="15.75" customHeight="1">
      <c r="A326" s="2" t="s">
        <v>326</v>
      </c>
      <c r="B326" s="2" t="str">
        <f>IFERROR(__xludf.DUMMYFUNCTION("GOOGLETRANSLATE(A326,""en"", ""mt"")"),"Ekonomisti bl-aġenzija ta 'klassifikazzjoni Standard &amp; Poor")</f>
        <v>Ekonomisti bl-aġenzija ta 'klassifikazzjoni Standard &amp; Poor</v>
      </c>
    </row>
    <row r="327" ht="15.75" customHeight="1">
      <c r="A327" s="2" t="s">
        <v>327</v>
      </c>
      <c r="B327" s="2" t="str">
        <f>IFERROR(__xludf.DUMMYFUNCTION("GOOGLETRANSLATE(A327,""en"", ""mt"")"),"Is-Sindku W. Haydon Burns")</f>
        <v>Is-Sindku W. Haydon Burns</v>
      </c>
    </row>
    <row r="328" ht="15.75" customHeight="1">
      <c r="A328" s="2" t="s">
        <v>328</v>
      </c>
      <c r="B328" s="2" t="str">
        <f>IFERROR(__xludf.DUMMYFUNCTION("GOOGLETRANSLATE(A328,""en"", ""mt"")"),"Xi Normanni ngħaqdu mal-forzi Torok biex jgħinu fil-qerda tal-istati vassali tal-Armeni ta ’Sassoun u Taron fl-Anatolja tal-Lvant Imbiegħed. Aktar tard, ħafna ħadu servizz mal-Istat Armenjan aktar fin-nofsinhar f'Cilicia u l-Muntanji Taurus. Norman jismu "&amp;"Oursel mexxa forza ta '""Franks"" fil-Wied ta' Upper Euphrates fit-Tramuntana tas-Sirja. Mill-1073 sa 1074, 8,000 mill-20,000 truppa tal-Ġeneral Armenjan Philaretus Brachamius kienu Normanni - formolament ta 'Oursel - Miċħuda minn Raimbaud. Huma saħansitr"&amp;"a sellfu l-etniċità tagħhom għall-isem tal-kastell tagħhom: Afranji, li jfisser ""Franks."" Il-kummerċ magħruf bejn Amalfi u Antijokja u bejn Bari u Tarsu jista 'jkun relatat mal-preżenza ta' Italo-Normans f'dawk l-ibliet waqt li Amalfi u Bari kienu taħt "&amp;"il-ħakma Norman fl-Italja.")</f>
        <v>Xi Normanni ngħaqdu mal-forzi Torok biex jgħinu fil-qerda tal-istati vassali tal-Armeni ta ’Sassoun u Taron fl-Anatolja tal-Lvant Imbiegħed. Aktar tard, ħafna ħadu servizz mal-Istat Armenjan aktar fin-nofsinhar f'Cilicia u l-Muntanji Taurus. Norman jismu Oursel mexxa forza ta '"Franks" fil-Wied ta' Upper Euphrates fit-Tramuntana tas-Sirja. Mill-1073 sa 1074, 8,000 mill-20,000 truppa tal-Ġeneral Armenjan Philaretus Brachamius kienu Normanni - formolament ta 'Oursel - Miċħuda minn Raimbaud. Huma saħansitra sellfu l-etniċità tagħhom għall-isem tal-kastell tagħhom: Afranji, li jfisser "Franks." Il-kummerċ magħruf bejn Amalfi u Antijokja u bejn Bari u Tarsu jista 'jkun relatat mal-preżenza ta' Italo-Normans f'dawk l-ibliet waqt li Amalfi u Bari kienu taħt il-ħakma Norman fl-Italja.</v>
      </c>
    </row>
    <row r="329" ht="15.75" customHeight="1">
      <c r="A329" s="2" t="s">
        <v>329</v>
      </c>
      <c r="B329" s="2" t="str">
        <f>IFERROR(__xludf.DUMMYFUNCTION("GOOGLETRANSLATE(A329,""en"", ""mt"")"),"Supplimentazzjoni ta 'ossiġnu")</f>
        <v>Supplimentazzjoni ta 'ossiġnu</v>
      </c>
    </row>
    <row r="330" ht="15.75" customHeight="1">
      <c r="A330" s="2" t="s">
        <v>330</v>
      </c>
      <c r="B330" s="2" t="str">
        <f>IFERROR(__xludf.DUMMYFUNCTION("GOOGLETRANSLATE(A330,""en"", ""mt"")"),"Applikazzjonijiet bħal imħatri onlajn, applikazzjonijiet finanzjarji")</f>
        <v>Applikazzjonijiet bħal imħatri onlajn, applikazzjonijiet finanzjarji</v>
      </c>
    </row>
    <row r="331" ht="15.75" customHeight="1">
      <c r="A331" s="2" t="s">
        <v>331</v>
      </c>
      <c r="B331" s="2" t="str">
        <f>IFERROR(__xludf.DUMMYFUNCTION("GOOGLETRANSLATE(A331,""en"", ""mt"")"),"L-istudjużi tal-Università ta ’Chicago kellhom rwol ewlieni fl-iżvilupp ta’ diversi dixxiplini akkademiċi, fosthom: The Chicago School of Economics, The Chicago School of Sociology, The Law and Economic tar-reliġjon, u l-iskola tal-imġieba tax-xjenza poli"&amp;"tika. Id-Dipartiment tal-Fiżika ta 'Chicago għen biex jiżviluppa l-ewwel reazzjoni nukleari magħmula minnha nnifisha fid-dinja taħt il-qasam Stagg tal-università. L-insegwiment ta 'riċerka ta' Chicago ġie megħjun minn affiljazzjonijiet uniċi ma 'istituzzj"&amp;"onijiet ta' fama dinjija bħall-Laboratorju Nazzjonali Fermilab u Argonne, kif ukoll il-Laboratorju Bijoloġiku tal-Baħar. L-università hija wkoll id-dar tal-Università ta ’Chicago Press, l-akbar stampa tal-università fl-Istati Uniti. B'data ta 'tlestija st"&amp;"mata ta' l-2020, iċ-Ċentru Presidenzjali ta 'Barack Obama se jkun alloġġat fl-università u jinkludi kemm il-Librerija Presidenzjali ta' Obama kif ukoll l-uffiċċji tal-Fondazzjoni Obama.")</f>
        <v>L-istudjużi tal-Università ta ’Chicago kellhom rwol ewlieni fl-iżvilupp ta’ diversi dixxiplini akkademiċi, fosthom: The Chicago School of Economics, The Chicago School of Sociology, The Law and Economic tar-reliġjon, u l-iskola tal-imġieba tax-xjenza politika. Id-Dipartiment tal-Fiżika ta 'Chicago għen biex jiżviluppa l-ewwel reazzjoni nukleari magħmula minnha nnifisha fid-dinja taħt il-qasam Stagg tal-università. L-insegwiment ta 'riċerka ta' Chicago ġie megħjun minn affiljazzjonijiet uniċi ma 'istituzzjonijiet ta' fama dinjija bħall-Laboratorju Nazzjonali Fermilab u Argonne, kif ukoll il-Laboratorju Bijoloġiku tal-Baħar. L-università hija wkoll id-dar tal-Università ta ’Chicago Press, l-akbar stampa tal-università fl-Istati Uniti. B'data ta 'tlestija stmata ta' l-2020, iċ-Ċentru Presidenzjali ta 'Barack Obama se jkun alloġġat fl-università u jinkludi kemm il-Librerija Presidenzjali ta' Obama kif ukoll l-uffiċċji tal-Fondazzjoni Obama.</v>
      </c>
    </row>
    <row r="332" ht="15.75" customHeight="1">
      <c r="A332" s="2" t="s">
        <v>332</v>
      </c>
      <c r="B332" s="2" t="str">
        <f>IFERROR(__xludf.DUMMYFUNCTION("GOOGLETRANSLATE(A332,""en"", ""mt"")"),"Is-sismologi jistgħu jużaw il-ħinijiet tal-wasla tal-mewġ sismiku bil-maqlub biex jimmaġinaw l-intern tad-dinja. Avvanzi bikrija f'dan il-qasam urew l-eżistenza ta 'qalba ta' barra likwidu (fejn il-mewġ ta 'shear ma setgħux jinfirxu) u qalba ta' ġewwa sol"&amp;"ida densa. Dawn l-avvanzi wasslu għall-iżvilupp ta 'mudell b'saffi ta' l-art, bil-qoxra u l-litosfera fuq nett, il-mantell ta 'taħt (separat fih innifsu permezz ta' diskontinwitajiet sismiċi f'410 u 660 kilometru), u l-qalba ta 'barra u l-qalba ta' ġewwa "&amp;"u l-qalba ta 'ġewwa taħt dak. Aktar reċentement, is-sismologi setgħu joħolqu immaġini dettaljati ta 'veloċitajiet tal-mewġ ġewwa d-Dinja bl-istess mod li tabib jimmaġina korp fi scan CT. Dawn l-immaġini wasslu għal veduta ferm aktar dettaljata ta 'l-inter"&amp;"n tad-dinja, u biddlu l-mudell simplifikat b'saffi b'mudell ferm aktar dinamiku.")</f>
        <v>Is-sismologi jistgħu jużaw il-ħinijiet tal-wasla tal-mewġ sismiku bil-maqlub biex jimmaġinaw l-intern tad-dinja. Avvanzi bikrija f'dan il-qasam urew l-eżistenza ta 'qalba ta' barra likwidu (fejn il-mewġ ta 'shear ma setgħux jinfirxu) u qalba ta' ġewwa solida densa. Dawn l-avvanzi wasslu għall-iżvilupp ta 'mudell b'saffi ta' l-art, bil-qoxra u l-litosfera fuq nett, il-mantell ta 'taħt (separat fih innifsu permezz ta' diskontinwitajiet sismiċi f'410 u 660 kilometru), u l-qalba ta 'barra u l-qalba ta' ġewwa u l-qalba ta 'ġewwa taħt dak. Aktar reċentement, is-sismologi setgħu joħolqu immaġini dettaljati ta 'veloċitajiet tal-mewġ ġewwa d-Dinja bl-istess mod li tabib jimmaġina korp fi scan CT. Dawn l-immaġini wasslu għal veduta ferm aktar dettaljata ta 'l-intern tad-dinja, u biddlu l-mudell simplifikat b'saffi b'mudell ferm aktar dinamiku.</v>
      </c>
    </row>
    <row r="333" ht="15.75" customHeight="1">
      <c r="A333" s="2" t="s">
        <v>333</v>
      </c>
      <c r="B333" s="2" t="str">
        <f>IFERROR(__xludf.DUMMYFUNCTION("GOOGLETRANSLATE(A333,""en"", ""mt"")"),"30–60% tal-popolazzjoni totali tal-Ewropa")</f>
        <v>30–60% tal-popolazzjoni totali tal-Ewropa</v>
      </c>
    </row>
    <row r="334" ht="15.75" customHeight="1">
      <c r="A334" s="2" t="s">
        <v>334</v>
      </c>
      <c r="B334" s="2" t="str">
        <f>IFERROR(__xludf.DUMMYFUNCTION("GOOGLETRANSLATE(A334,""en"", ""mt"")"),"X'inhu l-uniku divisor minbarra 1 li numru ewlieni jista 'jkollu?")</f>
        <v>X'inhu l-uniku divisor minbarra 1 li numru ewlieni jista 'jkollu?</v>
      </c>
    </row>
    <row r="335" ht="15.75" customHeight="1">
      <c r="A335" s="2" t="s">
        <v>335</v>
      </c>
      <c r="B335" s="2" t="str">
        <f>IFERROR(__xludf.DUMMYFUNCTION("GOOGLETRANSLATE(A335,""en"", ""mt"")"),"Twaqqif ta 'relazzjonijiet ma' parteċipanti oħra meħtieġa")</f>
        <v>Twaqqif ta 'relazzjonijiet ma' parteċipanti oħra meħtieġa</v>
      </c>
    </row>
    <row r="336" ht="15.75" customHeight="1">
      <c r="A336" s="2" t="s">
        <v>336</v>
      </c>
      <c r="B336" s="2" t="str">
        <f>IFERROR(__xludf.DUMMYFUNCTION("GOOGLETRANSLATE(A336,""en"", ""mt"")"),"L-intervalli tan-numru ewlieni bejn il-emerġenzi jagħmluha diffiċli ħafna għall-predaturi li jevolvu li jistgħu jispeċjalizzaw bħala predaturi fuq magicicadas")</f>
        <v>L-intervalli tan-numru ewlieni bejn il-emerġenzi jagħmluha diffiċli ħafna għall-predaturi li jevolvu li jistgħu jispeċjalizzaw bħala predaturi fuq magicicadas</v>
      </c>
    </row>
    <row r="337" ht="15.75" customHeight="1">
      <c r="A337" s="2" t="s">
        <v>337</v>
      </c>
      <c r="B337" s="2" t="str">
        <f>IFERROR(__xludf.DUMMYFUNCTION("GOOGLETRANSLATE(A337,""en"", ""mt"")"),"Din saret ġustifikazzjoni morali biex titneħħa d-dinja sa l-istandards Franċiżi billi ġġib il-Kristjaneżmu u l-kultura Franċiża. Fl-1884 l-esponent ewlieni tal-kolonjaliżmu, Jules Ferry iddikjara li Franza kellha missjoni ċivilizzanti: ""Ir-razez ogħla għ"&amp;"andhom dritt fuq ir-razez l-aktar baxxi, għandhom id-dmir li jivverifikaw l-inferjuri"". Id-drittijiet sħaħ taċ-ċittadinanza - ""assimilazzjoni"" - ġew offruti, għalkemm fir-realtà l-assimilazzjoni kienet dejjem fuq l-orizzont imbiegħed. B'kuntrast mill-G"&amp;"ran Brittanja, Franza bagħtet numru żgħir ta 'kolonizzaturi lill-kolonji tagħha, bl-unika eċċezzjoni notevoli tal-Alġerija, fejn il-kolonizzaturi Franċiżi madankollu dejjem baqgħu minoranza żgħira.")</f>
        <v>Din saret ġustifikazzjoni morali biex titneħħa d-dinja sa l-istandards Franċiżi billi ġġib il-Kristjaneżmu u l-kultura Franċiża. Fl-1884 l-esponent ewlieni tal-kolonjaliżmu, Jules Ferry iddikjara li Franza kellha missjoni ċivilizzanti: "Ir-razez ogħla għandhom dritt fuq ir-razez l-aktar baxxi, għandhom id-dmir li jivverifikaw l-inferjuri". Id-drittijiet sħaħ taċ-ċittadinanza - "assimilazzjoni" - ġew offruti, għalkemm fir-realtà l-assimilazzjoni kienet dejjem fuq l-orizzont imbiegħed. B'kuntrast mill-Gran Brittanja, Franza bagħtet numru żgħir ta 'kolonizzaturi lill-kolonji tagħha, bl-unika eċċezzjoni notevoli tal-Alġerija, fejn il-kolonizzaturi Franċiżi madankollu dejjem baqgħu minoranza żgħira.</v>
      </c>
    </row>
    <row r="338" ht="15.75" customHeight="1">
      <c r="A338" s="2" t="s">
        <v>338</v>
      </c>
      <c r="B338" s="2" t="str">
        <f>IFERROR(__xludf.DUMMYFUNCTION("GOOGLETRANSLATE(A338,""en"", ""mt"")"),"Sistema plug-n-play")</f>
        <v>Sistema plug-n-play</v>
      </c>
    </row>
    <row r="339" ht="15.75" customHeight="1">
      <c r="A339" s="2" t="s">
        <v>339</v>
      </c>
      <c r="B339" s="2" t="str">
        <f>IFERROR(__xludf.DUMMYFUNCTION("GOOGLETRANSLATE(A339,""en"", ""mt"")"),"Id-diżubbidjenti ċivili joqogħdu mill-vjolenza jingħad ukoll li jgħinu jippreservaw it-tolleranza tas-soċjetà tad-diżubbidjenza ċivili")</f>
        <v>Id-diżubbidjenti ċivili joqogħdu mill-vjolenza jingħad ukoll li jgħinu jippreservaw it-tolleranza tas-soċjetà tad-diżubbidjenza ċivili</v>
      </c>
    </row>
    <row r="340" ht="15.75" customHeight="1">
      <c r="A340" s="2" t="s">
        <v>340</v>
      </c>
      <c r="B340" s="2" t="str">
        <f>IFERROR(__xludf.DUMMYFUNCTION("GOOGLETRANSLATE(A340,""en"", ""mt"")"),"individwi diġà sinjifikanti")</f>
        <v>individwi diġà sinjifikanti</v>
      </c>
    </row>
    <row r="341" ht="15.75" customHeight="1">
      <c r="A341" s="2" t="s">
        <v>341</v>
      </c>
      <c r="B341" s="2" t="str">
        <f>IFERROR(__xludf.DUMMYFUNCTION("GOOGLETRANSLATE(A341,""en"", ""mt"")"),"Trotsky ħaseb dak li kien meħtieġ għal rivoluzzjoni Russa vera.")</f>
        <v>Trotsky ħaseb dak li kien meħtieġ għal rivoluzzjoni Russa vera.</v>
      </c>
    </row>
    <row r="342" ht="15.75" customHeight="1">
      <c r="A342" s="2" t="s">
        <v>342</v>
      </c>
      <c r="B342" s="2" t="str">
        <f>IFERROR(__xludf.DUMMYFUNCTION("GOOGLETRANSLATE(A342,""en"", ""mt"")"),"Nestorianism u Kattoliċiżmu Ruman")</f>
        <v>Nestorianism u Kattoliċiżmu Ruman</v>
      </c>
    </row>
    <row r="343" ht="15.75" customHeight="1">
      <c r="A343" s="2" t="s">
        <v>343</v>
      </c>
      <c r="B343" s="2" t="str">
        <f>IFERROR(__xludf.DUMMYFUNCTION("GOOGLETRANSLATE(A343,""en"", ""mt"")"),"Il-Palazz Kronenberg kien eżempju eċċezzjonali ta 'liema tip ta' arkitettura?")</f>
        <v>Il-Palazz Kronenberg kien eżempju eċċezzjonali ta 'liema tip ta' arkitettura?</v>
      </c>
    </row>
    <row r="344" ht="15.75" customHeight="1">
      <c r="A344" s="2" t="s">
        <v>344</v>
      </c>
      <c r="B344" s="2" t="str">
        <f>IFERROR(__xludf.DUMMYFUNCTION("GOOGLETRANSLATE(A344,""en"", ""mt"")"),"Hutchinson Hall kien iddisinjat biex jidher bħal dak Oxford Hall?")</f>
        <v>Hutchinson Hall kien iddisinjat biex jidher bħal dak Oxford Hall?</v>
      </c>
    </row>
    <row r="345" ht="15.75" customHeight="1">
      <c r="A345" s="2" t="s">
        <v>345</v>
      </c>
      <c r="B345" s="2" t="str">
        <f>IFERROR(__xludf.DUMMYFUNCTION("GOOGLETRANSLATE(A345,""en"", ""mt"")"),"Is-suspettat qed jitkellem ma 'investigaturi kriminali")</f>
        <v>Is-suspettat qed jitkellem ma 'investigaturi kriminali</v>
      </c>
    </row>
    <row r="346" ht="15.75" customHeight="1">
      <c r="A346" s="2" t="s">
        <v>346</v>
      </c>
      <c r="B346" s="2" t="str">
        <f>IFERROR(__xludf.DUMMYFUNCTION("GOOGLETRANSLATE(A346,""en"", ""mt"")"),"L-iżvilupp tat-tektonika tal-pjanċi pprovda bażi fiżika għal ħafna osservazzjonijiet tad-Dinja Solida. Reġjuni lineari twal ta 'karatteristiċi ġeoloġiċi jistgħu jiġu spjegati bħala konfini tal-pjanċa. Xfar ta 'nofs l-oċean, reġjuni għoljin fuq il-baħar fe"&amp;"jn jeżistu ventijiet idrotermali u vulkani, ġew spjegati bħala konfini diverġenti, fejn żewġ pjanċi jiċċaqalqu. Arki ta 'vulkani u terremoti ġew spjegati bħala konfini konverġenti, fejn pjanċa waħda tissottometti taħt l-ieħor. It-trasformazzjoni tal-konfi"&amp;"ni, bħas-sistema ta 'difetti ta' San Andreas, irriżultaw f'terremoti qawwija mifruxa. Tettonika tal-pjanċa pprovdiet ukoll mekkaniżmu għat-teorija ta 'Alfred Wegener dwar id-drift kontinentali, li fiha l-kontinenti jimxu mal-wiċċ tad-dinja matul iż-żmien "&amp;"ġeoloġiku. Huma pprovdew ukoll forza li tmexxi għad-deformazzjoni tal-qoxra, u ambjent ġdid għall-osservazzjonijiet tal-ġeoloġija strutturali. Il-poter tat-teorija tat-tektonika tal-pjanċa tinsab fil-kapaċità tagħha li tgħaqqad dawn l-osservazzjonijiet ko"&amp;"llha f'eorija waħda ta 'kif il-litosfera timxi fuq il-mantell tal-konvetti.")</f>
        <v>L-iżvilupp tat-tektonika tal-pjanċi pprovda bażi fiżika għal ħafna osservazzjonijiet tad-Dinja Solida. Reġjuni lineari twal ta 'karatteristiċi ġeoloġiċi jistgħu jiġu spjegati bħala konfini tal-pjanċa. Xfar ta 'nofs l-oċean, reġjuni għoljin fuq il-baħar fejn jeżistu ventijiet idrotermali u vulkani, ġew spjegati bħala konfini diverġenti, fejn żewġ pjanċi jiċċaqalqu. Arki ta 'vulkani u terremoti ġew spjegati bħala konfini konverġenti, fejn pjanċa waħda tissottometti taħt l-ieħor. It-trasformazzjoni tal-konfini, bħas-sistema ta 'difetti ta' San Andreas, irriżultaw f'terremoti qawwija mifruxa. Tettonika tal-pjanċa pprovdiet ukoll mekkaniżmu għat-teorija ta 'Alfred Wegener dwar id-drift kontinentali, li fiha l-kontinenti jimxu mal-wiċċ tad-dinja matul iż-żmien ġeoloġiku. Huma pprovdew ukoll forza li tmexxi għad-deformazzjoni tal-qoxra, u ambjent ġdid għall-osservazzjonijiet tal-ġeoloġija strutturali. Il-poter tat-teorija tat-tektonika tal-pjanċa tinsab fil-kapaċità tagħha li tgħaqqad dawn l-osservazzjonijiet kollha f'eorija waħda ta 'kif il-litosfera timxi fuq il-mantell tal-konvetti.</v>
      </c>
    </row>
    <row r="347" ht="15.75" customHeight="1">
      <c r="A347" s="2" t="s">
        <v>347</v>
      </c>
      <c r="B347" s="2" t="str">
        <f>IFERROR(__xludf.DUMMYFUNCTION("GOOGLETRANSLATE(A347,""en"", ""mt"")"),"It-tieni l-iktar popolat")</f>
        <v>It-tieni l-iktar popolat</v>
      </c>
    </row>
    <row r="348" ht="15.75" customHeight="1">
      <c r="A348" s="2" t="s">
        <v>348</v>
      </c>
      <c r="B348" s="2" t="str">
        <f>IFERROR(__xludf.DUMMYFUNCTION("GOOGLETRANSLATE(A348,""en"", ""mt"")"),"Jacksonville, _Florida")</f>
        <v>Jacksonville, _Florida</v>
      </c>
    </row>
    <row r="349" ht="15.75" customHeight="1">
      <c r="A349" s="2" t="s">
        <v>349</v>
      </c>
      <c r="B349" s="2" t="str">
        <f>IFERROR(__xludf.DUMMYFUNCTION("GOOGLETRANSLATE(A349,""en"", ""mt"")"),"L-analiżi reġjonali tal-kost-benefiċċju u l-qsim tal-piż li jvarjaw fir-rigward tad-distribuzzjoni tat-tnaqqis tal-emissjonijiet")</f>
        <v>L-analiżi reġjonali tal-kost-benefiċċju u l-qsim tal-piż li jvarjaw fir-rigward tad-distribuzzjoni tat-tnaqqis tal-emissjonijiet</v>
      </c>
    </row>
    <row r="350" ht="15.75" customHeight="1">
      <c r="A350" s="2" t="s">
        <v>350</v>
      </c>
      <c r="B350" s="2" t="str">
        <f>IFERROR(__xludf.DUMMYFUNCTION("GOOGLETRANSLATE(A350,""en"", ""mt"")"),"L-imperu waqa '")</f>
        <v>L-imperu waqa '</v>
      </c>
    </row>
    <row r="351" ht="15.75" customHeight="1">
      <c r="A351" s="2" t="s">
        <v>351</v>
      </c>
      <c r="B351" s="2" t="str">
        <f>IFERROR(__xludf.DUMMYFUNCTION("GOOGLETRANSLATE(A351,""en"", ""mt"")"),"biex taqsam reġistrazzjonijiet u midja oħra")</f>
        <v>biex taqsam reġistrazzjonijiet u midja oħra</v>
      </c>
    </row>
    <row r="352" ht="15.75" customHeight="1">
      <c r="A352" s="2" t="s">
        <v>352</v>
      </c>
      <c r="B352" s="2" t="str">
        <f>IFERROR(__xludf.DUMMYFUNCTION("GOOGLETRANSLATE(A352,""en"", ""mt"")"),"tnaqqis")</f>
        <v>tnaqqis</v>
      </c>
    </row>
    <row r="353" ht="15.75" customHeight="1">
      <c r="A353" s="2" t="s">
        <v>353</v>
      </c>
      <c r="B353" s="2" t="str">
        <f>IFERROR(__xludf.DUMMYFUNCTION("GOOGLETRANSLATE(A353,""en"", ""mt"")"),"Meta l-Mongoli poġġew l-Uighurs tar-Renju ta 'Qocho fuq il-Koreani fil-Qorti, ir-re Korean oġġezzjona, allura l-Imperatur Mongoljan Kublai Khan ċaħa , li min-naħa tiegħu kien ikklassifikat ogħla mir-re Korean, li kien ikklassifikat l-aħħar, minħabba li l-"&amp;"Uighurs ċedew lill-Mongoli l-ewwel, il-Karluks ċedew wara l-Uighurs, u l-Koreani ċedew l-aħħar, u li l-Uighurs ċedew b'mod paċifiku mingħajr ma jirreżistu b'mod vjolenti.")</f>
        <v>Meta l-Mongoli poġġew l-Uighurs tar-Renju ta 'Qocho fuq il-Koreani fil-Qorti, ir-re Korean oġġezzjona, allura l-Imperatur Mongoljan Kublai Khan ċaħa , li min-naħa tiegħu kien ikklassifikat ogħla mir-re Korean, li kien ikklassifikat l-aħħar, minħabba li l-Uighurs ċedew lill-Mongoli l-ewwel, il-Karluks ċedew wara l-Uighurs, u l-Koreani ċedew l-aħħar, u li l-Uighurs ċedew b'mod paċifiku mingħajr ma jirreżistu b'mod vjolenti.</v>
      </c>
    </row>
    <row r="354" ht="15.75" customHeight="1">
      <c r="A354" s="2" t="s">
        <v>354</v>
      </c>
      <c r="B354" s="2" t="str">
        <f>IFERROR(__xludf.DUMMYFUNCTION("GOOGLETRANSLATE(A354,""en"", ""mt"")"),"Kemm kien preċiż Guo għamel il-kalendarju lunisolari riformat?")</f>
        <v>Kemm kien preċiż Guo għamel il-kalendarju lunisolari riformat?</v>
      </c>
    </row>
    <row r="355" ht="15.75" customHeight="1">
      <c r="A355" s="2" t="s">
        <v>355</v>
      </c>
      <c r="B355" s="2" t="str">
        <f>IFERROR(__xludf.DUMMYFUNCTION("GOOGLETRANSLATE(A355,""en"", ""mt"")"),"DataNet 1 kien in-netwerk tad-dejta tal-pubbliku qalbu mit-telekomunikazzjoni PTT Olandiża (issa magħrufa bħala KPN). Datanet 1 strettament irrefera biss għan-netwerk u l-utenti konnessi permezz ta ’linji mikrija (bl-użu tal-X.121 DNIC 2041), l-isem irref"&amp;"era wkoll għas-servizz tal-kuxxinett pubbliku TelePad (bl-użu tad-DNIC 2049). U minħabba li s-servizz ewlieni tal-vidjotex uża n-netwerk u l-apparati tal-kuxxinett modifikat bħala infrastruttura l-isem Datanet 1 intuża wkoll għal dawn is-servizzi. Għalkem"&amp;"m dan l-użu tal-isem ma kienx korrett dawn is-servizzi kollha kienu ġestiti mill-istess nies fi ħdan dipartiment wieħed tal-KPN ikkontribwew għall-konfużjoni.")</f>
        <v>DataNet 1 kien in-netwerk tad-dejta tal-pubbliku qalbu mit-telekomunikazzjoni PTT Olandiża (issa magħrufa bħala KPN). Datanet 1 strettament irrefera biss għan-netwerk u l-utenti konnessi permezz ta ’linji mikrija (bl-użu tal-X.121 DNIC 2041), l-isem irrefera wkoll għas-servizz tal-kuxxinett pubbliku TelePad (bl-użu tad-DNIC 2049). U minħabba li s-servizz ewlieni tal-vidjotex uża n-netwerk u l-apparati tal-kuxxinett modifikat bħala infrastruttura l-isem Datanet 1 intuża wkoll għal dawn is-servizzi. Għalkemm dan l-użu tal-isem ma kienx korrett dawn is-servizzi kollha kienu ġestiti mill-istess nies fi ħdan dipartiment wieħed tal-KPN ikkontribwew għall-konfużjoni.</v>
      </c>
    </row>
    <row r="356" ht="15.75" customHeight="1">
      <c r="A356" s="2" t="s">
        <v>356</v>
      </c>
      <c r="B356" s="2" t="str">
        <f>IFERROR(__xludf.DUMMYFUNCTION("GOOGLETRANSLATE(A356,""en"", ""mt"")"),"Kien il-pjan għall-missjoni Langlades?")</f>
        <v>Kien il-pjan għall-missjoni Langlades?</v>
      </c>
    </row>
    <row r="357" ht="15.75" customHeight="1">
      <c r="A357" s="2" t="s">
        <v>357</v>
      </c>
      <c r="B357" s="2" t="str">
        <f>IFERROR(__xludf.DUMMYFUNCTION("GOOGLETRANSLATE(A357,""en"", ""mt"")"),"il-VA, is-Servizz tas-Saħħa Indjana, u NIH")</f>
        <v>il-VA, is-Servizz tas-Saħħa Indjana, u NIH</v>
      </c>
    </row>
    <row r="358" ht="15.75" customHeight="1">
      <c r="A358" s="2" t="s">
        <v>358</v>
      </c>
      <c r="B358" s="2" t="str">
        <f>IFERROR(__xludf.DUMMYFUNCTION("GOOGLETRANSLATE(A358,""en"", ""mt"")"),"Kungress u presidenti")</f>
        <v>Kungress u presidenti</v>
      </c>
    </row>
    <row r="359" ht="15.75" customHeight="1">
      <c r="A359" s="2" t="s">
        <v>359</v>
      </c>
      <c r="B359" s="2" t="str">
        <f>IFERROR(__xludf.DUMMYFUNCTION("GOOGLETRANSLATE(A359,""en"", ""mt"")"),"Harvard għandu l-akbar dotazzjoni universitarja fid-dinja. Minn Settembru 2011 [aġġornament], kien kważi reġa ’kiseb it-telf li ġarrab matul ir-riċessjoni tal-2008. Kien jiswa $ 32 biljun fl-2011, sa minn $ 28 biljun f'Settembru 2010 u $ 26 biljun fl-2009"&amp;". Dan sofra telf ta 'madwar 30% fl-2008-09. F'Diċembru 2008, Harvard ħabbar li d-dotazzjoni tagħha kienet tilfet 22% (madwar $ 8 biljun) minn Lulju sa Ottubru 2008, li kien jeħtieġ tnaqqis fil-baġit. Rapporti aktar tard jissuġġerixxu li t-telf kien fil-fa"&amp;"tt aktar mid-doppju ta 'dik iċ-ċifra, tnaqqis ta' kważi 50% tad-dotazzjoni tiegħu fl-ewwel erba 'xhur biss. Forbes f'Marzu 2009 stima li t-telf ikun fil-medda ta '$ 12-il biljun. Wieħed mir-riżultati l-aktar viżibbli tat-tentattiv ta 'Harvard biex jibbila"&amp;"nċja mill-ġdid il-baġit tiegħu kien it-twaqqif tagħhom tal-kostruzzjoni tal-kumpless tax-xjenza ta' $ 1.2 biljun li kien skedat li jitlesta sal-2011, li rriżulta fi protesti mir-residenti lokali. Mill-2012 [aġġornament], l-Università ta ’Harvard kellha ri"&amp;"żerva ta’ għajnuna finanzjarja totali ta ’$ 159 miljun għall-istudenti, u riżerva ta’ għotja Pell ta ’$ 4.093 miljun disponibbli għall-ħruġ.")</f>
        <v>Harvard għandu l-akbar dotazzjoni universitarja fid-dinja. Minn Settembru 2011 [aġġornament], kien kważi reġa ’kiseb it-telf li ġarrab matul ir-riċessjoni tal-2008. Kien jiswa $ 32 biljun fl-2011, sa minn $ 28 biljun f'Settembru 2010 u $ 26 biljun fl-2009. Dan sofra telf ta 'madwar 30% fl-2008-09. F'Diċembru 2008, Harvard ħabbar li d-dotazzjoni tagħha kienet tilfet 22% (madwar $ 8 biljun) minn Lulju sa Ottubru 2008, li kien jeħtieġ tnaqqis fil-baġit. Rapporti aktar tard jissuġġerixxu li t-telf kien fil-fatt aktar mid-doppju ta 'dik iċ-ċifra, tnaqqis ta' kważi 50% tad-dotazzjoni tiegħu fl-ewwel erba 'xhur biss. Forbes f'Marzu 2009 stima li t-telf ikun fil-medda ta '$ 12-il biljun. Wieħed mir-riżultati l-aktar viżibbli tat-tentattiv ta 'Harvard biex jibbilanċja mill-ġdid il-baġit tiegħu kien it-twaqqif tagħhom tal-kostruzzjoni tal-kumpless tax-xjenza ta' $ 1.2 biljun li kien skedat li jitlesta sal-2011, li rriżulta fi protesti mir-residenti lokali. Mill-2012 [aġġornament], l-Università ta ’Harvard kellha riżerva ta’ għajnuna finanzjarja totali ta ’$ 159 miljun għall-istudenti, u riżerva ta’ għotja Pell ta ’$ 4.093 miljun disponibbli għall-ħruġ.</v>
      </c>
    </row>
    <row r="360" ht="15.75" customHeight="1">
      <c r="A360" s="2" t="s">
        <v>360</v>
      </c>
      <c r="B360" s="2" t="str">
        <f>IFERROR(__xludf.DUMMYFUNCTION("GOOGLETRANSLATE(A360,""en"", ""mt"")"),"Varjabbli tal-pożizzjoni klassika")</f>
        <v>Varjabbli tal-pożizzjoni klassika</v>
      </c>
    </row>
    <row r="361" ht="15.75" customHeight="1">
      <c r="A361" s="2" t="s">
        <v>361</v>
      </c>
      <c r="B361" s="2" t="str">
        <f>IFERROR(__xludf.DUMMYFUNCTION("GOOGLETRANSLATE(A361,""en"", ""mt"")"),"Il-kriżi naqqset id-domanda għal karozzi kbar. Importazzjonijiet Ġappuniżi, primarjament it-Toyota Corona, it-Toyota Corolla, id-Datsun B210, id-Datsun 510, il-Honda Civic, il-Galant Mitsubishi (importazzjoni maqbuda minn Chrysler mibjugħa bħala d-Dodge C"&amp;"olt) Kellhom erba 'magni taċ-ċilindru li kienu aktar effiċjenti fil-fjuwil mill-magni tipiċi Amerikani V8 u sitt ċilindri. L-importazzjonijiet Ġappuniżi saru mexxejja tas-suq bil-kostruzzjoni unibody u drive tar-roti ta 'quddiem, li saru standards de fact"&amp;"o.")</f>
        <v>Il-kriżi naqqset id-domanda għal karozzi kbar. Importazzjonijiet Ġappuniżi, primarjament it-Toyota Corona, it-Toyota Corolla, id-Datsun B210, id-Datsun 510, il-Honda Civic, il-Galant Mitsubishi (importazzjoni maqbuda minn Chrysler mibjugħa bħala d-Dodge Colt) Kellhom erba 'magni taċ-ċilindru li kienu aktar effiċjenti fil-fjuwil mill-magni tipiċi Amerikani V8 u sitt ċilindri. L-importazzjonijiet Ġappuniżi saru mexxejja tas-suq bil-kostruzzjoni unibody u drive tar-roti ta 'quddiem, li saru standards de facto.</v>
      </c>
    </row>
    <row r="362" ht="15.75" customHeight="1">
      <c r="A362" s="2" t="s">
        <v>362</v>
      </c>
      <c r="B362" s="2" t="str">
        <f>IFERROR(__xludf.DUMMYFUNCTION("GOOGLETRANSLATE(A362,""en"", ""mt"")"),"X'inhu l-Bassin de Kumpens de Plobsheim f'Alsace?")</f>
        <v>X'inhu l-Bassin de Kumpens de Plobsheim f'Alsace?</v>
      </c>
    </row>
    <row r="363" ht="15.75" customHeight="1">
      <c r="A363" s="2" t="s">
        <v>363</v>
      </c>
      <c r="B363" s="2" t="str">
        <f>IFERROR(__xludf.DUMMYFUNCTION("GOOGLETRANSLATE(A363,""en"", ""mt"")"),"Uri l-globu")</f>
        <v>Uri l-globu</v>
      </c>
    </row>
    <row r="364" ht="15.75" customHeight="1">
      <c r="A364" s="2" t="s">
        <v>364</v>
      </c>
      <c r="B364" s="2" t="str">
        <f>IFERROR(__xludf.DUMMYFUNCTION("GOOGLETRANSLATE(A364,""en"", ""mt"")"),"X'inhuma l-iskejjel privati ​​li jitolbu l-ebda tagħlim?")</f>
        <v>X'inhuma l-iskejjel privati ​​li jitolbu l-ebda tagħlim?</v>
      </c>
    </row>
    <row r="365" ht="15.75" customHeight="1">
      <c r="A365" s="2" t="s">
        <v>365</v>
      </c>
      <c r="B365" s="2" t="str">
        <f>IFERROR(__xludf.DUMMYFUNCTION("GOOGLETRANSLATE(A365,""en"", ""mt"")"),"Ix-xita mnaqqsa severament u żieda fit-temperaturi")</f>
        <v>Ix-xita mnaqqsa severament u żieda fit-temperaturi</v>
      </c>
    </row>
    <row r="366" ht="15.75" customHeight="1">
      <c r="A366" s="2" t="s">
        <v>366</v>
      </c>
      <c r="B366" s="2" t="str">
        <f>IFERROR(__xludf.DUMMYFUNCTION("GOOGLETRANSLATE(A366,""en"", ""mt"")"),"Ir-ribelljonijiet Huguenot")</f>
        <v>Ir-ribelljonijiet Huguenot</v>
      </c>
    </row>
    <row r="367" ht="15.75" customHeight="1">
      <c r="A367" s="2" t="s">
        <v>367</v>
      </c>
      <c r="B367" s="2" t="str">
        <f>IFERROR(__xludf.DUMMYFUNCTION("GOOGLETRANSLATE(A367,""en"", ""mt"")"),"Fuq liema hija l-biċċa l-kbira tat-tkabbir modern ta 'Varsavja?")</f>
        <v>Fuq liema hija l-biċċa l-kbira tat-tkabbir modern ta 'Varsavja?</v>
      </c>
    </row>
    <row r="368" ht="15.75" customHeight="1">
      <c r="A368" s="2" t="s">
        <v>368</v>
      </c>
      <c r="B368" s="2" t="str">
        <f>IFERROR(__xludf.DUMMYFUNCTION("GOOGLETRANSLATE(A368,""en"", ""mt"")"),"Għaliex il-Franċiżi ħassew li kellhom dritt għal Ohio?")</f>
        <v>Għaliex il-Franċiżi ħassew li kellhom dritt għal Ohio?</v>
      </c>
    </row>
    <row r="369" ht="15.75" customHeight="1">
      <c r="A369" s="2" t="s">
        <v>369</v>
      </c>
      <c r="B369" s="2" t="str">
        <f>IFERROR(__xludf.DUMMYFUNCTION("GOOGLETRANSLATE(A369,""en"", ""mt"")"),"orizzontali")</f>
        <v>orizzontali</v>
      </c>
    </row>
    <row r="370" ht="15.75" customHeight="1">
      <c r="A370" s="2" t="s">
        <v>370</v>
      </c>
      <c r="B370" s="2" t="str">
        <f>IFERROR(__xludf.DUMMYFUNCTION("GOOGLETRANSLATE(A370,""en"", ""mt"")"),"ippubblika s-sejbiet tiegħu l-ewwel")</f>
        <v>ippubblika s-sejbiet tiegħu l-ewwel</v>
      </c>
    </row>
    <row r="371" ht="15.75" customHeight="1">
      <c r="A371" s="2" t="s">
        <v>371</v>
      </c>
      <c r="B371" s="2" t="str">
        <f>IFERROR(__xludf.DUMMYFUNCTION("GOOGLETRANSLATE(A371,""en"", ""mt"")"),"Test ta 'Lucas-Lehmer")</f>
        <v>Test ta 'Lucas-Lehmer</v>
      </c>
    </row>
    <row r="372" ht="15.75" customHeight="1">
      <c r="A372" s="2" t="s">
        <v>372</v>
      </c>
      <c r="B372" s="2" t="str">
        <f>IFERROR(__xludf.DUMMYFUNCTION("GOOGLETRANSLATE(A372,""en"", ""mt"")"),"Polonia Varsavja")</f>
        <v>Polonia Varsavja</v>
      </c>
    </row>
    <row r="373" ht="15.75" customHeight="1">
      <c r="A373" s="2" t="s">
        <v>373</v>
      </c>
      <c r="B373" s="2" t="str">
        <f>IFERROR(__xludf.DUMMYFUNCTION("GOOGLETRANSLATE(A373,""en"", ""mt"")"),"Edukazzjoni Privata għall-Assistenza Finanzjarja tal-Istudenti")</f>
        <v>Edukazzjoni Privata għall-Assistenza Finanzjarja tal-Istudenti</v>
      </c>
    </row>
    <row r="374" ht="15.75" customHeight="1">
      <c r="A374" s="2" t="s">
        <v>374</v>
      </c>
      <c r="B374" s="2" t="str">
        <f>IFERROR(__xludf.DUMMYFUNCTION("GOOGLETRANSLATE(A374,""en"", ""mt"")"),"Taħt l-Att dwar l-Iskozja 1998, l-elezzjonijiet ġenerali ordinarji għall-Parlament Skoċċiż isiru fl-ewwel Ħamis f'Mejju kull erba 'snin (1999, 2003, 2007 u l-bqija). Id-data tal-votazzjoni tista 'tkun varjata sa xahar bl-ebda mod mill-monarka fuq il-propo"&amp;"sta tal-uffiċjal li jippresiedi. Jekk il-Parlament innifsu jsolvi li għandu jinħall (b'mill-inqas żewġ terzi tal-membri jivvutaw favur), jew jekk il-Parlament jonqos milli jinnomina lil wieħed mill-membri tiegħu biex ikun l-ewwel ministru fi żmien 28 jum "&amp;"minn elezzjoni ġenerali jew ta ' Pożizzjoni li ssir battala, l-uffiċjal li jippresiedi jipproponi data għal elezzjoni ġenerali straordinarja u l-Parlament jinħall mir-Reġina permezz ta 'Proklamazzjoni Rjali. L-elezzjonijiet ġenerali straordinarji huma fli"&amp;"mkien ma 'elezzjonijiet ġenerali ordinarji, sakemm ma jinżammux inqas minn sitt xhur qabel id-data ta' elezzjoni ġenerali ordinarja, f'liema każ huma jissuppillawha. L-elezzjoni ordinarja li ġejja terġa 'lura għall-ewwel Ħamis ta' Mejju, multiplu ta 'erba"&amp;"' snin wara l-1999 (i.e., 5 ta 'Mejju 2011, 7 ta' Mejju 2015, eċċ.).")</f>
        <v>Taħt l-Att dwar l-Iskozja 1998, l-elezzjonijiet ġenerali ordinarji għall-Parlament Skoċċiż isiru fl-ewwel Ħamis f'Mejju kull erba 'snin (1999, 2003, 2007 u l-bqija). Id-data tal-votazzjoni tista 'tkun varjata sa xahar bl-ebda mod mill-monarka fuq il-proposta tal-uffiċjal li jippresiedi. Jekk il-Parlament innifsu jsolvi li għandu jinħall (b'mill-inqas żewġ terzi tal-membri jivvutaw favur), jew jekk il-Parlament jonqos milli jinnomina lil wieħed mill-membri tiegħu biex ikun l-ewwel ministru fi żmien 28 jum minn elezzjoni ġenerali jew ta ' Pożizzjoni li ssir battala, l-uffiċjal li jippresiedi jipproponi data għal elezzjoni ġenerali straordinarja u l-Parlament jinħall mir-Reġina permezz ta 'Proklamazzjoni Rjali. L-elezzjonijiet ġenerali straordinarji huma flimkien ma 'elezzjonijiet ġenerali ordinarji, sakemm ma jinżammux inqas minn sitt xhur qabel id-data ta' elezzjoni ġenerali ordinarja, f'liema każ huma jissuppillawha. L-elezzjoni ordinarja li ġejja terġa 'lura għall-ewwel Ħamis ta' Mejju, multiplu ta 'erba' snin wara l-1999 (i.e., 5 ta 'Mejju 2011, 7 ta' Mejju 2015, eċċ.).</v>
      </c>
    </row>
    <row r="375" ht="15.75" customHeight="1">
      <c r="A375" s="2" t="s">
        <v>375</v>
      </c>
      <c r="B375" s="2" t="str">
        <f>IFERROR(__xludf.DUMMYFUNCTION("GOOGLETRANSLATE(A375,""en"", ""mt"")"),"Kartelli tal-Art")</f>
        <v>Kartelli tal-Art</v>
      </c>
    </row>
    <row r="376" ht="15.75" customHeight="1">
      <c r="A376" s="2" t="s">
        <v>376</v>
      </c>
      <c r="B376" s="2" t="str">
        <f>IFERROR(__xludf.DUMMYFUNCTION("GOOGLETRANSLATE(A376,""en"", ""mt"")"),"Biex ""tiżgura li fl-interpretazzjoni u l-applikazzjoni tat-trattati tkun osservata l-liġi""")</f>
        <v>Biex "tiżgura li fl-interpretazzjoni u l-applikazzjoni tat-trattati tkun osservata l-liġi"</v>
      </c>
    </row>
    <row r="377" ht="15.75" customHeight="1">
      <c r="A377" s="2" t="s">
        <v>377</v>
      </c>
      <c r="B377" s="2" t="str">
        <f>IFERROR(__xludf.DUMMYFUNCTION("GOOGLETRANSLATE(A377,""en"", ""mt"")"),"Ħdejn Chur, liema direzzjoni jdur ir-Rhine?")</f>
        <v>Ħdejn Chur, liema direzzjoni jdur ir-Rhine?</v>
      </c>
    </row>
    <row r="378" ht="15.75" customHeight="1">
      <c r="A378" s="2" t="s">
        <v>378</v>
      </c>
      <c r="B378" s="2" t="str">
        <f>IFERROR(__xludf.DUMMYFUNCTION("GOOGLETRANSLATE(A378,""en"", ""mt"")"),"il-ħalq tax-xmara Monongahela")</f>
        <v>il-ħalq tax-xmara Monongahela</v>
      </c>
    </row>
    <row r="379" ht="15.75" customHeight="1">
      <c r="A379" s="2" t="s">
        <v>379</v>
      </c>
      <c r="B379" s="2" t="str">
        <f>IFERROR(__xludf.DUMMYFUNCTION("GOOGLETRANSLATE(A379,""en"", ""mt"")"),"eżempju problema")</f>
        <v>eżempju problema</v>
      </c>
    </row>
    <row r="380" ht="15.75" customHeight="1">
      <c r="A380" s="2" t="s">
        <v>380</v>
      </c>
      <c r="B380" s="2" t="str">
        <f>IFERROR(__xludf.DUMMYFUNCTION("GOOGLETRANSLATE(A380,""en"", ""mt"")"),"Kemm għandhom tipi ta 'movimenti Euplokamis Tentilla?")</f>
        <v>Kemm għandhom tipi ta 'movimenti Euplokamis Tentilla?</v>
      </c>
    </row>
    <row r="381" ht="15.75" customHeight="1">
      <c r="A381" s="2" t="s">
        <v>381</v>
      </c>
      <c r="B381" s="2" t="str">
        <f>IFERROR(__xludf.DUMMYFUNCTION("GOOGLETRANSLATE(A381,""en"", ""mt"")"),"Ġeneraturi ta 'ossiġnu kimiku jew xemgħat ta' ossiġnu")</f>
        <v>Ġeneraturi ta 'ossiġnu kimiku jew xemgħat ta' ossiġnu</v>
      </c>
    </row>
    <row r="382" ht="15.75" customHeight="1">
      <c r="A382" s="2" t="s">
        <v>382</v>
      </c>
      <c r="B382" s="2" t="str">
        <f>IFERROR(__xludf.DUMMYFUNCTION("GOOGLETRANSLATE(A382,""en"", ""mt"")"),"Meta tikkunsidra magni tat-Turing u varjabbli alternattivi, liema kejl ħalla mhux affettwat mill-konverżjoni bejn il-mudelli tal-magni?")</f>
        <v>Meta tikkunsidra magni tat-Turing u varjabbli alternattivi, liema kejl ħalla mhux affettwat mill-konverżjoni bejn il-mudelli tal-magni?</v>
      </c>
    </row>
    <row r="383" ht="15.75" customHeight="1">
      <c r="A383" s="2" t="s">
        <v>383</v>
      </c>
      <c r="B383" s="2" t="str">
        <f>IFERROR(__xludf.DUMMYFUNCTION("GOOGLETRANSLATE(A383,""en"", ""mt"")"),"Rieduċibilità fost problemi kombinatorji")</f>
        <v>Rieduċibilità fost problemi kombinatorji</v>
      </c>
    </row>
    <row r="384" ht="15.75" customHeight="1">
      <c r="A384" s="2" t="s">
        <v>384</v>
      </c>
      <c r="B384" s="2" t="str">
        <f>IFERROR(__xludf.DUMMYFUNCTION("GOOGLETRANSLATE(A384,""en"", ""mt"")"),"1677–1683")</f>
        <v>1677–1683</v>
      </c>
    </row>
    <row r="385" ht="15.75" customHeight="1">
      <c r="A385" s="2" t="s">
        <v>385</v>
      </c>
      <c r="B385" s="2" t="str">
        <f>IFERROR(__xludf.DUMMYFUNCTION("GOOGLETRANSLATE(A385,""en"", ""mt"")"),"Bħal ħafna mir-reġjun tal-Atlantiku tan-Nofsinhar ta 'l-Istati Uniti, Jacksonville għandu klima subtropikali umda (Köppen CFA), bi temp ħafif waqt ix-xtiewi u temp sħun u umdu matul is-sjuf. Ix-xita staġjonali hija kkonċentrata fl-iktar xhur sħan minn Mej"&amp;"ju sa Settembru, filwaqt li x-xhur l-aktar niexfa huma minn Novembru sa April. Minħabba l-latitudni baxxa u l-post kostali ta 'Jacksonville, il-belt tara ftit temp kiesaħ, u x-xtiewi huma tipikament ħfief u xemxija. Is-Sjuf jistgħu jkunu sħan u mxarrba, u"&amp;" l-maltempati tas-sajf bi tnaqqis fil-qosor iżda qosra huma komuni.")</f>
        <v>Bħal ħafna mir-reġjun tal-Atlantiku tan-Nofsinhar ta 'l-Istati Uniti, Jacksonville għandu klima subtropikali umda (Köppen CFA), bi temp ħafif waqt ix-xtiewi u temp sħun u umdu matul is-sjuf. Ix-xita staġjonali hija kkonċentrata fl-iktar xhur sħan minn Mejju sa Settembru, filwaqt li x-xhur l-aktar niexfa huma minn Novembru sa April. Minħabba l-latitudni baxxa u l-post kostali ta 'Jacksonville, il-belt tara ftit temp kiesaħ, u x-xtiewi huma tipikament ħfief u xemxija. Is-Sjuf jistgħu jkunu sħan u mxarrba, u l-maltempati tas-sajf bi tnaqqis fil-qosor iżda qosra huma komuni.</v>
      </c>
    </row>
    <row r="386" ht="15.75" customHeight="1">
      <c r="A386" s="2" t="s">
        <v>386</v>
      </c>
      <c r="B386" s="2" t="str">
        <f>IFERROR(__xludf.DUMMYFUNCTION("GOOGLETRANSLATE(A386,""en"", ""mt"")"),"Ħafna tipi ta 'magni tat-Turing jintużaw biex jiddefinixxu klassijiet ta' kumplessità, bħal magni tat-turing deterministiċi, magni tat-turing probabilistiċi, magni tat-Turing mhux deterministiċi, magni kwantistiċi tat-Turing, magni simmetriċi tat-Turing u"&amp;" magni li jalternaw. Dawn huma kollha daqstant qawwija fil-prinċipju, iżda meta r-riżorsi (bħal ħin jew spazju) huma limitati, uħud minn dawn jistgħu jkunu aktar qawwija minn oħrajn.")</f>
        <v>Ħafna tipi ta 'magni tat-Turing jintużaw biex jiddefinixxu klassijiet ta' kumplessità, bħal magni tat-turing deterministiċi, magni tat-turing probabilistiċi, magni tat-Turing mhux deterministiċi, magni kwantistiċi tat-Turing, magni simmetriċi tat-Turing u magni li jalternaw. Dawn huma kollha daqstant qawwija fil-prinċipju, iżda meta r-riżorsi (bħal ħin jew spazju) huma limitati, uħud minn dawn jistgħu jkunu aktar qawwija minn oħrajn.</v>
      </c>
    </row>
    <row r="387" ht="15.75" customHeight="1">
      <c r="A387" s="2" t="s">
        <v>387</v>
      </c>
      <c r="B387" s="2" t="str">
        <f>IFERROR(__xludf.DUMMYFUNCTION("GOOGLETRANSLATE(A387,""en"", ""mt"")"),"Typhoon inauspicious")</f>
        <v>Typhoon inauspicious</v>
      </c>
    </row>
    <row r="388" ht="15.75" customHeight="1">
      <c r="A388" s="2" t="s">
        <v>388</v>
      </c>
      <c r="B388" s="2" t="str">
        <f>IFERROR(__xludf.DUMMYFUNCTION("GOOGLETRANSLATE(A388,""en"", ""mt"")"),"L-interpretazzjoni tal-Iżlam promossa minn dan il-finanzjament kienet il-Wahhabism jew is-Salafiżmu strett, konservattiv ibbażat fis-Sawdi. Fl-iktar forma ħarxa tagħha ppriedka li l-Musulmani m'għandhomx biss ""jopponu"" infidili ""b'kull mod,"" iżda ""jo"&amp;"bogħduhom għar-reliġjon tagħhom ... għall-fini ta 'Allah,"" dik id-demokrazija ""hija responsabbli għall-gwerer horrible kollha tal-20 Seklu, ""li s-Shia u Musulmani oħra mhux Wahhabi kienu infidili, eċċ. Filwaqt li dan l-isforz bl-ebda mod ma kkonverta k"&amp;"ollha, jew saħansitra l-biċċa l-kbira tal-Musulmani għall-interpretazzjoni Wahhabist tal-Iżlam, għamel ħafna biex jegħleb interpretazzjonijiet lokali aktar moderati, u għandu Issettja l-Interpretazzjoni tal-Islam Sawdi bħala l- ""istandard tad-deheb"" tar"&amp;"-reliġjon f'moħħ ta 'xi wħud jew ħafna Musulmani.")</f>
        <v>L-interpretazzjoni tal-Iżlam promossa minn dan il-finanzjament kienet il-Wahhabism jew is-Salafiżmu strett, konservattiv ibbażat fis-Sawdi. Fl-iktar forma ħarxa tagħha ppriedka li l-Musulmani m'għandhomx biss "jopponu" infidili "b'kull mod," iżda "jobogħduhom għar-reliġjon tagħhom ... għall-fini ta 'Allah," dik id-demokrazija "hija responsabbli għall-gwerer horrible kollha tal-20 Seklu, "li s-Shia u Musulmani oħra mhux Wahhabi kienu infidili, eċċ. Filwaqt li dan l-isforz bl-ebda mod ma kkonverta kollha, jew saħansitra l-biċċa l-kbira tal-Musulmani għall-interpretazzjoni Wahhabist tal-Iżlam, għamel ħafna biex jegħleb interpretazzjonijiet lokali aktar moderati, u għandu Issettja l-Interpretazzjoni tal-Islam Sawdi bħala l- "istandard tad-deheb" tar-reliġjon f'moħħ ta 'xi wħud jew ħafna Musulmani.</v>
      </c>
    </row>
    <row r="389" ht="15.75" customHeight="1">
      <c r="A389" s="2" t="s">
        <v>389</v>
      </c>
      <c r="B389" s="2" t="str">
        <f>IFERROR(__xludf.DUMMYFUNCTION("GOOGLETRANSLATE(A389,""en"", ""mt"")"),"konnessjonijiet dial-up jew konnessjonijiet dedikati async")</f>
        <v>konnessjonijiet dial-up jew konnessjonijiet dedikati async</v>
      </c>
    </row>
    <row r="390" ht="15.75" customHeight="1">
      <c r="A390" s="2" t="s">
        <v>390</v>
      </c>
      <c r="B390" s="2" t="str">
        <f>IFERROR(__xludf.DUMMYFUNCTION("GOOGLETRANSLATE(A390,""en"", ""mt"")"),"Acura")</f>
        <v>Acura</v>
      </c>
    </row>
    <row r="391" ht="15.75" customHeight="1">
      <c r="A391" s="2" t="s">
        <v>391</v>
      </c>
      <c r="B391" s="2" t="str">
        <f>IFERROR(__xludf.DUMMYFUNCTION("GOOGLETRANSLATE(A391,""en"", ""mt"")"),"Liema lingwa aċċettat il-Qorti tal-Ġustizzja li kienet meħtieġa biex tgħallem f'kulleġġ ta 'Dublin fil-Ministru għall-Edukazzjoni Groner vs?")</f>
        <v>Liema lingwa aċċettat il-Qorti tal-Ġustizzja li kienet meħtieġa biex tgħallem f'kulleġġ ta 'Dublin fil-Ministru għall-Edukazzjoni Groner vs?</v>
      </c>
    </row>
    <row r="392" ht="15.75" customHeight="1">
      <c r="A392" s="2" t="s">
        <v>392</v>
      </c>
      <c r="B392" s="2" t="str">
        <f>IFERROR(__xludf.DUMMYFUNCTION("GOOGLETRANSLATE(A392,""en"", ""mt"")"),"Bojkottjar, li tirrifjuta li tħallas it-taxxi, ipoġġu ins, u l-abbozzi li dodging kollha jagħmlu dak li hu diffiċli?")</f>
        <v>Bojkottjar, li tirrifjuta li tħallas it-taxxi, ipoġġu ins, u l-abbozzi li dodging kollha jagħmlu dak li hu diffiċli?</v>
      </c>
    </row>
    <row r="393" ht="15.75" customHeight="1">
      <c r="A393" s="2" t="s">
        <v>393</v>
      </c>
      <c r="B393" s="2" t="str">
        <f>IFERROR(__xludf.DUMMYFUNCTION("GOOGLETRANSLATE(A393,""en"", ""mt"")"),"Il-baqar ingħataw ix-xmara hemmhekk")</f>
        <v>Il-baqar ingħataw ix-xmara hemmhekk</v>
      </c>
    </row>
    <row r="394" ht="15.75" customHeight="1">
      <c r="A394" s="2" t="s">
        <v>394</v>
      </c>
      <c r="B394" s="2" t="str">
        <f>IFERROR(__xludf.DUMMYFUNCTION("GOOGLETRANSLATE(A394,""en"", ""mt"")"),"X'inhuma t-tliet sorsi ewlenin tal-liġi tal-Unjoni Ewropea?")</f>
        <v>X'inhuma t-tliet sorsi ewlenin tal-liġi tal-Unjoni Ewropea?</v>
      </c>
    </row>
    <row r="395" ht="15.75" customHeight="1">
      <c r="A395" s="2" t="s">
        <v>395</v>
      </c>
      <c r="B395" s="2" t="str">
        <f>IFERROR(__xludf.DUMMYFUNCTION("GOOGLETRANSLATE(A395,""en"", ""mt"")"),"nies mhux ivvilizzati")</f>
        <v>nies mhux ivvilizzati</v>
      </c>
    </row>
    <row r="396" ht="15.75" customHeight="1">
      <c r="A396" s="2" t="s">
        <v>396</v>
      </c>
      <c r="B396" s="2" t="str">
        <f>IFERROR(__xludf.DUMMYFUNCTION("GOOGLETRANSLATE(A396,""en"", ""mt"")"),"arja kkundizzjonata")</f>
        <v>arja kkundizzjonata</v>
      </c>
    </row>
    <row r="397" ht="15.75" customHeight="1">
      <c r="A397" s="2" t="s">
        <v>397</v>
      </c>
      <c r="B397" s="2" t="str">
        <f>IFERROR(__xludf.DUMMYFUNCTION("GOOGLETRANSLATE(A397,""en"", ""mt"")"),"Kemm tunnellata ta 'trab huma minfuħa mis-Saħara kull sena?")</f>
        <v>Kemm tunnellata ta 'trab huma minfuħa mis-Saħara kull sena?</v>
      </c>
    </row>
    <row r="398" ht="15.75" customHeight="1">
      <c r="A398" s="2" t="s">
        <v>398</v>
      </c>
      <c r="B398" s="2" t="str">
        <f>IFERROR(__xludf.DUMMYFUNCTION("GOOGLETRANSLATE(A398,""en"", ""mt"")"),"Oġġetti ta 'densità kostanti huma proporzjonali għall-volum b'liema forza għandhom jiddefinixxu piżijiet standard?.")</f>
        <v>Oġġetti ta 'densità kostanti huma proporzjonali għall-volum b'liema forza għandhom jiddefinixxu piżijiet standard?.</v>
      </c>
    </row>
    <row r="399" ht="15.75" customHeight="1">
      <c r="A399" s="2" t="s">
        <v>399</v>
      </c>
      <c r="B399" s="2" t="str">
        <f>IFERROR(__xludf.DUMMYFUNCTION("GOOGLETRANSLATE(A399,""en"", ""mt"")"),"Organizzazzjonijiet tal-istudenti rikonoxxuti")</f>
        <v>Organizzazzjonijiet tal-istudenti rikonoxxuti</v>
      </c>
    </row>
    <row r="400" ht="15.75" customHeight="1">
      <c r="A400" s="2" t="s">
        <v>400</v>
      </c>
      <c r="B400" s="2" t="str">
        <f>IFERROR(__xludf.DUMMYFUNCTION("GOOGLETRANSLATE(A400,""en"", ""mt"")"),"Politikament, is-sistema ta 'gvern maħluqa minn Kublai Khan kienet il-prodott ta' kompromess bejn il-feudaliżmu patrimonjali Mongoljan u s-sistema tradizzjonali Ċiniża awtokratika-burokratika. Madankollu, soċjalment l-elite Ċiniża edukata ġeneralment ma n"&amp;"għatawx il-grad ta 'stima li kienu ngħataw qabel taħt dinastiji Ċiniżi indiġeni. Għalkemm l-elite Ċiniża tradizzjonali ma ngħatawx is-sehem tagħhom tal-poter, il-Mongoli u s-Semuren (diversi gruppi alleati mill-Asja Ċentrali u t-tarf tal-punent tal-imperu"&amp;") fil-biċċa l-kbira baqgħu barranin għall-kultura Ċiniża mainstream, u din id-dikotomija tat ir-reġim tal-wan Kolorazzjoni kemmxejn qawwija ""kolonjali"". It-trattament mhux ugwali huwa possibbilment dovut għall-biża 'li tittrasferixxi l-poter liċ-Ċiniżi "&amp;"etniċi taħt ir-regola tagħhom. Il-Mongoli u Semuren ingħataw ċerti vantaġġi fid-dinastija, u dan idum anke wara r-restawr tal-eżami imperjali fil-bidu tas-seklu 14. B'mod ġenerali kien hemm ftit Ċiniżi tat-Tramuntana jew Southerners li laħqu l-ogħla post "&amp;"fil-gvern meta mqabbla mal-possibbiltà li l-Persjani għamlu dan fil-Ilkhanate. Aktar tard l-imperatur Yongle tad-dinastija Ming semma wkoll id-diskriminazzjoni li kienet teżisti matul id-dinastija Yuan. Bi tweġiba għal oġġezzjoni kontra l-użu ta '""barbar"&amp;"i"" fil-gvern tiegħu, l-Imperatur Yongle wieġeb: ""... id-diskriminazzjoni kienet użata mill-Mongoli waqt id-Dinastija Yuan, li impjegat biss"" Mongoli u Tartars ""u mormija Ċiniż tat-Tramuntana u tan-Nofsinhar U din kienet preċiżament il-kawża li ġabet d"&amp;"iżastru fuqhom "".")</f>
        <v>Politikament, is-sistema ta 'gvern maħluqa minn Kublai Khan kienet il-prodott ta' kompromess bejn il-feudaliżmu patrimonjali Mongoljan u s-sistema tradizzjonali Ċiniża awtokratika-burokratika. Madankollu, soċjalment l-elite Ċiniża edukata ġeneralment ma ngħatawx il-grad ta 'stima li kienu ngħataw qabel taħt dinastiji Ċiniżi indiġeni. Għalkemm l-elite Ċiniża tradizzjonali ma ngħatawx is-sehem tagħhom tal-poter, il-Mongoli u s-Semuren (diversi gruppi alleati mill-Asja Ċentrali u t-tarf tal-punent tal-imperu) fil-biċċa l-kbira baqgħu barranin għall-kultura Ċiniża mainstream, u din id-dikotomija tat ir-reġim tal-wan Kolorazzjoni kemmxejn qawwija "kolonjali". It-trattament mhux ugwali huwa possibbilment dovut għall-biża 'li tittrasferixxi l-poter liċ-Ċiniżi etniċi taħt ir-regola tagħhom. Il-Mongoli u Semuren ingħataw ċerti vantaġġi fid-dinastija, u dan idum anke wara r-restawr tal-eżami imperjali fil-bidu tas-seklu 14. B'mod ġenerali kien hemm ftit Ċiniżi tat-Tramuntana jew Southerners li laħqu l-ogħla post fil-gvern meta mqabbla mal-possibbiltà li l-Persjani għamlu dan fil-Ilkhanate. Aktar tard l-imperatur Yongle tad-dinastija Ming semma wkoll id-diskriminazzjoni li kienet teżisti matul id-dinastija Yuan. Bi tweġiba għal oġġezzjoni kontra l-użu ta '"barbari" fil-gvern tiegħu, l-Imperatur Yongle wieġeb: "... id-diskriminazzjoni kienet użata mill-Mongoli waqt id-Dinastija Yuan, li impjegat biss" Mongoli u Tartars "u mormija Ċiniż tat-Tramuntana u tan-Nofsinhar U din kienet preċiżament il-kawża li ġabet diżastru fuqhom ".</v>
      </c>
    </row>
    <row r="401" ht="15.75" customHeight="1">
      <c r="A401" s="2" t="s">
        <v>401</v>
      </c>
      <c r="B401" s="2" t="str">
        <f>IFERROR(__xludf.DUMMYFUNCTION("GOOGLETRANSLATE(A401,""en"", ""mt"")"),"F'liema każ il-Qorti tal-Ġustizzja kienet tgħid li qorti Ġermaniża ma setgħetx tiċħad lil kumpanija tal-bini Olandiża d-dritt li tinforza kuntratt ibbażat fil-Ġermanja?")</f>
        <v>F'liema każ il-Qorti tal-Ġustizzja kienet tgħid li qorti Ġermaniża ma setgħetx tiċħad lil kumpanija tal-bini Olandiża d-dritt li tinforza kuntratt ibbażat fil-Ġermanja?</v>
      </c>
    </row>
    <row r="402" ht="15.75" customHeight="1">
      <c r="A402" s="2" t="s">
        <v>402</v>
      </c>
      <c r="B402" s="2" t="str">
        <f>IFERROR(__xludf.DUMMYFUNCTION("GOOGLETRANSLATE(A402,""en"", ""mt"")"),"Liema klassifikazzjoni f'termini ta 'ajruporti l-aktar traffikużi mill-volum internazzjonali tal-passiġġieri huwa l-Ajruport Internazzjonali ta' Los Angeles?")</f>
        <v>Liema klassifikazzjoni f'termini ta 'ajruporti l-aktar traffikużi mill-volum internazzjonali tal-passiġġieri huwa l-Ajruport Internazzjonali ta' Los Angeles?</v>
      </c>
    </row>
    <row r="403" ht="15.75" customHeight="1">
      <c r="A403" s="2" t="s">
        <v>403</v>
      </c>
      <c r="B403" s="2" t="str">
        <f>IFERROR(__xludf.DUMMYFUNCTION("GOOGLETRANSLATE(A403,""en"", ""mt"")"),"Kampus off-off")</f>
        <v>Kampus off-off</v>
      </c>
    </row>
    <row r="404" ht="15.75" customHeight="1">
      <c r="A404" s="2" t="s">
        <v>404</v>
      </c>
      <c r="B404" s="2" t="str">
        <f>IFERROR(__xludf.DUMMYFUNCTION("GOOGLETRANSLATE(A404,""en"", ""mt"")"),"X'tip ta 'diviżjoni tal-poter kellu l-gvern ta' Kublai?")</f>
        <v>X'tip ta 'diviżjoni tal-poter kellu l-gvern ta' Kublai?</v>
      </c>
    </row>
    <row r="405" ht="15.75" customHeight="1">
      <c r="A405" s="2" t="s">
        <v>405</v>
      </c>
      <c r="B405" s="2" t="str">
        <f>IFERROR(__xludf.DUMMYFUNCTION("GOOGLETRANSLATE(A405,""en"", ""mt"")"),"isuq lil Iżrael barra mill-istrixxa ta ’Gaża")</f>
        <v>isuq lil Iżrael barra mill-istrixxa ta ’Gaża</v>
      </c>
    </row>
    <row r="406" ht="15.75" customHeight="1">
      <c r="A406" s="2" t="s">
        <v>406</v>
      </c>
      <c r="B406" s="2" t="str">
        <f>IFERROR(__xludf.DUMMYFUNCTION("GOOGLETRANSLATE(A406,""en"", ""mt"")"),"mibegħda")</f>
        <v>mibegħda</v>
      </c>
    </row>
    <row r="407" ht="15.75" customHeight="1">
      <c r="A407" s="2" t="s">
        <v>407</v>
      </c>
      <c r="B407" s="2" t="str">
        <f>IFERROR(__xludf.DUMMYFUNCTION("GOOGLETRANSLATE(A407,""en"", ""mt"")"),"tikkomunika mal-pazjenti")</f>
        <v>tikkomunika mal-pazjenti</v>
      </c>
    </row>
    <row r="408" ht="15.75" customHeight="1">
      <c r="A408" s="2" t="s">
        <v>408</v>
      </c>
      <c r="B408" s="2" t="str">
        <f>IFERROR(__xludf.DUMMYFUNCTION("GOOGLETRANSLATE(A408,""en"", ""mt"")"),"Il-Ġermanja u l-Iskandinavja")</f>
        <v>Il-Ġermanja u l-Iskandinavja</v>
      </c>
    </row>
    <row r="409" ht="15.75" customHeight="1">
      <c r="A409" s="2" t="s">
        <v>409</v>
      </c>
      <c r="B409" s="2" t="str">
        <f>IFERROR(__xludf.DUMMYFUNCTION("GOOGLETRANSLATE(A409,""en"", ""mt"")"),"Imwaqqaf oriġinarjament mil-Leġislatura ta 'Massachusetts u ftit wara msemmi għal John Harvard (l-ewwel benefattur tiegħu), Harvard hija l-eqdem istituzzjoni ta' tagħlim ogħla ta 'l-Istati Uniti, u l-Korporazzjoni ta' Harvard (formalment, il-president u l"&amp;"-membri tal-Kulleġġ ta 'Harvard) hija l-ewwel mikrija tagħha korporazzjoni. Għalkemm qatt ma affiljat formalment ma 'xi denominazzjoni, il-kulleġġ bikri mħarreġ primarjament kongregazzjonist u kleru Unitarju. Il-kurrikulu u l-korp tal-istudenti tiegħu ġew"&amp;" gradwalment sekularizzati matul is-seklu 18, u sas-seklu 19 Harvard kien ħareġ bħala l-istabbiliment kulturali ċentrali fost l-elite ta 'Boston. Wara l-Gwerra Ċivili Amerikana, il-President Charles W. Eliot's Long Tule (1869-1909) biddel il-kulleġġ u l-i"&amp;"skejjel professjonali affiljati f'università ta 'riċerka moderna; Harvard kien membru fundatur tal-Assoċjazzjoni tal-Universitajiet Amerikani fl-1900. James Bryant Conant mexxa l-università permezz tad-Depressjoni l-Kbira u t-Tieni Gwerra Dinjija u beda j"&amp;"irriforma l-kurrikulu u jilliberalizza l-ammissjonijiet wara l-gwerra. Il-Kulleġġ Undergraduate sar koeducational wara l-għaqda tiegħu tal-1977 mal-Kulleġġ Radcliffe.")</f>
        <v>Imwaqqaf oriġinarjament mil-Leġislatura ta 'Massachusetts u ftit wara msemmi għal John Harvard (l-ewwel benefattur tiegħu), Harvard hija l-eqdem istituzzjoni ta' tagħlim ogħla ta 'l-Istati Uniti, u l-Korporazzjoni ta' Harvard (formalment, il-president u l-membri tal-Kulleġġ ta 'Harvard) hija l-ewwel mikrija tagħha korporazzjoni. Għalkemm qatt ma affiljat formalment ma 'xi denominazzjoni, il-kulleġġ bikri mħarreġ primarjament kongregazzjonist u kleru Unitarju. Il-kurrikulu u l-korp tal-istudenti tiegħu ġew gradwalment sekularizzati matul is-seklu 18, u sas-seklu 19 Harvard kien ħareġ bħala l-istabbiliment kulturali ċentrali fost l-elite ta 'Boston. Wara l-Gwerra Ċivili Amerikana, il-President Charles W. Eliot's Long Tule (1869-1909) biddel il-kulleġġ u l-iskejjel professjonali affiljati f'università ta 'riċerka moderna; Harvard kien membru fundatur tal-Assoċjazzjoni tal-Universitajiet Amerikani fl-1900. James Bryant Conant mexxa l-università permezz tad-Depressjoni l-Kbira u t-Tieni Gwerra Dinjija u beda jirriforma l-kurrikulu u jilliberalizza l-ammissjonijiet wara l-gwerra. Il-Kulleġġ Undergraduate sar koeducational wara l-għaqda tiegħu tal-1977 mal-Kulleġġ Radcliffe.</v>
      </c>
    </row>
    <row r="410" ht="15.75" customHeight="1">
      <c r="A410" s="2" t="s">
        <v>410</v>
      </c>
      <c r="B410" s="2" t="str">
        <f>IFERROR(__xludf.DUMMYFUNCTION("GOOGLETRANSLATE(A410,""en"", ""mt"")"),"Ix-xogħol ġie ppubblikat l-ewwel")</f>
        <v>Ix-xogħol ġie ppubblikat l-ewwel</v>
      </c>
    </row>
    <row r="411" ht="15.75" customHeight="1">
      <c r="A411" s="2" t="s">
        <v>411</v>
      </c>
      <c r="B411" s="2" t="str">
        <f>IFERROR(__xludf.DUMMYFUNCTION("GOOGLETRANSLATE(A411,""en"", ""mt"")"),"L-Età tal-Imperjalizmu, perjodu ta 'żmien li jibda madwar l-1700, rajna nazzjonijiet (ġeneralment) li jidħlu fil-proċess tal-kolonizzazzjoni, l-influwenza u l-anness ta' partijiet oħra tad-dinja sabiex jiksbu poter politiku. [Ċitazzjoni meħtieġa] għalkemm"&amp;" il-prattiki imperjalisti għandhom Eżisti għal eluf ta 'snin, it-terminu ""età ta' l-imperjalizmu"" ġeneralment jirreferi għall-attivitajiet tal-poteri Ewropej mill-bidu tas-seklu 18 sa nofs is-seklu 20, pereżempju, il- ""logħba kbira"" fl-artijiet Persja"&amp;"ni, il- """" "" Scramble għall-Afrika ""u l-"" Politika tal-Bieb Miftuħ ""fiċ-Ċina.")</f>
        <v>L-Età tal-Imperjalizmu, perjodu ta 'żmien li jibda madwar l-1700, rajna nazzjonijiet (ġeneralment) li jidħlu fil-proċess tal-kolonizzazzjoni, l-influwenza u l-anness ta' partijiet oħra tad-dinja sabiex jiksbu poter politiku. [Ċitazzjoni meħtieġa] għalkemm il-prattiki imperjalisti għandhom Eżisti għal eluf ta 'snin, it-terminu "età ta' l-imperjalizmu" ġeneralment jirreferi għall-attivitajiet tal-poteri Ewropej mill-bidu tas-seklu 18 sa nofs is-seklu 20, pereżempju, il- "logħba kbira" fl-artijiet Persjani, il- "" " Scramble għall-Afrika "u l-" Politika tal-Bieb Miftuħ "fiċ-Ċina.</v>
      </c>
    </row>
    <row r="412" ht="15.75" customHeight="1">
      <c r="A412" s="2" t="s">
        <v>412</v>
      </c>
      <c r="B412" s="2" t="str">
        <f>IFERROR(__xludf.DUMMYFUNCTION("GOOGLETRANSLATE(A412,""en"", ""mt"")"),"Il-bijodiversità tal-ispeċi tal-pjanti hija l-ogħla fid-dinja bi studju wieħed tal-2001 li jsib kwart ta ’kilometru kwadru (62 acres) tal-foresta tropikali Ekwadorjana jappoġġja aktar minn 1,100 speċi ta’ siġra. Studju fl-1999 sab kilometru kwadru wieħed "&amp;"(247 acres) ta 'Amazon Rainforest jista' jkun fih madwar 90,790 tunnellata ta 'pjanti ħajjin. Il-bijomassa medja tal-pjanti hija stmata għal 356 ± 47 tunnellata għal kull ettaru. Sal-lum, stmat li 438,000 speċi ta 'pjanti ta' interess ekonomiku u soċjali "&amp;"ġew irreġistrati fir-reġjun b'ħafna iktar li jibqgħu jiġu skoperti jew katalogati. In-numru totali ta 'speċi ta' siġar fir-reġjun huwa stmat għal 16,000.")</f>
        <v>Il-bijodiversità tal-ispeċi tal-pjanti hija l-ogħla fid-dinja bi studju wieħed tal-2001 li jsib kwart ta ’kilometru kwadru (62 acres) tal-foresta tropikali Ekwadorjana jappoġġja aktar minn 1,100 speċi ta’ siġra. Studju fl-1999 sab kilometru kwadru wieħed (247 acres) ta 'Amazon Rainforest jista' jkun fih madwar 90,790 tunnellata ta 'pjanti ħajjin. Il-bijomassa medja tal-pjanti hija stmata għal 356 ± 47 tunnellata għal kull ettaru. Sal-lum, stmat li 438,000 speċi ta 'pjanti ta' interess ekonomiku u soċjali ġew irreġistrati fir-reġjun b'ħafna iktar li jibqgħu jiġu skoperti jew katalogati. In-numru totali ta 'speċi ta' siġar fir-reġjun huwa stmat għal 16,000.</v>
      </c>
    </row>
    <row r="413" ht="15.75" customHeight="1">
      <c r="A413" s="2" t="s">
        <v>413</v>
      </c>
      <c r="B413" s="2" t="str">
        <f>IFERROR(__xludf.DUMMYFUNCTION("GOOGLETRANSLATE(A413,""en"", ""mt"")"),"F'disturbi awtoimmuni, is-sistema immunitarja ma tiddistingwix bejn liema tipi ta 'ċelloli?")</f>
        <v>F'disturbi awtoimmuni, is-sistema immunitarja ma tiddistingwix bejn liema tipi ta 'ċelloli?</v>
      </c>
    </row>
    <row r="414" ht="15.75" customHeight="1">
      <c r="A414" s="2" t="s">
        <v>414</v>
      </c>
      <c r="B414" s="2" t="str">
        <f>IFERROR(__xludf.DUMMYFUNCTION("GOOGLETRANSLATE(A414,""en"", ""mt"")"),"Provinċji tal-Amerika ta ’Fuq")</f>
        <v>Provinċji tal-Amerika ta ’Fuq</v>
      </c>
    </row>
    <row r="415" ht="15.75" customHeight="1">
      <c r="A415" s="2" t="s">
        <v>415</v>
      </c>
      <c r="B415" s="2" t="str">
        <f>IFERROR(__xludf.DUMMYFUNCTION("GOOGLETRANSLATE(A415,""en"", ""mt"")"),"Jalla ma jibqax jeżisti")</f>
        <v>Jalla ma jibqax jeżisti</v>
      </c>
    </row>
    <row r="416" ht="15.75" customHeight="1">
      <c r="A416" s="2" t="s">
        <v>416</v>
      </c>
      <c r="B416" s="2" t="str">
        <f>IFERROR(__xludf.DUMMYFUNCTION("GOOGLETRANSLATE(A416,""en"", ""mt"")"),"Xi wħud mill-ippjanar u d-dfin Kristjan")</f>
        <v>Xi wħud mill-ippjanar u d-dfin Kristjan</v>
      </c>
    </row>
    <row r="417" ht="15.75" customHeight="1">
      <c r="A417" s="2" t="s">
        <v>417</v>
      </c>
      <c r="B417" s="2" t="str">
        <f>IFERROR(__xludf.DUMMYFUNCTION("GOOGLETRANSLATE(A417,""en"", ""mt"")"),"Kemm korsijiet iridu jżommu l-universitarji għall-istatus full-time?")</f>
        <v>Kemm korsijiet iridu jżommu l-universitarji għall-istatus full-time?</v>
      </c>
    </row>
    <row r="418" ht="15.75" customHeight="1">
      <c r="A418" s="2" t="s">
        <v>418</v>
      </c>
      <c r="B418" s="2" t="str">
        <f>IFERROR(__xludf.DUMMYFUNCTION("GOOGLETRANSLATE(A418,""en"", ""mt"")"),"X'tissel il-kloni barranin ta 'Datapac")</f>
        <v>X'tissel il-kloni barranin ta 'Datapac</v>
      </c>
    </row>
    <row r="419" ht="15.75" customHeight="1">
      <c r="A419" s="2" t="s">
        <v>419</v>
      </c>
      <c r="B419" s="2" t="str">
        <f>IFERROR(__xludf.DUMMYFUNCTION("GOOGLETRANSLATE(A419,""en"", ""mt"")"),"Downtown Fresno")</f>
        <v>Downtown Fresno</v>
      </c>
    </row>
    <row r="420" ht="15.75" customHeight="1">
      <c r="A420" s="2" t="s">
        <v>420</v>
      </c>
      <c r="B420" s="2" t="str">
        <f>IFERROR(__xludf.DUMMYFUNCTION("GOOGLETRANSLATE(A420,""en"", ""mt"")"),"Kif jitqassam id-dħul fl-Iżvezja?")</f>
        <v>Kif jitqassam id-dħul fl-Iżvezja?</v>
      </c>
    </row>
    <row r="421" ht="15.75" customHeight="1">
      <c r="A421" s="2" t="s">
        <v>421</v>
      </c>
      <c r="B421" s="2" t="str">
        <f>IFERROR(__xludf.DUMMYFUNCTION("GOOGLETRANSLATE(A421,""en"", ""mt"")"),"Ix-xita fil-baċin waqt l-LGM kienet aktar baxxa")</f>
        <v>Ix-xita fil-baċin waqt l-LGM kienet aktar baxxa</v>
      </c>
    </row>
    <row r="422" ht="15.75" customHeight="1">
      <c r="A422" s="2" t="s">
        <v>422</v>
      </c>
      <c r="B422" s="2" t="str">
        <f>IFERROR(__xludf.DUMMYFUNCTION("GOOGLETRANSLATE(A422,""en"", ""mt"")"),"art sewda")</f>
        <v>art sewda</v>
      </c>
    </row>
    <row r="423" ht="15.75" customHeight="1">
      <c r="A423" s="2" t="s">
        <v>423</v>
      </c>
      <c r="B423" s="2" t="str">
        <f>IFERROR(__xludf.DUMMYFUNCTION("GOOGLETRANSLATE(A423,""en"", ""mt"")"),"lura lejn New York fost aħbarijiet li seħħ massakru fil-Fort William Henry.")</f>
        <v>lura lejn New York fost aħbarijiet li seħħ massakru fil-Fort William Henry.</v>
      </c>
    </row>
    <row r="424" ht="15.75" customHeight="1">
      <c r="A424" s="2" t="s">
        <v>424</v>
      </c>
      <c r="B424" s="2" t="str">
        <f>IFERROR(__xludf.DUMMYFUNCTION("GOOGLETRANSLATE(A424,""en"", ""mt"")"),"It-Tieni Liġi tal-Mozzjoni ta 'Newton")</f>
        <v>It-Tieni Liġi tal-Mozzjoni ta 'Newton</v>
      </c>
    </row>
    <row r="425" ht="15.75" customHeight="1">
      <c r="A425" s="2" t="s">
        <v>425</v>
      </c>
      <c r="B425" s="2" t="str">
        <f>IFERROR(__xludf.DUMMYFUNCTION("GOOGLETRANSLATE(A425,""en"", ""mt"")"),"miżata għal kull unità ta 'informazzjoni trażmessa")</f>
        <v>miżata għal kull unità ta 'informazzjoni trażmessa</v>
      </c>
    </row>
    <row r="426" ht="15.75" customHeight="1">
      <c r="A426" s="2" t="s">
        <v>426</v>
      </c>
      <c r="B426" s="2" t="str">
        <f>IFERROR(__xludf.DUMMYFUNCTION("GOOGLETRANSLATE(A426,""en"", ""mt"")"),"Issottometti l-kastig preskritt mil-liġi")</f>
        <v>Issottometti l-kastig preskritt mil-liġi</v>
      </c>
    </row>
    <row r="427" ht="15.75" customHeight="1">
      <c r="A427" s="2" t="s">
        <v>427</v>
      </c>
      <c r="B427" s="2" t="str">
        <f>IFERROR(__xludf.DUMMYFUNCTION("GOOGLETRANSLATE(A427,""en"", ""mt"")"),"Forza")</f>
        <v>Forza</v>
      </c>
    </row>
    <row r="428" ht="15.75" customHeight="1">
      <c r="A428" s="2" t="s">
        <v>428</v>
      </c>
      <c r="B428" s="2" t="str">
        <f>IFERROR(__xludf.DUMMYFUNCTION("GOOGLETRANSLATE(A428,""en"", ""mt"")"),"Żvantaġġ ta 'dħul baxx u applikanti minoritarji mhux rappreżentati")</f>
        <v>Żvantaġġ ta 'dħul baxx u applikanti minoritarji mhux rappreżentati</v>
      </c>
    </row>
    <row r="429" ht="15.75" customHeight="1">
      <c r="A429" s="2" t="s">
        <v>429</v>
      </c>
      <c r="B429" s="2" t="str">
        <f>IFERROR(__xludf.DUMMYFUNCTION("GOOGLETRANSLATE(A429,""en"", ""mt"")"),"Trevithick kompla l-esperimenti tiegħu stess bl-użu ta 'trio ta' lokomottivi, li kkonkluda mal-Qabda Me li jista 'fl-1808. Erba' snin biss wara, is-suċċess tal-lokomotiva b'żewġ ċilindri ta 'Salamanca minn Matthew Murray intuża mill-Rack Railed Edge u Pin"&amp;"ion Middleton Railway. Fl-1825 George Stephenson bena l-lokomozzjoni għall-Ferrovija ta ’Stockton u Darlington. Din kienet l-ewwel ferrovija pubblika tal-fwar fid-dinja u mbagħad fl-1829, huwa bena r-rokit li kien daħal fih u rebaħ il-provi Rainhill. Il-F"&amp;"errovija ta ’Liverpool u Manchester infetħu fl-1830 u għamlu użu esklussiv tal-enerġija tal-fwar kemm għall-ferroviji tal-passiġġieri kif ukoll tal-merkanzija.")</f>
        <v>Trevithick kompla l-esperimenti tiegħu stess bl-użu ta 'trio ta' lokomottivi, li kkonkluda mal-Qabda Me li jista 'fl-1808. Erba' snin biss wara, is-suċċess tal-lokomotiva b'żewġ ċilindri ta 'Salamanca minn Matthew Murray intuża mill-Rack Railed Edge u Pinion Middleton Railway. Fl-1825 George Stephenson bena l-lokomozzjoni għall-Ferrovija ta ’Stockton u Darlington. Din kienet l-ewwel ferrovija pubblika tal-fwar fid-dinja u mbagħad fl-1829, huwa bena r-rokit li kien daħal fih u rebaħ il-provi Rainhill. Il-Ferrovija ta ’Liverpool u Manchester infetħu fl-1830 u għamlu użu esklussiv tal-enerġija tal-fwar kemm għall-ferroviji tal-passiġġieri kif ukoll tal-merkanzija.</v>
      </c>
    </row>
    <row r="430" ht="15.75" customHeight="1">
      <c r="A430" s="2" t="s">
        <v>430</v>
      </c>
      <c r="B430" s="2" t="str">
        <f>IFERROR(__xludf.DUMMYFUNCTION("GOOGLETRANSLATE(A430,""en"", ""mt"")"),"X'inhu li jifred is-sistema newroimmuni u s-sistema immuni periferali fil-bnedmin?")</f>
        <v>X'inhu li jifred is-sistema newroimmuni u s-sistema immuni periferali fil-bnedmin?</v>
      </c>
    </row>
    <row r="431" ht="15.75" customHeight="1">
      <c r="A431" s="2" t="s">
        <v>431</v>
      </c>
      <c r="B431" s="2" t="str">
        <f>IFERROR(__xludf.DUMMYFUNCTION("GOOGLETRANSLATE(A431,""en"", ""mt"")"),"Fejn seħħew dawn ir-rewwixti?")</f>
        <v>Fejn seħħew dawn ir-rewwixti?</v>
      </c>
    </row>
    <row r="432" ht="15.75" customHeight="1">
      <c r="A432" s="2" t="s">
        <v>432</v>
      </c>
      <c r="B432" s="2" t="str">
        <f>IFERROR(__xludf.DUMMYFUNCTION("GOOGLETRANSLATE(A432,""en"", ""mt"")"),"l-aħjar, l-agħar u l-medja tal-kumplessità tal-każijiet")</f>
        <v>l-aħjar, l-agħar u l-medja tal-kumplessità tal-każijiet</v>
      </c>
    </row>
    <row r="433" ht="15.75" customHeight="1">
      <c r="A433" s="2" t="s">
        <v>433</v>
      </c>
      <c r="B433" s="2" t="str">
        <f>IFERROR(__xludf.DUMMYFUNCTION("GOOGLETRANSLATE(A433,""en"", ""mt"")"),"Għal liema skejjel tar-reliġjon jirreferu t-terminu 'skejjel parrokkjali' ġeneralment?")</f>
        <v>Għal liema skejjel tar-reliġjon jirreferu t-terminu 'skejjel parrokkjali' ġeneralment?</v>
      </c>
    </row>
    <row r="434" ht="15.75" customHeight="1">
      <c r="A434" s="2" t="s">
        <v>434</v>
      </c>
      <c r="B434" s="2" t="str">
        <f>IFERROR(__xludf.DUMMYFUNCTION("GOOGLETRANSLATE(A434,""en"", ""mt"")"),"Ir-rwol ta 'Yersinia pestis fil-mewt l-Iswed")</f>
        <v>Ir-rwol ta 'Yersinia pestis fil-mewt l-Iswed</v>
      </c>
    </row>
    <row r="435" ht="15.75" customHeight="1">
      <c r="A435" s="2" t="s">
        <v>435</v>
      </c>
      <c r="B435" s="2" t="str">
        <f>IFERROR(__xludf.DUMMYFUNCTION("GOOGLETRANSLATE(A435,""en"", ""mt"")"),"Il-kapitolu soċjali huwa kapitolu ta 'liema trattat?")</f>
        <v>Il-kapitolu soċjali huwa kapitolu ta 'liema trattat?</v>
      </c>
    </row>
    <row r="436" ht="15.75" customHeight="1">
      <c r="A436" s="2" t="s">
        <v>436</v>
      </c>
      <c r="B436" s="2" t="str">
        <f>IFERROR(__xludf.DUMMYFUNCTION("GOOGLETRANSLATE(A436,""en"", ""mt"")"),"folla barra")</f>
        <v>folla barra</v>
      </c>
    </row>
    <row r="437" ht="15.75" customHeight="1">
      <c r="A437" s="2" t="s">
        <v>437</v>
      </c>
      <c r="B437" s="2" t="str">
        <f>IFERROR(__xludf.DUMMYFUNCTION("GOOGLETRANSLATE(A437,""en"", ""mt"")"),"X'kien qed jiġri għan-numri tal-abbonati f'oqsma oħra tal-Ewropa?")</f>
        <v>X'kien qed jiġri għan-numri tal-abbonati f'oqsma oħra tal-Ewropa?</v>
      </c>
    </row>
    <row r="438" ht="15.75" customHeight="1">
      <c r="A438" s="2" t="s">
        <v>438</v>
      </c>
      <c r="B438" s="2" t="str">
        <f>IFERROR(__xludf.DUMMYFUNCTION("GOOGLETRANSLATE(A438,""en"", ""mt"")"),"Minbarra d-distrett tan-negozju ċentrali ewlieni tiegħu, fejn jinsabu l-maġġoranza tad-distretti tan-negozju ta 'San Diego?")</f>
        <v>Minbarra d-distrett tan-negozju ċentrali ewlieni tiegħu, fejn jinsabu l-maġġoranza tad-distretti tan-negozju ta 'San Diego?</v>
      </c>
    </row>
    <row r="439" ht="15.75" customHeight="1">
      <c r="A439" s="2" t="s">
        <v>439</v>
      </c>
      <c r="B439" s="2" t="str">
        <f>IFERROR(__xludf.DUMMYFUNCTION("GOOGLETRANSLATE(A439,""en"", ""mt"")"),"Liema reġjun juża t-terminu 'skejjel privati' biex jirreferi għall-universitajiet?")</f>
        <v>Liema reġjun juża t-terminu 'skejjel privati' biex jirreferi għall-universitajiet?</v>
      </c>
    </row>
    <row r="440" ht="15.75" customHeight="1">
      <c r="A440" s="2" t="s">
        <v>440</v>
      </c>
      <c r="B440" s="2" t="str">
        <f>IFERROR(__xludf.DUMMYFUNCTION("GOOGLETRANSLATE(A440,""en"", ""mt"")"),"Ekwazzjonijiet Newtonjani")</f>
        <v>Ekwazzjonijiet Newtonjani</v>
      </c>
    </row>
    <row r="441" ht="15.75" customHeight="1">
      <c r="A441" s="2" t="s">
        <v>441</v>
      </c>
      <c r="B441" s="2" t="str">
        <f>IFERROR(__xludf.DUMMYFUNCTION("GOOGLETRANSLATE(A441,""en"", ""mt"")"),"Istitut Nazzjonali Brażiljan tar-Riċerka tal-Amażonja")</f>
        <v>Istitut Nazzjonali Brażiljan tar-Riċerka tal-Amażonja</v>
      </c>
    </row>
    <row r="442" ht="15.75" customHeight="1">
      <c r="A442" s="2" t="s">
        <v>442</v>
      </c>
      <c r="B442" s="2" t="str">
        <f>IFERROR(__xludf.DUMMYFUNCTION("GOOGLETRANSLATE(A442,""en"", ""mt"")"),"Uża datagrammi mhux affidabbli u mekkaniżmi ta 'protokoll end-to-end assoċjati")</f>
        <v>Uża datagrammi mhux affidabbli u mekkaniżmi ta 'protokoll end-to-end assoċjati</v>
      </c>
    </row>
    <row r="443" ht="15.75" customHeight="1">
      <c r="A443" s="2" t="s">
        <v>443</v>
      </c>
      <c r="B443" s="2" t="str">
        <f>IFERROR(__xludf.DUMMYFUNCTION("GOOGLETRANSLATE(A443,""en"", ""mt"")"),"Standard u fqir")</f>
        <v>Standard u fqir</v>
      </c>
    </row>
    <row r="444" ht="15.75" customHeight="1">
      <c r="A444" s="2" t="s">
        <v>444</v>
      </c>
      <c r="B444" s="2" t="str">
        <f>IFERROR(__xludf.DUMMYFUNCTION("GOOGLETRANSLATE(A444,""en"", ""mt"")"),"Ir-Rumani żammew tmien leġjuni f’ħames bażijiet tul ir-Renu. In-numru attwali ta 'leġjuni preżenti fi kwalunkwe bażi jew b'kollox, kien jiddependi fuq jekk hemmx stat jew theddida ta' gwerra. Bejn madwar l-14 u l-180, l-assenjazzjoni ta 'leġjuni kienet ki"&amp;"f ġej: Għall-Armata ta' Germania inferjuri, żewġ leġjuni fil-Vetera (Xanten), I Germanica u XX Valeria (truppi Pannonian); Żewġ leġjuni f'Oppidum Ubiorum (""Belt ta 'l-Ubii""), li ġiet imsejħa mill-ġdid lil Colonia Agrippina, li tinżel għal Cologne, v Ala"&amp;"udae, leġjun Ċeltiku reklutat minn Gallia narbonensis u XXI, possibilment leġjun Galatian min-naħa l-oħra tal-imperu.")</f>
        <v>Ir-Rumani żammew tmien leġjuni f’ħames bażijiet tul ir-Renu. In-numru attwali ta 'leġjuni preżenti fi kwalunkwe bażi jew b'kollox, kien jiddependi fuq jekk hemmx stat jew theddida ta' gwerra. Bejn madwar l-14 u l-180, l-assenjazzjoni ta 'leġjuni kienet kif ġej: Għall-Armata ta' Germania inferjuri, żewġ leġjuni fil-Vetera (Xanten), I Germanica u XX Valeria (truppi Pannonian); Żewġ leġjuni f'Oppidum Ubiorum ("Belt ta 'l-Ubii"), li ġiet imsejħa mill-ġdid lil Colonia Agrippina, li tinżel għal Cologne, v Alaudae, leġjun Ċeltiku reklutat minn Gallia narbonensis u XXI, possibilment leġjun Galatian min-naħa l-oħra tal-imperu.</v>
      </c>
    </row>
    <row r="445" ht="15.75" customHeight="1">
      <c r="A445" s="2" t="s">
        <v>445</v>
      </c>
      <c r="B445" s="2" t="str">
        <f>IFERROR(__xludf.DUMMYFUNCTION("GOOGLETRANSLATE(A445,""en"", ""mt"")"),"Netwerk Internazzjonali ta 'Komunikazzjonijiet ta' Dejta")</f>
        <v>Netwerk Internazzjonali ta 'Komunikazzjonijiet ta' Dejta</v>
      </c>
    </row>
    <row r="446" ht="15.75" customHeight="1">
      <c r="A446" s="2" t="s">
        <v>446</v>
      </c>
      <c r="B446" s="2" t="str">
        <f>IFERROR(__xludf.DUMMYFUNCTION("GOOGLETRANSLATE(A446,""en"", ""mt"")"),"Liġi ta 'Lorentz")</f>
        <v>Liġi ta 'Lorentz</v>
      </c>
    </row>
    <row r="447" ht="15.75" customHeight="1">
      <c r="A447" s="2" t="s">
        <v>447</v>
      </c>
      <c r="B447" s="2" t="str">
        <f>IFERROR(__xludf.DUMMYFUNCTION("GOOGLETRANSLATE(A447,""en"", ""mt"")"),"Fl-2005, partijiet tal-baċin tal-Amażonja esperjenzaw l-agħar nixfa f'mitt sena, u kien hemm indikazzjonijiet li l-2006 setgħu kienu t-tieni sena suċċessiva ta 'nixfa. Artiklu tat-23 ta 'Lulju 2006 fil-gazzetta tar-Renju Unit The Independent irrapporta r-"&amp;"riżultati taċ-Ċentru ta' Riċerka dwar il-Woods Hole li juri li l-foresta fil-forma preżenti tagħha tista 'tibqa' ħajja biss ta 'tliet snin ta' nixfa. Ix-xjentisti fl-Istitut Nazzjonali Brażiljan tar-Riċerka tal-Amażonja jargumentaw fl-artikolu li din ir-r"&amp;"ispons għan-nixfa, flimkien mal-effetti tad-deforestazzjoni fuq il-klima reġjonali, qed jimbuttaw il-foresta tropikali lejn ""punt li jxerred"" fejn se jibda b'mod irriversibbli. Jikkonkludi li l-foresta tinsab f'xifer li tinbidel fi savanna jew deżert, b"&amp;"'konsegwenzi katastrofiċi għall-klima tad-dinja.")</f>
        <v>Fl-2005, partijiet tal-baċin tal-Amażonja esperjenzaw l-agħar nixfa f'mitt sena, u kien hemm indikazzjonijiet li l-2006 setgħu kienu t-tieni sena suċċessiva ta 'nixfa. Artiklu tat-23 ta 'Lulju 2006 fil-gazzetta tar-Renju Unit The Independent irrapporta r-riżultati taċ-Ċentru ta' Riċerka dwar il-Woods Hole li juri li l-foresta fil-forma preżenti tagħha tista 'tibqa' ħajja biss ta 'tliet snin ta' nixfa. Ix-xjentisti fl-Istitut Nazzjonali Brażiljan tar-Riċerka tal-Amażonja jargumentaw fl-artikolu li din ir-rispons għan-nixfa, flimkien mal-effetti tad-deforestazzjoni fuq il-klima reġjonali, qed jimbuttaw il-foresta tropikali lejn "punt li jxerred" fejn se jibda b'mod irriversibbli. Jikkonkludi li l-foresta tinsab f'xifer li tinbidel fi savanna jew deżert, b'konsegwenzi katastrofiċi għall-klima tad-dinja.</v>
      </c>
    </row>
    <row r="448" ht="15.75" customHeight="1">
      <c r="A448" s="2" t="s">
        <v>448</v>
      </c>
      <c r="B448" s="2" t="str">
        <f>IFERROR(__xludf.DUMMYFUNCTION("GOOGLETRANSLATE(A448,""en"", ""mt"")"),"X’kontribwixxa għas-severità tal-pesta?")</f>
        <v>X’kontribwixxa għas-severità tal-pesta?</v>
      </c>
    </row>
    <row r="449" ht="15.75" customHeight="1">
      <c r="A449" s="2" t="s">
        <v>449</v>
      </c>
      <c r="B449" s="2" t="str">
        <f>IFERROR(__xludf.DUMMYFUNCTION("GOOGLETRANSLATE(A449,""en"", ""mt"")"),"Biex tirrendi ċerti liġijiet ineffettivi,")</f>
        <v>Biex tirrendi ċerti liġijiet ineffettivi,</v>
      </c>
    </row>
    <row r="450" ht="15.75" customHeight="1">
      <c r="A450" s="2" t="s">
        <v>450</v>
      </c>
      <c r="B450" s="2" t="str">
        <f>IFERROR(__xludf.DUMMYFUNCTION("GOOGLETRANSLATE(A450,""en"", ""mt"")"),"Ministru Federali tal-Intern")</f>
        <v>Ministru Federali tal-Intern</v>
      </c>
    </row>
    <row r="451" ht="15.75" customHeight="1">
      <c r="A451" s="2" t="s">
        <v>451</v>
      </c>
      <c r="B451" s="2" t="str">
        <f>IFERROR(__xludf.DUMMYFUNCTION("GOOGLETRANSLATE(A451,""en"", ""mt"")"),"importazzjoni maqbudin")</f>
        <v>importazzjoni maqbudin</v>
      </c>
    </row>
    <row r="452" ht="15.75" customHeight="1">
      <c r="A452" s="2" t="s">
        <v>452</v>
      </c>
      <c r="B452" s="2" t="str">
        <f>IFERROR(__xludf.DUMMYFUNCTION("GOOGLETRANSLATE(A452,""en"", ""mt"")"),"L-imperjalizmu spiss jaqsam il-pajjiżi billi juża liema teknika?")</f>
        <v>L-imperjalizmu spiss jaqsam il-pajjiżi billi juża liema teknika?</v>
      </c>
    </row>
    <row r="453" ht="15.75" customHeight="1">
      <c r="A453" s="2" t="s">
        <v>453</v>
      </c>
      <c r="B453" s="2" t="str">
        <f>IFERROR(__xludf.DUMMYFUNCTION("GOOGLETRANSLATE(A453,""en"", ""mt"")"),"Diversi avvenimenti kommemorattivi jsiru kull sena. Laqgħat ta 'eluf ta' nies fuq il-banek tal-Vistula fil-lejl ta 'nofs is-sajf għal festival imsejjaħ Wianki (lustrar għall-kuruni) saru tradizzjoni u avveniment annwali fil-programm ta' avvenimenti kultur"&amp;"ali f'Varsavja. Il-festival jittraċċa l-għeruq tiegħu għal ritwali pagan paċifiku fejn ix-xebbiet kienu jżommu l-kuruni tagħhom ta 'ħwawar fuq l-ilma biex ibassru meta kienu se jiżżewġu, u ma' min. Sas-seklu 19 din it-tradizzjoni kienet saret avveniment f"&amp;"estiv, u din tkompli llum. Il-Kunsill tal-Belt jorganizza kunċerti u avvenimenti oħra. Lejliet kull nofs is-sajf, apparti l-wiċċ uffiċjali tal-kuruni, jaqbeż fuq in-nirien, ifittex il-fjura tal-felċi, hemm wirjiet mużikali, diskorsi, fieri u logħob tan-na"&amp;"r tad-dinjitarji mill-bank tax-xmara.")</f>
        <v>Diversi avvenimenti kommemorattivi jsiru kull sena. Laqgħat ta 'eluf ta' nies fuq il-banek tal-Vistula fil-lejl ta 'nofs is-sajf għal festival imsejjaħ Wianki (lustrar għall-kuruni) saru tradizzjoni u avveniment annwali fil-programm ta' avvenimenti kulturali f'Varsavja. Il-festival jittraċċa l-għeruq tiegħu għal ritwali pagan paċifiku fejn ix-xebbiet kienu jżommu l-kuruni tagħhom ta 'ħwawar fuq l-ilma biex ibassru meta kienu se jiżżewġu, u ma' min. Sas-seklu 19 din it-tradizzjoni kienet saret avveniment festiv, u din tkompli llum. Il-Kunsill tal-Belt jorganizza kunċerti u avvenimenti oħra. Lejliet kull nofs is-sajf, apparti l-wiċċ uffiċjali tal-kuruni, jaqbeż fuq in-nirien, ifittex il-fjura tal-felċi, hemm wirjiet mużikali, diskorsi, fieri u logħob tan-nar tad-dinjitarji mill-bank tax-xmara.</v>
      </c>
    </row>
    <row r="454" ht="15.75" customHeight="1">
      <c r="A454" s="2" t="s">
        <v>454</v>
      </c>
      <c r="B454" s="2" t="str">
        <f>IFERROR(__xludf.DUMMYFUNCTION("GOOGLETRANSLATE(A454,""en"", ""mt"")"),"Wara dan, Huguenots (bi stimi li jvarjaw minn 200,000 sa 1,000,000) ħarbu lejn il-pajjiżi Protestanti tal-madwar: l-Ingilterra, l-Olanda, l-Isvizzera, in-Norveġja, in-Norveġja, id-Danimarka u l-Prussja - li l-Elettur Kbir Kalvinist Frederick William laqa "&amp;"'biex jgħinhom jibnu mill-ġdid il-gwerra pajjiż. Wara dan l-eżodu, Huguenots baqa 'f'numri kbar f'reġjun wieħed biss ta' Franza: ir-reġjun imħatteb ta 'Cévennes fin-nofsinhar. Fil-bidu tas-seklu 18, grupp reġjonali magħruf bħala l-camisards li kienu Hugue"&amp;"nots ħarġu kontra l-Knisja Kattolika fir-reġjun, jaħarqu l-knejjes u joqtlu l-kleru. Għaddew truppi Franċiżi biex jikkaċċjaw u jeqirdu l-baned kollha ta 'camisards, bejn l-1702 u l-1709.")</f>
        <v>Wara dan, Huguenots (bi stimi li jvarjaw minn 200,000 sa 1,000,000) ħarbu lejn il-pajjiżi Protestanti tal-madwar: l-Ingilterra, l-Olanda, l-Isvizzera, in-Norveġja, in-Norveġja, id-Danimarka u l-Prussja - li l-Elettur Kbir Kalvinist Frederick William laqa 'biex jgħinhom jibnu mill-ġdid il-gwerra pajjiż. Wara dan l-eżodu, Huguenots baqa 'f'numri kbar f'reġjun wieħed biss ta' Franza: ir-reġjun imħatteb ta 'Cévennes fin-nofsinhar. Fil-bidu tas-seklu 18, grupp reġjonali magħruf bħala l-camisards li kienu Huguenots ħarġu kontra l-Knisja Kattolika fir-reġjun, jaħarqu l-knejjes u joqtlu l-kleru. Għaddew truppi Franċiżi biex jikkaċċjaw u jeqirdu l-baned kollha ta 'camisards, bejn l-1702 u l-1709.</v>
      </c>
    </row>
    <row r="455" ht="15.75" customHeight="1">
      <c r="A455" s="2" t="s">
        <v>455</v>
      </c>
      <c r="B455" s="2" t="str">
        <f>IFERROR(__xludf.DUMMYFUNCTION("GOOGLETRANSLATE(A455,""en"", ""mt"")"),"Għaliex iseħħ livell aktar baxx ta 'tkabbir ekonomiku minħabba konsum high-end?")</f>
        <v>Għaliex iseħħ livell aktar baxx ta 'tkabbir ekonomiku minħabba konsum high-end?</v>
      </c>
    </row>
    <row r="456" ht="15.75" customHeight="1">
      <c r="A456" s="2" t="s">
        <v>456</v>
      </c>
      <c r="B456" s="2" t="str">
        <f>IFERROR(__xludf.DUMMYFUNCTION("GOOGLETRANSLATE(A456,""en"", ""mt"")"),"Meta seħħet l-attività tal-bini fuq il-Knisja ta ’San Kazimierz?")</f>
        <v>Meta seħħet l-attività tal-bini fuq il-Knisja ta ’San Kazimierz?</v>
      </c>
    </row>
    <row r="457" ht="15.75" customHeight="1">
      <c r="A457" s="2" t="s">
        <v>457</v>
      </c>
      <c r="B457" s="2" t="str">
        <f>IFERROR(__xludf.DUMMYFUNCTION("GOOGLETRANSLATE(A457,""en"", ""mt"")"),"maqbud")</f>
        <v>maqbud</v>
      </c>
    </row>
    <row r="458" ht="15.75" customHeight="1">
      <c r="A458" s="2" t="s">
        <v>458</v>
      </c>
      <c r="B458" s="2" t="str">
        <f>IFERROR(__xludf.DUMMYFUNCTION("GOOGLETRANSLATE(A458,""en"", ""mt"")"),"Is-servizz tas-satellita dirett għad-dar tal-BSKYB sar disponibbli f'10 miljun djar fl-2010, l-ewwel pjattaforma tat-TV bi ħlas tal-Ewropa biex tinkiseb dak il-pass importanti. Meta kkonferma li kienet laħqet il-mira tagħha, ix-xandar qal li l-firxa tagħh"&amp;"a f'36% tad-djar fir-Renju Unit kienet tirrappreżenta udjenza ta 'aktar minn 25m persuna. Il-mira ġiet imħabbra għall-ewwel darba f'Awwissu 2004, minn dakinhar, klijenti addizzjonali ta '2.4M kienu ssottoskrivu għas-servizz dirett għad-dar ta' BSKYB. Il-k"&amp;"ummentaturi tal-midja kienu ddiskutew jekk iċ-ċifra tistax tintlaħaq hekk kif it-tkabbir fin-numri tal-abbonati x'imkien ieħor fl-Ewropa ċċattjat.")</f>
        <v>Is-servizz tas-satellita dirett għad-dar tal-BSKYB sar disponibbli f'10 miljun djar fl-2010, l-ewwel pjattaforma tat-TV bi ħlas tal-Ewropa biex tinkiseb dak il-pass importanti. Meta kkonferma li kienet laħqet il-mira tagħha, ix-xandar qal li l-firxa tagħha f'36% tad-djar fir-Renju Unit kienet tirrappreżenta udjenza ta 'aktar minn 25m persuna. Il-mira ġiet imħabbra għall-ewwel darba f'Awwissu 2004, minn dakinhar, klijenti addizzjonali ta '2.4M kienu ssottoskrivu għas-servizz dirett għad-dar ta' BSKYB. Il-kummentaturi tal-midja kienu ddiskutew jekk iċ-ċifra tistax tintlaħaq hekk kif it-tkabbir fin-numri tal-abbonati x'imkien ieħor fl-Ewropa ċċattjat.</v>
      </c>
    </row>
    <row r="459" ht="15.75" customHeight="1">
      <c r="A459" s="2" t="s">
        <v>459</v>
      </c>
      <c r="B459" s="2" t="str">
        <f>IFERROR(__xludf.DUMMYFUNCTION("GOOGLETRANSLATE(A459,""en"", ""mt"")"),"Dtime (n2)")</f>
        <v>Dtime (n2)</v>
      </c>
    </row>
    <row r="460" ht="15.75" customHeight="1">
      <c r="A460" s="2" t="s">
        <v>460</v>
      </c>
      <c r="B460" s="2" t="str">
        <f>IFERROR(__xludf.DUMMYFUNCTION("GOOGLETRANSLATE(A460,""en"", ""mt"")"),"lezzjonijiet")</f>
        <v>lezzjonijiet</v>
      </c>
    </row>
    <row r="461" ht="15.75" customHeight="1">
      <c r="A461" s="2" t="s">
        <v>461</v>
      </c>
      <c r="B461" s="2" t="str">
        <f>IFERROR(__xludf.DUMMYFUNCTION("GOOGLETRANSLATE(A461,""en"", ""mt"")"),"Liema denominazzjoni hija assoċjata mal-Kulleġġ San Kentigern?")</f>
        <v>Liema denominazzjoni hija assoċjata mal-Kulleġġ San Kentigern?</v>
      </c>
    </row>
    <row r="462" ht="15.75" customHeight="1">
      <c r="A462" s="2" t="s">
        <v>462</v>
      </c>
      <c r="B462" s="2" t="str">
        <f>IFERROR(__xludf.DUMMYFUNCTION("GOOGLETRANSLATE(A462,""en"", ""mt"")"),"Dak li temm it-triad")</f>
        <v>Dak li temm it-triad</v>
      </c>
    </row>
    <row r="463" ht="15.75" customHeight="1">
      <c r="A463" s="2" t="s">
        <v>463</v>
      </c>
      <c r="B463" s="2" t="str">
        <f>IFERROR(__xludf.DUMMYFUNCTION("GOOGLETRANSLATE(A463,""en"", ""mt"")"),"fit-tramuntana")</f>
        <v>fit-tramuntana</v>
      </c>
    </row>
    <row r="464" ht="15.75" customHeight="1">
      <c r="A464" s="2" t="s">
        <v>464</v>
      </c>
      <c r="B464" s="2" t="str">
        <f>IFERROR(__xludf.DUMMYFUNCTION("GOOGLETRANSLATE(A464,""en"", ""mt"")"),"Il-kapital uman huwa traskurat")</f>
        <v>Il-kapital uman huwa traskurat</v>
      </c>
    </row>
    <row r="465" ht="15.75" customHeight="1">
      <c r="A465" s="2" t="s">
        <v>465</v>
      </c>
      <c r="B465" s="2" t="str">
        <f>IFERROR(__xludf.DUMMYFUNCTION("GOOGLETRANSLATE(A465,""en"", ""mt"")"),"It-tieni l-akbar produttur globali")</f>
        <v>It-tieni l-akbar produttur globali</v>
      </c>
    </row>
    <row r="466" ht="15.75" customHeight="1">
      <c r="A466" s="2" t="s">
        <v>466</v>
      </c>
      <c r="B466" s="2" t="str">
        <f>IFERROR(__xludf.DUMMYFUNCTION("GOOGLETRANSLATE(A466,""en"", ""mt"")"),"Lag ta ’fuq")</f>
        <v>Lag ta ’fuq</v>
      </c>
    </row>
    <row r="467" ht="15.75" customHeight="1">
      <c r="A467" s="2" t="s">
        <v>467</v>
      </c>
      <c r="B467" s="2" t="str">
        <f>IFERROR(__xludf.DUMMYFUNCTION("GOOGLETRANSLATE(A467,""en"", ""mt"")"),"Larry Roberts")</f>
        <v>Larry Roberts</v>
      </c>
    </row>
    <row r="468" ht="15.75" customHeight="1">
      <c r="A468" s="2" t="s">
        <v>468</v>
      </c>
      <c r="B468" s="2" t="str">
        <f>IFERROR(__xludf.DUMMYFUNCTION("GOOGLETRANSLATE(A468,""en"", ""mt"")"),"X'inhu notevoli dwar il-foresta tal-Amażonja meta tidher mill-ispazju?")</f>
        <v>X'inhu notevoli dwar il-foresta tal-Amażonja meta tidher mill-ispazju?</v>
      </c>
    </row>
    <row r="469" ht="15.75" customHeight="1">
      <c r="A469" s="2" t="s">
        <v>469</v>
      </c>
      <c r="B469" s="2" t="str">
        <f>IFERROR(__xludf.DUMMYFUNCTION("GOOGLETRANSLATE(A469,""en"", ""mt"")"),"il-kolonji tal-Amerika Ingliża u Franza l-ġdida")</f>
        <v>il-kolonji tal-Amerika Ingliża u Franza l-ġdida</v>
      </c>
    </row>
    <row r="470" ht="15.75" customHeight="1">
      <c r="A470" s="2" t="s">
        <v>470</v>
      </c>
      <c r="B470" s="2" t="str">
        <f>IFERROR(__xludf.DUMMYFUNCTION("GOOGLETRANSLATE(A470,""en"", ""mt"")"),"Kemm għandu attività bl-imnut il-viċinat?")</f>
        <v>Kemm għandu attività bl-imnut il-viċinat?</v>
      </c>
    </row>
    <row r="471" ht="15.75" customHeight="1">
      <c r="A471" s="2" t="s">
        <v>471</v>
      </c>
      <c r="B471" s="2" t="str">
        <f>IFERROR(__xludf.DUMMYFUNCTION("GOOGLETRANSLATE(A471,""en"", ""mt"")"),"Ir-Royal Geographic Society ta ’Londra u soċjetajiet ġeografiċi oħra fl-Ewropa kellhom influwenza kbira u setgħu jiffinanzjaw vjaġġaturi li kienu se jerġgħu lura bir-rakkonti tal-iskoperti tagħhom. Dawn is-soċjetajiet servew ukoll bħala spazju għall-vjaġġ"&amp;"aturi biex jaqsmu dawn l-istejjer. Ġeografi politiċi bħal Friedrich Ratzel tal-Ġermanja u Halford Mackinder tal-Gran Brittanja appoġġjaw ukoll l-imperjalizmu. Ratzel jemmen li l-espansjoni kienet meħtieġa għas-sopravivenza ta 'stat filwaqt li Mackinder ap"&amp;"poġġa l-espansjoni imperjali tal-Gran Brittanja; Dawn iż-żewġ argumenti ddominaw id-dixxiplina għal għexieren ta ’snin.")</f>
        <v>Ir-Royal Geographic Society ta ’Londra u soċjetajiet ġeografiċi oħra fl-Ewropa kellhom influwenza kbira u setgħu jiffinanzjaw vjaġġaturi li kienu se jerġgħu lura bir-rakkonti tal-iskoperti tagħhom. Dawn is-soċjetajiet servew ukoll bħala spazju għall-vjaġġaturi biex jaqsmu dawn l-istejjer. Ġeografi politiċi bħal Friedrich Ratzel tal-Ġermanja u Halford Mackinder tal-Gran Brittanja appoġġjaw ukoll l-imperjalizmu. Ratzel jemmen li l-espansjoni kienet meħtieġa għas-sopravivenza ta 'stat filwaqt li Mackinder appoġġa l-espansjoni imperjali tal-Gran Brittanja; Dawn iż-żewġ argumenti ddominaw id-dixxiplina għal għexieren ta ’snin.</v>
      </c>
    </row>
    <row r="472" ht="15.75" customHeight="1">
      <c r="A472" s="2" t="s">
        <v>472</v>
      </c>
      <c r="B472" s="2" t="str">
        <f>IFERROR(__xludf.DUMMYFUNCTION("GOOGLETRANSLATE(A472,""en"", ""mt"")"),"Protezzjoni tal-kreditur, drittijiet tax-xogħol biex jipparteċipaw fix-xogħol, jew l-interess pubbliku fil-ġbir tat-taxxi")</f>
        <v>Protezzjoni tal-kreditur, drittijiet tax-xogħol biex jipparteċipaw fix-xogħol, jew l-interess pubbliku fil-ġbir tat-taxxi</v>
      </c>
    </row>
    <row r="473" ht="15.75" customHeight="1">
      <c r="A473" s="2" t="s">
        <v>473</v>
      </c>
      <c r="B473" s="2" t="str">
        <f>IFERROR(__xludf.DUMMYFUNCTION("GOOGLETRANSLATE(A473,""en"", ""mt"")"),"X'għamel oriġinarjament Decnet")</f>
        <v>X'għamel oriġinarjament Decnet</v>
      </c>
    </row>
    <row r="474" ht="15.75" customHeight="1">
      <c r="A474" s="2" t="s">
        <v>474</v>
      </c>
      <c r="B474" s="2" t="str">
        <f>IFERROR(__xludf.DUMMYFUNCTION("GOOGLETRANSLATE(A474,""en"", ""mt"")"),"X'interferixxi mat-tieni invażjoni tal-Ġappun ta 'Kublai?")</f>
        <v>X'interferixxi mat-tieni invażjoni tal-Ġappun ta 'Kublai?</v>
      </c>
    </row>
    <row r="475" ht="15.75" customHeight="1">
      <c r="A475" s="2" t="s">
        <v>475</v>
      </c>
      <c r="B475" s="2" t="str">
        <f>IFERROR(__xludf.DUMMYFUNCTION("GOOGLETRANSLATE(A475,""en"", ""mt"")"),"Lexus")</f>
        <v>Lexus</v>
      </c>
    </row>
    <row r="476" ht="15.75" customHeight="1">
      <c r="A476" s="2" t="s">
        <v>476</v>
      </c>
      <c r="B476" s="2" t="str">
        <f>IFERROR(__xludf.DUMMYFUNCTION("GOOGLETRANSLATE(A476,""en"", ""mt"")"),"Il-mekkaniżmu li bih Y. pestis kien ġeneralment trasmess")</f>
        <v>Il-mekkaniżmu li bih Y. pestis kien ġeneralment trasmess</v>
      </c>
    </row>
    <row r="477" ht="15.75" customHeight="1">
      <c r="A477" s="2" t="s">
        <v>477</v>
      </c>
      <c r="B477" s="2" t="str">
        <f>IFERROR(__xludf.DUMMYFUNCTION("GOOGLETRANSLATE(A477,""en"", ""mt"")"),"minn dawk li jħossu li t-tobba biss jistgħu jivvalutaw b'mod affidabbli l-kontraindikazzjonijiet, il-proporzjonijiet tar-riskju / benefiċċju, u l-adegwatezza ġenerali ta 'individwu għall-użu ta' medikazzjoni")</f>
        <v>minn dawk li jħossu li t-tobba biss jistgħu jivvalutaw b'mod affidabbli l-kontraindikazzjonijiet, il-proporzjonijiet tar-riskju / benefiċċju, u l-adegwatezza ġenerali ta 'individwu għall-użu ta' medikazzjoni</v>
      </c>
    </row>
    <row r="478" ht="15.75" customHeight="1">
      <c r="A478" s="2" t="s">
        <v>478</v>
      </c>
      <c r="B478" s="2" t="str">
        <f>IFERROR(__xludf.DUMMYFUNCTION("GOOGLETRANSLATE(A478,""en"", ""mt"")"),"Għal xiex ġie arrestat Joseph Haas?")</f>
        <v>Għal xiex ġie arrestat Joseph Haas?</v>
      </c>
    </row>
    <row r="479" ht="15.75" customHeight="1">
      <c r="A479" s="2" t="s">
        <v>479</v>
      </c>
      <c r="B479" s="2" t="str">
        <f>IFERROR(__xludf.DUMMYFUNCTION("GOOGLETRANSLATE(A479,""en"", ""mt"")"),"L-Aħjar Pjan ta 'Jacksonville")</f>
        <v>L-Aħjar Pjan ta 'Jacksonville</v>
      </c>
    </row>
    <row r="480" ht="15.75" customHeight="1">
      <c r="A480" s="2" t="s">
        <v>480</v>
      </c>
      <c r="B480" s="2" t="str">
        <f>IFERROR(__xludf.DUMMYFUNCTION("GOOGLETRANSLATE(A480,""en"", ""mt"")"),"Mount Bogong")</f>
        <v>Mount Bogong</v>
      </c>
    </row>
    <row r="481" ht="15.75" customHeight="1">
      <c r="A481" s="2" t="s">
        <v>481</v>
      </c>
      <c r="B481" s="2" t="str">
        <f>IFERROR(__xludf.DUMMYFUNCTION("GOOGLETRANSLATE(A481,""en"", ""mt"")"),"tinforma lill-ġurija u lill-pubbliku dwar iċ-ċirkostanzi politiċi")</f>
        <v>tinforma lill-ġurija u lill-pubbliku dwar iċ-ċirkostanzi politiċi</v>
      </c>
    </row>
    <row r="482" ht="15.75" customHeight="1">
      <c r="A482" s="2" t="s">
        <v>482</v>
      </c>
      <c r="B482" s="2" t="str">
        <f>IFERROR(__xludf.DUMMYFUNCTION("GOOGLETRANSLATE(A482,""en"", ""mt"")"),"Maria Skłodowska-Curie Institute of Onkology")</f>
        <v>Maria Skłodowska-Curie Institute of Onkology</v>
      </c>
    </row>
    <row r="483" ht="15.75" customHeight="1">
      <c r="A483" s="2" t="s">
        <v>483</v>
      </c>
      <c r="B483" s="2" t="str">
        <f>IFERROR(__xludf.DUMMYFUNCTION("GOOGLETRANSLATE(A483,""en"", ""mt"")"),"Share Recordings")</f>
        <v>Share Recordings</v>
      </c>
    </row>
    <row r="484" ht="15.75" customHeight="1">
      <c r="A484" s="2" t="s">
        <v>484</v>
      </c>
      <c r="B484" s="2" t="str">
        <f>IFERROR(__xludf.DUMMYFUNCTION("GOOGLETRANSLATE(A484,""en"", ""mt"")"),"tista 'tipproduċi kemm bajd kif ukoll sperma fl-istess ħin")</f>
        <v>tista 'tipproduċi kemm bajd kif ukoll sperma fl-istess ħin</v>
      </c>
    </row>
    <row r="485" ht="15.75" customHeight="1">
      <c r="A485" s="2" t="s">
        <v>485</v>
      </c>
      <c r="B485" s="2" t="str">
        <f>IFERROR(__xludf.DUMMYFUNCTION("GOOGLETRANSLATE(A485,""en"", ""mt"")"),"−11.7 ° C (10.9 ° F)")</f>
        <v>−11.7 ° C (10.9 ° F)</v>
      </c>
    </row>
    <row r="486" ht="15.75" customHeight="1">
      <c r="A486" s="2" t="s">
        <v>486</v>
      </c>
      <c r="B486" s="2" t="str">
        <f>IFERROR(__xludf.DUMMYFUNCTION("GOOGLETRANSLATE(A486,""en"", ""mt"")"),"X'inhu metodu wieħed biex jinkiseb konsum ta 'aspirazzjoni?")</f>
        <v>X'inhu metodu wieħed biex jinkiseb konsum ta 'aspirazzjoni?</v>
      </c>
    </row>
    <row r="487" ht="15.75" customHeight="1">
      <c r="A487" s="2" t="s">
        <v>487</v>
      </c>
      <c r="B487" s="2" t="str">
        <f>IFERROR(__xludf.DUMMYFUNCTION("GOOGLETRANSLATE(A487,""en"", ""mt"")"),"Lista kompluta ta 'primes sa hija magħrufa")</f>
        <v>Lista kompluta ta 'primes sa hija magħrufa</v>
      </c>
    </row>
    <row r="488" ht="15.75" customHeight="1">
      <c r="A488" s="2" t="s">
        <v>488</v>
      </c>
      <c r="B488" s="2" t="str">
        <f>IFERROR(__xludf.DUMMYFUNCTION("GOOGLETRANSLATE(A488,""en"", ""mt"")"),"Ferra anti-komunista")</f>
        <v>Ferra anti-komunista</v>
      </c>
    </row>
    <row r="489" ht="15.75" customHeight="1">
      <c r="A489" s="2" t="s">
        <v>489</v>
      </c>
      <c r="B489" s="2" t="str">
        <f>IFERROR(__xludf.DUMMYFUNCTION("GOOGLETRANSLATE(A489,""en"", ""mt"")"),"41 ° C.")</f>
        <v>41 ° C.</v>
      </c>
    </row>
    <row r="490" ht="15.75" customHeight="1">
      <c r="A490" s="2" t="s">
        <v>490</v>
      </c>
      <c r="B490" s="2" t="str">
        <f>IFERROR(__xludf.DUMMYFUNCTION("GOOGLETRANSLATE(A490,""en"", ""mt"")"),"Semmi l-mod l-ieħor li l-organizzazzjoni Plowshares ingħalqet temporanjament?")</f>
        <v>Semmi l-mod l-ieħor li l-organizzazzjoni Plowshares ingħalqet temporanjament?</v>
      </c>
    </row>
    <row r="491" ht="15.75" customHeight="1">
      <c r="A491" s="2" t="s">
        <v>491</v>
      </c>
      <c r="B491" s="2" t="str">
        <f>IFERROR(__xludf.DUMMYFUNCTION("GOOGLETRANSLATE(A491,""en"", ""mt"")"),"Is-sistema immunitarja tipproteġi l-organiżmi kontra xiex?")</f>
        <v>Is-sistema immunitarja tipproteġi l-organiżmi kontra xiex?</v>
      </c>
    </row>
    <row r="492" ht="15.75" customHeight="1">
      <c r="A492" s="2" t="s">
        <v>492</v>
      </c>
      <c r="B492" s="2" t="str">
        <f>IFERROR(__xludf.DUMMYFUNCTION("GOOGLETRANSLATE(A492,""en"", ""mt"")"),"Dewweb")</f>
        <v>Dewweb</v>
      </c>
    </row>
    <row r="493" ht="15.75" customHeight="1">
      <c r="A493" s="2" t="s">
        <v>493</v>
      </c>
      <c r="B493" s="2" t="str">
        <f>IFERROR(__xludf.DUMMYFUNCTION("GOOGLETRANSLATE(A493,""en"", ""mt"")"),"Xi diżubbidjenti ċivili jħossu li huwa fuqhom li jaċċettaw il-kastig minħabba t-twemmin tagħhom fil-validità tal-kuntratt soċjali, li huwa miżmum biex jorbot il-liġijiet kollha li gvern li jilħaq ċerti standards tal-leġittimità stabbilixxa, jew inkella js"&amp;"ofru l-penali Imniżżel fil-liġi. Dubbidjenti ċivili oħra li jiffavorixxu l-eżistenza tal-gvern għadhom ma jemmnux fil-leġittimità tal-gvern partikolari tagħhom, jew ma jemmnux fil-leġittimità ta 'liġi partikolari li tkun adottat. U għadhom diżubbidjenti ċ"&amp;"ivili oħra, li huma anarkisti, ma jemmnux fil-leġittimità ta 'xi gvern, u għalhekk ma tara l-ebda ħtieġa li taċċetta kastig għal ksur tal-liġi kriminali li ma tikserx id-drittijiet ta' ħaddieħor.")</f>
        <v>Xi diżubbidjenti ċivili jħossu li huwa fuqhom li jaċċettaw il-kastig minħabba t-twemmin tagħhom fil-validità tal-kuntratt soċjali, li huwa miżmum biex jorbot il-liġijiet kollha li gvern li jilħaq ċerti standards tal-leġittimità stabbilixxa, jew inkella jsofru l-penali Imniżżel fil-liġi. Dubbidjenti ċivili oħra li jiffavorixxu l-eżistenza tal-gvern għadhom ma jemmnux fil-leġittimità tal-gvern partikolari tagħhom, jew ma jemmnux fil-leġittimità ta 'liġi partikolari li tkun adottat. U għadhom diżubbidjenti ċivili oħra, li huma anarkisti, ma jemmnux fil-leġittimità ta 'xi gvern, u għalhekk ma tara l-ebda ħtieġa li taċċetta kastig għal ksur tal-liġi kriminali li ma tikserx id-drittijiet ta' ħaddieħor.</v>
      </c>
    </row>
    <row r="494" ht="15.75" customHeight="1">
      <c r="A494" s="2" t="s">
        <v>494</v>
      </c>
      <c r="B494" s="2" t="str">
        <f>IFERROR(__xludf.DUMMYFUNCTION("GOOGLETRANSLATE(A494,""en"", ""mt"")"),"X'jiġri f'dan il-liwja fir-Renu?")</f>
        <v>X'jiġri f'dan il-liwja fir-Renu?</v>
      </c>
    </row>
    <row r="495" ht="15.75" customHeight="1">
      <c r="A495" s="2" t="s">
        <v>495</v>
      </c>
      <c r="B495" s="2" t="str">
        <f>IFERROR(__xludf.DUMMYFUNCTION("GOOGLETRANSLATE(A495,""en"", ""mt"")"),"Għaliex il-flora ta 'Varsavja hija rikka ħafna fl-ispeċi?")</f>
        <v>Għaliex il-flora ta 'Varsavja hija rikka ħafna fl-ispeċi?</v>
      </c>
    </row>
    <row r="496" ht="15.75" customHeight="1">
      <c r="A496" s="2" t="s">
        <v>496</v>
      </c>
      <c r="B496" s="2" t="str">
        <f>IFERROR(__xludf.DUMMYFUNCTION("GOOGLETRANSLATE(A496,""en"", ""mt"")"),"Minbarra l-Ingliż, liema lingwa hija wkoll ta 'spiss mgħallma fi skejjel privati ​​tan-Nepaliżi?")</f>
        <v>Minbarra l-Ingliż, liema lingwa hija wkoll ta 'spiss mgħallma fi skejjel privati ​​tan-Nepaliżi?</v>
      </c>
    </row>
    <row r="497" ht="15.75" customHeight="1">
      <c r="A497" s="2" t="s">
        <v>497</v>
      </c>
      <c r="B497" s="2" t="str">
        <f>IFERROR(__xludf.DUMMYFUNCTION("GOOGLETRANSLATE(A497,""en"", ""mt"")"),"DataNet 1 irrefera biss għan-netwerk u l-utenti konnessi permezz ta ’linji mikrija")</f>
        <v>DataNet 1 irrefera biss għan-netwerk u l-utenti konnessi permezz ta ’linji mikrija</v>
      </c>
    </row>
    <row r="498" ht="15.75" customHeight="1">
      <c r="A498" s="2" t="s">
        <v>498</v>
      </c>
      <c r="B498" s="2" t="str">
        <f>IFERROR(__xludf.DUMMYFUNCTION("GOOGLETRANSLATE(A498,""en"", ""mt"")"),"L-unità bażika tad-diviżjoni territorjali fil-Polonja hija komun (GMINA). Belt hija wkoll komun - iżda bil-charter tal-belt. Kemm il-bliet kif ukoll il-komuni huma rregolati minn sindku - iżda fil-komuni s-sindku huwa Vogt (wójt fil-Pollakk), madankollu f"&amp;"il-bliet - Burmistrz. Xi bliet ikbar jiksbu d-drittijiet, i.e. kompiti u privileġġi, li huma fil-pussess mill-unitajiet tat-tieni livell tad-diviżjoni territorjali - kontej jew powiats. Eżempju ta 'tali intitolament huwa reġistrazzjoni tal-karozzi: GMINA "&amp;"ma tistax tirreġistra karozzi, dan huwa kompitu ta' POWIAT (i.e. numru ta 'reġistrazzjoni jiddependi fuq dak li kien ġie rreġistrat karozza POWIAT, mhux GMINA). F'dan il-każ ngħidu dwar City County jew Powiat Grodzki. Bliet bħal dawn huma pereżempju Lubli"&amp;"n, Kraków, Gdańsk, Poznań. F'Varsavja, id-distretti tagħha wkoll għandhom xi wħud mid-drittijiet ta 'Powiat - bħalma diġà semmew ir-reġistrazzjoni tal-karozzi. Pereżempju, id-Distrett Wola għandu l-evidenza tiegħu stess u d-distrett ta 'Ursynów - tiegħu s"&amp;"tess (u l-karozzi minn Wola għandhom tip ieħor ta' numru ta 'reġistrazzjoni minn dawn minn Ursynów). Iżda pereżempju d-distretti fi Kraków m'għandhomx drittijiet ta 'POWIAT, u għalhekk in-numri ta' reġistrazzjoni fi Kraków huma tal-istess tip għad-distret"&amp;"ti kollha.")</f>
        <v>L-unità bażika tad-diviżjoni territorjali fil-Polonja hija komun (GMINA). Belt hija wkoll komun - iżda bil-charter tal-belt. Kemm il-bliet kif ukoll il-komuni huma rregolati minn sindku - iżda fil-komuni s-sindku huwa Vogt (wójt fil-Pollakk), madankollu fil-bliet - Burmistrz. Xi bliet ikbar jiksbu d-drittijiet, i.e. kompiti u privileġġi, li huma fil-pussess mill-unitajiet tat-tieni livell tad-diviżjoni territorjali - kontej jew powiats. Eżempju ta 'tali intitolament huwa reġistrazzjoni tal-karozzi: GMINA ma tistax tirreġistra karozzi, dan huwa kompitu ta' POWIAT (i.e. numru ta 'reġistrazzjoni jiddependi fuq dak li kien ġie rreġistrat karozza POWIAT, mhux GMINA). F'dan il-każ ngħidu dwar City County jew Powiat Grodzki. Bliet bħal dawn huma pereżempju Lublin, Kraków, Gdańsk, Poznań. F'Varsavja, id-distretti tagħha wkoll għandhom xi wħud mid-drittijiet ta 'Powiat - bħalma diġà semmew ir-reġistrazzjoni tal-karozzi. Pereżempju, id-Distrett Wola għandu l-evidenza tiegħu stess u d-distrett ta 'Ursynów - tiegħu stess (u l-karozzi minn Wola għandhom tip ieħor ta' numru ta 'reġistrazzjoni minn dawn minn Ursynów). Iżda pereżempju d-distretti fi Kraków m'għandhomx drittijiet ta 'POWIAT, u għalhekk in-numri ta' reġistrazzjoni fi Kraków huma tal-istess tip għad-distretti kollha.</v>
      </c>
    </row>
    <row r="499" ht="15.75" customHeight="1">
      <c r="A499" s="2" t="s">
        <v>499</v>
      </c>
      <c r="B499" s="2" t="str">
        <f>IFERROR(__xludf.DUMMYFUNCTION("GOOGLETRANSLATE(A499,""en"", ""mt"")"),"Biex tenfasizza l-akkademiċi fuq l-atletika,")</f>
        <v>Biex tenfasizza l-akkademiċi fuq l-atletika,</v>
      </c>
    </row>
    <row r="500" ht="15.75" customHeight="1">
      <c r="A500" s="2" t="s">
        <v>500</v>
      </c>
      <c r="B500" s="2" t="str">
        <f>IFERROR(__xludf.DUMMYFUNCTION("GOOGLETRANSLATE(A500,""en"", ""mt"")"),"It-twaqqif ta ’knejjes Protestanti ġodda f’reġjuni kkontrollati mill-Kattoliċi")</f>
        <v>It-twaqqif ta ’knejjes Protestanti ġodda f’reġjuni kkontrollati mill-Kattoliċi</v>
      </c>
    </row>
    <row r="501" ht="15.75" customHeight="1">
      <c r="A501" s="2" t="s">
        <v>501</v>
      </c>
      <c r="B501" s="2" t="str">
        <f>IFERROR(__xludf.DUMMYFUNCTION("GOOGLETRANSLATE(A501,""en"", ""mt"")"),"In-nisa jirtiraw fl-età ta '60 sena u rġiel f'65")</f>
        <v>In-nisa jirtiraw fl-età ta '60 sena u rġiel f'65</v>
      </c>
    </row>
    <row r="502" ht="15.75" customHeight="1">
      <c r="A502" s="2" t="s">
        <v>502</v>
      </c>
      <c r="B502" s="2" t="str">
        <f>IFERROR(__xludf.DUMMYFUNCTION("GOOGLETRANSLATE(A502,""en"", ""mt"")"),"Kif jissejjaħ it-tarf tal-plateau tal-moraine?")</f>
        <v>Kif jissejjaħ it-tarf tal-plateau tal-moraine?</v>
      </c>
    </row>
    <row r="503" ht="15.75" customHeight="1">
      <c r="A503" s="2" t="s">
        <v>503</v>
      </c>
      <c r="B503" s="2" t="str">
        <f>IFERROR(__xludf.DUMMYFUNCTION("GOOGLETRANSLATE(A503,""en"", ""mt"")"),"Università ta ’Aberdeen")</f>
        <v>Università ta ’Aberdeen</v>
      </c>
    </row>
    <row r="504" ht="15.75" customHeight="1">
      <c r="A504" s="2" t="s">
        <v>504</v>
      </c>
      <c r="B504" s="2" t="str">
        <f>IFERROR(__xludf.DUMMYFUNCTION("GOOGLETRANSLATE(A504,""en"", ""mt"")"),"Fl-Ingilterra, fin-nuqqas ta 'figuri taċ-ċensiment, l-istoriċi jipproponu firxa ta' figuri ta 'popolazzjoni preinent minn 7 miljun sa baxxi sa 4 miljun fl-1300, u ċifra ta' popolazzjoni postintentiva baxxa daqs 2 miljun. Sal-aħħar tal-1350, il-mewt l-Iswe"&amp;"d naqset, iżda qatt ma mietet verament fl-Ingilterra. Matul il-ftit mijiet ta 'snin li ġejjin, aktar tifqigħat seħħew fl-1361–62, 1369, 1379–83, 1389-93, u matul l-ewwel nofs tas-seklu 15. Tfaqqigħ fl-1471 ħa daqs 10-15% tal-popolazzjoni, filwaqt li r-rat"&amp;"a tal-mewt tal-pesta ta '1479-80 setgħet kienet għolja sa 20%. L-iktar tifqigħat ġenerali fi Tudor u Stuart England jidhru li bdew fl-1498, 1535, 1543, 1563, 1589, 1603, 1625, u 1636, u spiċċaw bil-pesta kbira ta ’Londra fl-1665.")</f>
        <v>Fl-Ingilterra, fin-nuqqas ta 'figuri taċ-ċensiment, l-istoriċi jipproponu firxa ta' figuri ta 'popolazzjoni preinent minn 7 miljun sa baxxi sa 4 miljun fl-1300, u ċifra ta' popolazzjoni postintentiva baxxa daqs 2 miljun. Sal-aħħar tal-1350, il-mewt l-Iswed naqset, iżda qatt ma mietet verament fl-Ingilterra. Matul il-ftit mijiet ta 'snin li ġejjin, aktar tifqigħat seħħew fl-1361–62, 1369, 1379–83, 1389-93, u matul l-ewwel nofs tas-seklu 15. Tfaqqigħ fl-1471 ħa daqs 10-15% tal-popolazzjoni, filwaqt li r-rata tal-mewt tal-pesta ta '1479-80 setgħet kienet għolja sa 20%. L-iktar tifqigħat ġenerali fi Tudor u Stuart England jidhru li bdew fl-1498, 1535, 1543, 1563, 1589, 1603, 1625, u 1636, u spiċċaw bil-pesta kbira ta ’Londra fl-1665.</v>
      </c>
    </row>
    <row r="505" ht="15.75" customHeight="1">
      <c r="A505" s="2" t="s">
        <v>505</v>
      </c>
      <c r="B505" s="2" t="str">
        <f>IFERROR(__xludf.DUMMYFUNCTION("GOOGLETRANSLATE(A505,""en"", ""mt"")"),"Sema tlieta")</f>
        <v>Sema tlieta</v>
      </c>
    </row>
    <row r="506" ht="15.75" customHeight="1">
      <c r="A506" s="2" t="s">
        <v>506</v>
      </c>
      <c r="B506" s="2" t="str">
        <f>IFERROR(__xludf.DUMMYFUNCTION("GOOGLETRANSLATE(A506,""en"", ""mt"")"),"Mill-Eocene 'l hawn, l-orogenija Alpina li għaddejja kkawżat sistema ta' Rift N-S biex tiżviluppa f'din iż-żona. L-elementi ewlenin ta 'din il-qasma huma l-Upper Rhine Graben, fil-Lbiċ tal-Ġermanja u l-Lvant ta' Franza u l-imbarazz ta 'Lower Rhine, fil-ma"&amp;"jjistral tal-Ġermanja u l-Olanda tax-Xlokk. Saż-żmien tal-Miocene, sistema ta 'xmajjar kienet żviluppat fil-parti ta' fuq tar-Renu, li kompliet lejn it-tramuntana u hija meqjusa bħala l-ewwel xmara Rhine. Dak iż-żmien, huwa għadu ma wettaqx kwittanza mill"&amp;"-Alpi; Minflok, il-friskaturi tal-ilma tar-Rhone u d-Danubju ixxotta l-ġnub tat-tramuntana tal-Alpi.")</f>
        <v>Mill-Eocene 'l hawn, l-orogenija Alpina li għaddejja kkawżat sistema ta' Rift N-S biex tiżviluppa f'din iż-żona. L-elementi ewlenin ta 'din il-qasma huma l-Upper Rhine Graben, fil-Lbiċ tal-Ġermanja u l-Lvant ta' Franza u l-imbarazz ta 'Lower Rhine, fil-majjistral tal-Ġermanja u l-Olanda tax-Xlokk. Saż-żmien tal-Miocene, sistema ta 'xmajjar kienet żviluppat fil-parti ta' fuq tar-Renu, li kompliet lejn it-tramuntana u hija meqjusa bħala l-ewwel xmara Rhine. Dak iż-żmien, huwa għadu ma wettaqx kwittanza mill-Alpi; Minflok, il-friskaturi tal-ilma tar-Rhone u d-Danubju ixxotta l-ġnub tat-tramuntana tal-Alpi.</v>
      </c>
    </row>
    <row r="507" ht="15.75" customHeight="1">
      <c r="A507" s="2" t="s">
        <v>507</v>
      </c>
      <c r="B507" s="2" t="str">
        <f>IFERROR(__xludf.DUMMYFUNCTION("GOOGLETRANSLATE(A507,""en"", ""mt"")"),"Min stieden lil Washington biex tiekol miegħu?")</f>
        <v>Min stieden lil Washington biex tiekol miegħu?</v>
      </c>
    </row>
    <row r="508" ht="15.75" customHeight="1">
      <c r="A508" s="2" t="s">
        <v>508</v>
      </c>
      <c r="B508" s="2" t="str">
        <f>IFERROR(__xludf.DUMMYFUNCTION("GOOGLETRANSLATE(A508,""en"", ""mt"")"),"Biex tagħmel l-ospiti responsabbli għal konsenja affidabbli ta 'dejta, aktar milli n-netwerk innifsu")</f>
        <v>Biex tagħmel l-ospiti responsabbli għal konsenja affidabbli ta 'dejta, aktar milli n-netwerk innifsu</v>
      </c>
    </row>
    <row r="509" ht="15.75" customHeight="1">
      <c r="A509" s="2" t="s">
        <v>509</v>
      </c>
      <c r="B509" s="2" t="str">
        <f>IFERROR(__xludf.DUMMYFUNCTION("GOOGLETRANSLATE(A509,""en"", ""mt"")"),"X’għamlu l-istoriċi fin-nuqqas ta ’figuri taċ-ċensiment?")</f>
        <v>X’għamlu l-istoriċi fin-nuqqas ta ’figuri taċ-ċensiment?</v>
      </c>
    </row>
    <row r="510" ht="15.75" customHeight="1">
      <c r="A510" s="2" t="s">
        <v>510</v>
      </c>
      <c r="B510" s="2" t="str">
        <f>IFERROR(__xludf.DUMMYFUNCTION("GOOGLETRANSLATE(A510,""en"", ""mt"")"),"Esplora netwerking tal-kompjuter")</f>
        <v>Esplora netwerking tal-kompjuter</v>
      </c>
    </row>
    <row r="511" ht="15.75" customHeight="1">
      <c r="A511" s="2" t="s">
        <v>511</v>
      </c>
      <c r="B511" s="2" t="str">
        <f>IFERROR(__xludf.DUMMYFUNCTION("GOOGLETRANSLATE(A511,""en"", ""mt"")"),"iddikjarat il-Ġappun pajjiż ""mhux ħbieb""")</f>
        <v>iddikjarat il-Ġappun pajjiż "mhux ħbieb"</v>
      </c>
    </row>
    <row r="512" ht="15.75" customHeight="1">
      <c r="A512" s="2" t="s">
        <v>512</v>
      </c>
      <c r="B512" s="2" t="str">
        <f>IFERROR(__xludf.DUMMYFUNCTION("GOOGLETRANSLATE(A512,""en"", ""mt"")"),"tqajjem il-produttività ta 'kull ħaddiem")</f>
        <v>tqajjem il-produttività ta 'kull ħaddiem</v>
      </c>
    </row>
    <row r="513" ht="15.75" customHeight="1">
      <c r="A513" s="2" t="s">
        <v>513</v>
      </c>
      <c r="B513" s="2" t="str">
        <f>IFERROR(__xludf.DUMMYFUNCTION("GOOGLETRANSLATE(A513,""en"", ""mt"")"),"X'inhu l-isem tal-organizzazzjoni inkarigata mit-tmexxija tal-klabbs fl-università?")</f>
        <v>X'inhu l-isem tal-organizzazzjoni inkarigata mit-tmexxija tal-klabbs fl-università?</v>
      </c>
    </row>
    <row r="514" ht="15.75" customHeight="1">
      <c r="A514" s="2" t="s">
        <v>514</v>
      </c>
      <c r="B514" s="2" t="str">
        <f>IFERROR(__xludf.DUMMYFUNCTION("GOOGLETRANSLATE(A514,""en"", ""mt"")"),"Doc Films")</f>
        <v>Doc Films</v>
      </c>
    </row>
    <row r="515" ht="15.75" customHeight="1">
      <c r="A515" s="2" t="s">
        <v>515</v>
      </c>
      <c r="B515" s="2" t="str">
        <f>IFERROR(__xludf.DUMMYFUNCTION("GOOGLETRANSLATE(A515,""en"", ""mt"")"),"Lag t'isfel")</f>
        <v>Lag t'isfel</v>
      </c>
    </row>
    <row r="516" ht="15.75" customHeight="1">
      <c r="A516" s="2" t="s">
        <v>516</v>
      </c>
      <c r="B516" s="2" t="str">
        <f>IFERROR(__xludf.DUMMYFUNCTION("GOOGLETRANSLATE(A516,""en"", ""mt"")"),"Il-popolazzjoni Franċiża kienet tgħodd madwar 75,000 u kienet ikkonċentrata ħafna tul il-Wied tax-Xmara St Lawrence, b'xi wħud ukoll f'Acadia (New Brunswick tal-lum u partijiet ta 'Nova Scotia, inkluża île Royale (preżenti l-ġurnata Cape Breton Island)). "&amp;"Anqas għexet fi New Orleans, Biloxi, Mississippi, Mobile, Alabama u insedjamenti żgħar fil-pajjiż ta 'l-Illinois, li tgħannqu n-naħa tal-lvant tax-Xmara Mississippi u t-tributarji tagħha. In-negozjanti tal-pil Franċiżi u n-nassaba vvjaġġaw madwar il-Water"&amp;"sheds ta ’San Lawrenz u l-Mississippi, għamlu negozju ma’ tribujiet lokali, u ħafna drabi żżewġu nisa Indjani. In-negozjanti żżewġu ibniet ta 'kapijiet, u ħolqu unjonijiet ta' grad għoli.")</f>
        <v>Il-popolazzjoni Franċiża kienet tgħodd madwar 75,000 u kienet ikkonċentrata ħafna tul il-Wied tax-Xmara St Lawrence, b'xi wħud ukoll f'Acadia (New Brunswick tal-lum u partijiet ta 'Nova Scotia, inkluża île Royale (preżenti l-ġurnata Cape Breton Island)). Anqas għexet fi New Orleans, Biloxi, Mississippi, Mobile, Alabama u insedjamenti żgħar fil-pajjiż ta 'l-Illinois, li tgħannqu n-naħa tal-lvant tax-Xmara Mississippi u t-tributarji tagħha. In-negozjanti tal-pil Franċiżi u n-nassaba vvjaġġaw madwar il-Watersheds ta ’San Lawrenz u l-Mississippi, għamlu negozju ma’ tribujiet lokali, u ħafna drabi żżewġu nisa Indjani. In-negozjanti żżewġu ibniet ta 'kapijiet, u ħolqu unjonijiet ta' grad għoli.</v>
      </c>
    </row>
    <row r="517" ht="15.75" customHeight="1">
      <c r="A517" s="2" t="s">
        <v>517</v>
      </c>
      <c r="B517" s="2" t="str">
        <f>IFERROR(__xludf.DUMMYFUNCTION("GOOGLETRANSLATE(A517,""en"", ""mt"")"),"Kemm avvenimenti jseħħu f'ċiklu tal-magna?")</f>
        <v>Kemm avvenimenti jseħħu f'ċiklu tal-magna?</v>
      </c>
    </row>
    <row r="518" ht="15.75" customHeight="1">
      <c r="A518" s="2" t="s">
        <v>518</v>
      </c>
      <c r="B518" s="2" t="str">
        <f>IFERROR(__xludf.DUMMYFUNCTION("GOOGLETRANSLATE(A518,""en"", ""mt"")"),"pompa")</f>
        <v>pompa</v>
      </c>
    </row>
    <row r="519" ht="15.75" customHeight="1">
      <c r="A519" s="2" t="s">
        <v>519</v>
      </c>
      <c r="B519" s="2" t="str">
        <f>IFERROR(__xludf.DUMMYFUNCTION("GOOGLETRANSLATE(A519,""en"", ""mt"")"),"Numru ta 'riċerkaturi (David Rodda, Jacob Vigdor, u Janna Matlack), jargumentaw li nuqqas ta' akkomodazzjoni bi prezz raġonevoli - għall-inqas fl-Istati Uniti - huwa kkawżat parzjalment mill-inugwaljanza tad-dħul. David Rodda nnota li mill-1984 u l-1991, "&amp;"in-numru ta 'unitajiet ta' kiri ta 'kwalità naqas hekk kif id-domanda għal akkomodazzjoni ta' kwalità ogħla żdiedet (Rhoda 1994: 148). Permezz ta 'gentrifikazzjoni ta' kwartieri anzjani, pereżempju, fil-Lvant ta 'New York, il-prezzijiet tal-kiri żdiedu ma"&amp;"lajr hekk kif sidien sabu residenti ġodda lesti li jħallsu rata ogħla tas-suq għall-akkomodazzjoni u ħallew familji bi dħul aktar baxx mingħajr unitajiet ta' kiri. Il-politika tat-taxxa fuq il-proprjetà ad valorem flimkien ma 'prezzijiet dejjem jiżdiedu g"&amp;"ħamlitha diffiċli jew impossibbli għal residenti bi dħul baxx biex iżommu l-pass.")</f>
        <v>Numru ta 'riċerkaturi (David Rodda, Jacob Vigdor, u Janna Matlack), jargumentaw li nuqqas ta' akkomodazzjoni bi prezz raġonevoli - għall-inqas fl-Istati Uniti - huwa kkawżat parzjalment mill-inugwaljanza tad-dħul. David Rodda nnota li mill-1984 u l-1991, in-numru ta 'unitajiet ta' kiri ta 'kwalità naqas hekk kif id-domanda għal akkomodazzjoni ta' kwalità ogħla żdiedet (Rhoda 1994: 148). Permezz ta 'gentrifikazzjoni ta' kwartieri anzjani, pereżempju, fil-Lvant ta 'New York, il-prezzijiet tal-kiri żdiedu malajr hekk kif sidien sabu residenti ġodda lesti li jħallsu rata ogħla tas-suq għall-akkomodazzjoni u ħallew familji bi dħul aktar baxx mingħajr unitajiet ta' kiri. Il-politika tat-taxxa fuq il-proprjetà ad valorem flimkien ma 'prezzijiet dejjem jiżdiedu għamlitha diffiċli jew impossibbli għal residenti bi dħul baxx biex iżommu l-pass.</v>
      </c>
    </row>
    <row r="520" ht="15.75" customHeight="1">
      <c r="A520" s="2" t="s">
        <v>520</v>
      </c>
      <c r="B520" s="2" t="str">
        <f>IFERROR(__xludf.DUMMYFUNCTION("GOOGLETRANSLATE(A520,""en"", ""mt"")"),"Wara l-ftuħ mill-ġdid, fejn se jkunu jinsabu l-biċċiet tal-arti wara r-restawr?")</f>
        <v>Wara l-ftuħ mill-ġdid, fejn se jkunu jinsabu l-biċċiet tal-arti wara r-restawr?</v>
      </c>
    </row>
    <row r="521" ht="15.75" customHeight="1">
      <c r="A521" s="2" t="s">
        <v>521</v>
      </c>
      <c r="B521" s="2" t="str">
        <f>IFERROR(__xludf.DUMMYFUNCTION("GOOGLETRANSLATE(A521,""en"", ""mt"")"),"Mill-1970")</f>
        <v>Mill-1970</v>
      </c>
    </row>
    <row r="522" ht="15.75" customHeight="1">
      <c r="A522" s="2" t="s">
        <v>522</v>
      </c>
      <c r="B522" s="2" t="str">
        <f>IFERROR(__xludf.DUMMYFUNCTION("GOOGLETRANSLATE(A522,""en"", ""mt"")"),"Ikklassifikat hawn fuq")</f>
        <v>Ikklassifikat hawn fuq</v>
      </c>
    </row>
    <row r="523" ht="15.75" customHeight="1">
      <c r="A523" s="2" t="s">
        <v>523</v>
      </c>
      <c r="B523" s="2" t="str">
        <f>IFERROR(__xludf.DUMMYFUNCTION("GOOGLETRANSLATE(A523,""en"", ""mt"")"),"Min żied mal-ktieb ta 'Dioscorides fl-Età tad-Deheb Iżlamika?")</f>
        <v>Min żied mal-ktieb ta 'Dioscorides fl-Età tad-Deheb Iżlamika?</v>
      </c>
    </row>
    <row r="524" ht="15.75" customHeight="1">
      <c r="A524" s="2" t="s">
        <v>524</v>
      </c>
      <c r="B524" s="2" t="str">
        <f>IFERROR(__xludf.DUMMYFUNCTION("GOOGLETRANSLATE(A524,""en"", ""mt"")"),"Kif huma differenti l-iskejjel 'mhux megħjuna' minn skejjel 'megħjuna'?")</f>
        <v>Kif huma differenti l-iskejjel 'mhux megħjuna' minn skejjel 'megħjuna'?</v>
      </c>
    </row>
    <row r="525" ht="15.75" customHeight="1">
      <c r="A525" s="2" t="s">
        <v>525</v>
      </c>
      <c r="B525" s="2" t="str">
        <f>IFERROR(__xludf.DUMMYFUNCTION("GOOGLETRANSLATE(A525,""en"", ""mt"")"),"In-Nazzjonijiet Uniti")</f>
        <v>In-Nazzjonijiet Uniti</v>
      </c>
    </row>
    <row r="526" ht="15.75" customHeight="1">
      <c r="A526" s="2" t="s">
        <v>526</v>
      </c>
      <c r="B526" s="2" t="str">
        <f>IFERROR(__xludf.DUMMYFUNCTION("GOOGLETRANSLATE(A526,""en"", ""mt"")"),"Qalba Komuni")</f>
        <v>Qalba Komuni</v>
      </c>
    </row>
    <row r="527" ht="15.75" customHeight="1">
      <c r="A527" s="2" t="s">
        <v>527</v>
      </c>
      <c r="B527" s="2" t="str">
        <f>IFERROR(__xludf.DUMMYFUNCTION("GOOGLETRANSLATE(A527,""en"", ""mt"")"),"Kif differenti l-iskejjel privati ​​fl-Irlanda huma differenti mill-biċċa l-kbira?")</f>
        <v>Kif differenti l-iskejjel privati ​​fl-Irlanda huma differenti mill-biċċa l-kbira?</v>
      </c>
    </row>
    <row r="528" ht="15.75" customHeight="1">
      <c r="A528" s="2" t="s">
        <v>528</v>
      </c>
      <c r="B528" s="2" t="str">
        <f>IFERROR(__xludf.DUMMYFUNCTION("GOOGLETRANSLATE(A528,""en"", ""mt"")"),"X'inhu kkreditat Donald Davies")</f>
        <v>X'inhu kkreditat Donald Davies</v>
      </c>
    </row>
    <row r="529" ht="15.75" customHeight="1">
      <c r="A529" s="2" t="s">
        <v>529</v>
      </c>
      <c r="B529" s="2" t="str">
        <f>IFERROR(__xludf.DUMMYFUNCTION("GOOGLETRANSLATE(A529,""en"", ""mt"")"),"Sorsi mhux riveduti mill-peer")</f>
        <v>Sorsi mhux riveduti mill-peer</v>
      </c>
    </row>
    <row r="530" ht="15.75" customHeight="1">
      <c r="A530" s="2" t="s">
        <v>530</v>
      </c>
      <c r="B530" s="2" t="str">
        <f>IFERROR(__xludf.DUMMYFUNCTION("GOOGLETRANSLATE(A530,""en"", ""mt"")"),"parteċipant fl-IPCC u jikkoordina l-awtur ewlieni tal-ħames rapport ta 'valutazzjoni")</f>
        <v>parteċipant fl-IPCC u jikkoordina l-awtur ewlieni tal-ħames rapport ta 'valutazzjoni</v>
      </c>
    </row>
    <row r="531" ht="15.75" customHeight="1">
      <c r="A531" s="2" t="s">
        <v>531</v>
      </c>
      <c r="B531" s="2" t="str">
        <f>IFERROR(__xludf.DUMMYFUNCTION("GOOGLETRANSLATE(A531,""en"", ""mt"")"),"Vjolazzjoni tal-liġi kriminali li ma tikserx id-drittijiet ta 'ħaddieħor.")</f>
        <v>Vjolazzjoni tal-liġi kriminali li ma tikserx id-drittijiet ta 'ħaddieħor.</v>
      </c>
    </row>
    <row r="532" ht="15.75" customHeight="1">
      <c r="A532" s="2" t="s">
        <v>532</v>
      </c>
      <c r="B532" s="2" t="str">
        <f>IFERROR(__xludf.DUMMYFUNCTION("GOOGLETRANSLATE(A532,""en"", ""mt"")"),"Il-magna Uniflow hija tentattiv biex tiffissa kwistjoni li tqum f'liema ċiklu?")</f>
        <v>Il-magna Uniflow hija tentattiv biex tiffissa kwistjoni li tqum f'liema ċiklu?</v>
      </c>
    </row>
    <row r="533" ht="15.75" customHeight="1">
      <c r="A533" s="2" t="s">
        <v>533</v>
      </c>
      <c r="B533" s="2" t="str">
        <f>IFERROR(__xludf.DUMMYFUNCTION("GOOGLETRANSLATE(A533,""en"", ""mt"")"),"Bosta strutturi tal-proġett jistgħu jgħinu lis-sid f'din l-integrazzjoni, inklużi d-disinn-build, is-sħubija u l-ġestjoni tal-kostruzzjoni. B'mod ġenerali, kull waħda minn dawn l-istrutturi tal-proġett tippermetti lis-sid jintegra s-servizzi ta 'periti, d"&amp;"isinjaturi interni, inġiniera u kostrutturi matul id-disinn u l-kostruzzjoni. Bi tweġiba, ħafna kumpaniji qed jikbru lil hinn mill-offerti tradizzjonali tad-disinn jew servizzi ta 'kostruzzjoni waħedhom u qed ipoġġu aktar enfasi fuq l-istabbiliment ta' re"&amp;"lazzjonijiet ma 'parteċipanti oħra meħtieġa permezz tal-proċess tal-bini tad-disinn.")</f>
        <v>Bosta strutturi tal-proġett jistgħu jgħinu lis-sid f'din l-integrazzjoni, inklużi d-disinn-build, is-sħubija u l-ġestjoni tal-kostruzzjoni. B'mod ġenerali, kull waħda minn dawn l-istrutturi tal-proġett tippermetti lis-sid jintegra s-servizzi ta 'periti, disinjaturi interni, inġiniera u kostrutturi matul id-disinn u l-kostruzzjoni. Bi tweġiba, ħafna kumpaniji qed jikbru lil hinn mill-offerti tradizzjonali tad-disinn jew servizzi ta 'kostruzzjoni waħedhom u qed ipoġġu aktar enfasi fuq l-istabbiliment ta' relazzjonijiet ma 'parteċipanti oħra meħtieġa permezz tal-proċess tal-bini tad-disinn.</v>
      </c>
    </row>
    <row r="534" ht="15.75" customHeight="1">
      <c r="A534" s="2" t="s">
        <v>534</v>
      </c>
      <c r="B534" s="2" t="str">
        <f>IFERROR(__xludf.DUMMYFUNCTION("GOOGLETRANSLATE(A534,""en"", ""mt"")"),"X'jiġri meta l-kapaċitajiet ta 'persuna Aer naqqsu, kif għandu x'jaqsam mad-dħul tagħha?")</f>
        <v>X'jiġri meta l-kapaċitajiet ta 'persuna Aer naqqsu, kif għandu x'jaqsam mad-dħul tagħha?</v>
      </c>
    </row>
    <row r="535" ht="15.75" customHeight="1">
      <c r="A535" s="2" t="s">
        <v>535</v>
      </c>
      <c r="B535" s="2" t="str">
        <f>IFERROR(__xludf.DUMMYFUNCTION("GOOGLETRANSLATE(A535,""en"", ""mt"")"),"Iċ-Ċiniżi Han, Khitans, Jurchens, Mongols, u Buddisti Tibetani")</f>
        <v>Iċ-Ċiniżi Han, Khitans, Jurchens, Mongols, u Buddisti Tibetani</v>
      </c>
    </row>
    <row r="536" ht="15.75" customHeight="1">
      <c r="A536" s="2" t="s">
        <v>536</v>
      </c>
      <c r="B536" s="2" t="str">
        <f>IFERROR(__xludf.DUMMYFUNCTION("GOOGLETRANSLATE(A536,""en"", ""mt"")"),"Fejn ġiet ippubblikata s-sejħa għall-bidla ta 'Frar 2010?")</f>
        <v>Fejn ġiet ippubblikata s-sejħa għall-bidla ta 'Frar 2010?</v>
      </c>
    </row>
    <row r="537" ht="15.75" customHeight="1">
      <c r="A537" s="2" t="s">
        <v>537</v>
      </c>
      <c r="B537" s="2" t="str">
        <f>IFERROR(__xludf.DUMMYFUNCTION("GOOGLETRANSLATE(A537,""en"", ""mt"")"),"Vantaġġ politiku huwa attribut ta 'liema politiki tal-istat?")</f>
        <v>Vantaġġ politiku huwa attribut ta 'liema politiki tal-istat?</v>
      </c>
    </row>
    <row r="538" ht="15.75" customHeight="1">
      <c r="A538" s="2" t="s">
        <v>538</v>
      </c>
      <c r="B538" s="2" t="str">
        <f>IFERROR(__xludf.DUMMYFUNCTION("GOOGLETRANSLATE(A538,""en"", ""mt"")"),"X'inhuma kawżi oħra ta 'fatalità ewlenija?")</f>
        <v>X'inhuma kawżi oħra ta 'fatalità ewlenija?</v>
      </c>
    </row>
    <row r="539" ht="15.75" customHeight="1">
      <c r="A539" s="2" t="s">
        <v>539</v>
      </c>
      <c r="B539" s="2" t="str">
        <f>IFERROR(__xludf.DUMMYFUNCTION("GOOGLETRANSLATE(A539,""en"", ""mt"")"),"Madankollu, xi problemi tal-komputazzjoni huma aktar faċli biex jiġu analizzati f'termini ta 'riżorsi aktar mhux tas-soltu. Pereżempju, magna tat-Turing mhux deterministika hija mudell tal-komputazzjoni li huwa permess li joħroġ biex jiċċekkja ħafna possi"&amp;"bbiltajiet differenti f'daqqa. Il-magna tat-Turing mhux deterministika għandha ftit x'taqsam ma 'kif fiżikament irridu nikkalkulaw l-algoritmi, iżda l-fergħa tagħha taqbad eżattament ħafna mill-mudelli matematiċi li rridu tanalizzaw, sabiex il-ħin mhux de"&amp;"terministiku huwa riżorsa importanti ħafna fl-analiżi tal-problemi tal-komputazzjoni Jonqos")</f>
        <v>Madankollu, xi problemi tal-komputazzjoni huma aktar faċli biex jiġu analizzati f'termini ta 'riżorsi aktar mhux tas-soltu. Pereżempju, magna tat-Turing mhux deterministika hija mudell tal-komputazzjoni li huwa permess li joħroġ biex jiċċekkja ħafna possibbiltajiet differenti f'daqqa. Il-magna tat-Turing mhux deterministika għandha ftit x'taqsam ma 'kif fiżikament irridu nikkalkulaw l-algoritmi, iżda l-fergħa tagħha taqbad eżattament ħafna mill-mudelli matematiċi li rridu tanalizzaw, sabiex il-ħin mhux deterministiku huwa riżorsa importanti ħafna fl-analiżi tal-problemi tal-komputazzjoni Jonqos</v>
      </c>
    </row>
    <row r="540" ht="15.75" customHeight="1">
      <c r="A540" s="2" t="s">
        <v>540</v>
      </c>
      <c r="B540" s="2" t="str">
        <f>IFERROR(__xludf.DUMMYFUNCTION("GOOGLETRANSLATE(A540,""en"", ""mt"")"),"Ix-xandir tal-WBAI ftit mill-kummiedja ta 'George Carlin eventwalment wassal għal xiex?")</f>
        <v>Ix-xandir tal-WBAI ftit mill-kummiedja ta 'George Carlin eventwalment wassal għal xiex?</v>
      </c>
    </row>
    <row r="541" ht="15.75" customHeight="1">
      <c r="A541" s="2" t="s">
        <v>541</v>
      </c>
      <c r="B541" s="2" t="str">
        <f>IFERROR(__xludf.DUMMYFUNCTION("GOOGLETRANSLATE(A541,""en"", ""mt"")"),"L-IPCC ma jwettaqx riċerka u lanqas jimmonitorja d-dejta relatata mal-klima. L-awturi ewlenin tar-rapporti tal-IPCC jivvalutaw l-informazzjoni disponibbli dwar il-bidla fil-klima bbażata fuq sorsi ppubblikati. Skond il-linji gwida tal-IPCC, l-awturi għand"&amp;"hom jagħtu prijorità lil sorsi riveduti mill-pari. L-awturi jistgħu jirreferu għal sorsi mhux riveduti mhux mill-peer (il- ""letteratura griża""), sakemm ikunu ta 'kwalità suffiċjenti. Eżempji ta 'sorsi mhux riveduti mhux mill-peer jinkludu riżultati tal-"&amp;"mudell, rapporti minn aġenziji tal-gvern u organizzazzjonijiet mhux governattivi, u ġurnali tal-industrija. Kull rapport tal-IPCC sussegwenti jinnota oqsma fejn ix-xjenza tjiebet mir-rapport preċedenti u tinnota wkoll oqsma fejn hija meħtieġa aktar riċerk"&amp;"a.")</f>
        <v>L-IPCC ma jwettaqx riċerka u lanqas jimmonitorja d-dejta relatata mal-klima. L-awturi ewlenin tar-rapporti tal-IPCC jivvalutaw l-informazzjoni disponibbli dwar il-bidla fil-klima bbażata fuq sorsi ppubblikati. Skond il-linji gwida tal-IPCC, l-awturi għandhom jagħtu prijorità lil sorsi riveduti mill-pari. L-awturi jistgħu jirreferu għal sorsi mhux riveduti mhux mill-peer (il- "letteratura griża"), sakemm ikunu ta 'kwalità suffiċjenti. Eżempji ta 'sorsi mhux riveduti mhux mill-peer jinkludu riżultati tal-mudell, rapporti minn aġenziji tal-gvern u organizzazzjonijiet mhux governattivi, u ġurnali tal-industrija. Kull rapport tal-IPCC sussegwenti jinnota oqsma fejn ix-xjenza tjiebet mir-rapport preċedenti u tinnota wkoll oqsma fejn hija meħtieġa aktar riċerka.</v>
      </c>
    </row>
    <row r="542" ht="15.75" customHeight="1">
      <c r="A542" s="2" t="s">
        <v>542</v>
      </c>
      <c r="B542" s="2" t="str">
        <f>IFERROR(__xludf.DUMMYFUNCTION("GOOGLETRANSLATE(A542,""en"", ""mt"")"),"Ġeoglyphs li jmorru għal liema perjodu nstabu f'art deforestata tul ix-Xmara Amazon?")</f>
        <v>Ġeoglyphs li jmorru għal liema perjodu nstabu f'art deforestata tul ix-Xmara Amazon?</v>
      </c>
    </row>
    <row r="543" ht="15.75" customHeight="1">
      <c r="A543" s="2" t="s">
        <v>543</v>
      </c>
      <c r="B543" s="2" t="str">
        <f>IFERROR(__xludf.DUMMYFUNCTION("GOOGLETRANSLATE(A543,""en"", ""mt"")"),"X'inhu l-għan ewlieni li wieħed iqis li mhux ħati meta jiġi arrestat għal diżubbidjenza ċivili?")</f>
        <v>X'inhu l-għan ewlieni li wieħed iqis li mhux ħati meta jiġi arrestat għal diżubbidjenza ċivili?</v>
      </c>
    </row>
    <row r="544" ht="15.75" customHeight="1">
      <c r="A544" s="2" t="s">
        <v>544</v>
      </c>
      <c r="B544" s="2" t="str">
        <f>IFERROR(__xludf.DUMMYFUNCTION("GOOGLETRANSLATE(A544,""en"", ""mt"")"),"Matul il-provinċji tagħha ta 'l-Amerika ta' Fuq")</f>
        <v>Matul il-provinċji tagħha ta 'l-Amerika ta' Fuq</v>
      </c>
    </row>
    <row r="545" ht="15.75" customHeight="1">
      <c r="A545" s="2" t="s">
        <v>545</v>
      </c>
      <c r="B545" s="2" t="str">
        <f>IFERROR(__xludf.DUMMYFUNCTION("GOOGLETRANSLATE(A545,""en"", ""mt"")"),"Sky_ (United_Kingdom)")</f>
        <v>Sky_ (United_Kingdom)</v>
      </c>
    </row>
    <row r="546" ht="15.75" customHeight="1">
      <c r="A546" s="2" t="s">
        <v>546</v>
      </c>
      <c r="B546" s="2" t="str">
        <f>IFERROR(__xludf.DUMMYFUNCTION("GOOGLETRANSLATE(A546,""en"", ""mt"")"),"Il-problema tal-isomorfiżmu tal-graff hija l-problema tal-komputazzjoni li tiddetermina jekk żewġ graffs finiti humiex isomorfi. Problema importanti mhux solvuta fit-teorija tal-kumplessità hija jekk il-problema tal-isomorfiżmu tal-graff hijiex f'P, NP-Co"&amp;"mplete, jew NP-Intermedjat. It-tweġiba mhix magħrufa, iżda huwa maħsub li l-problema hija tal-inqas mhux NP-kompluta. Jekk l-isomorfiżmu tal-graff huwa NP-komplut, il-ġerarkija tal-ħin polinomjali tiġġarraf għat-tieni livell tagħha. Peress li huwa maħsub "&amp;"ħafna li l-ġerarkija polinomjali ma tiġġarrafx għal ebda livell finit, huwa maħsub li l-isomorfiżmu tal-graff mhuwiex NP-komplut. L-aħjar algoritmu għal din il-problema, minħabba Laszlo Babai u Eugene Luks għandu ħin 2o (√ (n log (n))) għal graffs bi vert"&amp;"iċi N.")</f>
        <v>Il-problema tal-isomorfiżmu tal-graff hija l-problema tal-komputazzjoni li tiddetermina jekk żewġ graffs finiti humiex isomorfi. Problema importanti mhux solvuta fit-teorija tal-kumplessità hija jekk il-problema tal-isomorfiżmu tal-graff hijiex f'P, NP-Complete, jew NP-Intermedjat. It-tweġiba mhix magħrufa, iżda huwa maħsub li l-problema hija tal-inqas mhux NP-kompluta. Jekk l-isomorfiżmu tal-graff huwa NP-komplut, il-ġerarkija tal-ħin polinomjali tiġġarraf għat-tieni livell tagħha. Peress li huwa maħsub ħafna li l-ġerarkija polinomjali ma tiġġarrafx għal ebda livell finit, huwa maħsub li l-isomorfiżmu tal-graff mhuwiex NP-komplut. L-aħjar algoritmu għal din il-problema, minħabba Laszlo Babai u Eugene Luks għandu ħin 2o (√ (n log (n))) għal graffs bi vertiċi N.</v>
      </c>
    </row>
    <row r="547" ht="15.75" customHeight="1">
      <c r="A547" s="2" t="s">
        <v>547</v>
      </c>
      <c r="B547" s="2" t="str">
        <f>IFERROR(__xludf.DUMMYFUNCTION("GOOGLETRANSLATE(A547,""en"", ""mt"")"),"Fl-Iżvezja, l-istudenti huma liberi li jagħżlu skola privata u l-iskola privata titħallas l-istess ammont bħall-iskejjel muniċipali. Aktar minn 10% tal-istudenti Żvediżi ġew irreġistrati fi skejjel privati ​​fl-2008. L-Iżvezja hija magħrufa internazzjonal"&amp;"ment għal dan il-mudell innovattiv tal-vawċer tal-iskola li jipprovdi lill-istudenti Żvediżi l-opportunità li jagħżlu l-iskola li jippreferu. Pereżempju, l-akbar katina tal-iskejjel, Kunskapskolan (“The Glowaning School”), toffri 30 skola u ambjent ibbaża"&amp;"t fuq il-web, għandha 700 impjegat u tgħallem kważi 10,000 student. Is-sistema Żvediża ġiet irrakkomandata lil Barack Obama.")</f>
        <v>Fl-Iżvezja, l-istudenti huma liberi li jagħżlu skola privata u l-iskola privata titħallas l-istess ammont bħall-iskejjel muniċipali. Aktar minn 10% tal-istudenti Żvediżi ġew irreġistrati fi skejjel privati ​​fl-2008. L-Iżvezja hija magħrufa internazzjonalment għal dan il-mudell innovattiv tal-vawċer tal-iskola li jipprovdi lill-istudenti Żvediżi l-opportunità li jagħżlu l-iskola li jippreferu. Pereżempju, l-akbar katina tal-iskejjel, Kunskapskolan (“The Glowaning School”), toffri 30 skola u ambjent ibbażat fuq il-web, għandha 700 impjegat u tgħallem kważi 10,000 student. Is-sistema Żvediża ġiet irrakkomandata lil Barack Obama.</v>
      </c>
    </row>
    <row r="548" ht="15.75" customHeight="1">
      <c r="A548" s="2" t="s">
        <v>548</v>
      </c>
      <c r="B548" s="2" t="str">
        <f>IFERROR(__xludf.DUMMYFUNCTION("GOOGLETRANSLATE(A548,""en"", ""mt"")"),"X'tip ta 'kuntratt jingħata meta l-kuntrattur jingħata speċifikazzjoni ta' prestazzjoni u għandu jwettaq il-proġett mid-disinn għall-kostruzzjoni, filwaqt li jeħel mal-ispeċifikazzjonijiet tal-prestazzjoni?")</f>
        <v>X'tip ta 'kuntratt jingħata meta l-kuntrattur jingħata speċifikazzjoni ta' prestazzjoni u għandu jwettaq il-proġett mid-disinn għall-kostruzzjoni, filwaqt li jeħel mal-ispeċifikazzjonijiet tal-prestazzjoni?</v>
      </c>
    </row>
    <row r="549" ht="15.75" customHeight="1">
      <c r="A549" s="2" t="s">
        <v>549</v>
      </c>
      <c r="B549" s="2" t="str">
        <f>IFERROR(__xludf.DUMMYFUNCTION("GOOGLETRANSLATE(A549,""en"", ""mt"")"),"Dak li għamel lill-istudent jiddeċiedi li jokkupa l-uffiċċju tal-president bħala protesta?")</f>
        <v>Dak li għamel lill-istudent jiddeċiedi li jokkupa l-uffiċċju tal-president bħala protesta?</v>
      </c>
    </row>
    <row r="550" ht="15.75" customHeight="1">
      <c r="A550" s="2" t="s">
        <v>550</v>
      </c>
      <c r="B550" s="2" t="str">
        <f>IFERROR(__xludf.DUMMYFUNCTION("GOOGLETRANSLATE(A550,""en"", ""mt"")"),"Downtown San Diego huwa d-Distrett tan-Negozju Ċentrali ta 'San Diego, għalkemm il-belt hija mimlija distretti tan-negozju. Dawn jinkludu Carmel Valley, Del Mar Heights, Mission Valley, Rancho Bernardo, Sorrento Mesa, u University City. Ħafna minn dawn id"&amp;"-distretti jinsabu fit-Tramuntana ta 'San Diego u xi wħud fir-reġjuni tal-Kontea tat-Tramuntana.")</f>
        <v>Downtown San Diego huwa d-Distrett tan-Negozju Ċentrali ta 'San Diego, għalkemm il-belt hija mimlija distretti tan-negozju. Dawn jinkludu Carmel Valley, Del Mar Heights, Mission Valley, Rancho Bernardo, Sorrento Mesa, u University City. Ħafna minn dawn id-distretti jinsabu fit-Tramuntana ta 'San Diego u xi wħud fir-reġjuni tal-Kontea tat-Tramuntana.</v>
      </c>
    </row>
    <row r="551" ht="15.75" customHeight="1">
      <c r="A551" s="2" t="s">
        <v>551</v>
      </c>
      <c r="B551" s="2" t="str">
        <f>IFERROR(__xludf.DUMMYFUNCTION("GOOGLETRANSLATE(A551,""en"", ""mt"")"),"Għaqli jew imut")</f>
        <v>Għaqli jew imut</v>
      </c>
    </row>
    <row r="552" ht="15.75" customHeight="1">
      <c r="A552" s="2" t="s">
        <v>552</v>
      </c>
      <c r="B552" s="2" t="str">
        <f>IFERROR(__xludf.DUMMYFUNCTION("GOOGLETRANSLATE(A552,""en"", ""mt"")"),"Kif jindikaw Fortnow &amp; Homer (2003), il-bidu ta 'studji sistematiċi fil-kumplessità tal-komputazzjoni huwa attribwit għall-karta seminali ""dwar il-kumplessità tal-komputazzjoni tal-algoritmi"" minn Juris Hartmanis u Richard Stearns (1965), li stabbilixxe"&amp;"w id-definizzjonijiet tal-ħin u kumplessità spazjali u wera t-teoremi tal-ġerarkija. Ukoll, fl-1965 Edmonds iddefinixxa algoritmu ""tajjeb"" bħala wieħed b'ħin ta 'tħaddim imdawwar minn polinomju tad-daqs tal-input.")</f>
        <v>Kif jindikaw Fortnow &amp; Homer (2003), il-bidu ta 'studji sistematiċi fil-kumplessità tal-komputazzjoni huwa attribwit għall-karta seminali "dwar il-kumplessità tal-komputazzjoni tal-algoritmi" minn Juris Hartmanis u Richard Stearns (1965), li stabbilixxew id-definizzjonijiet tal-ħin u kumplessità spazjali u wera t-teoremi tal-ġerarkija. Ukoll, fl-1965 Edmonds iddefinixxa algoritmu "tajjeb" bħala wieħed b'ħin ta 'tħaddim imdawwar minn polinomju tad-daqs tal-input.</v>
      </c>
    </row>
    <row r="553" ht="15.75" customHeight="1">
      <c r="A553" s="2" t="s">
        <v>553</v>
      </c>
      <c r="B553" s="2" t="str">
        <f>IFERROR(__xludf.DUMMYFUNCTION("GOOGLETRANSLATE(A553,""en"", ""mt"")"),"Il-kunċett ta 'numru ewlieni huwa tant importanti li ġie ġeneralizzat b'modi differenti f'diversi fergħat tal-matematika. Ġeneralment, ""prim"" jindika minimalità jew indekompożizzjoni, f'sens xieraq. Pereżempju, il-qasam ewlieni huwa l-iżgħar subfield ta"&amp;" 'qasam F li fih kemm 0 u 1. Huwa jew Q jew il-qasam finit b'elementi P, minn fejn l-isem. Ħafna drabi t-tieni, tifsira addizzjonali hija maħsuba billi tuża l-kelma prim, jiġifieri li kwalunkwe oġġett jista 'jkun, essenzjalment b'mod uniku, dekompost fil-"&amp;"komponenti ewlenin tiegħu. Pereżempju, fit-teorija tal-għoqda, għoqda ewlenija hija għoqda li hija indekkomponi fis-sens li ma tistax tinkiteb bħala s-somma tal-għoqda ta 'żewġ għoqod mhux privati. Kull għoqda tista 'tiġi espressa b'mod uniku bħala somma "&amp;"konnessa ta' għoqod ewlenin. Mudelli ewlenin u 3-manifolds ewlenin huma eżempji oħra ta 'dan it-tip.")</f>
        <v>Il-kunċett ta 'numru ewlieni huwa tant importanti li ġie ġeneralizzat b'modi differenti f'diversi fergħat tal-matematika. Ġeneralment, "prim" jindika minimalità jew indekompożizzjoni, f'sens xieraq. Pereżempju, il-qasam ewlieni huwa l-iżgħar subfield ta 'qasam F li fih kemm 0 u 1. Huwa jew Q jew il-qasam finit b'elementi P, minn fejn l-isem. Ħafna drabi t-tieni, tifsira addizzjonali hija maħsuba billi tuża l-kelma prim, jiġifieri li kwalunkwe oġġett jista 'jkun, essenzjalment b'mod uniku, dekompost fil-komponenti ewlenin tiegħu. Pereżempju, fit-teorija tal-għoqda, għoqda ewlenija hija għoqda li hija indekkomponi fis-sens li ma tistax tinkiteb bħala s-somma tal-għoqda ta 'żewġ għoqod mhux privati. Kull għoqda tista 'tiġi espressa b'mod uniku bħala somma konnessa ta' għoqod ewlenin. Mudelli ewlenin u 3-manifolds ewlenin huma eżempji oħra ta 'dan it-tip.</v>
      </c>
    </row>
    <row r="554" ht="15.75" customHeight="1">
      <c r="A554" s="2" t="s">
        <v>554</v>
      </c>
      <c r="B554" s="2" t="str">
        <f>IFERROR(__xludf.DUMMYFUNCTION("GOOGLETRANSLATE(A554,""en"", ""mt"")"),"livell waqa 'b'mod sinifikanti")</f>
        <v>livell waqa 'b'mod sinifikanti</v>
      </c>
    </row>
    <row r="555" ht="15.75" customHeight="1">
      <c r="A555" s="2" t="s">
        <v>555</v>
      </c>
      <c r="B555" s="2" t="str">
        <f>IFERROR(__xludf.DUMMYFUNCTION("GOOGLETRANSLATE(A555,""en"", ""mt"")"),"Id-domanda għal akkomodazzjoni ta 'kwalità ogħla żdiedet")</f>
        <v>Id-domanda għal akkomodazzjoni ta 'kwalità ogħla żdiedet</v>
      </c>
    </row>
    <row r="556" ht="15.75" customHeight="1">
      <c r="A556" s="2" t="s">
        <v>556</v>
      </c>
      <c r="B556" s="2" t="str">
        <f>IFERROR(__xludf.DUMMYFUNCTION("GOOGLETRANSLATE(A556,""en"", ""mt"")"),"X'kien l-attakk fuq id-dgħjufija Ingliża?")</f>
        <v>X'kien l-attakk fuq id-dgħjufija Ingliża?</v>
      </c>
    </row>
    <row r="557" ht="15.75" customHeight="1">
      <c r="A557" s="2" t="s">
        <v>557</v>
      </c>
      <c r="B557" s="2" t="str">
        <f>IFERROR(__xludf.DUMMYFUNCTION("GOOGLETRANSLATE(A557,""en"", ""mt"")"),"Kosher biċċier")</f>
        <v>Kosher biċċier</v>
      </c>
    </row>
    <row r="558" ht="15.75" customHeight="1">
      <c r="A558" s="2" t="s">
        <v>558</v>
      </c>
      <c r="B558" s="2" t="str">
        <f>IFERROR(__xludf.DUMMYFUNCTION("GOOGLETRANSLATE(A558,""en"", ""mt"")"),"piż")</f>
        <v>piż</v>
      </c>
    </row>
    <row r="559" ht="15.75" customHeight="1">
      <c r="A559" s="2" t="s">
        <v>559</v>
      </c>
      <c r="B559" s="2" t="str">
        <f>IFERROR(__xludf.DUMMYFUNCTION("GOOGLETRANSLATE(A559,""en"", ""mt"")"),"F'liema espressjoni wieħed jista 'jistenna li jsib dtime (n)")</f>
        <v>F'liema espressjoni wieħed jista 'jistenna li jsib dtime (n)</v>
      </c>
    </row>
    <row r="560" ht="15.75" customHeight="1">
      <c r="A560" s="2" t="s">
        <v>560</v>
      </c>
      <c r="B560" s="2" t="str">
        <f>IFERROR(__xludf.DUMMYFUNCTION("GOOGLETRANSLATE(A560,""en"", ""mt"")"),"L-ekonomista Simon Kuznets argumenta li l-livelli ta 'inugwaljanza ekonomika huma fil-parti l-kbira r-riżultat ta' stadji ta 'żvilupp. Skond Kuznets, pajjiżi b'livelli baxxi ta 'żvilupp għandhom distribuzzjonijiet relattivament ugwali ta' ġid. Hekk kif ji"&amp;"żviluppa pajjiż, huwa jakkwista aktar kapital, li jwassal biex is-sidien ta 'dan il-kapital ikollhom aktar ġid u dħul u jintroduċu inugwaljanza. Eventwalment, permezz ta 'diversi mekkaniżmi ta' tqassim mill-ġdid possibbli bħal programmi ta 'benesseri soċj"&amp;"ali, pajjiżi aktar żviluppati jmorru lura għal livelli aktar baxxi ta' inugwaljanza.")</f>
        <v>L-ekonomista Simon Kuznets argumenta li l-livelli ta 'inugwaljanza ekonomika huma fil-parti l-kbira r-riżultat ta' stadji ta 'żvilupp. Skond Kuznets, pajjiżi b'livelli baxxi ta 'żvilupp għandhom distribuzzjonijiet relattivament ugwali ta' ġid. Hekk kif jiżviluppa pajjiż, huwa jakkwista aktar kapital, li jwassal biex is-sidien ta 'dan il-kapital ikollhom aktar ġid u dħul u jintroduċu inugwaljanza. Eventwalment, permezz ta 'diversi mekkaniżmi ta' tqassim mill-ġdid possibbli bħal programmi ta 'benesseri soċjali, pajjiżi aktar żviluppati jmorru lura għal livelli aktar baxxi ta' inugwaljanza.</v>
      </c>
    </row>
    <row r="561" ht="15.75" customHeight="1">
      <c r="A561" s="2" t="s">
        <v>561</v>
      </c>
      <c r="B561" s="2" t="str">
        <f>IFERROR(__xludf.DUMMYFUNCTION("GOOGLETRANSLATE(A561,""en"", ""mt"")"),"Yuan_dynasty")</f>
        <v>Yuan_dynasty</v>
      </c>
    </row>
    <row r="562" ht="15.75" customHeight="1">
      <c r="A562" s="2" t="s">
        <v>562</v>
      </c>
      <c r="B562" s="2" t="str">
        <f>IFERROR(__xludf.DUMMYFUNCTION("GOOGLETRANSLATE(A562,""en"", ""mt"")"),"René-Robert Cavelier, Sieur de la Salle esplora l-pajjiż ta 'Ohio")</f>
        <v>René-Robert Cavelier, Sieur de la Salle esplora l-pajjiż ta 'Ohio</v>
      </c>
    </row>
    <row r="563" ht="15.75" customHeight="1">
      <c r="A563" s="2" t="s">
        <v>563</v>
      </c>
      <c r="B563" s="2" t="str">
        <f>IFERROR(__xludf.DUMMYFUNCTION("GOOGLETRANSLATE(A563,""en"", ""mt"")"),"Teorija tan-numri alġebriċi")</f>
        <v>Teorija tan-numri alġebriċi</v>
      </c>
    </row>
    <row r="564" ht="15.75" customHeight="1">
      <c r="A564" s="2" t="s">
        <v>564</v>
      </c>
      <c r="B564" s="2" t="str">
        <f>IFERROR(__xludf.DUMMYFUNCTION("GOOGLETRANSLATE(A564,""en"", ""mt"")"),"Ostakli fluwidi-moħħ")</f>
        <v>Ostakli fluwidi-moħħ</v>
      </c>
    </row>
    <row r="565" ht="15.75" customHeight="1">
      <c r="A565" s="2" t="s">
        <v>565</v>
      </c>
      <c r="B565" s="2" t="str">
        <f>IFERROR(__xludf.DUMMYFUNCTION("GOOGLETRANSLATE(A565,""en"", ""mt"")"),"Meta kienet kompluta l-porzjon Ewropew tas-seba 'snin tal-gwerra?")</f>
        <v>Meta kienet kompluta l-porzjon Ewropew tas-seba 'snin tal-gwerra?</v>
      </c>
    </row>
    <row r="566" ht="15.75" customHeight="1">
      <c r="A566" s="2" t="s">
        <v>566</v>
      </c>
      <c r="B566" s="2" t="str">
        <f>IFERROR(__xludf.DUMMYFUNCTION("GOOGLETRANSLATE(A566,""en"", ""mt"")"),"strettament kontenut f'P jew daqs p")</f>
        <v>strettament kontenut f'P jew daqs p</v>
      </c>
    </row>
    <row r="567" ht="15.75" customHeight="1">
      <c r="A567" s="2" t="s">
        <v>567</v>
      </c>
      <c r="B567" s="2" t="str">
        <f>IFERROR(__xludf.DUMMYFUNCTION("GOOGLETRANSLATE(A567,""en"", ""mt"")"),"Uża fl-arpanet")</f>
        <v>Uża fl-arpanet</v>
      </c>
    </row>
    <row r="568" ht="15.75" customHeight="1">
      <c r="A568" s="2" t="s">
        <v>568</v>
      </c>
      <c r="B568" s="2" t="str">
        <f>IFERROR(__xludf.DUMMYFUNCTION("GOOGLETRANSLATE(A568,""en"", ""mt"")"),"larva tal-ħut u organiżmi li altrimenti kienu mitmugħa l-ħut")</f>
        <v>larva tal-ħut u organiżmi li altrimenti kienu mitmugħa l-ħut</v>
      </c>
    </row>
    <row r="569" ht="15.75" customHeight="1">
      <c r="A569" s="2" t="s">
        <v>569</v>
      </c>
      <c r="B569" s="2" t="str">
        <f>IFERROR(__xludf.DUMMYFUNCTION("GOOGLETRANSLATE(A569,""en"", ""mt"")"),"Meta r-Rhine waqfet tkun il-konfini Rumana?")</f>
        <v>Meta r-Rhine waqfet tkun il-konfini Rumana?</v>
      </c>
    </row>
    <row r="570" ht="15.75" customHeight="1">
      <c r="A570" s="2" t="s">
        <v>570</v>
      </c>
      <c r="B570" s="2" t="str">
        <f>IFERROR(__xludf.DUMMYFUNCTION("GOOGLETRANSLATE(A570,""en"", ""mt"")"),"Xi jfisser Obersee?")</f>
        <v>Xi jfisser Obersee?</v>
      </c>
    </row>
    <row r="571" ht="15.75" customHeight="1">
      <c r="A571" s="2" t="s">
        <v>571</v>
      </c>
      <c r="B571" s="2" t="str">
        <f>IFERROR(__xludf.DUMMYFUNCTION("GOOGLETRANSLATE(A571,""en"", ""mt"")"),"x-xita mnaqqsa u żieda fit-temperaturi")</f>
        <v>x-xita mnaqqsa u żieda fit-temperaturi</v>
      </c>
    </row>
    <row r="572" ht="15.75" customHeight="1">
      <c r="A572" s="2" t="s">
        <v>572</v>
      </c>
      <c r="B572" s="2" t="str">
        <f>IFERROR(__xludf.DUMMYFUNCTION("GOOGLETRANSLATE(A572,""en"", ""mt"")"),"Meta kien il-massakru tal-Jum San Bartolomew?")</f>
        <v>Meta kien il-massakru tal-Jum San Bartolomew?</v>
      </c>
    </row>
    <row r="573" ht="15.75" customHeight="1">
      <c r="A573" s="2" t="s">
        <v>573</v>
      </c>
      <c r="B573" s="2" t="str">
        <f>IFERROR(__xludf.DUMMYFUNCTION("GOOGLETRANSLATE(A573,""en"", ""mt"")"),"it-tieni livell")</f>
        <v>it-tieni livell</v>
      </c>
    </row>
    <row r="574" ht="15.75" customHeight="1">
      <c r="A574" s="2" t="s">
        <v>574</v>
      </c>
      <c r="B574" s="2" t="str">
        <f>IFERROR(__xludf.DUMMYFUNCTION("GOOGLETRANSLATE(A574,""en"", ""mt"")"),"L-Iskola Harris tal-Istudji tal-Politika Pubblika")</f>
        <v>L-Iskola Harris tal-Istudji tal-Politika Pubblika</v>
      </c>
    </row>
    <row r="575" ht="15.75" customHeight="1">
      <c r="A575" s="2" t="s">
        <v>575</v>
      </c>
      <c r="B575" s="2" t="str">
        <f>IFERROR(__xludf.DUMMYFUNCTION("GOOGLETRANSLATE(A575,""en"", ""mt"")"),"Diviżjoni I.")</f>
        <v>Diviżjoni I.</v>
      </c>
    </row>
    <row r="576" ht="15.75" customHeight="1">
      <c r="A576" s="2" t="s">
        <v>576</v>
      </c>
      <c r="B576" s="2" t="str">
        <f>IFERROR(__xludf.DUMMYFUNCTION("GOOGLETRANSLATE(A576,""en"", ""mt"")"),"il-ftuħ tal-ostilitajiet")</f>
        <v>il-ftuħ tal-ostilitajiet</v>
      </c>
    </row>
    <row r="577" ht="15.75" customHeight="1">
      <c r="A577" s="2" t="s">
        <v>577</v>
      </c>
      <c r="B577" s="2" t="str">
        <f>IFERROR(__xludf.DUMMYFUNCTION("GOOGLETRANSLATE(A577,""en"", ""mt"")"),"Għaliex il-firien jistgħu ma jkunux responsabbli għall-pesta?")</f>
        <v>Għaliex il-firien jistgħu ma jkunux responsabbli għall-pesta?</v>
      </c>
    </row>
    <row r="578" ht="15.75" customHeight="1">
      <c r="A578" s="2" t="s">
        <v>578</v>
      </c>
      <c r="B578" s="2" t="str">
        <f>IFERROR(__xludf.DUMMYFUNCTION("GOOGLETRANSLATE(A578,""en"", ""mt"")"),"Ko-president tal-grupp ta 'ħidma IPCC II")</f>
        <v>Ko-president tal-grupp ta 'ħidma IPCC II</v>
      </c>
    </row>
    <row r="579" ht="15.75" customHeight="1">
      <c r="A579" s="2" t="s">
        <v>579</v>
      </c>
      <c r="B579" s="2" t="str">
        <f>IFERROR(__xludf.DUMMYFUNCTION("GOOGLETRANSLATE(A579,""en"", ""mt"")"),"Ir-Rabat għandha kostituzzjoni bil-miktub promulgata fl-1975, iżda bbażata fuq il-Kostituzzjoni Kolonjali tal-1855, mgħoddija mill-Parlament tar-Renju Unit bħala l-Att dwar il-Kostituzzjoni tar-Rabat 1855, li jistabbilixxi l-Parlament bħala l-korp li jagħ"&amp;"mel il-liġi tal-istat għal kwistjonijiet li jaqgħu taħt ir-responsabbiltà tal-istat. Il-Kostituzzjoni Vittorjana tista 'tiġi emendata mill-Parlament ta' Victoria, ħlief għal ċerti dispożizzjonijiet ""għeruq"" li jeħtieġu jew maġġoranza assoluta fiż-żewġ d"&amp;"jar, maġġoranza ta 'tliet ħamsa fiż-żewġ djar, jew l-approvazzjoni tal-poplu Vittorjan f'referendum, jiddependi dwar id-dispożizzjoni.")</f>
        <v>Ir-Rabat għandha kostituzzjoni bil-miktub promulgata fl-1975, iżda bbażata fuq il-Kostituzzjoni Kolonjali tal-1855, mgħoddija mill-Parlament tar-Renju Unit bħala l-Att dwar il-Kostituzzjoni tar-Rabat 1855, li jistabbilixxi l-Parlament bħala l-korp li jagħmel il-liġi tal-istat għal kwistjonijiet li jaqgħu taħt ir-responsabbiltà tal-istat. Il-Kostituzzjoni Vittorjana tista 'tiġi emendata mill-Parlament ta' Victoria, ħlief għal ċerti dispożizzjonijiet "għeruq" li jeħtieġu jew maġġoranza assoluta fiż-żewġ djar, maġġoranza ta 'tliet ħamsa fiż-żewġ djar, jew l-approvazzjoni tal-poplu Vittorjan f'referendum, jiddependi dwar id-dispożizzjoni.</v>
      </c>
    </row>
    <row r="580" ht="15.75" customHeight="1">
      <c r="A580" s="2" t="s">
        <v>580</v>
      </c>
      <c r="B580" s="2" t="str">
        <f>IFERROR(__xludf.DUMMYFUNCTION("GOOGLETRANSLATE(A580,""en"", ""mt"")"),"Transcendentalist Unitarju")</f>
        <v>Transcendentalist Unitarju</v>
      </c>
    </row>
    <row r="581" ht="15.75" customHeight="1">
      <c r="A581" s="2" t="s">
        <v>581</v>
      </c>
      <c r="B581" s="2" t="str">
        <f>IFERROR(__xludf.DUMMYFUNCTION("GOOGLETRANSLATE(A581,""en"", ""mt"")"),"Fl-istess ħin il-Mongoli importaw lill-Musulmani tal-Asja Ċentrali biex iservu bħala amministraturi fiċ-Ċina, il-Mongoli bagħtu wkoll lil Han Ċiniżi u Khitans miċ-Ċina biex iservu bħala amministraturi fuq il-popolazzjoni Musulmana f'Bukhara fl-Asja Ċentra"&amp;"li, billi jużaw barranin biex inaqqsu l-poter tal-lokal popli taż-żewġ artijiet. Iċ-Ċiniżi Han ġew imċaqalqa lejn żoni tal-Asja Ċentrali bħal Besh Baliq, AlmalIQ, u Samarqand mill-Mongoli fejn ħadmu bħala artiġjani u bdiewa. Alans ġew ingaġġati fil-forzi "&amp;"tal-Mongolja b'unità waħda msejħa ""Guard Alan Dritt"" li kienet ikkombinata ma 'suldati ""reċentement ċeduti"", Mongoli, u suldati Ċiniżi stazzjonati fl-inħawi ta' l-eks renju ta 'Qocho u f'Besh Balikh il-Mongoli stabbilixxew Ċiniż Kolonja militari mmexx"&amp;"ija mill-Ġeneral Ċiniż Qi Kongzhi (Ch'i Kung-Chih). Wara l-konkwista tal-Mongolja tal-Asja Ċentrali minn Genghis Khan, il-barranin ġew magħżula bħala amministraturi u ko-ġestjoni ma 'Ċiniżi u Qara-Khitays (Khitans) ta' ġonna u għelieqi f'Samarqand tqiegħd"&amp;"u fuq il-Musulmani bħala rekwiżit peress li l-Musulmani ma tħallewx jimmaniġġjaw mingħajrhom. Il-Gvernatur maħtur tal-Mongoljan ta ’Samarqand kien Qara-Khitay (Khitan), kellu t-titlu taishi, familjari mal-kultura Ċiniża li ismu kien Ahai")</f>
        <v>Fl-istess ħin il-Mongoli importaw lill-Musulmani tal-Asja Ċentrali biex iservu bħala amministraturi fiċ-Ċina, il-Mongoli bagħtu wkoll lil Han Ċiniżi u Khitans miċ-Ċina biex iservu bħala amministraturi fuq il-popolazzjoni Musulmana f'Bukhara fl-Asja Ċentrali, billi jużaw barranin biex inaqqsu l-poter tal-lokal popli taż-żewġ artijiet. Iċ-Ċiniżi Han ġew imċaqalqa lejn żoni tal-Asja Ċentrali bħal Besh Baliq, AlmalIQ, u Samarqand mill-Mongoli fejn ħadmu bħala artiġjani u bdiewa. Alans ġew ingaġġati fil-forzi tal-Mongolja b'unità waħda msejħa "Guard Alan Dritt" li kienet ikkombinata ma 'suldati "reċentement ċeduti", Mongoli, u suldati Ċiniżi stazzjonati fl-inħawi ta' l-eks renju ta 'Qocho u f'Besh Balikh il-Mongoli stabbilixxew Ċiniż Kolonja militari mmexxija mill-Ġeneral Ċiniż Qi Kongzhi (Ch'i Kung-Chih). Wara l-konkwista tal-Mongolja tal-Asja Ċentrali minn Genghis Khan, il-barranin ġew magħżula bħala amministraturi u ko-ġestjoni ma 'Ċiniżi u Qara-Khitays (Khitans) ta' ġonna u għelieqi f'Samarqand tqiegħdu fuq il-Musulmani bħala rekwiżit peress li l-Musulmani ma tħallewx jimmaniġġjaw mingħajrhom. Il-Gvernatur maħtur tal-Mongoljan ta ’Samarqand kien Qara-Khitay (Khitan), kellu t-titlu taishi, familjari mal-kultura Ċiniża li ismu kien Ahai</v>
      </c>
    </row>
    <row r="582" ht="15.75" customHeight="1">
      <c r="A582" s="2" t="s">
        <v>582</v>
      </c>
      <c r="B582" s="2" t="str">
        <f>IFERROR(__xludf.DUMMYFUNCTION("GOOGLETRANSLATE(A582,""en"", ""mt"")"),"30–60%")</f>
        <v>30–60%</v>
      </c>
    </row>
    <row r="583" ht="15.75" customHeight="1">
      <c r="A583" s="2" t="s">
        <v>583</v>
      </c>
      <c r="B583" s="2" t="str">
        <f>IFERROR(__xludf.DUMMYFUNCTION("GOOGLETRANSLATE(A583,""en"", ""mt"")"),"Peptidi ""Self""")</f>
        <v>Peptidi "Self"</v>
      </c>
    </row>
    <row r="584" ht="15.75" customHeight="1">
      <c r="A584" s="2" t="s">
        <v>584</v>
      </c>
      <c r="B584" s="2" t="str">
        <f>IFERROR(__xludf.DUMMYFUNCTION("GOOGLETRANSLATE(A584,""en"", ""mt"")"),"Diversi mijiet ta ’horsepower")</f>
        <v>Diversi mijiet ta ’horsepower</v>
      </c>
    </row>
    <row r="585" ht="15.75" customHeight="1">
      <c r="A585" s="2" t="s">
        <v>585</v>
      </c>
      <c r="B585" s="2" t="str">
        <f>IFERROR(__xludf.DUMMYFUNCTION("GOOGLETRANSLATE(A585,""en"", ""mt"")"),"Ċittadin jew kumpanija jistgħu jinvokaw direttiva, mhux biss f’tilwima ma ’awtorità pubblika, iżda f’tilwima ma’ ċittadin jew kumpanija oħra")</f>
        <v>Ċittadin jew kumpanija jistgħu jinvokaw direttiva, mhux biss f’tilwima ma ’awtorità pubblika, iżda f’tilwima ma’ ċittadin jew kumpanija oħra</v>
      </c>
    </row>
    <row r="586" ht="15.75" customHeight="1">
      <c r="A586" s="2" t="s">
        <v>586</v>
      </c>
      <c r="B586" s="2" t="str">
        <f>IFERROR(__xludf.DUMMYFUNCTION("GOOGLETRANSLATE(A586,""en"", ""mt"")"),"Sabiex tifhem aħjar l-orjentazzjonijiet tal-ħsarat u l-jingħalaq, il-ġeoloġi strutturali jagħmlu xiex bil-kejl ta 'strutturi ġeoloġiċi?")</f>
        <v>Sabiex tifhem aħjar l-orjentazzjonijiet tal-ħsarat u l-jingħalaq, il-ġeoloġi strutturali jagħmlu xiex bil-kejl ta 'strutturi ġeoloġiċi?</v>
      </c>
    </row>
    <row r="587" ht="15.75" customHeight="1">
      <c r="A587" s="2" t="s">
        <v>587</v>
      </c>
      <c r="B587" s="2" t="str">
        <f>IFERROR(__xludf.DUMMYFUNCTION("GOOGLETRANSLATE(A587,""en"", ""mt"")"),"Liema oqsma ta 'studju kienu avvanzati matul il-wan?")</f>
        <v>Liema oqsma ta 'studju kienu avvanzati matul il-wan?</v>
      </c>
    </row>
    <row r="588" ht="15.75" customHeight="1">
      <c r="A588" s="2" t="s">
        <v>588</v>
      </c>
      <c r="B588" s="2" t="str">
        <f>IFERROR(__xludf.DUMMYFUNCTION("GOOGLETRANSLATE(A588,""en"", ""mt"")"),"jikteb ktieb ta ’ħames volum fil-Grieg nattiv tiegħu")</f>
        <v>jikteb ktieb ta ’ħames volum fil-Grieg nattiv tiegħu</v>
      </c>
    </row>
    <row r="589" ht="15.75" customHeight="1">
      <c r="A589" s="2" t="s">
        <v>589</v>
      </c>
      <c r="B589" s="2" t="str">
        <f>IFERROR(__xludf.DUMMYFUNCTION("GOOGLETRANSLATE(A589,""en"", ""mt"")"),"Emissjonijiet relatati mal-karbonju")</f>
        <v>Emissjonijiet relatati mal-karbonju</v>
      </c>
    </row>
    <row r="590" ht="15.75" customHeight="1">
      <c r="A590" s="2" t="s">
        <v>590</v>
      </c>
      <c r="B590" s="2" t="str">
        <f>IFERROR(__xludf.DUMMYFUNCTION("GOOGLETRANSLATE(A590,""en"", ""mt"")"),"tevita l-attribuzzjoni")</f>
        <v>tevita l-attribuzzjoni</v>
      </c>
    </row>
    <row r="591" ht="15.75" customHeight="1">
      <c r="A591" s="2" t="s">
        <v>591</v>
      </c>
      <c r="B591" s="2" t="str">
        <f>IFERROR(__xludf.DUMMYFUNCTION("GOOGLETRANSLATE(A591,""en"", ""mt"")"),"Xi wħud ma jaqblux ma 'tali oriġini lingwistika doppja jew tripla mhux Franċiża, li jargumentaw li biex il-kelma tinfirex f'użu komuni fi Franza, hija trid tkun oriġinat bil-lingwa Franċiża. L- ""Ipotesi Hugues"" targumenta li l-isem kien derivat minn ass"&amp;"oċjazzjoni ma 'Hugues Capet, ir-Re ta' Franza, li ssaltan ħafna qabel ir-Riforma. Huwa kien meqjus mill-Gallikani u l-Protestanti bħala raġel nobbli li rrispetta d-dinjità u l-ħajja tan-nies. Janet Gray u partitarji oħra tal-ipoteżi jissuġġerixxu li l-ise"&amp;"m Huguenote jkun bejn wieħed u ieħor ekwivalenti għal Little Hugos, jew dawk li jixtiequ Hugo.")</f>
        <v>Xi wħud ma jaqblux ma 'tali oriġini lingwistika doppja jew tripla mhux Franċiża, li jargumentaw li biex il-kelma tinfirex f'użu komuni fi Franza, hija trid tkun oriġinat bil-lingwa Franċiża. L- "Ipotesi Hugues" targumenta li l-isem kien derivat minn assoċjazzjoni ma 'Hugues Capet, ir-Re ta' Franza, li ssaltan ħafna qabel ir-Riforma. Huwa kien meqjus mill-Gallikani u l-Protestanti bħala raġel nobbli li rrispetta d-dinjità u l-ħajja tan-nies. Janet Gray u partitarji oħra tal-ipoteżi jissuġġerixxu li l-isem Huguenote jkun bejn wieħed u ieħor ekwivalenti għal Little Hugos, jew dawk li jixtiequ Hugo.</v>
      </c>
    </row>
    <row r="592" ht="15.75" customHeight="1">
      <c r="A592" s="2" t="s">
        <v>592</v>
      </c>
      <c r="B592" s="2" t="str">
        <f>IFERROR(__xludf.DUMMYFUNCTION("GOOGLETRANSLATE(A592,""en"", ""mt"")"),"It-trasport ferrovjarju fir-Rabat huwa pprovdut minn diversi operaturi tal-ferrovija privati ​​u pubbliċi li joperaw fuq linji tal-gvern. Operaturi ewlenin jinkludu: Metro Trains Melbourne li tmexxi sistema estensiva, elettrifikata, tal-passiġġieri madwar"&amp;" Melbourne u subborgi; V / linja li issa hija proprjetà tal-gvern Vittorjan, topera servizz ikkonċentrat għal ċentri reġjonali ewlenin, kif ukoll servizzi fuq distanza twila fuq linji oħra; Nazzjonali tal-Paċifiku, CFCL Australia li joperaw servizzi tal-m"&amp;"erkanzija; Ferrovija tan-Nofsinhar kbira li topera l-Overland Melbourne - Adelaide; u NSW Trainlink li jopera XPTS Melbourne - Sydney.")</f>
        <v>It-trasport ferrovjarju fir-Rabat huwa pprovdut minn diversi operaturi tal-ferrovija privati ​​u pubbliċi li joperaw fuq linji tal-gvern. Operaturi ewlenin jinkludu: Metro Trains Melbourne li tmexxi sistema estensiva, elettrifikata, tal-passiġġieri madwar Melbourne u subborgi; V / linja li issa hija proprjetà tal-gvern Vittorjan, topera servizz ikkonċentrat għal ċentri reġjonali ewlenin, kif ukoll servizzi fuq distanza twila fuq linji oħra; Nazzjonali tal-Paċifiku, CFCL Australia li joperaw servizzi tal-merkanzija; Ferrovija tan-Nofsinhar kbira li topera l-Overland Melbourne - Adelaide; u NSW Trainlink li jopera XPTS Melbourne - Sydney.</v>
      </c>
    </row>
    <row r="593" ht="15.75" customHeight="1">
      <c r="A593" s="2" t="s">
        <v>593</v>
      </c>
      <c r="B593" s="2" t="str">
        <f>IFERROR(__xludf.DUMMYFUNCTION("GOOGLETRANSLATE(A593,""en"", ""mt"")"),"Meta beda l-ossiġnu jiċċaqlaq mill-oċeani għall-atmosfera?")</f>
        <v>Meta beda l-ossiġnu jiċċaqlaq mill-oċeani għall-atmosfera?</v>
      </c>
    </row>
    <row r="594" ht="15.75" customHeight="1">
      <c r="A594" s="2" t="s">
        <v>594</v>
      </c>
      <c r="B594" s="2" t="str">
        <f>IFERROR(__xludf.DUMMYFUNCTION("GOOGLETRANSLATE(A594,""en"", ""mt"")"),"F'liema każ il-qorti ddikjarat li l-Awstrija ma tħallietx iżżomm postijiet fl-iskejjel Awstrijaċi esklussivament għall-istudenti Awstrijaċi?")</f>
        <v>F'liema każ il-qorti ddikjarat li l-Awstrija ma tħallietx iżżomm postijiet fl-iskejjel Awstrijaċi esklussivament għall-istudenti Awstrijaċi?</v>
      </c>
    </row>
    <row r="595" ht="15.75" customHeight="1">
      <c r="A595" s="2" t="s">
        <v>595</v>
      </c>
      <c r="B595" s="2" t="str">
        <f>IFERROR(__xludf.DUMMYFUNCTION("GOOGLETRANSLATE(A595,""en"", ""mt"")"),"ħaddiem, kapitalist / sid tan-negozju, sid il-kera")</f>
        <v>ħaddiem, kapitalist / sid tan-negozju, sid il-kera</v>
      </c>
    </row>
    <row r="596" ht="15.75" customHeight="1">
      <c r="A596" s="2" t="s">
        <v>596</v>
      </c>
      <c r="B596" s="2" t="str">
        <f>IFERROR(__xludf.DUMMYFUNCTION("GOOGLETRANSLATE(A596,""en"", ""mt"")"),"X'kienet il-premessa ta 'l-inkjesta ta' Woodrow Wilson?")</f>
        <v>X'kienet il-premessa ta 'l-inkjesta ta' Woodrow Wilson?</v>
      </c>
    </row>
    <row r="597" ht="15.75" customHeight="1">
      <c r="A597" s="2" t="s">
        <v>597</v>
      </c>
      <c r="B597" s="2" t="str">
        <f>IFERROR(__xludf.DUMMYFUNCTION("GOOGLETRANSLATE(A597,""en"", ""mt"")"),"Matul iċ-ċessjoni mill-moviment tal-Afrika t'Isfel fl-aħħar tas-snin 1980, l-attivisti tal-istudenti bnew ""shantytown"" simboliku fit-tarzna ta 'Harvard u imblukkaw diskors mogħti mill-viċi-konslu tal-Afrika t'Isfel Duke Kent-Brown. Il-Kumpanija ta 'Ġest"&amp;"joni ta' Harvard ripetutament irrifjutat li tbiegħ, u ddikjarat li ""l-ispejjeż operattivi m'għandhomx ikunu soġġetti għal restrizzjonijiet finanzjarjament mhux realistiċi jew carping minn dawk mhux sofistikati jew minn gruppi ta 'interess speċjali."" Mad"&amp;"ankollu, l-università eventwalment naqset l-azjendi tal-Afrika t'Isfel tagħha b '$ 230 miljun (minn $ 400 miljun) b'reazzjoni għall-pressjoni.")</f>
        <v>Matul iċ-ċessjoni mill-moviment tal-Afrika t'Isfel fl-aħħar tas-snin 1980, l-attivisti tal-istudenti bnew "shantytown" simboliku fit-tarzna ta 'Harvard u imblukkaw diskors mogħti mill-viċi-konslu tal-Afrika t'Isfel Duke Kent-Brown. Il-Kumpanija ta 'Ġestjoni ta' Harvard ripetutament irrifjutat li tbiegħ, u ddikjarat li "l-ispejjeż operattivi m'għandhomx ikunu soġġetti għal restrizzjonijiet finanzjarjament mhux realistiċi jew carping minn dawk mhux sofistikati jew minn gruppi ta 'interess speċjali." Madankollu, l-università eventwalment naqset l-azjendi tal-Afrika t'Isfel tagħha b '$ 230 miljun (minn $ 400 miljun) b'reazzjoni għall-pressjoni.</v>
      </c>
    </row>
    <row r="598" ht="15.75" customHeight="1">
      <c r="A598" s="2" t="s">
        <v>598</v>
      </c>
      <c r="B598" s="2" t="str">
        <f>IFERROR(__xludf.DUMMYFUNCTION("GOOGLETRANSLATE(A598,""en"", ""mt"")"),"Allokati minn qabel")</f>
        <v>Allokati minn qabel</v>
      </c>
    </row>
    <row r="599" ht="15.75" customHeight="1">
      <c r="A599" s="2" t="s">
        <v>599</v>
      </c>
      <c r="B599" s="2" t="str">
        <f>IFERROR(__xludf.DUMMYFUNCTION("GOOGLETRANSLATE(A599,""en"", ""mt"")"),"P mhuwiex fattur ewlieni ta 'q.")</f>
        <v>P mhuwiex fattur ewlieni ta 'q.</v>
      </c>
    </row>
    <row r="600" ht="15.75" customHeight="1">
      <c r="A600" s="2" t="s">
        <v>600</v>
      </c>
      <c r="B600" s="2" t="str">
        <f>IFERROR(__xludf.DUMMYFUNCTION("GOOGLETRANSLATE(A600,""en"", ""mt"")"),"Frederick William, Elettur ta 'Brandenburg, stieden lil Huguenots biex joqgħod fl-isfera tiegħu, u numru tad-dixxendenti tagħhom tela' f'pożizzjonijiet ta 'prominenza fil-Prussja. Bosta figuri militari, kulturali u politiċi prominenti Ġermaniżi kienu etni"&amp;"ċi Huguenot, inkluż il-poeta Theodor Fontane, il-Ġeneral Hermann von François, l-eroj tal-ewwel battalja tal-Gwerra Dinjija ta 'Tannenberg, Luftwaffe Ġenerali u l-ġlied Ace Adolf Galland, Luftwaffe Flying Ace Hans-Joachim Marsile , u famuż kaptan tad-dgħa"&amp;"jsa U-Lothar von Arnauld de la Perière. L-aħħar Prim Ministru tar-Repubblika Demokratika Ġermaniża (tal-Lvant), Lothar de Maizière, huwa wkoll dixxendent ta 'familja Huguenot, kif inhu l-Ministru Federali Ġermaniż ta' l-Intern, Thomas de Maizière.")</f>
        <v>Frederick William, Elettur ta 'Brandenburg, stieden lil Huguenots biex joqgħod fl-isfera tiegħu, u numru tad-dixxendenti tagħhom tela' f'pożizzjonijiet ta 'prominenza fil-Prussja. Bosta figuri militari, kulturali u politiċi prominenti Ġermaniżi kienu etniċi Huguenot, inkluż il-poeta Theodor Fontane, il-Ġeneral Hermann von François, l-eroj tal-ewwel battalja tal-Gwerra Dinjija ta 'Tannenberg, Luftwaffe Ġenerali u l-ġlied Ace Adolf Galland, Luftwaffe Flying Ace Hans-Joachim Marsile , u famuż kaptan tad-dgħajsa U-Lothar von Arnauld de la Perière. L-aħħar Prim Ministru tar-Repubblika Demokratika Ġermaniża (tal-Lvant), Lothar de Maizière, huwa wkoll dixxendent ta 'familja Huguenot, kif inhu l-Ministru Federali Ġermaniż ta' l-Intern, Thomas de Maizière.</v>
      </c>
    </row>
    <row r="601" ht="15.75" customHeight="1">
      <c r="A601" s="2" t="s">
        <v>601</v>
      </c>
      <c r="B601" s="2" t="str">
        <f>IFERROR(__xludf.DUMMYFUNCTION("GOOGLETRANSLATE(A601,""en"", ""mt"")"),"Tmiem oppost minn ħalq")</f>
        <v>Tmiem oppost minn ħalq</v>
      </c>
    </row>
    <row r="602" ht="15.75" customHeight="1">
      <c r="A602" s="2" t="s">
        <v>602</v>
      </c>
      <c r="B602" s="2" t="str">
        <f>IFERROR(__xludf.DUMMYFUNCTION("GOOGLETRANSLATE(A602,""en"", ""mt"")"),"24 ta ’Awwissu - 3 ta’ Ottubru 1572")</f>
        <v>24 ta ’Awwissu - 3 ta’ Ottubru 1572</v>
      </c>
    </row>
    <row r="603" ht="15.75" customHeight="1">
      <c r="A603" s="2" t="s">
        <v>603</v>
      </c>
      <c r="B603" s="2" t="str">
        <f>IFERROR(__xludf.DUMMYFUNCTION("GOOGLETRANSLATE(A603,""en"", ""mt"")"),"L-ewwel imperu Ingliż kien ibbażat fuq il-merkantiliżmu, u kien jinvolvi kolonji u azjendi primarjament fl-Amerika ta ’Fuq, il-Karibew, u l-Indja. It-tkabbir tagħha ġie mreġġa ’lura mit-telf tal-kolonji Amerikani fl-1776. Il-Gran Brittanja għamlet qligħ f"&amp;"l-Indja, l-Awstralja, u fil-kostruzzjoni ta’ imperu ekonomiku informali permezz tal-kontroll tal-kummerċ u l-finanzi fl-Amerika Latina wara l-indipendenza tal-kolonji Spanjoli u Portugiżi madwar l-1820. Fis-snin 1840, il-Gran Brittanja kienet adottat poli"&amp;"tika ta 'suċċess kbir ta' kummerċ ħieles li tatha dominanza fil-kummerċ ta 'ħafna mid-dinja. Wara li tilfet l-ewwel imperu tagħha lill-Amerikani, il-Gran Brittanja mbagħad dawret l-attenzjoni lejn l-Asja, l-Afrika, u l-Paċifiku. Wara t-telfa ta 'Napoleoni"&amp;"c France fl-1815, il-Gran Brittanja gawdiet seklu ta' dominanza kważi mhux ikkontestata u espandiet l-azjendi imperjali tagħha madwar id-dinja. Żieda fil-gradi ta 'awtonomija interna ingħataw lill-kolonji ta' kolonizzaturi bojod tagħha fis-seklu 20.")</f>
        <v>L-ewwel imperu Ingliż kien ibbażat fuq il-merkantiliżmu, u kien jinvolvi kolonji u azjendi primarjament fl-Amerika ta ’Fuq, il-Karibew, u l-Indja. It-tkabbir tagħha ġie mreġġa ’lura mit-telf tal-kolonji Amerikani fl-1776. Il-Gran Brittanja għamlet qligħ fl-Indja, l-Awstralja, u fil-kostruzzjoni ta’ imperu ekonomiku informali permezz tal-kontroll tal-kummerċ u l-finanzi fl-Amerika Latina wara l-indipendenza tal-kolonji Spanjoli u Portugiżi madwar l-1820. Fis-snin 1840, il-Gran Brittanja kienet adottat politika ta 'suċċess kbir ta' kummerċ ħieles li tatha dominanza fil-kummerċ ta 'ħafna mid-dinja. Wara li tilfet l-ewwel imperu tagħha lill-Amerikani, il-Gran Brittanja mbagħad dawret l-attenzjoni lejn l-Asja, l-Afrika, u l-Paċifiku. Wara t-telfa ta 'Napoleonic France fl-1815, il-Gran Brittanja gawdiet seklu ta' dominanza kważi mhux ikkontestata u espandiet l-azjendi imperjali tagħha madwar id-dinja. Żieda fil-gradi ta 'awtonomija interna ingħataw lill-kolonji ta' kolonizzaturi bojod tagħha fis-seklu 20.</v>
      </c>
    </row>
    <row r="604" ht="15.75" customHeight="1">
      <c r="A604" s="2" t="s">
        <v>604</v>
      </c>
      <c r="B604" s="2" t="str">
        <f>IFERROR(__xludf.DUMMYFUNCTION("GOOGLETRANSLATE(A604,""en"", ""mt"")"),"Risposta politika importanti bikrija għall-ftuħ ta 'ostilitajiet kienet it-tlaqqigħ tal-Kungress ta' Albany f'Ġunju u Lulju, 1754. L-għan tal-Kungress kien li jifformalizza front unifikat fil-kummerċ u n-negozjati ma 'diversi Indjani, peress li lealtà tad"&amp;"-diversi tribujiet u In-nazzjonijiet kienu meqjusa li huma fundamentali fis-suċċess fil-gwerra li kienet qed tiżvolġi. Il-pjan li d-delegati qablu li qatt ma ġie rratifikat mil-leġiżlaturi kolonjali u lanqas approvat mill-kuruna. Madankollu, il-format tal"&amp;"-Kungress u ħafna speċifiċitajiet tal-pjan saru l-prototip għall-Konfederazzjoni matul il-Gwerra tal-Indipendenza.")</f>
        <v>Risposta politika importanti bikrija għall-ftuħ ta 'ostilitajiet kienet it-tlaqqigħ tal-Kungress ta' Albany f'Ġunju u Lulju, 1754. L-għan tal-Kungress kien li jifformalizza front unifikat fil-kummerċ u n-negozjati ma 'diversi Indjani, peress li lealtà tad-diversi tribujiet u In-nazzjonijiet kienu meqjusa li huma fundamentali fis-suċċess fil-gwerra li kienet qed tiżvolġi. Il-pjan li d-delegati qablu li qatt ma ġie rratifikat mil-leġiżlaturi kolonjali u lanqas approvat mill-kuruna. Madankollu, il-format tal-Kungress u ħafna speċifiċitajiet tal-pjan saru l-prototip għall-Konfederazzjoni matul il-Gwerra tal-Indipendenza.</v>
      </c>
    </row>
    <row r="605" ht="15.75" customHeight="1">
      <c r="A605" s="2" t="s">
        <v>605</v>
      </c>
      <c r="B605" s="2" t="str">
        <f>IFERROR(__xludf.DUMMYFUNCTION("GOOGLETRANSLATE(A605,""en"", ""mt"")"),"individwalment")</f>
        <v>individwalment</v>
      </c>
    </row>
    <row r="606" ht="15.75" customHeight="1">
      <c r="A606" s="2" t="s">
        <v>606</v>
      </c>
      <c r="B606" s="2" t="str">
        <f>IFERROR(__xludf.DUMMYFUNCTION("GOOGLETRANSLATE(A606,""en"", ""mt"")"),"l-assiomi tal-kumplessità tal-blum")</f>
        <v>l-assiomi tal-kumplessità tal-blum</v>
      </c>
    </row>
    <row r="607" ht="15.75" customHeight="1">
      <c r="A607" s="2" t="s">
        <v>607</v>
      </c>
      <c r="B607" s="2" t="str">
        <f>IFERROR(__xludf.DUMMYFUNCTION("GOOGLETRANSLATE(A607,""en"", ""mt"")"),"Kolonizzanti, Influwenza, u Twaħħal partijiet oħra tad-dinja sabiex tikseb poter politiku")</f>
        <v>Kolonizzanti, Influwenza, u Twaħħal partijiet oħra tad-dinja sabiex tikseb poter politiku</v>
      </c>
    </row>
    <row r="608" ht="15.75" customHeight="1">
      <c r="A608" s="2" t="s">
        <v>608</v>
      </c>
      <c r="B608" s="2" t="str">
        <f>IFERROR(__xludf.DUMMYFUNCTION("GOOGLETRANSLATE(A608,""en"", ""mt"")"),"Ngħinu lil Adolf Hitler L-Iż-Żieda għall-Qawwa")</f>
        <v>Ngħinu lil Adolf Hitler L-Iż-Żieda għall-Qawwa</v>
      </c>
    </row>
    <row r="609" ht="15.75" customHeight="1">
      <c r="A609" s="2" t="s">
        <v>609</v>
      </c>
      <c r="B609" s="2" t="str">
        <f>IFERROR(__xludf.DUMMYFUNCTION("GOOGLETRANSLATE(A609,""en"", ""mt"")"),"kolp ta 'stat militari")</f>
        <v>kolp ta 'stat militari</v>
      </c>
    </row>
    <row r="610" ht="15.75" customHeight="1">
      <c r="A610" s="2" t="s">
        <v>610</v>
      </c>
      <c r="B610" s="2" t="str">
        <f>IFERROR(__xludf.DUMMYFUNCTION("GOOGLETRANSLATE(A610,""en"", ""mt"")"),"tnaqqis fil-livelli tal-ormoni")</f>
        <v>tnaqqis fil-livelli tal-ormoni</v>
      </c>
    </row>
    <row r="611" ht="15.75" customHeight="1">
      <c r="A611" s="2" t="s">
        <v>611</v>
      </c>
      <c r="B611" s="2" t="str">
        <f>IFERROR(__xludf.DUMMYFUNCTION("GOOGLETRANSLATE(A611,""en"", ""mt"")"),"topografiku")</f>
        <v>topografiku</v>
      </c>
    </row>
    <row r="612" ht="15.75" customHeight="1">
      <c r="A612" s="2" t="s">
        <v>612</v>
      </c>
      <c r="B612" s="2" t="str">
        <f>IFERROR(__xludf.DUMMYFUNCTION("GOOGLETRANSLATE(A612,""en"", ""mt"")"),"Liema żewġ komposti al-MuwaffAQ iddifferenzjaw bejniethom?")</f>
        <v>Liema żewġ komposti al-MuwaffAQ iddifferenzjaw bejniethom?</v>
      </c>
    </row>
    <row r="613" ht="15.75" customHeight="1">
      <c r="A613" s="2" t="s">
        <v>613</v>
      </c>
      <c r="B613" s="2" t="str">
        <f>IFERROR(__xludf.DUMMYFUNCTION("GOOGLETRANSLATE(A613,""en"", ""mt"")"),"Stephen Eilmann juri liġi moħbija li tkisser fil-Ġermanja Nażista. Iċ-ċittadin illegalment kien qed jagħmel xiex?")</f>
        <v>Stephen Eilmann juri liġi moħbija li tkisser fil-Ġermanja Nażista. Iċ-ċittadin illegalment kien qed jagħmel xiex?</v>
      </c>
    </row>
    <row r="614" ht="15.75" customHeight="1">
      <c r="A614" s="2" t="s">
        <v>614</v>
      </c>
      <c r="B614" s="2" t="str">
        <f>IFERROR(__xludf.DUMMYFUNCTION("GOOGLETRANSLATE(A614,""en"", ""mt"")"),"Iffinanzja vjaġġaturi li jerġgħu lura bir-rakkonti tal-iskoperti tagħhom")</f>
        <v>Iffinanzja vjaġġaturi li jerġgħu lura bir-rakkonti tal-iskoperti tagħhom</v>
      </c>
    </row>
    <row r="615" ht="15.75" customHeight="1">
      <c r="A615" s="2" t="s">
        <v>615</v>
      </c>
      <c r="B615" s="2" t="str">
        <f>IFERROR(__xludf.DUMMYFUNCTION("GOOGLETRANSLATE(A615,""en"", ""mt"")"),"aħdar")</f>
        <v>aħdar</v>
      </c>
    </row>
    <row r="616" ht="15.75" customHeight="1">
      <c r="A616" s="2" t="s">
        <v>616</v>
      </c>
      <c r="B616" s="2" t="str">
        <f>IFERROR(__xludf.DUMMYFUNCTION("GOOGLETRANSLATE(A616,""en"", ""mt"")"),"Trattat ta 'Ruma 1957 u t-Trattat ta' Maastricht 1992")</f>
        <v>Trattat ta 'Ruma 1957 u t-Trattat ta' Maastricht 1992</v>
      </c>
    </row>
    <row r="617" ht="15.75" customHeight="1">
      <c r="A617" s="2" t="s">
        <v>617</v>
      </c>
      <c r="B617" s="2" t="str">
        <f>IFERROR(__xludf.DUMMYFUNCTION("GOOGLETRANSLATE(A617,""en"", ""mt"")"),"X'inhi l-Liġi tal-Unjoni Ewropea?")</f>
        <v>X'inhi l-Liġi tal-Unjoni Ewropea?</v>
      </c>
    </row>
    <row r="618" ht="15.75" customHeight="1">
      <c r="A618" s="2" t="s">
        <v>618</v>
      </c>
      <c r="B618" s="2" t="str">
        <f>IFERROR(__xludf.DUMMYFUNCTION("GOOGLETRANSLATE(A618,""en"", ""mt"")"),"il-popolazzjoni mxerrda tagħhom u d-distanza mill-Parlament Skoċċiż f'Edinburgu")</f>
        <v>il-popolazzjoni mxerrda tagħhom u d-distanza mill-Parlament Skoċċiż f'Edinburgu</v>
      </c>
    </row>
    <row r="619" ht="15.75" customHeight="1">
      <c r="A619" s="2" t="s">
        <v>619</v>
      </c>
      <c r="B619" s="2" t="str">
        <f>IFERROR(__xludf.DUMMYFUNCTION("GOOGLETRANSLATE(A619,""en"", ""mt"")"),"Fl-2007, BSKYB u Virgin Media saru involuti f'tilwima dwar il-ġarr ta 'stazzjonijiet tas-sema fuq it-TV bil-kejbil. In-nuqqas ta 'ġedded il-ftehimiet ta' ġarr eżistenti nnegozjati ma 'NTL u t-telewest irriżulta f'Virgin Media li tneħħi l-kanali bażiċi min"&amp;"-netwerk fl-1 ta' Marzu 2007. Virgin Media sostniet li BSKYB żiedet sostanzjalment il-prezz mitlub għall-kanali, talba li BSKYB ċaħad, Fuq il-bażi li l-ftehim il-ġdid tagħhom offra ""sostanzjalment aktar valur"" billi jinkludi kanali HD u kontenut ta 'vid"&amp;"jow fuq talba li qabel ma kienx imwettaq minn cable.")</f>
        <v>Fl-2007, BSKYB u Virgin Media saru involuti f'tilwima dwar il-ġarr ta 'stazzjonijiet tas-sema fuq it-TV bil-kejbil. In-nuqqas ta 'ġedded il-ftehimiet ta' ġarr eżistenti nnegozjati ma 'NTL u t-telewest irriżulta f'Virgin Media li tneħħi l-kanali bażiċi min-netwerk fl-1 ta' Marzu 2007. Virgin Media sostniet li BSKYB żiedet sostanzjalment il-prezz mitlub għall-kanali, talba li BSKYB ċaħad, Fuq il-bażi li l-ftehim il-ġdid tagħhom offra "sostanzjalment aktar valur" billi jinkludi kanali HD u kontenut ta 'vidjow fuq talba li qabel ma kienx imwettaq minn cable.</v>
      </c>
    </row>
    <row r="620" ht="15.75" customHeight="1">
      <c r="A620" s="2" t="s">
        <v>620</v>
      </c>
      <c r="B620" s="2" t="str">
        <f>IFERROR(__xludf.DUMMYFUNCTION("GOOGLETRANSLATE(A620,""en"", ""mt"")"),"Aqta 'b'suċċess il-Frontier Franċiż Fortizzi aktar lejn il-Punent u n-Nofsinhar")</f>
        <v>Aqta 'b'suċċess il-Frontier Franċiż Fortizzi aktar lejn il-Punent u n-Nofsinhar</v>
      </c>
    </row>
    <row r="621" ht="15.75" customHeight="1">
      <c r="A621" s="2" t="s">
        <v>621</v>
      </c>
      <c r="B621" s="2" t="str">
        <f>IFERROR(__xludf.DUMMYFUNCTION("GOOGLETRANSLATE(A621,""en"", ""mt"")"),"X'kien magħruf Henry IV bħal qabel ma ħa t-tron?")</f>
        <v>X'kien magħruf Henry IV bħal qabel ma ħa t-tron?</v>
      </c>
    </row>
    <row r="622" ht="15.75" customHeight="1">
      <c r="A622" s="2" t="s">
        <v>622</v>
      </c>
      <c r="B622" s="2" t="str">
        <f>IFERROR(__xludf.DUMMYFUNCTION("GOOGLETRANSLATE(A622,""en"", ""mt"")"),"Iddisinjat biex jarma lill-istudenti b'settijiet ta 'ħiliet meħtieġa biex ikunu jistgħu jwettqu fuq ix-xogħol")</f>
        <v>Iddisinjat biex jarma lill-istudenti b'settijiet ta 'ħiliet meħtieġa biex ikunu jistgħu jwettqu fuq ix-xogħol</v>
      </c>
    </row>
    <row r="623" ht="15.75" customHeight="1">
      <c r="A623" s="2" t="s">
        <v>623</v>
      </c>
      <c r="B623" s="2" t="str">
        <f>IFERROR(__xludf.DUMMYFUNCTION("GOOGLETRANSLATE(A623,""en"", ""mt"")"),"tard tas-snin 1980")</f>
        <v>tard tas-snin 1980</v>
      </c>
    </row>
    <row r="624" ht="15.75" customHeight="1">
      <c r="A624" s="2" t="s">
        <v>624</v>
      </c>
      <c r="B624" s="2" t="str">
        <f>IFERROR(__xludf.DUMMYFUNCTION("GOOGLETRANSLATE(A624,""en"", ""mt"")"),"Wara l-avveniment ta 'estinzjoni tal-Kretaċeju-Paleogene, l-estinzjoni tad-dinosawri u l-klima aktar mxarrba setgħu ppermettew lill-foresta tropikali tropikali tinfirex madwar il-kontinent. Minn 66-34 MYA, il-foresta tropikali estendiet sa 45 °. Il-varjaz"&amp;"zjonijiet fil-klima matul l-aħħar 34 miljun sena ppermettew lir-reġjuni ta 'Savanna jespandu fit-tropiċi. Matul l-Oligocene, pereżempju, il-foresta tropikali mifruxa faxxa relattivament dejqa. Hija espandiet mill-ġdid matul il-Miocene tan-nofs, imbagħad t"&amp;"inġibed għal formazzjoni l-aktar interna fl-aħħar massimu glaċjali. Madankollu, il-foresta tropikali xorta rnexxielha tiffjorixxi matul dawn il-perjodi glaċjali, li tippermetti s-sopravivenza u l-evoluzzjoni ta 'diversità wiesgħa ta' speċi.")</f>
        <v>Wara l-avveniment ta 'estinzjoni tal-Kretaċeju-Paleogene, l-estinzjoni tad-dinosawri u l-klima aktar mxarrba setgħu ppermettew lill-foresta tropikali tropikali tinfirex madwar il-kontinent. Minn 66-34 MYA, il-foresta tropikali estendiet sa 45 °. Il-varjazzjonijiet fil-klima matul l-aħħar 34 miljun sena ppermettew lir-reġjuni ta 'Savanna jespandu fit-tropiċi. Matul l-Oligocene, pereżempju, il-foresta tropikali mifruxa faxxa relattivament dejqa. Hija espandiet mill-ġdid matul il-Miocene tan-nofs, imbagħad tinġibed għal formazzjoni l-aktar interna fl-aħħar massimu glaċjali. Madankollu, il-foresta tropikali xorta rnexxielha tiffjorixxi matul dawn il-perjodi glaċjali, li tippermetti s-sopravivenza u l-evoluzzjoni ta 'diversità wiesgħa ta' speċi.</v>
      </c>
    </row>
    <row r="625" ht="15.75" customHeight="1">
      <c r="A625" s="2" t="s">
        <v>625</v>
      </c>
      <c r="B625" s="2" t="str">
        <f>IFERROR(__xludf.DUMMYFUNCTION("GOOGLETRANSLATE(A625,""en"", ""mt"")"),"Xi konvenuti tad-diżubbidjenza ċivili jagħżlu li jagħmlu diskors sfidanti, jew diskors li jispjega l-azzjonijiet tagħhom, fl-allokazzjoni. Fl-Istati Uniti v. Burgos-Andujar, konvenut li kien involut f'moviment biex iwaqqaf eżerċizzji militari billi jaqbeż"&amp;" fuq il-propjetà tan-Navy tal-Istati Uniti argumentat lill-qorti fl-allokazzjoni li ""dawk li qed jiksru l-liġi akbar huma l-membri tan-Navy"". Bħala riżultat, l-imħallef żied is-sentenza tagħha minn 40 għal 60 jum. Din l-azzjoni ġiet ikkonfermata għaliex"&amp;", skont il-Qorti tal-Appelli tal-Istati Uniti għall-Ewwel Ċirkwit, id-dikjarazzjoni tagħha ssuġġeriet nuqqas ta ’dispjaċir, tentattiv biex tevita r-responsabbiltà għall-azzjonijiet tagħha, u anke probabbiltà li tirrepeti l-azzjonijiet illegali tagħha. Uħu"&amp;"d mid-diskorsi l-oħra ta ’allokazzjoni mogħtija mill-protestanti ilmentaw dwar trattament ħażin minn uffiċjali tal-gvern.")</f>
        <v>Xi konvenuti tad-diżubbidjenza ċivili jagħżlu li jagħmlu diskors sfidanti, jew diskors li jispjega l-azzjonijiet tagħhom, fl-allokazzjoni. Fl-Istati Uniti v. Burgos-Andujar, konvenut li kien involut f'moviment biex iwaqqaf eżerċizzji militari billi jaqbeż fuq il-propjetà tan-Navy tal-Istati Uniti argumentat lill-qorti fl-allokazzjoni li "dawk li qed jiksru l-liġi akbar huma l-membri tan-Navy". Bħala riżultat, l-imħallef żied is-sentenza tagħha minn 40 għal 60 jum. Din l-azzjoni ġiet ikkonfermata għaliex, skont il-Qorti tal-Appelli tal-Istati Uniti għall-Ewwel Ċirkwit, id-dikjarazzjoni tagħha ssuġġeriet nuqqas ta ’dispjaċir, tentattiv biex tevita r-responsabbiltà għall-azzjonijiet tagħha, u anke probabbiltà li tirrepeti l-azzjonijiet illegali tagħha. Uħud mid-diskorsi l-oħra ta ’allokazzjoni mogħtija mill-protestanti ilmentaw dwar trattament ħażin minn uffiċjali tal-gvern.</v>
      </c>
    </row>
    <row r="626" ht="15.75" customHeight="1">
      <c r="A626" s="2" t="s">
        <v>626</v>
      </c>
      <c r="B626" s="2" t="str">
        <f>IFERROR(__xludf.DUMMYFUNCTION("GOOGLETRANSLATE(A626,""en"", ""mt"")"),"Huwa possibbli li tuża mekkaniżmu bbażat fuq magna li ddur mingħajr piston bħall-magna Wankel minflok iċ-ċilindri u l-irkaptu tal-valv ta 'magna tal-fwar reċiprokanti konvenzjonali. Ħafna magni bħal dawn ġew iddisinjati, mill-ħin ta 'James Watt sal-lum, i"&amp;"żda relattivament ftit kienu fil-fatt mibnija u saħansitra inqas daħlu fil-produzzjoni tal-kwantità; Ara l-link fil-qiegħ tal-artiklu għal aktar dettalji. Il-problema ewlenija hija d-diffikultà li tissiġilla r-rotors biex tagħmilhom issikkati bil-fwar fil"&amp;"-konfront tal-ilbies u l-espansjoni termali; It-tnixxija li tirriżulta għamlithom ineffiċjenti ħafna. Nuqqas ta 'xogħol espansiv, jew kwalunkwe mezz ta' kontroll tal-qtugħ huwa wkoll problema serja b'ħafna disinni bħal dawn. [Ċitazzjoni meħtieġa]")</f>
        <v>Huwa possibbli li tuża mekkaniżmu bbażat fuq magna li ddur mingħajr piston bħall-magna Wankel minflok iċ-ċilindri u l-irkaptu tal-valv ta 'magna tal-fwar reċiprokanti konvenzjonali. Ħafna magni bħal dawn ġew iddisinjati, mill-ħin ta 'James Watt sal-lum, iżda relattivament ftit kienu fil-fatt mibnija u saħansitra inqas daħlu fil-produzzjoni tal-kwantità; Ara l-link fil-qiegħ tal-artiklu għal aktar dettalji. Il-problema ewlenija hija d-diffikultà li tissiġilla r-rotors biex tagħmilhom issikkati bil-fwar fil-konfront tal-ilbies u l-espansjoni termali; It-tnixxija li tirriżulta għamlithom ineffiċjenti ħafna. Nuqqas ta 'xogħol espansiv, jew kwalunkwe mezz ta' kontroll tal-qtugħ huwa wkoll problema serja b'ħafna disinni bħal dawn. [Ċitazzjoni meħtieġa]</v>
      </c>
    </row>
    <row r="627" ht="15.75" customHeight="1">
      <c r="A627" s="2" t="s">
        <v>627</v>
      </c>
      <c r="B627" s="2" t="str">
        <f>IFERROR(__xludf.DUMMYFUNCTION("GOOGLETRANSLATE(A627,""en"", ""mt"")"),"Għaliex iċ-Ċiniżi tan-Nofsinhar ġew ikklassifikati aktar baxxi?")</f>
        <v>Għaliex iċ-Ċiniżi tan-Nofsinhar ġew ikklassifikati aktar baxxi?</v>
      </c>
    </row>
    <row r="628" ht="15.75" customHeight="1">
      <c r="A628" s="2" t="s">
        <v>628</v>
      </c>
      <c r="B628" s="2" t="str">
        <f>IFERROR(__xludf.DUMMYFUNCTION("GOOGLETRANSLATE(A628,""en"", ""mt"")"),"għomor tal-ħajja")</f>
        <v>għomor tal-ħajja</v>
      </c>
    </row>
    <row r="629" ht="15.75" customHeight="1">
      <c r="A629" s="2" t="s">
        <v>629</v>
      </c>
      <c r="B629" s="2" t="str">
        <f>IFERROR(__xludf.DUMMYFUNCTION("GOOGLETRANSLATE(A629,""en"", ""mt"")"),"Metodu li jalloka minn qabel il-wisa 'tal-banda netwerk iddedikat speċifikament għal kull sessjoni ta' komunikazzjoni")</f>
        <v>Metodu li jalloka minn qabel il-wisa 'tal-banda netwerk iddedikat speċifikament għal kull sessjoni ta' komunikazzjoni</v>
      </c>
    </row>
    <row r="630" ht="15.75" customHeight="1">
      <c r="A630" s="2" t="s">
        <v>630</v>
      </c>
      <c r="B630" s="2" t="str">
        <f>IFERROR(__xludf.DUMMYFUNCTION("GOOGLETRANSLATE(A630,""en"", ""mt"")"),"X'kienet ir-raġuni ewlenija għall-bidla għall-fehma li l-inugwaljanza tad-dħul tagħmel ħsara lit-tkabbir?")</f>
        <v>X'kienet ir-raġuni ewlenija għall-bidla għall-fehma li l-inugwaljanza tad-dħul tagħmel ħsara lit-tkabbir?</v>
      </c>
    </row>
    <row r="631" ht="15.75" customHeight="1">
      <c r="A631" s="2" t="s">
        <v>631</v>
      </c>
      <c r="B631" s="2" t="str">
        <f>IFERROR(__xludf.DUMMYFUNCTION("GOOGLETRANSLATE(A631,""en"", ""mt"")"),"Id-9")</f>
        <v>Id-9</v>
      </c>
    </row>
    <row r="632" ht="15.75" customHeight="1">
      <c r="A632" s="2" t="s">
        <v>632</v>
      </c>
      <c r="B632" s="2" t="str">
        <f>IFERROR(__xludf.DUMMYFUNCTION("GOOGLETRANSLATE(A632,""en"", ""mt"")"),"Ħafna mill-irziezet fil-Provinċja tal-Kap tal-Punent fl-Afrika t'Isfel għadhom iġorru ismijiet Franċiżi. Ħafna familji, illum l-aktar l-Afrikani li jitkellmu, għandhom kunjomijiet li jindikaw l-antenati tiegħu Huguenot. Eżempji jinkludu: Blignaut, Cillier"&amp;"s, De Klerk (Le Clercq), De Villiers, Du Plessis, Du Preez (Des Pres), Du Randt (Durand), Du Toit, Duvenhage (Du VinAge), Franck, Fouche, Fourie (Fleurit) , Gervais, Giliomee (Guilliaume), Gous / Gouws (Gauch), Hugo, Jordaan (Jourdan), Joubert, Kriek, Lab"&amp;"uschagne (La Buscagne), Le Roux, Lombard, Malan, Malherbe, Marais, Maree, Minnaar (Mesnard), Nel (Nell), Naude ', Nortje (Nortier), Pienaar (Pinard), RETIEF (Retif), Rossouw (Rousseau), Taljaard (Taillard), Terblanche, Theron, Viljoen (Villion) u Visagie "&amp;"(Visage). L-industrija tal-inbid fl-Afrika t'Isfel għandha dejn sinifikanti lill-Huguenots, li wħud minnhom kellhom dwieli fi Franza, jew kienu distillaturi tal-brandi, u użaw il-ħiliet tagħhom fid-dar il-ġdida tagħhom.")</f>
        <v>Ħafna mill-irziezet fil-Provinċja tal-Kap tal-Punent fl-Afrika t'Isfel għadhom iġorru ismijiet Franċiżi. Ħafna familji, illum l-aktar l-Afrikani li jitkellmu, għandhom kunjomijiet li jindikaw l-antenati tiegħu Huguenot. Eżempji jinkludu: Blignaut, Cilliers, De Klerk (Le Clercq), De Villiers, Du Plessis, Du Preez (Des Pres), Du Randt (Durand), Du Toit, Duvenhage (Du VinAge), Franck, Fouche, Fourie (Fleurit) , Gervais, Giliomee (Guilliaume), Gous / Gouws (Gauch), Hugo, Jordaan (Jourdan), Joubert, Kriek, Labuschagne (La Buscagne), Le Roux, Lombard, Malan, Malherbe, Marais, Maree, Minnaar (Mesnard), Nel (Nell), Naude ', Nortje (Nortier), Pienaar (Pinard), RETIEF (Retif), Rossouw (Rousseau), Taljaard (Taillard), Terblanche, Theron, Viljoen (Villion) u Visagie (Visage). L-industrija tal-inbid fl-Afrika t'Isfel għandha dejn sinifikanti lill-Huguenots, li wħud minnhom kellhom dwieli fi Franza, jew kienu distillaturi tal-brandi, u użaw il-ħiliet tagħhom fid-dar il-ġdida tagħhom.</v>
      </c>
    </row>
    <row r="633" ht="15.75" customHeight="1">
      <c r="A633" s="2" t="s">
        <v>633</v>
      </c>
      <c r="B633" s="2" t="str">
        <f>IFERROR(__xludf.DUMMYFUNCTION("GOOGLETRANSLATE(A633,""en"", ""mt"")"),"korp ta 'trattati u leġislazzjoni, bħal regolamenti u direttivi")</f>
        <v>korp ta 'trattati u leġislazzjoni, bħal regolamenti u direttivi</v>
      </c>
    </row>
    <row r="634" ht="15.75" customHeight="1">
      <c r="A634" s="2" t="s">
        <v>634</v>
      </c>
      <c r="B634" s="2" t="str">
        <f>IFERROR(__xludf.DUMMYFUNCTION("GOOGLETRANSLATE(A634,""en"", ""mt"")"),"L-inugwaljanza kif tipprevjeni t-tkabbir?")</f>
        <v>L-inugwaljanza kif tipprevjeni t-tkabbir?</v>
      </c>
    </row>
    <row r="635" ht="15.75" customHeight="1">
      <c r="A635" s="2" t="s">
        <v>635</v>
      </c>
      <c r="B635" s="2" t="str">
        <f>IFERROR(__xludf.DUMMYFUNCTION("GOOGLETRANSLATE(A635,""en"", ""mt"")"),"X’għamel pubblikament l-SNP dwar id-dħul taż-żejt?")</f>
        <v>X’għamel pubblikament l-SNP dwar id-dħul taż-żejt?</v>
      </c>
    </row>
    <row r="636" ht="15.75" customHeight="1">
      <c r="A636" s="2" t="s">
        <v>636</v>
      </c>
      <c r="B636" s="2" t="str">
        <f>IFERROR(__xludf.DUMMYFUNCTION("GOOGLETRANSLATE(A636,""en"", ""mt"")"),"Reviżjonijiet tal-Uża tal-Mediċina")</f>
        <v>Reviżjonijiet tal-Uża tal-Mediċina</v>
      </c>
    </row>
    <row r="637" ht="15.75" customHeight="1">
      <c r="A637" s="2" t="s">
        <v>637</v>
      </c>
      <c r="B637" s="2" t="str">
        <f>IFERROR(__xludf.DUMMYFUNCTION("GOOGLETRANSLATE(A637,""en"", ""mt"")"),"Min bagħat il-Mongoli lil Bukhara bħala amministraturi?")</f>
        <v>Min bagħat il-Mongoli lil Bukhara bħala amministraturi?</v>
      </c>
    </row>
    <row r="638" ht="15.75" customHeight="1">
      <c r="A638" s="2" t="s">
        <v>638</v>
      </c>
      <c r="B638" s="2" t="str">
        <f>IFERROR(__xludf.DUMMYFUNCTION("GOOGLETRANSLATE(A638,""en"", ""mt"")"),"Suite ta 'protokolli tan-netwerk maħluqa minn Digital Equipment Corporation")</f>
        <v>Suite ta 'protokolli tan-netwerk maħluqa minn Digital Equipment Corporation</v>
      </c>
    </row>
    <row r="639" ht="15.75" customHeight="1">
      <c r="A639" s="2" t="s">
        <v>639</v>
      </c>
      <c r="B639" s="2" t="str">
        <f>IFERROR(__xludf.DUMMYFUNCTION("GOOGLETRANSLATE(A639,""en"", ""mt"")"),"Kif ġew assimilati l-kolonizzaturi Huguenot fis-soċjetà tal-Amerika ta 'Fuq?")</f>
        <v>Kif ġew assimilati l-kolonizzaturi Huguenot fis-soċjetà tal-Amerika ta 'Fuq?</v>
      </c>
    </row>
    <row r="640" ht="15.75" customHeight="1">
      <c r="A640" s="2" t="s">
        <v>640</v>
      </c>
      <c r="B640" s="2" t="str">
        <f>IFERROR(__xludf.DUMMYFUNCTION("GOOGLETRANSLATE(A640,""en"", ""mt"")"),"il-partijiet tan-Nofsinhar u Ċentrali ta 'Franza")</f>
        <v>il-partijiet tan-Nofsinhar u Ċentrali ta 'Franza</v>
      </c>
    </row>
    <row r="641" ht="15.75" customHeight="1">
      <c r="A641" s="2" t="s">
        <v>641</v>
      </c>
      <c r="B641" s="2" t="str">
        <f>IFERROR(__xludf.DUMMYFUNCTION("GOOGLETRANSLATE(A641,""en"", ""mt"")"),"Għaliex għandha tiġi evitata d-diżubbidjenza mill-pubbliku ġenerali?")</f>
        <v>Għaliex għandha tiġi evitata d-diżubbidjenza mill-pubbliku ġenerali?</v>
      </c>
    </row>
    <row r="642" ht="15.75" customHeight="1">
      <c r="A642" s="2" t="s">
        <v>642</v>
      </c>
      <c r="B642" s="2" t="str">
        <f>IFERROR(__xludf.DUMMYFUNCTION("GOOGLETRANSLATE(A642,""en"", ""mt"")"),"Kif il-pjan aħjar ta 'Jacksonville ġġenera flus?")</f>
        <v>Kif il-pjan aħjar ta 'Jacksonville ġġenera flus?</v>
      </c>
    </row>
    <row r="643" ht="15.75" customHeight="1">
      <c r="A643" s="2" t="s">
        <v>643</v>
      </c>
      <c r="B643" s="2" t="str">
        <f>IFERROR(__xludf.DUMMYFUNCTION("GOOGLETRANSLATE(A643,""en"", ""mt"")"),"Fruntiera Żvizzera-Awstrija")</f>
        <v>Fruntiera Żvizzera-Awstrija</v>
      </c>
    </row>
    <row r="644" ht="15.75" customHeight="1">
      <c r="A644" s="2" t="s">
        <v>644</v>
      </c>
      <c r="B644" s="2" t="str">
        <f>IFERROR(__xludf.DUMMYFUNCTION("GOOGLETRANSLATE(A644,""en"", ""mt"")"),"Kif qed jinbidel iċ-ċirkwit charecterized")</f>
        <v>Kif qed jinbidel iċ-ċirkwit charecterized</v>
      </c>
    </row>
    <row r="645" ht="15.75" customHeight="1">
      <c r="A645" s="2" t="s">
        <v>645</v>
      </c>
      <c r="B645" s="2" t="str">
        <f>IFERROR(__xludf.DUMMYFUNCTION("GOOGLETRANSLATE(A645,""en"", ""mt"")"),"(""Lag ta 'Fuq""")</f>
        <v>("Lag ta 'Fuq"</v>
      </c>
    </row>
    <row r="646" ht="15.75" customHeight="1">
      <c r="A646" s="2" t="s">
        <v>646</v>
      </c>
      <c r="B646" s="2" t="str">
        <f>IFERROR(__xludf.DUMMYFUNCTION("GOOGLETRANSLATE(A646,""en"", ""mt"")"),"Fejn jista 'jinstab ġieħ għall-waqgħa ta' Varsavja?")</f>
        <v>Fejn jista 'jinstab ġieħ għall-waqgħa ta' Varsavja?</v>
      </c>
    </row>
    <row r="647" ht="15.75" customHeight="1">
      <c r="A647" s="2" t="s">
        <v>647</v>
      </c>
      <c r="B647" s="2" t="str">
        <f>IFERROR(__xludf.DUMMYFUNCTION("GOOGLETRANSLATE(A647,""en"", ""mt"")"),"Minn madwar is-sena 2000, numru dejjem jikber ta 'spiżeriji tal-internet ġew stabbiliti mad-dinja kollha. Ħafna minn dawn l-ispiżeriji huma simili għall-ispiżeriji tal-komunità, u fil-fatt, ħafna minnhom huma attwalment imħaddma minn spiżeriji tal-komunit"&amp;"à tal-briks u l-ġir li jservu lill-konsumaturi online u dawk li jimxu fil-bieb tagħhom. Id-differenza primarja hija l-metodu li bih il-mediċini huma mitluba u riċevuti. Xi klijenti jqisu li dan huwa metodu aktar konvenjenti u privat aktar milli jivvjaġġaw"&amp;" lejn mediċina tal-komunità fejn klijent ieħor jista 'jisma' dwar il-mediċini li jieħdu. L-ispiżeriji tal-Internet (magħrufa wkoll bħala spiżeriji onlajn) huma rrakkomandati wkoll lil xi pazjenti mit-tobba tagħhom jekk huma homebound.")</f>
        <v>Minn madwar is-sena 2000, numru dejjem jikber ta 'spiżeriji tal-internet ġew stabbiliti mad-dinja kollha. Ħafna minn dawn l-ispiżeriji huma simili għall-ispiżeriji tal-komunità, u fil-fatt, ħafna minnhom huma attwalment imħaddma minn spiżeriji tal-komunità tal-briks u l-ġir li jservu lill-konsumaturi online u dawk li jimxu fil-bieb tagħhom. Id-differenza primarja hija l-metodu li bih il-mediċini huma mitluba u riċevuti. Xi klijenti jqisu li dan huwa metodu aktar konvenjenti u privat aktar milli jivvjaġġaw lejn mediċina tal-komunità fejn klijent ieħor jista 'jisma' dwar il-mediċini li jieħdu. L-ispiżeriji tal-Internet (magħrufa wkoll bħala spiżeriji onlajn) huma rrakkomandati wkoll lil xi pazjenti mit-tobba tagħhom jekk huma homebound.</v>
      </c>
    </row>
    <row r="648" ht="15.75" customHeight="1">
      <c r="A648" s="2" t="s">
        <v>648</v>
      </c>
      <c r="B648" s="2" t="str">
        <f>IFERROR(__xludf.DUMMYFUNCTION("GOOGLETRANSLATE(A648,""en"", ""mt"")"),"Ħafna klassijiet ta 'kumplessità magħrufa huma suspettati li huma inugwali, iżda dan ma ġiex ippruvat. Pereżempju P ⊆ NP ⊆ PP ⊆ PSPACE, iżda huwa possibbli li P = PSPACE. Jekk P mhuwiex daqs NP, allura P lanqas huwa daqs PSPACE. Peress li hemm ħafna klass"&amp;"ijiet ta 'kumplessità magħrufa bejn P u PSPACE, bħal RP, BPP, PP, BQP, MA, PH, eċċ., Huwa possibbli li dawn il-klassijiet kollha ta' kumplessità jiġġarrfu għal klassi waħda. Li tipprova li xi waħda minn dawn il-klassijiet mhix ugwali tkun avvanz kbir fit-"&amp;"teorija tal-kumplessità.")</f>
        <v>Ħafna klassijiet ta 'kumplessità magħrufa huma suspettati li huma inugwali, iżda dan ma ġiex ippruvat. Pereżempju P ⊆ NP ⊆ PP ⊆ PSPACE, iżda huwa possibbli li P = PSPACE. Jekk P mhuwiex daqs NP, allura P lanqas huwa daqs PSPACE. Peress li hemm ħafna klassijiet ta 'kumplessità magħrufa bejn P u PSPACE, bħal RP, BPP, PP, BQP, MA, PH, eċċ., Huwa possibbli li dawn il-klassijiet kollha ta' kumplessità jiġġarrfu għal klassi waħda. Li tipprova li xi waħda minn dawn il-klassijiet mhix ugwali tkun avvanz kbir fit-teorija tal-kumplessità.</v>
      </c>
    </row>
    <row r="649" ht="15.75" customHeight="1">
      <c r="A649" s="2" t="s">
        <v>649</v>
      </c>
      <c r="B649" s="2" t="str">
        <f>IFERROR(__xludf.DUMMYFUNCTION("GOOGLETRANSLATE(A649,""en"", ""mt"")"),"Tibdil fil-klima minbarra d-deforestazzjoni")</f>
        <v>Tibdil fil-klima minbarra d-deforestazzjoni</v>
      </c>
    </row>
    <row r="650" ht="15.75" customHeight="1">
      <c r="A650" s="2" t="s">
        <v>650</v>
      </c>
      <c r="B650" s="2" t="str">
        <f>IFERROR(__xludf.DUMMYFUNCTION("GOOGLETRANSLATE(A650,""en"", ""mt"")"),"X'għandu jipprovdi l-iżvilupp ta 'din il-ħamrija fertili f'ambjent ostili?")</f>
        <v>X'għandu jipprovdi l-iżvilupp ta 'din il-ħamrija fertili f'ambjent ostili?</v>
      </c>
    </row>
    <row r="651" ht="15.75" customHeight="1">
      <c r="A651" s="2" t="s">
        <v>651</v>
      </c>
      <c r="B651" s="2" t="str">
        <f>IFERROR(__xludf.DUMMYFUNCTION("GOOGLETRANSLATE(A651,""en"", ""mt"")"),"Il-korpi akkademiċi tal-Università ta ’Chicago jikkonsistu fil-kulleġġ, erba’ diviżjonijiet ta ’riċerka gradwata u seba’ skejjel professjonali. L-università fiha wkoll sistema tal-librerija, l-Università ta ’Chicago Press, l-Iskejjel tal-Laboratorju tal-U"&amp;"niversità ta’ Chicago, u ċ-Ċentru Mediku tal-Università ta ’Chicago, u għandha rabtiet ma’ numru ta ’istituzzjonijiet akkademiċi indipendenti, inkluż Fermilab, Laboratorju Nazzjonali ta’ Argonne, u l-Marine Laboratorju Bijoloġiku. L-università hija akkred"&amp;"itata mill-Kummissjoni tat-Tagħlim Ogħla.")</f>
        <v>Il-korpi akkademiċi tal-Università ta ’Chicago jikkonsistu fil-kulleġġ, erba’ diviżjonijiet ta ’riċerka gradwata u seba’ skejjel professjonali. L-università fiha wkoll sistema tal-librerija, l-Università ta ’Chicago Press, l-Iskejjel tal-Laboratorju tal-Università ta’ Chicago, u ċ-Ċentru Mediku tal-Università ta ’Chicago, u għandha rabtiet ma’ numru ta ’istituzzjonijiet akkademiċi indipendenti, inkluż Fermilab, Laboratorju Nazzjonali ta’ Argonne, u l-Marine Laboratorju Bijoloġiku. L-università hija akkreditata mill-Kummissjoni tat-Tagħlim Ogħla.</v>
      </c>
    </row>
    <row r="652" ht="15.75" customHeight="1">
      <c r="A652" s="2" t="s">
        <v>652</v>
      </c>
      <c r="B652" s="2" t="str">
        <f>IFERROR(__xludf.DUMMYFUNCTION("GOOGLETRANSLATE(A652,""en"", ""mt"")"),"Prinċep ta ’Płock")</f>
        <v>Prinċep ta ’Płock</v>
      </c>
    </row>
    <row r="653" ht="15.75" customHeight="1">
      <c r="A653" s="2" t="s">
        <v>653</v>
      </c>
      <c r="B653" s="2" t="str">
        <f>IFERROR(__xludf.DUMMYFUNCTION("GOOGLETRANSLATE(A653,""en"", ""mt"")"),"tikkastiga lill-poplu Miami")</f>
        <v>tikkastiga lill-poplu Miami</v>
      </c>
    </row>
    <row r="654" ht="15.75" customHeight="1">
      <c r="A654" s="2" t="s">
        <v>654</v>
      </c>
      <c r="B654" s="2" t="str">
        <f>IFERROR(__xludf.DUMMYFUNCTION("GOOGLETRANSLATE(A654,""en"", ""mt"")"),"Sistemi tax-Xmara")</f>
        <v>Sistemi tax-Xmara</v>
      </c>
    </row>
    <row r="655" ht="15.75" customHeight="1">
      <c r="A655" s="2" t="s">
        <v>655</v>
      </c>
      <c r="B655" s="2" t="str">
        <f>IFERROR(__xludf.DUMMYFUNCTION("GOOGLETRANSLATE(A655,""en"", ""mt"")"),"Għal phylum bi speċi relattivament ftit, ctenophores għandhom firxa wiesgħa ta 'pjanijiet tal-ġisem. L-ispeċi kostali jeħtieġ li jkunu iebsa biżżejjed biex jifilħu l-mewġ u jdawru partiċelli tas-sediment, filwaqt li xi speċi oċeaniċi huma daqshekk fraġli "&amp;"li huwa diffiċli ħafna li jaqbduhom intatti għall-istudju. Barra minn hekk l-ispeċi oċeaniċi ma jippreservawx sew, u huma magħrufa prinċipalment minn ritratti u minn noti ta 'osservaturi. Għalhekk il-biċċa l-kbira tal-attenzjoni sa ftit ilu kkonċentrat fu"&amp;"q tliet ġeneri kostali - Pleurobrachia, Beroe u Mnemiopsis. Mill-inqas żewġ kotba jibbażaw id-deskrizzjonijiet tagħhom ta 'ctenophores fuq il-pleurobrachia cydippid.")</f>
        <v>Għal phylum bi speċi relattivament ftit, ctenophores għandhom firxa wiesgħa ta 'pjanijiet tal-ġisem. L-ispeċi kostali jeħtieġ li jkunu iebsa biżżejjed biex jifilħu l-mewġ u jdawru partiċelli tas-sediment, filwaqt li xi speċi oċeaniċi huma daqshekk fraġli li huwa diffiċli ħafna li jaqbduhom intatti għall-istudju. Barra minn hekk l-ispeċi oċeaniċi ma jippreservawx sew, u huma magħrufa prinċipalment minn ritratti u minn noti ta 'osservaturi. Għalhekk il-biċċa l-kbira tal-attenzjoni sa ftit ilu kkonċentrat fuq tliet ġeneri kostali - Pleurobrachia, Beroe u Mnemiopsis. Mill-inqas żewġ kotba jibbażaw id-deskrizzjonijiet tagħhom ta 'ctenophores fuq il-pleurobrachia cydippid.</v>
      </c>
    </row>
    <row r="656" ht="15.75" customHeight="1">
      <c r="A656" s="2" t="s">
        <v>656</v>
      </c>
      <c r="B656" s="2" t="str">
        <f>IFERROR(__xludf.DUMMYFUNCTION("GOOGLETRANSLATE(A656,""en"", ""mt"")"),"Sħubija pubblika-privata")</f>
        <v>Sħubija pubblika-privata</v>
      </c>
    </row>
    <row r="657" ht="15.75" customHeight="1">
      <c r="A657" s="2" t="s">
        <v>657</v>
      </c>
      <c r="B657" s="2" t="str">
        <f>IFERROR(__xludf.DUMMYFUNCTION("GOOGLETRANSLATE(A657,""en"", ""mt"")"),"Kontraenti tas-Servizz tal-Edukazzjoni")</f>
        <v>Kontraenti tas-Servizz tal-Edukazzjoni</v>
      </c>
    </row>
    <row r="658" ht="15.75" customHeight="1">
      <c r="A658" s="2" t="s">
        <v>658</v>
      </c>
      <c r="B658" s="2" t="str">
        <f>IFERROR(__xludf.DUMMYFUNCTION("GOOGLETRANSLATE(A658,""en"", ""mt"")"),"Il-Parks tan-Negozju Jamboree jappartjeni għal liema ċentru tan-negozju?")</f>
        <v>Il-Parks tan-Negozju Jamboree jappartjeni għal liema ċentru tan-negozju?</v>
      </c>
    </row>
    <row r="659" ht="15.75" customHeight="1">
      <c r="A659" s="2" t="s">
        <v>659</v>
      </c>
      <c r="B659" s="2" t="str">
        <f>IFERROR(__xludf.DUMMYFUNCTION("GOOGLETRANSLATE(A659,""en"", ""mt"")"),"William of Orange")</f>
        <v>William of Orange</v>
      </c>
    </row>
    <row r="660" ht="15.75" customHeight="1">
      <c r="A660" s="2" t="s">
        <v>660</v>
      </c>
      <c r="B660" s="2" t="str">
        <f>IFERROR(__xludf.DUMMYFUNCTION("GOOGLETRANSLATE(A660,""en"", ""mt"")"),"100")</f>
        <v>100</v>
      </c>
    </row>
    <row r="661" ht="15.75" customHeight="1">
      <c r="A661" s="2" t="s">
        <v>661</v>
      </c>
      <c r="B661" s="2" t="str">
        <f>IFERROR(__xludf.DUMMYFUNCTION("GOOGLETRANSLATE(A661,""en"", ""mt"")"),"Liema kumpanija pprovdiet konnessjonijiet ta 'streetcar bejn iċ-ċentru u l-isptar?")</f>
        <v>Liema kumpanija pprovdiet konnessjonijiet ta 'streetcar bejn iċ-ċentru u l-isptar?</v>
      </c>
    </row>
    <row r="662" ht="15.75" customHeight="1">
      <c r="A662" s="2" t="s">
        <v>662</v>
      </c>
      <c r="B662" s="2" t="str">
        <f>IFERROR(__xludf.DUMMYFUNCTION("GOOGLETRANSLATE(A662,""en"", ""mt"")"),"Xi teoriji ta 'diżubbidjenza ċivili jqisu li d-diżubbidjenza ċivili hija ġġustifikata biss kontra entitajiet governattivi. Brownlee jargumenta li d-diżubbidjenza fl-oppożizzjoni għad-deċiżjonijiet ta 'aġenziji mhux governattivi bħalma huma t-trejdjunjins,"&amp;" il-banek, u l-universitajiet privati ​​tista' tkun iġġustifikata jekk tirrifletti ""sfida akbar għas-sistema legali li tippermetti li dawn id-deċiżjonijiet jittieħdu"". L-istess prinċipju, hija targumenta, tapplika għal ksur tal-liġi bi protesta kontra o"&amp;"rganizzazzjonijiet internazzjonali u gvernijiet barranin.")</f>
        <v>Xi teoriji ta 'diżubbidjenza ċivili jqisu li d-diżubbidjenza ċivili hija ġġustifikata biss kontra entitajiet governattivi. Brownlee jargumenta li d-diżubbidjenza fl-oppożizzjoni għad-deċiżjonijiet ta 'aġenziji mhux governattivi bħalma huma t-trejdjunjins, il-banek, u l-universitajiet privati ​​tista' tkun iġġustifikata jekk tirrifletti "sfida akbar għas-sistema legali li tippermetti li dawn id-deċiżjonijiet jittieħdu". L-istess prinċipju, hija targumenta, tapplika għal ksur tal-liġi bi protesta kontra organizzazzjonijiet internazzjonali u gvernijiet barranin.</v>
      </c>
    </row>
    <row r="663" ht="15.75" customHeight="1">
      <c r="A663" s="2" t="s">
        <v>663</v>
      </c>
      <c r="B663" s="2" t="str">
        <f>IFERROR(__xludf.DUMMYFUNCTION("GOOGLETRANSLATE(A663,""en"", ""mt"")"),"L-iktar offerent effiċjenti fl-infiq")</f>
        <v>L-iktar offerent effiċjenti fl-infiq</v>
      </c>
    </row>
    <row r="664" ht="15.75" customHeight="1">
      <c r="A664" s="2" t="s">
        <v>664</v>
      </c>
      <c r="B664" s="2" t="str">
        <f>IFERROR(__xludf.DUMMYFUNCTION("GOOGLETRANSLATE(A664,""en"", ""mt"")"),"Żieda fil-karozzi importati fl-Amerika ta ’Fuq ġiegħlet lil General Motors, Ford u Chrysler jintroduċu mudelli iżgħar u effiċjenti fil-fjuwil għall-bejgħ domestiku. Id-Dodge Omni / Plymouth Horizon minn Chrysler, il-Ford Fiesta u l-Chevrolet Chevette koll"&amp;"ha kellhom magni b'erba 'ċilindri u spazju għal mill-inqas erba' passiġġieri sa l-aħħar tas-snin sebgħin. Sal-1985, il-vettura Amerikana medja mxiet 17.4 mili għal kull gallun, meta mqabbla ma '13 .5 fl-1970. It-titjib baqa 'minkejja li l-prezz ta' barmil"&amp;" taż-żejt baqa 'kostanti għal $ 12 mill-1974 sal-1979. Bejgħ ta' sedans kbar għal ħafna make (ħlief Chrysler prodotti) irkuprati fi żmien sentejn mudell mill-kriżi tal-1973. Il-Cadillac DeVille u Fleetwood, Buick Electra, Oldsmobile 98, Lincoln Continenta"&amp;"l, Mercury Marquis, u diversi sedans oħra orjentati mill-lussu reġgħu saru popolari f'nofs is-snin sebgħin. L-uniċi mudelli ta 'daqs sħiħ li ma rkuprawx kienu mudelli ta' prezzijiet aktar baxxi bħal Chevrolet Bel Air, u Ford Galaxie 500. Mudelli kemmxejn "&amp;"iżgħar, ta 'daqs medju bħal Oldsmobile Cutlass, Chevrolet Monte Carlo, Ford Thunderbird u diversi mudelli oħra mibjugħa Ukoll.")</f>
        <v>Żieda fil-karozzi importati fl-Amerika ta ’Fuq ġiegħlet lil General Motors, Ford u Chrysler jintroduċu mudelli iżgħar u effiċjenti fil-fjuwil għall-bejgħ domestiku. Id-Dodge Omni / Plymouth Horizon minn Chrysler, il-Ford Fiesta u l-Chevrolet Chevette kollha kellhom magni b'erba 'ċilindri u spazju għal mill-inqas erba' passiġġieri sa l-aħħar tas-snin sebgħin. Sal-1985, il-vettura Amerikana medja mxiet 17.4 mili għal kull gallun, meta mqabbla ma '13 .5 fl-1970. It-titjib baqa 'minkejja li l-prezz ta' barmil taż-żejt baqa 'kostanti għal $ 12 mill-1974 sal-1979. Bejgħ ta' sedans kbar għal ħafna make (ħlief Chrysler prodotti) irkuprati fi żmien sentejn mudell mill-kriżi tal-1973. Il-Cadillac DeVille u Fleetwood, Buick Electra, Oldsmobile 98, Lincoln Continental, Mercury Marquis, u diversi sedans oħra orjentati mill-lussu reġgħu saru popolari f'nofs is-snin sebgħin. L-uniċi mudelli ta 'daqs sħiħ li ma rkuprawx kienu mudelli ta' prezzijiet aktar baxxi bħal Chevrolet Bel Air, u Ford Galaxie 500. Mudelli kemmxejn iżgħar, ta 'daqs medju bħal Oldsmobile Cutlass, Chevrolet Monte Carlo, Ford Thunderbird u diversi mudelli oħra mibjugħa Ukoll.</v>
      </c>
    </row>
    <row r="665" ht="15.75" customHeight="1">
      <c r="A665" s="2" t="s">
        <v>665</v>
      </c>
      <c r="B665" s="2" t="str">
        <f>IFERROR(__xludf.DUMMYFUNCTION("GOOGLETRANSLATE(A665,""en"", ""mt"")"),"Is-satellita Calipso tan-NASA kejjel l-ammont ta 'trab ittrasportat mir-riħ mis-Saħara għall-Amażon L-Oċean Atlantiku (xi trab jaqa 'fl-Atlantiku), imbagħad f'35 grad lonġitudni tal-punent fil-kosta tal-Lvant ta' l-Amerika t'Isfel, 27.7 miljun tunnellata "&amp;"(15%) ta 'trab jaqgħu fuq il-baċin tal-Amażonja, 132 miljun tunnellata ta' trab jibqgħu fl-arja, 43 miljun tunnellata ta 'trab huma windlown u taqa' fuq il-Baħar Karibew, li għaddew 75 grad lonġitudni tal-punent.")</f>
        <v>Is-satellita Calipso tan-NASA kejjel l-ammont ta 'trab ittrasportat mir-riħ mis-Saħara għall-Amażon L-Oċean Atlantiku (xi trab jaqa 'fl-Atlantiku), imbagħad f'35 grad lonġitudni tal-punent fil-kosta tal-Lvant ta' l-Amerika t'Isfel, 27.7 miljun tunnellata (15%) ta 'trab jaqgħu fuq il-baċin tal-Amażonja, 132 miljun tunnellata ta' trab jibqgħu fl-arja, 43 miljun tunnellata ta 'trab huma windlown u taqa' fuq il-Baħar Karibew, li għaddew 75 grad lonġitudni tal-punent.</v>
      </c>
    </row>
    <row r="666" ht="15.75" customHeight="1">
      <c r="A666" s="2" t="s">
        <v>666</v>
      </c>
      <c r="B666" s="2" t="str">
        <f>IFERROR(__xludf.DUMMYFUNCTION("GOOGLETRANSLATE(A666,""en"", ""mt"")"),"imwaqqa '")</f>
        <v>imwaqqa '</v>
      </c>
    </row>
    <row r="667" ht="15.75" customHeight="1">
      <c r="A667" s="2" t="s">
        <v>667</v>
      </c>
      <c r="B667" s="2" t="str">
        <f>IFERROR(__xludf.DUMMYFUNCTION("GOOGLETRANSLATE(A667,""en"", ""mt"")"),"malajr tgħolli l-popolazzjoni u t-traffiku fi bliet tul SR 99")</f>
        <v>malajr tgħolli l-popolazzjoni u t-traffiku fi bliet tul SR 99</v>
      </c>
    </row>
    <row r="668" ht="15.75" customHeight="1">
      <c r="A668" s="2" t="s">
        <v>668</v>
      </c>
      <c r="B668" s="2" t="str">
        <f>IFERROR(__xludf.DUMMYFUNCTION("GOOGLETRANSLATE(A668,""en"", ""mt"")"),"Beta tħassir")</f>
        <v>Beta tħassir</v>
      </c>
    </row>
    <row r="669" ht="15.75" customHeight="1">
      <c r="A669" s="2" t="s">
        <v>669</v>
      </c>
      <c r="B669" s="2" t="str">
        <f>IFERROR(__xludf.DUMMYFUNCTION("GOOGLETRANSLATE(A669,""en"", ""mt"")"),"X'inhuma xi fatturi oħra li l-ispiżjar għandu jimmonitorja?")</f>
        <v>X'inhuma xi fatturi oħra li l-ispiżjar għandu jimmonitorja?</v>
      </c>
    </row>
    <row r="670" ht="15.75" customHeight="1">
      <c r="A670" s="2" t="s">
        <v>670</v>
      </c>
      <c r="B670" s="2" t="str">
        <f>IFERROR(__xludf.DUMMYFUNCTION("GOOGLETRANSLATE(A670,""en"", ""mt"")"),"X'ħin il-framd ikopri l-gwerra tas-seba 'snin?")</f>
        <v>X'ħin il-framd ikopri l-gwerra tas-seba 'snin?</v>
      </c>
    </row>
    <row r="671" ht="15.75" customHeight="1">
      <c r="A671" s="2" t="s">
        <v>671</v>
      </c>
      <c r="B671" s="2" t="str">
        <f>IFERROR(__xludf.DUMMYFUNCTION("GOOGLETRANSLATE(A671,""en"", ""mt"")"),"teħid tal-ħġieġ")</f>
        <v>teħid tal-ħġieġ</v>
      </c>
    </row>
    <row r="672" ht="15.75" customHeight="1">
      <c r="A672" s="2" t="s">
        <v>672</v>
      </c>
      <c r="B672" s="2" t="str">
        <f>IFERROR(__xludf.DUMMYFUNCTION("GOOGLETRANSLATE(A672,""en"", ""mt"")"),"Għaliex hija rranġata l-post bil-qiegħda tal-kamra tad-dibattitu kif inhi?")</f>
        <v>Għaliex hija rranġata l-post bil-qiegħda tal-kamra tad-dibattitu kif inhi?</v>
      </c>
    </row>
    <row r="673" ht="15.75" customHeight="1">
      <c r="A673" s="2" t="s">
        <v>673</v>
      </c>
      <c r="B673" s="2" t="str">
        <f>IFERROR(__xludf.DUMMYFUNCTION("GOOGLETRANSLATE(A673,""en"", ""mt"")"),"Skejjel tal-Karta Pubblika fuq in-naħa tan-Nofsinhar ta ’Chicago")</f>
        <v>Skejjel tal-Karta Pubblika fuq in-naħa tan-Nofsinhar ta ’Chicago</v>
      </c>
    </row>
    <row r="674" ht="15.75" customHeight="1">
      <c r="A674" s="2" t="s">
        <v>674</v>
      </c>
      <c r="B674" s="2" t="str">
        <f>IFERROR(__xludf.DUMMYFUNCTION("GOOGLETRANSLATE(A674,""en"", ""mt"")"),"State Mughal")</f>
        <v>State Mughal</v>
      </c>
    </row>
    <row r="675" ht="15.75" customHeight="1">
      <c r="A675" s="2" t="s">
        <v>675</v>
      </c>
      <c r="B675" s="2" t="str">
        <f>IFERROR(__xludf.DUMMYFUNCTION("GOOGLETRANSLATE(A675,""en"", ""mt"")"),"Liema trattat ħa l-post tat-trattat kostituzzjonali?")</f>
        <v>Liema trattat ħa l-post tat-trattat kostituzzjonali?</v>
      </c>
    </row>
    <row r="676" ht="15.75" customHeight="1">
      <c r="A676" s="2" t="s">
        <v>676</v>
      </c>
      <c r="B676" s="2" t="str">
        <f>IFERROR(__xludf.DUMMYFUNCTION("GOOGLETRANSLATE(A676,""en"", ""mt"")"),"ħabi Lhudi")</f>
        <v>ħabi Lhudi</v>
      </c>
    </row>
    <row r="677" ht="15.75" customHeight="1">
      <c r="A677" s="2" t="s">
        <v>677</v>
      </c>
      <c r="B677" s="2" t="str">
        <f>IFERROR(__xludf.DUMMYFUNCTION("GOOGLETRANSLATE(A677,""en"", ""mt"")"),"X'inhu l-annimal li l-gżejjer tar-Rhine huma msemmija wara?")</f>
        <v>X'inhu l-annimal li l-gżejjer tar-Rhine huma msemmija wara?</v>
      </c>
    </row>
    <row r="678" ht="15.75" customHeight="1">
      <c r="A678" s="2" t="s">
        <v>678</v>
      </c>
      <c r="B678" s="2" t="str">
        <f>IFERROR(__xludf.DUMMYFUNCTION("GOOGLETRANSLATE(A678,""en"", ""mt"")"),"Problema ta 'ħabta np-kompluta")</f>
        <v>Problema ta 'ħabta np-kompluta</v>
      </c>
    </row>
    <row r="679" ht="15.75" customHeight="1">
      <c r="A679" s="2" t="s">
        <v>679</v>
      </c>
      <c r="B679" s="2" t="str">
        <f>IFERROR(__xludf.DUMMYFUNCTION("GOOGLETRANSLATE(A679,""en"", ""mt"")"),"Liema organizzazzjoni bassret li l-foresta tal-Amażonja tista 'tibqa' ħajja biss tliet snin ta 'nixfa?")</f>
        <v>Liema organizzazzjoni bassret li l-foresta tal-Amażonja tista 'tibqa' ħajja biss tliet snin ta 'nixfa?</v>
      </c>
    </row>
    <row r="680" ht="15.75" customHeight="1">
      <c r="A680" s="2" t="s">
        <v>680</v>
      </c>
      <c r="B680" s="2" t="str">
        <f>IFERROR(__xludf.DUMMYFUNCTION("GOOGLETRANSLATE(A680,""en"", ""mt"")"),"Membri ta 'liema organizzazzjonijiet huma skwalifikati milli joqogħdu fl-SP bħala MSPs eletti?")</f>
        <v>Membri ta 'liema organizzazzjonijiet huma skwalifikati milli joqogħdu fl-SP bħala MSPs eletti?</v>
      </c>
    </row>
    <row r="681" ht="15.75" customHeight="1">
      <c r="A681" s="2" t="s">
        <v>681</v>
      </c>
      <c r="B681" s="2" t="str">
        <f>IFERROR(__xludf.DUMMYFUNCTION("GOOGLETRANSLATE(A681,""en"", ""mt"")"),"Bento de Moura l-Portugall")</f>
        <v>Bento de Moura l-Portugall</v>
      </c>
    </row>
    <row r="682" ht="15.75" customHeight="1">
      <c r="A682" s="2" t="s">
        <v>682</v>
      </c>
      <c r="B682" s="2" t="str">
        <f>IFERROR(__xludf.DUMMYFUNCTION("GOOGLETRANSLATE(A682,""en"", ""mt"")"),"wara s-sieq tal-arblu")</f>
        <v>wara s-sieq tal-arblu</v>
      </c>
    </row>
    <row r="683" ht="15.75" customHeight="1">
      <c r="A683" s="2" t="s">
        <v>683</v>
      </c>
      <c r="B683" s="2" t="str">
        <f>IFERROR(__xludf.DUMMYFUNCTION("GOOGLETRANSLATE(A683,""en"", ""mt"")"),"Fil-biċċa l-kbira tal-ġurisdizzjonijiet (bħall-Istati Uniti), l-ispiżjara huma rregolati separatament minn tobba. Dawn il-ġurisdizzjonijiet ġeneralment jispeċifikaw li l-ispiżjara biss jistgħu jfornu farmaċewtiċi skedati lill-pubbliku, u li l-ispiżjara ma"&amp;" jistgħux jiffurmaw sħubijiet kummerċjali ma 'tobba jew jagħtuhom ħlasijiet ta' ""kickback"". Madankollu, il-Kodiċi ta 'Etika tal-Assoċjazzjoni Medika Amerikana (AMA) jipprovdi li t-tobba jistgħu jwarrbu d-drogi fil-prattiki tal-uffiċċju tagħhom sakemm ma"&amp;" jkun hemm l-ebda sfruttament tal-pazjenti u l-pazjenti jkollhom id-dritt għal preskrizzjoni bil-miktub li tista' timtela x'imkien ieħor. 7 sa 10 fil-mija tal-prattiki tat-tobba Amerikani rrappurtaw li jwarrbu d-droga waħedhom.")</f>
        <v>Fil-biċċa l-kbira tal-ġurisdizzjonijiet (bħall-Istati Uniti), l-ispiżjara huma rregolati separatament minn tobba. Dawn il-ġurisdizzjonijiet ġeneralment jispeċifikaw li l-ispiżjara biss jistgħu jfornu farmaċewtiċi skedati lill-pubbliku, u li l-ispiżjara ma jistgħux jiffurmaw sħubijiet kummerċjali ma 'tobba jew jagħtuhom ħlasijiet ta' "kickback". Madankollu, il-Kodiċi ta 'Etika tal-Assoċjazzjoni Medika Amerikana (AMA) jipprovdi li t-tobba jistgħu jwarrbu d-drogi fil-prattiki tal-uffiċċju tagħhom sakemm ma jkun hemm l-ebda sfruttament tal-pazjenti u l-pazjenti jkollhom id-dritt għal preskrizzjoni bil-miktub li tista' timtela x'imkien ieħor. 7 sa 10 fil-mija tal-prattiki tat-tobba Amerikani rrappurtaw li jwarrbu d-droga waħedhom.</v>
      </c>
    </row>
    <row r="684" ht="15.75" customHeight="1">
      <c r="A684" s="2" t="s">
        <v>684</v>
      </c>
      <c r="B684" s="2" t="str">
        <f>IFERROR(__xludf.DUMMYFUNCTION("GOOGLETRANSLATE(A684,""en"", ""mt"")"),"id-direzzjoni li fiha l-ħalq qed jipponta")</f>
        <v>id-direzzjoni li fiha l-ħalq qed jipponta</v>
      </c>
    </row>
    <row r="685" ht="15.75" customHeight="1">
      <c r="A685" s="2" t="s">
        <v>685</v>
      </c>
      <c r="B685" s="2" t="str">
        <f>IFERROR(__xludf.DUMMYFUNCTION("GOOGLETRANSLATE(A685,""en"", ""mt"")"),"In-negozju ppermetta lill-kumpaniji privati ​​jagħmlu dak")</f>
        <v>In-negozju ppermetta lill-kumpaniji privati ​​jagħmlu dak</v>
      </c>
    </row>
    <row r="686" ht="15.75" customHeight="1">
      <c r="A686" s="2" t="s">
        <v>686</v>
      </c>
      <c r="B686" s="2" t="str">
        <f>IFERROR(__xludf.DUMMYFUNCTION("GOOGLETRANSLATE(A686,""en"", ""mt"")"),"Ossiġenu ħieles iseħħ ukoll f'soluzzjoni fil-korpi tal-ilma tad-dinja. Is-solubilità miżjuda ta 'o
2 F'temperaturi aktar baxxi (ara l-proprjetajiet fiżiċi) għandu implikazzjonijiet importanti għall-ħajja tal-oċean, billi l-oċeani polari jappoġġjaw densità"&amp;" tal-ħajja ferm ogħla minħabba l-kontenut ogħla ta 'ossiġnu tagħhom. Ilma mniġġes b'nutrijenti tal-pjanti bħal nitrati jew fosfati jista 'jistimula t-tkabbir ta' l-alka permezz ta 'proċess imsejjaħ ewtrofikazzjoni u t-tħassir ta' dawn l-organiżmi u bijoma"&amp;"terjali oħra jistgħu jnaqqsu l-ammonti ta 'o
2 Fil-korpi tal-ilma ewtrofiċi. Ix-xjentisti jivvalutaw dan l-aspett tal-kwalità tal-ilma billi jkejlu d-domanda bijokimika tal-ilma tal-ilma, jew l-ammont ta 'o
2 meħtieġa biex terġa 'tinkisebha għal konċentra"&amp;"zzjoni normali.")</f>
        <v>Ossiġenu ħieles iseħħ ukoll f'soluzzjoni fil-korpi tal-ilma tad-dinja. Is-solubilità miżjuda ta 'o
2 F'temperaturi aktar baxxi (ara l-proprjetajiet fiżiċi) għandu implikazzjonijiet importanti għall-ħajja tal-oċean, billi l-oċeani polari jappoġġjaw densità tal-ħajja ferm ogħla minħabba l-kontenut ogħla ta 'ossiġnu tagħhom. Ilma mniġġes b'nutrijenti tal-pjanti bħal nitrati jew fosfati jista 'jistimula t-tkabbir ta' l-alka permezz ta 'proċess imsejjaħ ewtrofikazzjoni u t-tħassir ta' dawn l-organiżmi u bijomaterjali oħra jistgħu jnaqqsu l-ammonti ta 'o
2 Fil-korpi tal-ilma ewtrofiċi. Ix-xjentisti jivvalutaw dan l-aspett tal-kwalità tal-ilma billi jkejlu d-domanda bijokimika tal-ilma tal-ilma, jew l-ammont ta 'o
2 meħtieġa biex terġa 'tinkisebha għal konċentrazzjoni normali.</v>
      </c>
    </row>
    <row r="687" ht="15.75" customHeight="1">
      <c r="A687" s="2" t="s">
        <v>687</v>
      </c>
      <c r="B687" s="2" t="str">
        <f>IFERROR(__xludf.DUMMYFUNCTION("GOOGLETRANSLATE(A687,""en"", ""mt"")"),"funzjoni ta 'appoġġ")</f>
        <v>funzjoni ta 'appoġġ</v>
      </c>
    </row>
    <row r="688" ht="15.75" customHeight="1">
      <c r="A688" s="2" t="s">
        <v>688</v>
      </c>
      <c r="B688" s="2" t="str">
        <f>IFERROR(__xludf.DUMMYFUNCTION("GOOGLETRANSLATE(A688,""en"", ""mt"")"),"Żvilupp, Skjerament u Ottimizzazzjoni tas-Sistema ta 'Ġestjoni tal-Medikazzjoni")</f>
        <v>Żvilupp, Skjerament u Ottimizzazzjoni tas-Sistema ta 'Ġestjoni tal-Medikazzjoni</v>
      </c>
    </row>
    <row r="689" ht="15.75" customHeight="1">
      <c r="A689" s="2" t="s">
        <v>689</v>
      </c>
      <c r="B689" s="2" t="str">
        <f>IFERROR(__xludf.DUMMYFUNCTION("GOOGLETRANSLATE(A689,""en"", ""mt"")"),"tista 'tipproduċi kemm bajd kif ukoll sperma")</f>
        <v>tista 'tipproduċi kemm bajd kif ukoll sperma</v>
      </c>
    </row>
    <row r="690" ht="15.75" customHeight="1">
      <c r="A690" s="2" t="s">
        <v>690</v>
      </c>
      <c r="B690" s="2" t="str">
        <f>IFERROR(__xludf.DUMMYFUNCTION("GOOGLETRANSLATE(A690,""en"", ""mt"")"),"Biegħ il-mediċini bir-riċetta u jeħtieġu riċetta valida")</f>
        <v>Biegħ il-mediċini bir-riċetta u jeħtieġu riċetta valida</v>
      </c>
    </row>
    <row r="691" ht="15.75" customHeight="1">
      <c r="A691" s="2" t="s">
        <v>691</v>
      </c>
      <c r="B691" s="2" t="str">
        <f>IFERROR(__xludf.DUMMYFUNCTION("GOOGLETRANSLATE(A691,""en"", ""mt"")"),"1978 Każ tal-Qorti Suprema tal-Fondazzjoni FCC v. Pacifica")</f>
        <v>1978 Każ tal-Qorti Suprema tal-Fondazzjoni FCC v. Pacifica</v>
      </c>
    </row>
    <row r="692" ht="15.75" customHeight="1">
      <c r="A692" s="2" t="s">
        <v>692</v>
      </c>
      <c r="B692" s="2" t="str">
        <f>IFERROR(__xludf.DUMMYFUNCTION("GOOGLETRANSLATE(A692,""en"", ""mt"")"),"qawwa ratba")</f>
        <v>qawwa ratba</v>
      </c>
    </row>
    <row r="693" ht="15.75" customHeight="1">
      <c r="A693" s="2" t="s">
        <v>693</v>
      </c>
      <c r="B693" s="2" t="str">
        <f>IFERROR(__xludf.DUMMYFUNCTION("GOOGLETRANSLATE(A693,""en"", ""mt"")"),"Kemm ġew rikonoxxuti skejjel tal-mediċina fiċ-Ċina?")</f>
        <v>Kemm ġew rikonoxxuti skejjel tal-mediċina fiċ-Ċina?</v>
      </c>
    </row>
    <row r="694" ht="15.75" customHeight="1">
      <c r="A694" s="2" t="s">
        <v>694</v>
      </c>
      <c r="B694" s="2" t="str">
        <f>IFERROR(__xludf.DUMMYFUNCTION("GOOGLETRANSLATE(A694,""en"", ""mt"")"),"Definizzjonijiet analogi jistgħu jsiru għar-rekwiżiti tal-ispazju. Għalkemm il-ħin u l-ispazju huma l-iktar riżorsi ta 'kumplessità magħrufa, kwalunkwe miżura ta' kumplessità tista 'titqies bħala riżors tal-komputazzjoni. Miżuri ta 'kumplessità huma ġener"&amp;"alment definiti mill-axioms ta' kumplessità ta 'Blum. Miżuri oħra ta ’kumplessità użati fit-teorija tal-kumplessità jinkludu kumplessità tal-komunikazzjoni, kumplessità taċ-ċirkwit, u kumplessità tas-siġar tad-deċiżjonijiet.")</f>
        <v>Definizzjonijiet analogi jistgħu jsiru għar-rekwiżiti tal-ispazju. Għalkemm il-ħin u l-ispazju huma l-iktar riżorsi ta 'kumplessità magħrufa, kwalunkwe miżura ta' kumplessità tista 'titqies bħala riżors tal-komputazzjoni. Miżuri ta 'kumplessità huma ġeneralment definiti mill-axioms ta' kumplessità ta 'Blum. Miżuri oħra ta ’kumplessità użati fit-teorija tal-kumplessità jinkludu kumplessità tal-komunikazzjoni, kumplessità taċ-ċirkwit, u kumplessità tas-siġar tad-deċiżjonijiet.</v>
      </c>
    </row>
    <row r="695" ht="15.75" customHeight="1">
      <c r="A695" s="2" t="s">
        <v>695</v>
      </c>
      <c r="B695" s="2" t="str">
        <f>IFERROR(__xludf.DUMMYFUNCTION("GOOGLETRANSLATE(A695,""en"", ""mt"")"),"Movimenti Iżlamisti anti-demokratiċi")</f>
        <v>Movimenti Iżlamisti anti-demokratiċi</v>
      </c>
    </row>
    <row r="696" ht="15.75" customHeight="1">
      <c r="A696" s="2" t="s">
        <v>696</v>
      </c>
      <c r="B696" s="2" t="str">
        <f>IFERROR(__xludf.DUMMYFUNCTION("GOOGLETRANSLATE(A696,""en"", ""mt"")"),"Il-Battalja ta 'Bạch ằng")</f>
        <v>Il-Battalja ta 'Bạch ằng</v>
      </c>
    </row>
    <row r="697" ht="15.75" customHeight="1">
      <c r="A697" s="2" t="s">
        <v>697</v>
      </c>
      <c r="B697" s="2" t="str">
        <f>IFERROR(__xludf.DUMMYFUNCTION("GOOGLETRANSLATE(A697,""en"", ""mt"")"),"X'impatt għandhom aktar ħaddiema li jaħdmu aktar fuq il-produttività ta 'negozju?")</f>
        <v>X'impatt għandhom aktar ħaddiema li jaħdmu aktar fuq il-produttività ta 'negozju?</v>
      </c>
    </row>
    <row r="698" ht="15.75" customHeight="1">
      <c r="A698" s="2" t="s">
        <v>698</v>
      </c>
      <c r="B698" s="2" t="str">
        <f>IFERROR(__xludf.DUMMYFUNCTION("GOOGLETRANSLATE(A698,""en"", ""mt"")"),"Matematika applikata għall-kostruzzjoni tal-kalendarji")</f>
        <v>Matematika applikata għall-kostruzzjoni tal-kalendarji</v>
      </c>
    </row>
    <row r="699" ht="15.75" customHeight="1">
      <c r="A699" s="2" t="s">
        <v>699</v>
      </c>
      <c r="B699" s="2" t="str">
        <f>IFERROR(__xludf.DUMMYFUNCTION("GOOGLETRANSLATE(A699,""en"", ""mt"")"),"Kemm-il linji tal-ferrovija tal-gauge dojoq kienu proprjetà tal-gvern qabel?")</f>
        <v>Kemm-il linji tal-ferrovija tal-gauge dojoq kienu proprjetà tal-gvern qabel?</v>
      </c>
    </row>
    <row r="700" ht="15.75" customHeight="1">
      <c r="A700" s="2" t="s">
        <v>700</v>
      </c>
      <c r="B700" s="2" t="str">
        <f>IFERROR(__xludf.DUMMYFUNCTION("GOOGLETRANSLATE(A700,""en"", ""mt"")"),"Il-lobati għandhom tmien rewwix, li joriġinaw mill-arblu aboral u ġeneralment ma jestendux lil hinn mill-ġisem sal-lobi; Fi speċi bi (erba ') aurikoli, iċ-ċili li jtajru l-aurikoli huma estensjonijiet ta' cili f'erba 'ringieli tal-moxt. Il-biċċa l-kbira t"&amp;"al-lobati huma pjuttost passivi meta jiċċaqalqu mill-ilma, billi jużaw iċ-ċili fuq ir-ringieli tal-moxt tagħhom għall-propulsjoni, għalkemm Leucothea għandha aurikoli twal u attivi li l-movimenti tagħhom jikkontribwixxu wkoll għall-propulsjoni. Il-membri "&amp;"tal-ġeneru tal-lobate u l-bathocyroe u l-ocyropsis jistgħu jaħarbu mill-periklu billi jagħlqu l-lobi tagħhom, sabiex il-ġett ta 'l-ilma mkeċċi jmexxihom lura malajr ħafna. B'differenza miċ-ċidippids, il-movimenti tal-pettnijiet tal-lobates huma kkoordinat"&amp;"i min-nervituri aktar milli minn disturbi fl-ilma maħluqa miċ-ċili, iżda l-pettnijiet fuq l-istess ringiela jegħlbu fl-istess stil tal-mewġ Messikani bħall-moxt ikkoordinat mekkanikament ta 'ringieli ta' cydippids u beroids. Dan jista 'jkun ippermetta l-l"&amp;"obati jikbru akbar minn cydippids u biex ikollhom forom li huma inqas simili għall-bajd.")</f>
        <v>Il-lobati għandhom tmien rewwix, li joriġinaw mill-arblu aboral u ġeneralment ma jestendux lil hinn mill-ġisem sal-lobi; Fi speċi bi (erba ') aurikoli, iċ-ċili li jtajru l-aurikoli huma estensjonijiet ta' cili f'erba 'ringieli tal-moxt. Il-biċċa l-kbira tal-lobati huma pjuttost passivi meta jiċċaqalqu mill-ilma, billi jużaw iċ-ċili fuq ir-ringieli tal-moxt tagħhom għall-propulsjoni, għalkemm Leucothea għandha aurikoli twal u attivi li l-movimenti tagħhom jikkontribwixxu wkoll għall-propulsjoni. Il-membri tal-ġeneru tal-lobate u l-bathocyroe u l-ocyropsis jistgħu jaħarbu mill-periklu billi jagħlqu l-lobi tagħhom, sabiex il-ġett ta 'l-ilma mkeċċi jmexxihom lura malajr ħafna. B'differenza miċ-ċidippids, il-movimenti tal-pettnijiet tal-lobates huma kkoordinati min-nervituri aktar milli minn disturbi fl-ilma maħluqa miċ-ċili, iżda l-pettnijiet fuq l-istess ringiela jegħlbu fl-istess stil tal-mewġ Messikani bħall-moxt ikkoordinat mekkanikament ta 'ringieli ta' cydippids u beroids. Dan jista 'jkun ippermetta l-lobati jikbru akbar minn cydippids u biex ikollhom forom li huma inqas simili għall-bajd.</v>
      </c>
    </row>
    <row r="701" ht="15.75" customHeight="1">
      <c r="A701" s="2" t="s">
        <v>701</v>
      </c>
      <c r="B701" s="2" t="str">
        <f>IFERROR(__xludf.DUMMYFUNCTION("GOOGLETRANSLATE(A701,""en"", ""mt"")"),"Exoskeleton")</f>
        <v>Exoskeleton</v>
      </c>
    </row>
    <row r="702" ht="15.75" customHeight="1">
      <c r="A702" s="2" t="s">
        <v>702</v>
      </c>
      <c r="B702" s="2" t="str">
        <f>IFERROR(__xludf.DUMMYFUNCTION("GOOGLETRANSLATE(A702,""en"", ""mt"")"),"tnaqqis fil-livelli tal-ormoni bl-età")</f>
        <v>tnaqqis fil-livelli tal-ormoni bl-età</v>
      </c>
    </row>
    <row r="703" ht="15.75" customHeight="1">
      <c r="A703" s="2" t="s">
        <v>703</v>
      </c>
      <c r="B703" s="2" t="str">
        <f>IFERROR(__xludf.DUMMYFUNCTION("GOOGLETRANSLATE(A703,""en"", ""mt"")"),"isegwi l-istess proċeduri bħal għal rapporti ta 'valutazzjoni tal-IPCC")</f>
        <v>isegwi l-istess proċeduri bħal għal rapporti ta 'valutazzjoni tal-IPCC</v>
      </c>
    </row>
    <row r="704" ht="15.75" customHeight="1">
      <c r="A704" s="2" t="s">
        <v>704</v>
      </c>
      <c r="B704" s="2" t="str">
        <f>IFERROR(__xludf.DUMMYFUNCTION("GOOGLETRANSLATE(A704,""en"", ""mt"")"),"It-test tal-primalità tar-rabin Miller-Rabin")</f>
        <v>It-test tal-primalità tar-rabin Miller-Rabin</v>
      </c>
    </row>
    <row r="705" ht="15.75" customHeight="1">
      <c r="A705" s="2" t="s">
        <v>705</v>
      </c>
      <c r="B705" s="2" t="str">
        <f>IFERROR(__xludf.DUMMYFUNCTION("GOOGLETRANSLATE(A705,""en"", ""mt"")"),"fabbrikazzjoni ta 'evidenza jew twettaq sperġur")</f>
        <v>fabbrikazzjoni ta 'evidenza jew twettaq sperġur</v>
      </c>
    </row>
    <row r="706" ht="15.75" customHeight="1">
      <c r="A706" s="2" t="s">
        <v>706</v>
      </c>
      <c r="B706" s="2" t="str">
        <f>IFERROR(__xludf.DUMMYFUNCTION("GOOGLETRANSLATE(A706,""en"", ""mt"")"),"Mużew Rebbiegħa ta 'Varsavja")</f>
        <v>Mużew Rebbiegħa ta 'Varsavja</v>
      </c>
    </row>
    <row r="707" ht="15.75" customHeight="1">
      <c r="A707" s="2" t="s">
        <v>707</v>
      </c>
      <c r="B707" s="2" t="str">
        <f>IFERROR(__xludf.DUMMYFUNCTION("GOOGLETRANSLATE(A707,""en"", ""mt"")"),"""Ħmar"")")</f>
        <v>"Ħmar")</v>
      </c>
    </row>
    <row r="708" ht="15.75" customHeight="1">
      <c r="A708" s="2" t="s">
        <v>708</v>
      </c>
      <c r="B708" s="2" t="str">
        <f>IFERROR(__xludf.DUMMYFUNCTION("GOOGLETRANSLATE(A708,""en"", ""mt"")"),"Ergäzungsschulen huma skejjel sekondarji jew post-sekondarji (mhux terzjarji), li huma mmexxija minn individwi privati, organizzazzjonijiet privati ​​jew rarament, gruppi reliġjużi u joffru tip ta 'edukazzjoni li mhix disponibbli fl-iskejjel pubbliċi. Ħaf"&amp;"na minn dawn l-iskejjel huma skejjel vokazzjonali. Madankollu, dawn l-iskejjel vokazzjonali mhumiex parti mis-sistema ta 'edukazzjoni doppja Ġermaniża. Ergäzungsschulen għandhom il-libertà li joperaw barra mir-regolamentazzjoni tal-gvern u huma ffinanzjat"&amp;"i kollha billi ċċarġjaw l-istudenti tagħhom dwar it-tariffi tat-tagħlim.")</f>
        <v>Ergäzungsschulen huma skejjel sekondarji jew post-sekondarji (mhux terzjarji), li huma mmexxija minn individwi privati, organizzazzjonijiet privati ​​jew rarament, gruppi reliġjużi u joffru tip ta 'edukazzjoni li mhix disponibbli fl-iskejjel pubbliċi. Ħafna minn dawn l-iskejjel huma skejjel vokazzjonali. Madankollu, dawn l-iskejjel vokazzjonali mhumiex parti mis-sistema ta 'edukazzjoni doppja Ġermaniża. Ergäzungsschulen għandhom il-libertà li joperaw barra mir-regolamentazzjoni tal-gvern u huma ffinanzjati kollha billi ċċarġjaw l-istudenti tagħhom dwar it-tariffi tat-tagħlim.</v>
      </c>
    </row>
    <row r="709" ht="15.75" customHeight="1">
      <c r="A709" s="2" t="s">
        <v>709</v>
      </c>
      <c r="B709" s="2" t="str">
        <f>IFERROR(__xludf.DUMMYFUNCTION("GOOGLETRANSLATE(A709,""en"", ""mt"")"),"Kemm partijiet għandhom il-konsiderazzjoni ta 'kont fl-istadju 3?")</f>
        <v>Kemm partijiet għandhom il-konsiderazzjoni ta 'kont fl-istadju 3?</v>
      </c>
    </row>
    <row r="710" ht="15.75" customHeight="1">
      <c r="A710" s="2" t="s">
        <v>710</v>
      </c>
      <c r="B710" s="2" t="str">
        <f>IFERROR(__xludf.DUMMYFUNCTION("GOOGLETRANSLATE(A710,""en"", ""mt"")"),"Triq Fulton fid-downtown Fresno kienet id-distrett finanzjarju u kummerċjali ewlieni ta 'Fresno qabel ma ġiet konvertita f'wieħed mill-ewwel malls pedonali tan-nazzjon fl-1964. Semmiet mill-ġdid il-Mall Fulton, iż-żona fiha l-aktar ġabra densa ta' bini st"&amp;"oriku fi Fresno. Filwaqt li l-kuritur tal-Mall Fulton sofra tnaqqis qawwi mill-għoli tiegħu, il-Mall jinkludi wħud mill-ifjen biċċiet tal-arti pubblika fil-pajjiż, inkluża l-unika biċċa Pierre-Auguste Renoir fid-dinja li wieħed jista 'jimxi sa u jmissu. I"&amp;"l-pjanijiet attwali jitolbu l-ftuħ mill-ġdid tal-Mall Fulton għat-traffiku tal-karozzi. Il-biċċiet tal-arti pubblika se jiġu rrestawrati u mqiegħda ħdejn il-lokalitajiet attwali tagħhom u se jkollhom bankini wiesgħa (sa 28 'fuq in-naħa tal-lvant tat-triq)"&amp;" biex ikomplu bl-ambjent ta' ħbiberija pedonali tad-distrett.")</f>
        <v>Triq Fulton fid-downtown Fresno kienet id-distrett finanzjarju u kummerċjali ewlieni ta 'Fresno qabel ma ġiet konvertita f'wieħed mill-ewwel malls pedonali tan-nazzjon fl-1964. Semmiet mill-ġdid il-Mall Fulton, iż-żona fiha l-aktar ġabra densa ta' bini storiku fi Fresno. Filwaqt li l-kuritur tal-Mall Fulton sofra tnaqqis qawwi mill-għoli tiegħu, il-Mall jinkludi wħud mill-ifjen biċċiet tal-arti pubblika fil-pajjiż, inkluża l-unika biċċa Pierre-Auguste Renoir fid-dinja li wieħed jista 'jimxi sa u jmissu. Il-pjanijiet attwali jitolbu l-ftuħ mill-ġdid tal-Mall Fulton għat-traffiku tal-karozzi. Il-biċċiet tal-arti pubblika se jiġu rrestawrati u mqiegħda ħdejn il-lokalitajiet attwali tagħhom u se jkollhom bankini wiesgħa (sa 28 'fuq in-naħa tal-lvant tat-triq) biex ikomplu bl-ambjent ta' ħbiberija pedonali tad-distrett.</v>
      </c>
    </row>
    <row r="711" ht="15.75" customHeight="1">
      <c r="A711" s="2" t="s">
        <v>711</v>
      </c>
      <c r="B711" s="2" t="str">
        <f>IFERROR(__xludf.DUMMYFUNCTION("GOOGLETRANSLATE(A711,""en"", ""mt"")"),"Meta jsir il-weekend tal-Gallerija ta 'Varsavja?")</f>
        <v>Meta jsir il-weekend tal-Gallerija ta 'Varsavja?</v>
      </c>
    </row>
    <row r="712" ht="15.75" customHeight="1">
      <c r="A712" s="2" t="s">
        <v>712</v>
      </c>
      <c r="B712" s="2" t="str">
        <f>IFERROR(__xludf.DUMMYFUNCTION("GOOGLETRANSLATE(A712,""en"", ""mt"")"),"X'tip ta 'kastig xi kultant jiġi offrut lid-diżubbidjenti ċivili?")</f>
        <v>X'tip ta 'kastig xi kultant jiġi offrut lid-diżubbidjenti ċivili?</v>
      </c>
    </row>
    <row r="713" ht="15.75" customHeight="1">
      <c r="A713" s="2" t="s">
        <v>713</v>
      </c>
      <c r="B713" s="2" t="str">
        <f>IFERROR(__xludf.DUMMYFUNCTION("GOOGLETRANSLATE(A713,""en"", ""mt"")"),"""Belt Ġdida Bold tan-Nofsinhar""")</f>
        <v>"Belt Ġdida Bold tan-Nofsinhar"</v>
      </c>
    </row>
    <row r="714" ht="15.75" customHeight="1">
      <c r="A714" s="2" t="s">
        <v>714</v>
      </c>
      <c r="B714" s="2" t="str">
        <f>IFERROR(__xludf.DUMMYFUNCTION("GOOGLETRANSLATE(A714,""en"", ""mt"")"),"Żiffa tas-Sajf")</f>
        <v>Żiffa tas-Sajf</v>
      </c>
    </row>
    <row r="715" ht="15.75" customHeight="1">
      <c r="A715" s="2" t="s">
        <v>715</v>
      </c>
      <c r="B715" s="2" t="str">
        <f>IFERROR(__xludf.DUMMYFUNCTION("GOOGLETRANSLATE(A715,""en"", ""mt"")"),"Kumpanija Olandiża tal-Indja tal-Lvant")</f>
        <v>Kumpanija Olandiża tal-Indja tal-Lvant</v>
      </c>
    </row>
    <row r="716" ht="15.75" customHeight="1">
      <c r="A716" s="2" t="s">
        <v>716</v>
      </c>
      <c r="B716" s="2" t="str">
        <f>IFERROR(__xludf.DUMMYFUNCTION("GOOGLETRANSLATE(A716,""en"", ""mt"")"),"Battalja ta 'Olustee")</f>
        <v>Battalja ta 'Olustee</v>
      </c>
    </row>
    <row r="717" ht="15.75" customHeight="1">
      <c r="A717" s="2" t="s">
        <v>717</v>
      </c>
      <c r="B717" s="2" t="str">
        <f>IFERROR(__xludf.DUMMYFUNCTION("GOOGLETRANSLATE(A717,""en"", ""mt"")"),"F’ħafna partijiet ta ’l-Istati Uniti, wara d-deċiżjoni tal-1954 fil-Każ tal-Qorti ta’ Landmark Brown v. Board of Education of Topeka li talbu skejjel ta ’l-Istati Uniti desegregati"" bil-veloċità kollha deliberati ”, il-familji lokali organizzaw mewġa ta’"&amp;" “akkademji Kristjani” privati. F’ħafna mill-Istati Uniti tan-Nofsinhar, ħafna studenti bojod emigraw lejn l-akkademji, filwaqt li l-iskejjel pubbliċi saru aktar ikkonċentrati ħafna ma ’studenti Afrikani-Amerikani (ara l-lista ta’ skejjel privati ​​f’Miss"&amp;"issippi). Il-kontenut akkademiku tal-akkademji ġeneralment kien preparatorju fil-kulleġġ. Mill-1970, ħafna minn dawn l- ""akkademji ta 'segregazzjoni"" għalaq, għalkemm xi wħud jibqgħu joperaw. [Ċitazzjoni meħtieġa]")</f>
        <v>F’ħafna partijiet ta ’l-Istati Uniti, wara d-deċiżjoni tal-1954 fil-Każ tal-Qorti ta’ Landmark Brown v. Board of Education of Topeka li talbu skejjel ta ’l-Istati Uniti desegregati" bil-veloċità kollha deliberati ”, il-familji lokali organizzaw mewġa ta’ “akkademji Kristjani” privati. F’ħafna mill-Istati Uniti tan-Nofsinhar, ħafna studenti bojod emigraw lejn l-akkademji, filwaqt li l-iskejjel pubbliċi saru aktar ikkonċentrati ħafna ma ’studenti Afrikani-Amerikani (ara l-lista ta’ skejjel privati ​​f’Mississippi). Il-kontenut akkademiku tal-akkademji ġeneralment kien preparatorju fil-kulleġġ. Mill-1970, ħafna minn dawn l- "akkademji ta 'segregazzjoni" għalaq, għalkemm xi wħud jibqgħu joperaw. [Ċitazzjoni meħtieġa]</v>
      </c>
    </row>
    <row r="718" ht="15.75" customHeight="1">
      <c r="A718" s="2" t="s">
        <v>718</v>
      </c>
      <c r="B718" s="2" t="str">
        <f>IFERROR(__xludf.DUMMYFUNCTION("GOOGLETRANSLATE(A718,""en"", ""mt"")"),"għaxar-horsepower")</f>
        <v>għaxar-horsepower</v>
      </c>
    </row>
    <row r="719" ht="15.75" customHeight="1">
      <c r="A719" s="2" t="s">
        <v>719</v>
      </c>
      <c r="B719" s="2" t="str">
        <f>IFERROR(__xludf.DUMMYFUNCTION("GOOGLETRANSLATE(A719,""en"", ""mt"")"),"tibgħat email")</f>
        <v>tibgħat email</v>
      </c>
    </row>
    <row r="720" ht="15.75" customHeight="1">
      <c r="A720" s="2" t="s">
        <v>720</v>
      </c>
      <c r="B720" s="2" t="str">
        <f>IFERROR(__xludf.DUMMYFUNCTION("GOOGLETRANSLATE(A720,""en"", ""mt"")"),"Id-dħul tal-undergraduate f'Harvard huwa kkaratterizzat mill-Fondazzjoni Carnegie bħala ""aktar selettiv, aktar baxx ta 'trasferiment"". Il-Kulleġġ ta ’Harvard aċċetta 5.3% tal-applikanti għall-Klassi tal-2019, rekord baxx u t-tieni rata ta’ aċċettazzjoni"&amp;" l-iktar baxxa fost l-universitajiet nazzjonali kollha. Il-Kulleġġ ta 'Harvard temm il-programm ta' ammissjoni bikrija tiegħu fl-2007 peress li l-programm kien maħsub li żvantaġġja applikanti ta 'minoranza bi dħul baxx u mhux rappreżentati li japplikaw għ"&amp;"al universitajiet selettivi, iżda għall-klassi tal-2016 ġie introdott programm ta' azzjoni bikrija.")</f>
        <v>Id-dħul tal-undergraduate f'Harvard huwa kkaratterizzat mill-Fondazzjoni Carnegie bħala "aktar selettiv, aktar baxx ta 'trasferiment". Il-Kulleġġ ta ’Harvard aċċetta 5.3% tal-applikanti għall-Klassi tal-2019, rekord baxx u t-tieni rata ta’ aċċettazzjoni l-iktar baxxa fost l-universitajiet nazzjonali kollha. Il-Kulleġġ ta 'Harvard temm il-programm ta' ammissjoni bikrija tiegħu fl-2007 peress li l-programm kien maħsub li żvantaġġja applikanti ta 'minoranza bi dħul baxx u mhux rappreżentati li japplikaw għal universitajiet selettivi, iżda għall-klassi tal-2016 ġie introdott programm ta' azzjoni bikrija.</v>
      </c>
    </row>
    <row r="721" ht="15.75" customHeight="1">
      <c r="A721" s="2" t="s">
        <v>721</v>
      </c>
      <c r="B721" s="2" t="str">
        <f>IFERROR(__xludf.DUMMYFUNCTION("GOOGLETRANSLATE(A721,""en"", ""mt"")"),"Fejn kien hemm dgħjufija fil-katina tal-provvista Ingliża?")</f>
        <v>Fejn kien hemm dgħjufija fil-katina tal-provvista Ingliża?</v>
      </c>
    </row>
    <row r="722" ht="15.75" customHeight="1">
      <c r="A722" s="2" t="s">
        <v>722</v>
      </c>
      <c r="B722" s="2" t="str">
        <f>IFERROR(__xludf.DUMMYFUNCTION("GOOGLETRANSLATE(A722,""en"", ""mt"")"),"L-inkorporazzjonijiet jiġu annullati biss għal lista fissa ta 'raġunijiet")</f>
        <v>L-inkorporazzjonijiet jiġu annullati biss għal lista fissa ta 'raġunijiet</v>
      </c>
    </row>
    <row r="723" ht="15.75" customHeight="1">
      <c r="A723" s="2" t="s">
        <v>723</v>
      </c>
      <c r="B723" s="2" t="str">
        <f>IFERROR(__xludf.DUMMYFUNCTION("GOOGLETRANSLATE(A723,""en"", ""mt"")"),"tgħaddi nixxiegħa ta 'arja nadifa u niexfa minn sodda waħda ta' par ta 'passaġġi molekulari żeoliti identiċi, li jassorbi n-nitroġenu")</f>
        <v>tgħaddi nixxiegħa ta 'arja nadifa u niexfa minn sodda waħda ta' par ta 'passaġġi molekulari żeoliti identiċi, li jassorbi n-nitroġenu</v>
      </c>
    </row>
    <row r="724" ht="15.75" customHeight="1">
      <c r="A724" s="2" t="s">
        <v>724</v>
      </c>
      <c r="B724" s="2" t="str">
        <f>IFERROR(__xludf.DUMMYFUNCTION("GOOGLETRANSLATE(A724,""en"", ""mt"")"),"It-taħlita ta 'Varsavja ta' stili arkitettoniċi tirrifletti l-istorja mqallba tal-belt u l-pajjiż. Matul it-Tieni Gwerra Dinjija, Varsavja kienet imqaxxra mal-art billi bombi r-rejds u l-qerda ppjanata. Wara l-liberazzjoni, il-bini mill-ġdid beda bħal fi "&amp;"bliet oħra tal-PRL immexxi mill-komunista. Il-biċċa l-kbira tal-binjiet storiċi ġew rikostruwiti sewwa. Madankollu, uħud mill-binjiet mis-seklu 19 li kienu ġew ippreservati f'forma raġonevolment rikostructible ġew madankollu meqruda fl-1950 u l-1960 (e.g."&amp;" il-Palazz Leopold Kronenberg). Inbnew blokki residenzjali tal-massa, b'disinn bażiku tipiku tal-pajjiżi tal-Blokk tal-Lvant.")</f>
        <v>It-taħlita ta 'Varsavja ta' stili arkitettoniċi tirrifletti l-istorja mqallba tal-belt u l-pajjiż. Matul it-Tieni Gwerra Dinjija, Varsavja kienet imqaxxra mal-art billi bombi r-rejds u l-qerda ppjanata. Wara l-liberazzjoni, il-bini mill-ġdid beda bħal fi bliet oħra tal-PRL immexxi mill-komunista. Il-biċċa l-kbira tal-binjiet storiċi ġew rikostruwiti sewwa. Madankollu, uħud mill-binjiet mis-seklu 19 li kienu ġew ippreservati f'forma raġonevolment rikostructible ġew madankollu meqruda fl-1950 u l-1960 (e.g. il-Palazz Leopold Kronenberg). Inbnew blokki residenzjali tal-massa, b'disinn bażiku tipiku tal-pajjiżi tal-Blokk tal-Lvant.</v>
      </c>
    </row>
    <row r="725" ht="15.75" customHeight="1">
      <c r="A725" s="2" t="s">
        <v>725</v>
      </c>
      <c r="B725" s="2" t="str">
        <f>IFERROR(__xludf.DUMMYFUNCTION("GOOGLETRANSLATE(A725,""en"", ""mt"")"),"Iċ-ċiklu ta 'Rankine huwa l-bażi fundamentali termodinamika tal-magna tal-fwar. Iċ-ċiklu huwa arranġament ta 'komponenti kif tipikament jintuża għal produzzjoni ta' enerġija sempliċi, u juża l-bidla fil-fażi ta 'l-ilma (ilma jagħli li jipproduċi fwar, jik"&amp;"kondensa l-fwar tal-egżost, li jipproduċi ilma likwidu)) biex jipprovdi sistema prattika ta' konverżjoni tas-sħana / enerġija. Is-sħana hija fornuta esternament għal linja magħluqa b'xi ftit mis-sħana miżjuda tiġi kkonvertita għax-xogħol u s-sħana tal-isk"&amp;"art titneħħa f'kondensatur. Iċ-ċiklu Rankine jintuża fi kważi l-applikazzjonijiet kollha tal-produzzjoni tal-enerġija bil-fwar. Fid-disgħinijiet, iċ-ċikli tal-fwar ta 'Rankine ġġeneraw madwar 90% tal-enerġija elettrika kollha użata madwar id-dinja, inkluż"&amp;"i kważi l-impjanti tal-enerġija solari, tal-bijomassa, tal-faħam u nukleari. Huwa msemmi wara William John Macquorn Rankine, Polymath Skoċċiż.")</f>
        <v>Iċ-ċiklu ta 'Rankine huwa l-bażi fundamentali termodinamika tal-magna tal-fwar. Iċ-ċiklu huwa arranġament ta 'komponenti kif tipikament jintuża għal produzzjoni ta' enerġija sempliċi, u juża l-bidla fil-fażi ta 'l-ilma (ilma jagħli li jipproduċi fwar, jikkondensa l-fwar tal-egżost, li jipproduċi ilma likwidu)) biex jipprovdi sistema prattika ta' konverżjoni tas-sħana / enerġija. Is-sħana hija fornuta esternament għal linja magħluqa b'xi ftit mis-sħana miżjuda tiġi kkonvertita għax-xogħol u s-sħana tal-iskart titneħħa f'kondensatur. Iċ-ċiklu Rankine jintuża fi kważi l-applikazzjonijiet kollha tal-produzzjoni tal-enerġija bil-fwar. Fid-disgħinijiet, iċ-ċikli tal-fwar ta 'Rankine ġġeneraw madwar 90% tal-enerġija elettrika kollha użata madwar id-dinja, inklużi kważi l-impjanti tal-enerġija solari, tal-bijomassa, tal-faħam u nukleari. Huwa msemmi wara William John Macquorn Rankine, Polymath Skoċċiż.</v>
      </c>
    </row>
    <row r="726" ht="15.75" customHeight="1">
      <c r="A726" s="2" t="s">
        <v>726</v>
      </c>
      <c r="B726" s="2" t="str">
        <f>IFERROR(__xludf.DUMMYFUNCTION("GOOGLETRANSLATE(A726,""en"", ""mt"")"),"Deżert tal-Colorado")</f>
        <v>Deżert tal-Colorado</v>
      </c>
    </row>
    <row r="727" ht="15.75" customHeight="1">
      <c r="A727" s="2" t="s">
        <v>727</v>
      </c>
      <c r="B727" s="2" t="str">
        <f>IFERROR(__xludf.DUMMYFUNCTION("GOOGLETRANSLATE(A727,""en"", ""mt"")"),"Kostruzzjoni tal-Kumpless tax-Xjenza Allston $ 1.2 biljun")</f>
        <v>Kostruzzjoni tal-Kumpless tax-Xjenza Allston $ 1.2 biljun</v>
      </c>
    </row>
    <row r="728" ht="15.75" customHeight="1">
      <c r="A728" s="2" t="s">
        <v>728</v>
      </c>
      <c r="B728" s="2" t="str">
        <f>IFERROR(__xludf.DUMMYFUNCTION("GOOGLETRANSLATE(A728,""en"", ""mt"")"),"jirrendu ċerti liġijiet ineffettivi")</f>
        <v>jirrendu ċerti liġijiet ineffettivi</v>
      </c>
    </row>
    <row r="729" ht="15.75" customHeight="1">
      <c r="A729" s="2" t="s">
        <v>729</v>
      </c>
      <c r="B729" s="2" t="str">
        <f>IFERROR(__xludf.DUMMYFUNCTION("GOOGLETRANSLATE(A729,""en"", ""mt"")"),"""Emendi ta 'Wrecking""")</f>
        <v>"Emendi ta 'Wrecking"</v>
      </c>
    </row>
    <row r="730" ht="15.75" customHeight="1">
      <c r="A730" s="2" t="s">
        <v>730</v>
      </c>
      <c r="B730" s="2" t="str">
        <f>IFERROR(__xludf.DUMMYFUNCTION("GOOGLETRANSLATE(A730,""en"", ""mt"")"),"Sistema Rift N - S")</f>
        <v>Sistema Rift N - S</v>
      </c>
    </row>
    <row r="731" ht="15.75" customHeight="1">
      <c r="A731" s="2" t="s">
        <v>731</v>
      </c>
      <c r="B731" s="2" t="str">
        <f>IFERROR(__xludf.DUMMYFUNCTION("GOOGLETRANSLATE(A731,""en"", ""mt"")"),"Iġġustifikat biss kontra entitajiet governattivi")</f>
        <v>Iġġustifikat biss kontra entitajiet governattivi</v>
      </c>
    </row>
    <row r="732" ht="15.75" customHeight="1">
      <c r="A732" s="2" t="s">
        <v>732</v>
      </c>
      <c r="B732" s="2" t="str">
        <f>IFERROR(__xludf.DUMMYFUNCTION("GOOGLETRANSLATE(A732,""en"", ""mt"")"),"Il-Harvard Crimson jikkompeti fi 42 sport intercollegiate fid-Diviżjoni I tal-NCAA IVY League. Harvard għandu rivalità atletika intensa mal-Università ta 'Yale li twassal fil-logħba, għalkemm ir-regatta ta' Harvard-Yale tkun qabel il-logħba tal-futbol. Di"&amp;"n ir-rivalità, għalkemm, titwarrab kull sentejn meta t-timijiet ta 'Harvard u Yale Track and Field jingħaqdu biex jikkompetu kontra Tim ta' Università ta 'Oxford magħquda u Cambridge University, kompetizzjoni li hija l-eqdem kompetizzjoni tad-dilettanti i"&amp;"nternazzjonali kontinwa fid-dinja.")</f>
        <v>Il-Harvard Crimson jikkompeti fi 42 sport intercollegiate fid-Diviżjoni I tal-NCAA IVY League. Harvard għandu rivalità atletika intensa mal-Università ta 'Yale li twassal fil-logħba, għalkemm ir-regatta ta' Harvard-Yale tkun qabel il-logħba tal-futbol. Din ir-rivalità, għalkemm, titwarrab kull sentejn meta t-timijiet ta 'Harvard u Yale Track and Field jingħaqdu biex jikkompetu kontra Tim ta' Università ta 'Oxford magħquda u Cambridge University, kompetizzjoni li hija l-eqdem kompetizzjoni tad-dilettanti internazzjonali kontinwa fid-dinja.</v>
      </c>
    </row>
    <row r="733" ht="15.75" customHeight="1">
      <c r="A733" s="2" t="s">
        <v>733</v>
      </c>
      <c r="B733" s="2" t="str">
        <f>IFERROR(__xludf.DUMMYFUNCTION("GOOGLETRANSLATE(A733,""en"", ""mt"")"),"Tliet kmamar tal-piż")</f>
        <v>Tliet kmamar tal-piż</v>
      </c>
    </row>
    <row r="734" ht="15.75" customHeight="1">
      <c r="A734" s="2" t="s">
        <v>734</v>
      </c>
      <c r="B734" s="2" t="str">
        <f>IFERROR(__xludf.DUMMYFUNCTION("GOOGLETRANSLATE(A734,""en"", ""mt"")"),"ħati li ma għamel l-ebda ħażin")</f>
        <v>ħati li ma għamel l-ebda ħażin</v>
      </c>
    </row>
    <row r="735" ht="15.75" customHeight="1">
      <c r="A735" s="2" t="s">
        <v>735</v>
      </c>
      <c r="B735" s="2" t="str">
        <f>IFERROR(__xludf.DUMMYFUNCTION("GOOGLETRANSLATE(A735,""en"", ""mt"")"),"in-netwerk tradizzjonali tat-tifel antik")</f>
        <v>in-netwerk tradizzjonali tat-tifel antik</v>
      </c>
    </row>
    <row r="736" ht="15.75" customHeight="1">
      <c r="A736" s="2" t="s">
        <v>736</v>
      </c>
      <c r="B736" s="2" t="str">
        <f>IFERROR(__xludf.DUMMYFUNCTION("GOOGLETRANSLATE(A736,""en"", ""mt"")"),"X.25 juża liema tip ta 'tip ta' netwerk")</f>
        <v>X.25 juża liema tip ta 'tip ta' netwerk</v>
      </c>
    </row>
    <row r="737" ht="15.75" customHeight="1">
      <c r="A737" s="2" t="s">
        <v>737</v>
      </c>
      <c r="B737" s="2" t="str">
        <f>IFERROR(__xludf.DUMMYFUNCTION("GOOGLETRANSLATE(A737,""en"", ""mt"")"),"Liema konġettura żżomm li kull numru sħiħ n akbar minn 2 jista 'jiġi espress bħala somma ta' żewġ primes?")</f>
        <v>Liema konġettura żżomm li kull numru sħiħ n akbar minn 2 jista 'jiġi espress bħala somma ta' żewġ primes?</v>
      </c>
    </row>
    <row r="738" ht="15.75" customHeight="1">
      <c r="A738" s="2" t="s">
        <v>738</v>
      </c>
      <c r="B738" s="2" t="str">
        <f>IFERROR(__xludf.DUMMYFUNCTION("GOOGLETRANSLATE(A738,""en"", ""mt"")"),"Problemi semantiċi u niceties grammatikali")</f>
        <v>Problemi semantiċi u niceties grammatikali</v>
      </c>
    </row>
    <row r="739" ht="15.75" customHeight="1">
      <c r="A739" s="2" t="s">
        <v>739</v>
      </c>
      <c r="B739" s="2" t="str">
        <f>IFERROR(__xludf.DUMMYFUNCTION("GOOGLETRANSLATE(A739,""en"", ""mt"")"),"Imdawwar mill-gvern milli joqgħod fi New France, Huguenots immexxi minn Jessé de Forest, baħħar lejn l-Amerika ta ’Fuq fl-1624 u stabbilixxa minflok fil-kolonja Olandiża ta’ New Netherland (aktar tard inkorporat fi New York u New Jersey); kif ukoll il-kol"&amp;"onji tal-Gran Brittanja, inklużi n-Nova Scotia. Numru ta 'familji ġodda ta' Amsterdam kienu ta 'oriġini Huguenot, ħafna drabi emigraw bħala refuġjati lejn l-Olanda fis-seklu ta' qabel. Fl-1628 il-Huguenots stabbilixxew kongregazzjoni bħala L'église França"&amp;"ise à la Nouvelle-Amsterdam (il-knisja Franċiża fi New Amsterdam). Din il-parroċċa tkompli llum bħala L’Eglise du Saint-Esprit, parti mit-Tqarbin Episkopali (Anglikana), u tilqa ’lil Francophone New Yorkers mid-dinja kollha. Mal-wasla tagħhom fi New Amste"&amp;"rdam, Huguenots ġew offruti art direttament minn Manhattan fuq Long Island għal ftehim permanenti u għażlu l-port fi tmiem Newtown Creek, u saru l-ewwel Ewropej li jgħixu fi Brooklyn, imbagħad magħrufa bħala Boschwick, fil-lokal, fil-lokal issa magħruf bħ"&amp;"ala Bushwick.")</f>
        <v>Imdawwar mill-gvern milli joqgħod fi New France, Huguenots immexxi minn Jessé de Forest, baħħar lejn l-Amerika ta ’Fuq fl-1624 u stabbilixxa minflok fil-kolonja Olandiża ta’ New Netherland (aktar tard inkorporat fi New York u New Jersey); kif ukoll il-kolonji tal-Gran Brittanja, inklużi n-Nova Scotia. Numru ta 'familji ġodda ta' Amsterdam kienu ta 'oriġini Huguenot, ħafna drabi emigraw bħala refuġjati lejn l-Olanda fis-seklu ta' qabel. Fl-1628 il-Huguenots stabbilixxew kongregazzjoni bħala L'église Française à la Nouvelle-Amsterdam (il-knisja Franċiża fi New Amsterdam). Din il-parroċċa tkompli llum bħala L’Eglise du Saint-Esprit, parti mit-Tqarbin Episkopali (Anglikana), u tilqa ’lil Francophone New Yorkers mid-dinja kollha. Mal-wasla tagħhom fi New Amsterdam, Huguenots ġew offruti art direttament minn Manhattan fuq Long Island għal ftehim permanenti u għażlu l-port fi tmiem Newtown Creek, u saru l-ewwel Ewropej li jgħixu fi Brooklyn, imbagħad magħrufa bħala Boschwick, fil-lokal, fil-lokal issa magħruf bħala Bushwick.</v>
      </c>
    </row>
    <row r="740" ht="15.75" customHeight="1">
      <c r="A740" s="2" t="s">
        <v>740</v>
      </c>
      <c r="B740" s="2" t="str">
        <f>IFERROR(__xludf.DUMMYFUNCTION("GOOGLETRANSLATE(A740,""en"", ""mt"")"),"Fiċ-ċentru ta 'Basel, l-ewwel belt ewlenija matul il-fluss, tinsab l- ""irkoppa tar-Rhine""; Din hija liwja kbira, fejn id-direzzjoni ġenerali tar-Renu tinbidel mill-punent għal tramuntana. Hawnhekk ir-Rhine Għoli jintemm. Legalment, il-pont ċentrali huwa"&amp;" l-konfini bejn ir-Renu għoli u dak ta 'fuq. Ix-xmara issa tgħaddi lejn it-tramuntana bħala r-Renu ta ’Fuq mill-pjanura ta’ fuq tar-Renu, li hija twila madwar 300 km u sa 40 km wiesgħa. L-iktar tributarji importanti f'dan il-qasam huma l-morda taħt Strasb"&amp;"urgu, l-għonq f'Mannheim u l-main minn Mainz. F'Mainz, ir-Renu jħalli l-wied tar-Renu ta 'fuq u joħroġ mill-baċin ta' Mainz.")</f>
        <v>Fiċ-ċentru ta 'Basel, l-ewwel belt ewlenija matul il-fluss, tinsab l- "irkoppa tar-Rhine"; Din hija liwja kbira, fejn id-direzzjoni ġenerali tar-Renu tinbidel mill-punent għal tramuntana. Hawnhekk ir-Rhine Għoli jintemm. Legalment, il-pont ċentrali huwa l-konfini bejn ir-Renu għoli u dak ta 'fuq. Ix-xmara issa tgħaddi lejn it-tramuntana bħala r-Renu ta ’Fuq mill-pjanura ta’ fuq tar-Renu, li hija twila madwar 300 km u sa 40 km wiesgħa. L-iktar tributarji importanti f'dan il-qasam huma l-morda taħt Strasburgu, l-għonq f'Mannheim u l-main minn Mainz. F'Mainz, ir-Renu jħalli l-wied tar-Renu ta 'fuq u joħroġ mill-baċin ta' Mainz.</v>
      </c>
    </row>
    <row r="741" ht="15.75" customHeight="1">
      <c r="A741" s="2" t="s">
        <v>741</v>
      </c>
      <c r="B741" s="2" t="str">
        <f>IFERROR(__xludf.DUMMYFUNCTION("GOOGLETRANSLATE(A741,""en"", ""mt"")"),"Gte")</f>
        <v>Gte</v>
      </c>
    </row>
    <row r="742" ht="15.75" customHeight="1">
      <c r="A742" s="2" t="s">
        <v>742</v>
      </c>
      <c r="B742" s="2" t="str">
        <f>IFERROR(__xludf.DUMMYFUNCTION("GOOGLETRANSLATE(A742,""en"", ""mt"")"),"Attakk fuq il-kapitali l-ġdida ta 'Franza, Quebec")</f>
        <v>Attakk fuq il-kapitali l-ġdida ta 'Franza, Quebec</v>
      </c>
    </row>
    <row r="743" ht="15.75" customHeight="1">
      <c r="A743" s="2" t="s">
        <v>743</v>
      </c>
      <c r="B743" s="2" t="str">
        <f>IFERROR(__xludf.DUMMYFUNCTION("GOOGLETRANSLATE(A743,""en"", ""mt"")"),"Liema grad issa huwa obbligatorju fl-Istati Uniti sabiex ikun spiżjar liċenzjat?")</f>
        <v>Liema grad issa huwa obbligatorju fl-Istati Uniti sabiex ikun spiżjar liċenzjat?</v>
      </c>
    </row>
    <row r="744" ht="15.75" customHeight="1">
      <c r="A744" s="2" t="s">
        <v>744</v>
      </c>
      <c r="B744" s="2" t="str">
        <f>IFERROR(__xludf.DUMMYFUNCTION("GOOGLETRANSLATE(A744,""en"", ""mt"")"),"falliet")</f>
        <v>falliet</v>
      </c>
    </row>
    <row r="745" ht="15.75" customHeight="1">
      <c r="A745" s="2" t="s">
        <v>745</v>
      </c>
      <c r="B745" s="2" t="str">
        <f>IFERROR(__xludf.DUMMYFUNCTION("GOOGLETRANSLATE(A745,""en"", ""mt"")"),"jaqbad tliet negozjanti u joqtol 14-il persuna")</f>
        <v>jaqbad tliet negozjanti u joqtol 14-il persuna</v>
      </c>
    </row>
    <row r="746" ht="15.75" customHeight="1">
      <c r="A746" s="2" t="s">
        <v>746</v>
      </c>
      <c r="B746" s="2" t="str">
        <f>IFERROR(__xludf.DUMMYFUNCTION("GOOGLETRANSLATE(A746,""en"", ""mt"")"),"L-ossiġenu jippreżenta żewġ faxex ta 'assorbiment spettrofotometriċi li jilħqu l-quċċata fit-tul ta' mewġ 687 u 760 nm. Xi xjenzati ta 'telerilevament ipproponew li jużaw il-kejl tar-radjazzjoni li ġejja mill-kanupew tal-veġetazzjoni f'dawk il-faxex biex "&amp;"jikkaratterizzaw l-istat tas-saħħa tal-pjanti minn pjattaforma bis-satellita. Dan l-approċċ jisfrutta l-fatt li f'dawk il-faxex huwa possibbli li tiddiskrimina r-riflessjoni tal-veġetazzjoni mill-fluworexxenza tagħha, li hija ħafna iktar dgħajfa. Il-kejl "&amp;"huwa teknikament diffiċli minħabba l-proporzjon baxx sinjal-ħoss u l-istruttura fiżika tal-veġetazzjoni; Iżda ġie propost bħala metodu possibbli ta 'monitoraġġ taċ-ċiklu tal-karbonju minn satelliti fuq skala globali.")</f>
        <v>L-ossiġenu jippreżenta żewġ faxex ta 'assorbiment spettrofotometriċi li jilħqu l-quċċata fit-tul ta' mewġ 687 u 760 nm. Xi xjenzati ta 'telerilevament ipproponew li jużaw il-kejl tar-radjazzjoni li ġejja mill-kanupew tal-veġetazzjoni f'dawk il-faxex biex jikkaratterizzaw l-istat tas-saħħa tal-pjanti minn pjattaforma bis-satellita. Dan l-approċċ jisfrutta l-fatt li f'dawk il-faxex huwa possibbli li tiddiskrimina r-riflessjoni tal-veġetazzjoni mill-fluworexxenza tagħha, li hija ħafna iktar dgħajfa. Il-kejl huwa teknikament diffiċli minħabba l-proporzjon baxx sinjal-ħoss u l-istruttura fiżika tal-veġetazzjoni; Iżda ġie propost bħala metodu possibbli ta 'monitoraġġ taċ-ċiklu tal-karbonju minn satelliti fuq skala globali.</v>
      </c>
    </row>
    <row r="747" ht="15.75" customHeight="1">
      <c r="A747" s="2" t="s">
        <v>747</v>
      </c>
      <c r="B747" s="2" t="str">
        <f>IFERROR(__xludf.DUMMYFUNCTION("GOOGLETRANSLATE(A747,""en"", ""mt"")"),"Kemm siġġijiet ħadu l-SNP mid-Demokratiċi Liberali?")</f>
        <v>Kemm siġġijiet ħadu l-SNP mid-Demokratiċi Liberali?</v>
      </c>
    </row>
    <row r="748" ht="15.75" customHeight="1">
      <c r="A748" s="2" t="s">
        <v>748</v>
      </c>
      <c r="B748" s="2" t="str">
        <f>IFERROR(__xludf.DUMMYFUNCTION("GOOGLETRANSLATE(A748,""en"", ""mt"")"),"it-trattati li jistabbilixxu l-Unjoni Ewropea")</f>
        <v>it-trattati li jistabbilixxu l-Unjoni Ewropea</v>
      </c>
    </row>
    <row r="749" ht="15.75" customHeight="1">
      <c r="A749" s="2" t="s">
        <v>749</v>
      </c>
      <c r="B749" s="2" t="str">
        <f>IFERROR(__xludf.DUMMYFUNCTION("GOOGLETRANSLATE(A749,""en"", ""mt"")"),"Il-Parlament tipikament joqgħod it-Tlieta, l-Erbgħa u l-Ħamis mill-bidu ta 'Jannar sal-aħħar ta' Ġunju u mill-bidu ta 'Settembru sa nofs Diċembru, b'ħeġġa ta' ġimgħatejn f'April u Ottubru. Laqgħat plenarji fil-kamra tad-dibattitu ġeneralment isiru nhar l-"&amp;"Erbgħa wara nofsinhar mis-2 pm sas-6 pm u nhar il-Ħamis mid-9: 15 am sas-6 pm. Id-dibattiti tal-kamra u l-laqgħat tal-kumitat huma miftuħa għall-pubbliku. Id-dħul huwa bla ħlas, iżda l-prenotazzjoni bil-quddiem hija rrakkomandata minħabba spazju limitat. "&amp;"Il-laqgħat jixxandru fuq il-kanal tal-Parlament stess Holyrood.tv u fuq il-Kanal Parlamentari tal-BBC BBC Parlament. Il-proċeduri huma rreġistrati wkoll f'forma ta 'test, bl-istampar u online, fir-rapport uffiċjali, li huwa t-traskrizzjoni sostanzjalment "&amp;"verbatim tad-dibattiti parlamentari.")</f>
        <v>Il-Parlament tipikament joqgħod it-Tlieta, l-Erbgħa u l-Ħamis mill-bidu ta 'Jannar sal-aħħar ta' Ġunju u mill-bidu ta 'Settembru sa nofs Diċembru, b'ħeġġa ta' ġimgħatejn f'April u Ottubru. Laqgħat plenarji fil-kamra tad-dibattitu ġeneralment isiru nhar l-Erbgħa wara nofsinhar mis-2 pm sas-6 pm u nhar il-Ħamis mid-9: 15 am sas-6 pm. Id-dibattiti tal-kamra u l-laqgħat tal-kumitat huma miftuħa għall-pubbliku. Id-dħul huwa bla ħlas, iżda l-prenotazzjoni bil-quddiem hija rrakkomandata minħabba spazju limitat. Il-laqgħat jixxandru fuq il-kanal tal-Parlament stess Holyrood.tv u fuq il-Kanal Parlamentari tal-BBC BBC Parlament. Il-proċeduri huma rreġistrati wkoll f'forma ta 'test, bl-istampar u online, fir-rapport uffiċjali, li huwa t-traskrizzjoni sostanzjalment verbatim tad-dibattiti parlamentari.</v>
      </c>
    </row>
    <row r="750" ht="15.75" customHeight="1">
      <c r="A750" s="2" t="s">
        <v>750</v>
      </c>
      <c r="B750" s="2" t="str">
        <f>IFERROR(__xludf.DUMMYFUNCTION("GOOGLETRANSLATE(A750,""en"", ""mt"")"),"ġelatina moxt")</f>
        <v>ġelatina moxt</v>
      </c>
    </row>
    <row r="751" ht="15.75" customHeight="1">
      <c r="A751" s="2" t="s">
        <v>751</v>
      </c>
      <c r="B751" s="2" t="str">
        <f>IFERROR(__xludf.DUMMYFUNCTION("GOOGLETRANSLATE(A751,""en"", ""mt"")"),"Ewklide")</f>
        <v>Ewklide</v>
      </c>
    </row>
    <row r="752" ht="15.75" customHeight="1">
      <c r="A752" s="2" t="s">
        <v>752</v>
      </c>
      <c r="B752" s="2" t="str">
        <f>IFERROR(__xludf.DUMMYFUNCTION("GOOGLETRANSLATE(A752,""en"", ""mt"")"),"X'inhu t-tieni livell ta 'diviżjoni territorjali fil-Polonja?")</f>
        <v>X'inhu t-tieni livell ta 'diviżjoni territorjali fil-Polonja?</v>
      </c>
    </row>
    <row r="753" ht="15.75" customHeight="1">
      <c r="A753" s="2" t="s">
        <v>753</v>
      </c>
      <c r="B753" s="2" t="str">
        <f>IFERROR(__xludf.DUMMYFUNCTION("GOOGLETRANSLATE(A753,""en"", ""mt"")"),"Blat igneous huwa blat li jikkristallizza minn xiex?")</f>
        <v>Blat igneous huwa blat li jikkristallizza minn xiex?</v>
      </c>
    </row>
    <row r="754" ht="15.75" customHeight="1">
      <c r="A754" s="2" t="s">
        <v>754</v>
      </c>
      <c r="B754" s="2" t="str">
        <f>IFERROR(__xludf.DUMMYFUNCTION("GOOGLETRANSLATE(A754,""en"", ""mt"")"),"Terminal dial-up ma 'kuxxinett, jew, billi jgħaqqad nodu permanenti X.25")</f>
        <v>Terminal dial-up ma 'kuxxinett, jew, billi jgħaqqad nodu permanenti X.25</v>
      </c>
    </row>
    <row r="755" ht="15.75" customHeight="1">
      <c r="A755" s="2" t="s">
        <v>755</v>
      </c>
      <c r="B755" s="2" t="str">
        <f>IFERROR(__xludf.DUMMYFUNCTION("GOOGLETRANSLATE(A755,""en"", ""mt"")"),"ROTIFERS U MOLLUSC U LARVA CRUSTACEAN")</f>
        <v>ROTIFERS U MOLLUSC U LARVA CRUSTACEAN</v>
      </c>
    </row>
    <row r="756" ht="15.75" customHeight="1">
      <c r="A756" s="2" t="s">
        <v>756</v>
      </c>
      <c r="B756" s="2" t="str">
        <f>IFERROR(__xludf.DUMMYFUNCTION("GOOGLETRANSLATE(A756,""en"", ""mt"")"),"It-2 seklu BCE")</f>
        <v>It-2 seklu BCE</v>
      </c>
    </row>
    <row r="757" ht="15.75" customHeight="1">
      <c r="A757" s="2" t="s">
        <v>757</v>
      </c>
      <c r="B757" s="2" t="str">
        <f>IFERROR(__xludf.DUMMYFUNCTION("GOOGLETRANSLATE(A757,""en"", ""mt"")"),"Sal-199 kemm kienu konnessi universitajiet")</f>
        <v>Sal-199 kemm kienu konnessi universitajiet</v>
      </c>
    </row>
    <row r="758" ht="15.75" customHeight="1">
      <c r="A758" s="2" t="s">
        <v>758</v>
      </c>
      <c r="B758" s="2" t="str">
        <f>IFERROR(__xludf.DUMMYFUNCTION("GOOGLETRANSLATE(A758,""en"", ""mt"")"),"li ma tkunx diżubbidjenti ċivili")</f>
        <v>li ma tkunx diżubbidjenti ċivili</v>
      </c>
    </row>
    <row r="759" ht="15.75" customHeight="1">
      <c r="A759" s="2" t="s">
        <v>759</v>
      </c>
      <c r="B759" s="2" t="str">
        <f>IFERROR(__xludf.DUMMYFUNCTION("GOOGLETRANSLATE(A759,""en"", ""mt"")"),"X'inhu l-isem tal-faċilità ta 'rikreazzjoni primarja ta' Harvard?")</f>
        <v>X'inhu l-isem tal-faċilità ta 'rikreazzjoni primarja ta' Harvard?</v>
      </c>
    </row>
    <row r="760" ht="15.75" customHeight="1">
      <c r="A760" s="2" t="s">
        <v>760</v>
      </c>
      <c r="B760" s="2" t="str">
        <f>IFERROR(__xludf.DUMMYFUNCTION("GOOGLETRANSLATE(A760,""en"", ""mt"")"),"X'inhi l-iktar interazzjoni ewlenija b'saħħitha?")</f>
        <v>X'inhi l-iktar interazzjoni ewlenija b'saħħitha?</v>
      </c>
    </row>
    <row r="761" ht="15.75" customHeight="1">
      <c r="A761" s="2" t="s">
        <v>761</v>
      </c>
      <c r="B761" s="2" t="str">
        <f>IFERROR(__xludf.DUMMYFUNCTION("GOOGLETRANSLATE(A761,""en"", ""mt"")"),"Madwar 2.5 miljun sena ilu (li ntemm 11,600 sena ilu) kien il-perjodu ġeoloġiku tal-etajiet tas-silġ. Minn madwar 600,000 sena ilu, seħħew sitt etajiet kbar tas-silġ, li fihom il-livell tal-baħar niżel 120 m (390 pied) u ħafna mill-marġini kontinentali sa"&amp;"ru esposti. Fil-Pleistocene bikri, ir-Renu segwa kors lejn il-majjistral, permezz tal-Baħar tat-Tramuntana preżenti. Matul l-hekk imsejħa glaciation Anglian (~ 450,000 yr bp, l-isotopi tal-ossiġnu tal-baħar stadju 12), il-parti tat-tramuntana tal-Baħar ta"&amp;"t-Tramuntana preżenti kienet imblukkata mis-silġ u lag kbir żviluppat, li tfur mill-Kanal Ingliż. Dan ikkawża li l-kors tar-Rhine jiġi ddevjat mill-Kanal Ingliż. Minn dakinhar, fi żminijiet glaċjali, il-ħalq tax-xmara kien jinsab barra mill-kosta ta 'Bres"&amp;"t, Franza u xmajjar, bħat-Thames u s-Seine, saru tributarji għar-Renu. Matul l-interglacials, meta l-livell tal-baħar tela 'għal bejn wieħed u ieħor il-livell preżenti, ir-Rhine bena deltas, f'dak li issa huwa l-Olanda.")</f>
        <v>Madwar 2.5 miljun sena ilu (li ntemm 11,600 sena ilu) kien il-perjodu ġeoloġiku tal-etajiet tas-silġ. Minn madwar 600,000 sena ilu, seħħew sitt etajiet kbar tas-silġ, li fihom il-livell tal-baħar niżel 120 m (390 pied) u ħafna mill-marġini kontinentali saru esposti. Fil-Pleistocene bikri, ir-Renu segwa kors lejn il-majjistral, permezz tal-Baħar tat-Tramuntana preżenti. Matul l-hekk imsejħa glaciation Anglian (~ 450,000 yr bp, l-isotopi tal-ossiġnu tal-baħar stadju 12), il-parti tat-tramuntana tal-Baħar tat-Tramuntana preżenti kienet imblukkata mis-silġ u lag kbir żviluppat, li tfur mill-Kanal Ingliż. Dan ikkawża li l-kors tar-Rhine jiġi ddevjat mill-Kanal Ingliż. Minn dakinhar, fi żminijiet glaċjali, il-ħalq tax-xmara kien jinsab barra mill-kosta ta 'Brest, Franza u xmajjar, bħat-Thames u s-Seine, saru tributarji għar-Renu. Matul l-interglacials, meta l-livell tal-baħar tela 'għal bejn wieħed u ieħor il-livell preżenti, ir-Rhine bena deltas, f'dak li issa huwa l-Olanda.</v>
      </c>
    </row>
    <row r="762" ht="15.75" customHeight="1">
      <c r="A762" s="2" t="s">
        <v>762</v>
      </c>
      <c r="B762" s="2" t="str">
        <f>IFERROR(__xludf.DUMMYFUNCTION("GOOGLETRANSLATE(A762,""en"", ""mt"")"),"repulsjoni ta 'piżijiet simili taħt l-influwenza tal-forza elettromanjetika")</f>
        <v>repulsjoni ta 'piżijiet simili taħt l-influwenza tal-forza elettromanjetika</v>
      </c>
    </row>
    <row r="763" ht="15.75" customHeight="1">
      <c r="A763" s="2" t="s">
        <v>763</v>
      </c>
      <c r="B763" s="2" t="str">
        <f>IFERROR(__xludf.DUMMYFUNCTION("GOOGLETRANSLATE(A763,""en"", ""mt"")"),"Fi ħdan il-mediċini tad-dispensarju / tqassim")</f>
        <v>Fi ħdan il-mediċini tad-dispensarju / tqassim</v>
      </c>
    </row>
    <row r="764" ht="15.75" customHeight="1">
      <c r="A764" s="2" t="s">
        <v>764</v>
      </c>
      <c r="B764" s="2" t="str">
        <f>IFERROR(__xludf.DUMMYFUNCTION("GOOGLETRANSLATE(A764,""en"", ""mt"")"),"X'waqfet kwistjoni importanti fl-identità nazzjonali Skoċċiża għal ħafna snin?")</f>
        <v>X'waqfet kwistjoni importanti fl-identità nazzjonali Skoċċiża għal ħafna snin?</v>
      </c>
    </row>
    <row r="765" ht="15.75" customHeight="1">
      <c r="A765" s="2" t="s">
        <v>765</v>
      </c>
      <c r="B765" s="2" t="str">
        <f>IFERROR(__xludf.DUMMYFUNCTION("GOOGLETRANSLATE(A765,""en"", ""mt"")"),"Netwerk deċentralizzat b'ħafna mogħdijiet bejn kwalunkwe żewġ punti")</f>
        <v>Netwerk deċentralizzat b'ħafna mogħdijiet bejn kwalunkwe żewġ punti</v>
      </c>
    </row>
    <row r="766" ht="15.75" customHeight="1">
      <c r="A766" s="2" t="s">
        <v>766</v>
      </c>
      <c r="B766" s="2" t="str">
        <f>IFERROR(__xludf.DUMMYFUNCTION("GOOGLETRANSLATE(A766,""en"", ""mt"")"),"Fil-bidu tas-snin 1950, l-applikazzjonijiet tal-istudenti naqsu bħala riżultat taż-żieda fil-kriminalità u l-faqar fil-viċinat tal-Hyde Park. Bi tweġiba, l-università saret sponsor ewlieni ta 'proġett ta' tiġdid urban kontroversjali għal Hyde Park, li aff"&amp;"ettwa profondament kemm l-arkitettura tal-viċinat kif ukoll il-pjan tat-triq. Matul dan il-perjodu l-università, bħal Shimer College u 10 oħrajn, adottaw programm ta 'parteċipant bikri li ppermetta studenti żgħar ħafna biex jattendu l-kulleġġ; Barra minn "&amp;"hekk, l-istudenti rreġistrati f'Shimer ingħataw it-trasferiment awtomatikament fl-Università ta 'Chicago wara t-tieni sena tagħhom, wara li ħadu eżamijiet u korsijiet komparabbli jew identiċi.")</f>
        <v>Fil-bidu tas-snin 1950, l-applikazzjonijiet tal-istudenti naqsu bħala riżultat taż-żieda fil-kriminalità u l-faqar fil-viċinat tal-Hyde Park. Bi tweġiba, l-università saret sponsor ewlieni ta 'proġett ta' tiġdid urban kontroversjali għal Hyde Park, li affettwa profondament kemm l-arkitettura tal-viċinat kif ukoll il-pjan tat-triq. Matul dan il-perjodu l-università, bħal Shimer College u 10 oħrajn, adottaw programm ta 'parteċipant bikri li ppermetta studenti żgħar ħafna biex jattendu l-kulleġġ; Barra minn hekk, l-istudenti rreġistrati f'Shimer ingħataw it-trasferiment awtomatikament fl-Università ta 'Chicago wara t-tieni sena tagħhom, wara li ħadu eżamijiet u korsijiet komparabbli jew identiċi.</v>
      </c>
    </row>
    <row r="767" ht="15.75" customHeight="1">
      <c r="A767" s="2" t="s">
        <v>767</v>
      </c>
      <c r="B767" s="2" t="str">
        <f>IFERROR(__xludf.DUMMYFUNCTION("GOOGLETRANSLATE(A767,""en"", ""mt"")"),"Ħsarat Ingliżi fl-Amerika ta ’Fuq, flimkien ma’ fallimenti oħra fit-Teatru Ewropew")</f>
        <v>Ħsarat Ingliżi fl-Amerika ta ’Fuq, flimkien ma’ fallimenti oħra fit-Teatru Ewropew</v>
      </c>
    </row>
    <row r="768" ht="15.75" customHeight="1">
      <c r="A768" s="2" t="s">
        <v>768</v>
      </c>
      <c r="B768" s="2" t="str">
        <f>IFERROR(__xludf.DUMMYFUNCTION("GOOGLETRANSLATE(A768,""en"", ""mt"")"),"ċediment jew il-possedimenti kontinentali tal-Amerika ta ’Fuq fil-lvant tal-Mississippi jew il-gżejjer tal-Karibew ta’ Guadeloupe u Martinique")</f>
        <v>ċediment jew il-possedimenti kontinentali tal-Amerika ta ’Fuq fil-lvant tal-Mississippi jew il-gżejjer tal-Karibew ta’ Guadeloupe u Martinique</v>
      </c>
    </row>
    <row r="769" ht="15.75" customHeight="1">
      <c r="A769" s="2" t="s">
        <v>769</v>
      </c>
      <c r="B769" s="2" t="str">
        <f>IFERROR(__xludf.DUMMYFUNCTION("GOOGLETRANSLATE(A769,""en"", ""mt"")"),"L- ""Ipotesi tal-Hugues""")</f>
        <v>L- "Ipotesi tal-Hugues"</v>
      </c>
    </row>
    <row r="770" ht="15.75" customHeight="1">
      <c r="A770" s="2" t="s">
        <v>770</v>
      </c>
      <c r="B770" s="2" t="str">
        <f>IFERROR(__xludf.DUMMYFUNCTION("GOOGLETRANSLATE(A770,""en"", ""mt"")"),"output wieħed")</f>
        <v>output wieħed</v>
      </c>
    </row>
    <row r="771" ht="15.75" customHeight="1">
      <c r="A771" s="2" t="s">
        <v>771</v>
      </c>
      <c r="B771" s="2" t="str">
        <f>IFERROR(__xludf.DUMMYFUNCTION("GOOGLETRANSLATE(A771,""en"", ""mt"")"),"Madwar wieħed minn tmienja n-numru")</f>
        <v>Madwar wieħed minn tmienja n-numru</v>
      </c>
    </row>
    <row r="772" ht="15.75" customHeight="1">
      <c r="A772" s="2" t="s">
        <v>772</v>
      </c>
      <c r="B772" s="2" t="str">
        <f>IFERROR(__xludf.DUMMYFUNCTION("GOOGLETRANSLATE(A772,""en"", ""mt"")"),"il-qoxra u l-parti l-iktar riġida tal-mantell ta 'fuq")</f>
        <v>il-qoxra u l-parti l-iktar riġida tal-mantell ta 'fuq</v>
      </c>
    </row>
    <row r="773" ht="15.75" customHeight="1">
      <c r="A773" s="2" t="s">
        <v>773</v>
      </c>
      <c r="B773" s="2" t="str">
        <f>IFERROR(__xludf.DUMMYFUNCTION("GOOGLETRANSLATE(A773,""en"", ""mt"")"),"Ir-riżultat tal-biċċa l-kbira tal-voti jista 'jiġi mbassar minn qabel peress li l-partiti politiċi normalment jagħtu struzzjonijiet lill-membri liema mod jivvutaw. Il-partijiet jafdaw xi MSPs, magħrufa bħala whips, bil-kompitu li jiżguraw li l-membri tal-"&amp;"partit jivvutaw skont il-linja tal-partit. L-MSPs m'għandhomx it-tendenza li jivvutaw kontra struzzjonijiet bħal dawn, peress li dawk li jagħmlu x'aktarx ma jilħqux gradi politiċi ogħla fil-partiti tagħhom. Membri erranti jistgħu jiġu magħżula bħala kandi"&amp;"dati uffiċjali tal-partit waqt elezzjonijiet futuri, u, f'każijiet serji, jistgħu jitkeċċew mill-partijiet tagħhom għal kollox. Għalhekk, bħal f'ħafna parlamenti, l-indipendenza tal-membri tal-Parlament Skoċċiż għandha tendenza li tkun baxxa, u r-ribelljo"&amp;"nijiet tal-backbench minn membri li huma mdejqa mal-politiki tal-partit tagħhom huma rari. Madankollu, f'xi ċirkostanzi, il-partijiet iħabbru ""voti b'xejn"", li jippermetti lill-membri jivvutaw kif jixtiequ. Dan tipikament isir fuq kwistjonijiet morali.")</f>
        <v>Ir-riżultat tal-biċċa l-kbira tal-voti jista 'jiġi mbassar minn qabel peress li l-partiti politiċi normalment jagħtu struzzjonijiet lill-membri liema mod jivvutaw. Il-partijiet jafdaw xi MSPs, magħrufa bħala whips, bil-kompitu li jiżguraw li l-membri tal-partit jivvutaw skont il-linja tal-partit. L-MSPs m'għandhomx it-tendenza li jivvutaw kontra struzzjonijiet bħal dawn, peress li dawk li jagħmlu x'aktarx ma jilħqux gradi politiċi ogħla fil-partiti tagħhom. Membri erranti jistgħu jiġu magħżula bħala kandidati uffiċjali tal-partit waqt elezzjonijiet futuri, u, f'każijiet serji, jistgħu jitkeċċew mill-partijiet tagħhom għal kollox. Għalhekk, bħal f'ħafna parlamenti, l-indipendenza tal-membri tal-Parlament Skoċċiż għandha tendenza li tkun baxxa, u r-ribelljonijiet tal-backbench minn membri li huma mdejqa mal-politiki tal-partit tagħhom huma rari. Madankollu, f'xi ċirkostanzi, il-partijiet iħabbru "voti b'xejn", li jippermetti lill-membri jivvutaw kif jixtiequ. Dan tipikament isir fuq kwistjonijiet morali.</v>
      </c>
    </row>
    <row r="774" ht="15.75" customHeight="1">
      <c r="A774" s="2" t="s">
        <v>774</v>
      </c>
      <c r="B774" s="2" t="str">
        <f>IFERROR(__xludf.DUMMYFUNCTION("GOOGLETRANSLATE(A774,""en"", ""mt"")"),"Figura ewlenija fil-pjanijiet għal dak li kien se jkun magħruf bħala l-Imperu Amerikan, kien ġeografu jismu Isiah Bowman. Bowman kien id-direttur tas-Soċjetà Ġeografika Amerikana fl-1914. Tliet snin wara fl-1917, inħatar l-inkjesta tal-President Woodrow W"&amp;"ilson fl-1917. L-inkjesta kienet l-idea tal-President Wilson u d-delegazzjoni Amerikana mill-Konferenza tal-Paċi ta 'Pariġi. Il-punt ta 'din l-inkjesta kien li tinbena premessa li tippermetti l-awtrija ta' l-Istati Uniti ta '' dinja ġdida 'li kellha tkun "&amp;"ikkaratterizzata minn ordni ġeografika. Bħala riżultat tar-rwol tiegħu fl-inkjesta, Isiah Bowman se jkun magħruf bħala Wilson's Geographer.")</f>
        <v>Figura ewlenija fil-pjanijiet għal dak li kien se jkun magħruf bħala l-Imperu Amerikan, kien ġeografu jismu Isiah Bowman. Bowman kien id-direttur tas-Soċjetà Ġeografika Amerikana fl-1914. Tliet snin wara fl-1917, inħatar l-inkjesta tal-President Woodrow Wilson fl-1917. L-inkjesta kienet l-idea tal-President Wilson u d-delegazzjoni Amerikana mill-Konferenza tal-Paċi ta 'Pariġi. Il-punt ta 'din l-inkjesta kien li tinbena premessa li tippermetti l-awtrija ta' l-Istati Uniti ta '' dinja ġdida 'li kellha tkun ikkaratterizzata minn ordni ġeografika. Bħala riżultat tar-rwol tiegħu fl-inkjesta, Isiah Bowman se jkun magħruf bħala Wilson's Geographer.</v>
      </c>
    </row>
    <row r="775" ht="15.75" customHeight="1">
      <c r="A775" s="2" t="s">
        <v>775</v>
      </c>
      <c r="B775" s="2" t="str">
        <f>IFERROR(__xludf.DUMMYFUNCTION("GOOGLETRANSLATE(A775,""en"", ""mt"")"),"X'irrakkomanda S&amp;P biex tirrimedja xi ftit id-distakk tal-ġid?")</f>
        <v>X'irrakkomanda S&amp;P biex tirrimedja xi ftit id-distakk tal-ġid?</v>
      </c>
    </row>
    <row r="776" ht="15.75" customHeight="1">
      <c r="A776" s="2" t="s">
        <v>776</v>
      </c>
      <c r="B776" s="2" t="str">
        <f>IFERROR(__xludf.DUMMYFUNCTION("GOOGLETRANSLATE(A776,""en"", ""mt"")"),"Fejn l-istandard Megalopolis tan-Nofsinhar ta 'California f'termini ta' popolazzjoni fuq livell nazzjonali?")</f>
        <v>Fejn l-istandard Megalopolis tan-Nofsinhar ta 'California f'termini ta' popolazzjoni fuq livell nazzjonali?</v>
      </c>
    </row>
    <row r="777" ht="15.75" customHeight="1">
      <c r="A777" s="2" t="s">
        <v>777</v>
      </c>
      <c r="B777" s="2" t="str">
        <f>IFERROR(__xludf.DUMMYFUNCTION("GOOGLETRANSLATE(A777,""en"", ""mt"")"),"X'inhu l-isem tal-festival tas-sajf tal-università?")</f>
        <v>X'inhu l-isem tal-festival tas-sajf tal-università?</v>
      </c>
    </row>
    <row r="778" ht="15.75" customHeight="1">
      <c r="A778" s="2" t="s">
        <v>778</v>
      </c>
      <c r="B778" s="2" t="str">
        <f>IFERROR(__xludf.DUMMYFUNCTION("GOOGLETRANSLATE(A778,""en"", ""mt"")"),"Fil-Greċja antika, id-djoċli ta 'Carystus (seklu 4 QK) kien wieħed minn bosta rġiel li jistudjaw il-proprjetajiet mediċinali tal-pjanti. Huwa kiteb diversi trattati dwar is-suġġett. It-tabib Grieg Pedanius Dioscorides huwa famuż għall-kitba ta ’ktieb ta’ "&amp;"ħames volum fil-Grieg nattiv tiegħu περί ύλης ιατρικής fis-seklu 1 WK. It-traduzzjoni Latina de Materia medica (li tikkonċerna sustanzi mediċi) intużat bażi għal ħafna testi medjevali, u kienet mibnija minn bosta xjenzati tal-Lvant Nofsani matul l-Età tad"&amp;"-Deheb Iżlamika. It-titlu ħoloq it-terminu Materia Medica.")</f>
        <v>Fil-Greċja antika, id-djoċli ta 'Carystus (seklu 4 QK) kien wieħed minn bosta rġiel li jistudjaw il-proprjetajiet mediċinali tal-pjanti. Huwa kiteb diversi trattati dwar is-suġġett. It-tabib Grieg Pedanius Dioscorides huwa famuż għall-kitba ta ’ktieb ta’ ħames volum fil-Grieg nattiv tiegħu περί ύλης ιατρικής fis-seklu 1 WK. It-traduzzjoni Latina de Materia medica (li tikkonċerna sustanzi mediċi) intużat bażi għal ħafna testi medjevali, u kienet mibnija minn bosta xjenzati tal-Lvant Nofsani matul l-Età tad-Deheb Iżlamika. It-titlu ħoloq it-terminu Materia Medica.</v>
      </c>
    </row>
    <row r="779" ht="15.75" customHeight="1">
      <c r="A779" s="2" t="s">
        <v>779</v>
      </c>
      <c r="B779" s="2" t="str">
        <f>IFERROR(__xludf.DUMMYFUNCTION("GOOGLETRANSLATE(A779,""en"", ""mt"")"),"Għaliex huwa diffiċli li tissolva nuqqas ta 'qbil dwar il-bidliet fil-foresta tropikali tal-Amażonja?")</f>
        <v>Għaliex huwa diffiċli li tissolva nuqqas ta 'qbil dwar il-bidliet fil-foresta tropikali tal-Amażonja?</v>
      </c>
    </row>
    <row r="780" ht="15.75" customHeight="1">
      <c r="A780" s="2" t="s">
        <v>780</v>
      </c>
      <c r="B780" s="2" t="str">
        <f>IFERROR(__xludf.DUMMYFUNCTION("GOOGLETRANSLATE(A780,""en"", ""mt"")"),"Fejn kienet tinfirex il-marda bejn l-1348 u l-1350?")</f>
        <v>Fejn kienet tinfirex il-marda bejn l-1348 u l-1350?</v>
      </c>
    </row>
    <row r="781" ht="15.75" customHeight="1">
      <c r="A781" s="2" t="s">
        <v>781</v>
      </c>
      <c r="B781" s="2" t="str">
        <f>IFERROR(__xludf.DUMMYFUNCTION("GOOGLETRANSLATE(A781,""en"", ""mt"")"),"Fit-tramuntana")</f>
        <v>Fit-tramuntana</v>
      </c>
    </row>
    <row r="782" ht="15.75" customHeight="1">
      <c r="A782" s="2" t="s">
        <v>782</v>
      </c>
      <c r="B782" s="2" t="str">
        <f>IFERROR(__xludf.DUMMYFUNCTION("GOOGLETRANSLATE(A782,""en"", ""mt"")"),"Matul dan iż-żmien, l-iskoperta taż-żejt fil-Baħar tat-Tramuntana u l-kampanja li ġejja ""Huwa l-Iskozja taż-Żejt"" tal-Partit Nazzjonali Skoċċiż (SNP) irriżultat f'appoġġ dejjem jiżdied għall-indipendenza Skoċċiża, kif ukoll għall-SNP. Il-partit argument"&amp;"a li d-dħul miż-żejt ma kienx qed jibbenefika l-Iskozja daqs kemm għandhom. L-effett ikkombinat ta 'dawn l-avvenimenti wassal biex il-Prim Ministru Wilson jikkommetti lill-gvern tiegħu għal xi forma ta' leġiżlatura devoluta fl-1974. Madankollu, ma kienx s"&amp;"al-1978 li l-proposti leġiżlattivi finali għal assemblea Skoċċiża ġew mgħoddija mill-Parlament tar-Renju Unit.")</f>
        <v>Matul dan iż-żmien, l-iskoperta taż-żejt fil-Baħar tat-Tramuntana u l-kampanja li ġejja "Huwa l-Iskozja taż-Żejt" tal-Partit Nazzjonali Skoċċiż (SNP) irriżultat f'appoġġ dejjem jiżdied għall-indipendenza Skoċċiża, kif ukoll għall-SNP. Il-partit argumenta li d-dħul miż-żejt ma kienx qed jibbenefika l-Iskozja daqs kemm għandhom. L-effett ikkombinat ta 'dawn l-avvenimenti wassal biex il-Prim Ministru Wilson jikkommetti lill-gvern tiegħu għal xi forma ta' leġiżlatura devoluta fl-1974. Madankollu, ma kienx sal-1978 li l-proposti leġiżlattivi finali għal assemblea Skoċċiża ġew mgħoddija mill-Parlament tar-Renju Unit.</v>
      </c>
    </row>
    <row r="783" ht="15.75" customHeight="1">
      <c r="A783" s="2" t="s">
        <v>783</v>
      </c>
      <c r="B783" s="2" t="str">
        <f>IFERROR(__xludf.DUMMYFUNCTION("GOOGLETRANSLATE(A783,""en"", ""mt"")"),"X'inhu identifikatur tal-konnessjoni")</f>
        <v>X'inhu identifikatur tal-konnessjoni</v>
      </c>
    </row>
    <row r="784" ht="15.75" customHeight="1">
      <c r="A784" s="2" t="s">
        <v>784</v>
      </c>
      <c r="B784" s="2" t="str">
        <f>IFERROR(__xludf.DUMMYFUNCTION("GOOGLETRANSLATE(A784,""en"", ""mt"")"),"X'kienet waħda mill-esportazzjonijiet ewlenin tan-Norman?")</f>
        <v>X'kienet waħda mill-esportazzjonijiet ewlenin tan-Norman?</v>
      </c>
    </row>
    <row r="785" ht="15.75" customHeight="1">
      <c r="A785" s="2" t="s">
        <v>785</v>
      </c>
      <c r="B785" s="2" t="str">
        <f>IFERROR(__xludf.DUMMYFUNCTION("GOOGLETRANSLATE(A785,""en"", ""mt"")"),"Fejn jinsab l-organu aboral?")</f>
        <v>Fejn jinsab l-organu aboral?</v>
      </c>
    </row>
    <row r="786" ht="15.75" customHeight="1">
      <c r="A786" s="2" t="s">
        <v>786</v>
      </c>
      <c r="B786" s="2" t="str">
        <f>IFERROR(__xludf.DUMMYFUNCTION("GOOGLETRANSLATE(A786,""en"", ""mt"")"),"Metodu li jalloka minn qabel il-wisa 'tal-banda tan-netwerk iddedikat")</f>
        <v>Metodu li jalloka minn qabel il-wisa 'tal-banda tan-netwerk iddedikat</v>
      </c>
    </row>
    <row r="787" ht="15.75" customHeight="1">
      <c r="A787" s="2" t="s">
        <v>787</v>
      </c>
      <c r="B787" s="2" t="str">
        <f>IFERROR(__xludf.DUMMYFUNCTION("GOOGLETRANSLATE(A787,""en"", ""mt"")"),"ħafna drabi tagħmel ħsara")</f>
        <v>ħafna drabi tagħmel ħsara</v>
      </c>
    </row>
    <row r="788" ht="15.75" customHeight="1">
      <c r="A788" s="2" t="s">
        <v>788</v>
      </c>
      <c r="B788" s="2" t="str">
        <f>IFERROR(__xludf.DUMMYFUNCTION("GOOGLETRANSLATE(A788,""en"", ""mt"")"),"Wilson's")</f>
        <v>Wilson's</v>
      </c>
    </row>
    <row r="789" ht="15.75" customHeight="1">
      <c r="A789" s="2" t="s">
        <v>789</v>
      </c>
      <c r="B789" s="2" t="str">
        <f>IFERROR(__xludf.DUMMYFUNCTION("GOOGLETRANSLATE(A789,""en"", ""mt"")"),"id-dikjarazzjoni uffiċjali tal-gwerra fl-1756 għall-iffirmar tat-trattat ta 'paċi fl-1763")</f>
        <v>id-dikjarazzjoni uffiċjali tal-gwerra fl-1756 għall-iffirmar tat-trattat ta 'paċi fl-1763</v>
      </c>
    </row>
    <row r="790" ht="15.75" customHeight="1">
      <c r="A790" s="2" t="s">
        <v>790</v>
      </c>
      <c r="B790" s="2" t="str">
        <f>IFERROR(__xludf.DUMMYFUNCTION("GOOGLETRANSLATE(A790,""en"", ""mt"")"),"X'kien l-isem tal-miżura approvata li għen biex tkopri l-ispiża tal-proġetti ewlenin tal-belt?")</f>
        <v>X'kien l-isem tal-miżura approvata li għen biex tkopri l-ispiża tal-proġetti ewlenin tal-belt?</v>
      </c>
    </row>
    <row r="791" ht="15.75" customHeight="1">
      <c r="A791" s="2" t="s">
        <v>791</v>
      </c>
      <c r="B791" s="2" t="str">
        <f>IFERROR(__xludf.DUMMYFUNCTION("GOOGLETRANSLATE(A791,""en"", ""mt"")"),"Downtown Riverside")</f>
        <v>Downtown Riverside</v>
      </c>
    </row>
    <row r="792" ht="15.75" customHeight="1">
      <c r="A792" s="2" t="s">
        <v>792</v>
      </c>
      <c r="B792" s="2" t="str">
        <f>IFERROR(__xludf.DUMMYFUNCTION("GOOGLETRANSLATE(A792,""en"", ""mt"")"),"Jista 'jkollhom infinitament ħafna primes biss meta A u Q huma koprime, i.e., l-akbar divisor komuni tagħhom huwa wieħed. Jekk din il-kundizzjoni meħtieġa tkun sodisfatta, it-teorema ta 'Dirichlet fuq il-progressjonijiet aritmetiċi tafferma li l-progressj"&amp;"oni fiha ħafna primes infinitament. L-istampa hawn taħt turi dan bi q = 9: in-numri huma ""mgeżwra"" malli jiġi mgħoddi multiplu ta '9. Il-primes huma enfasizzati bl-aħmar. Ir-ringieli (= progressjonijiet) li jibdew b '= 3, 6, jew 9 fihom l-aktar numru ew"&amp;"lieni. Fir-ringieli l-oħra kollha (a = 1, 2, 4, 5, 7, u 8) hemm ħafna numri ewlenin. Barra minn hekk, il-primes huma mqassma bl-istess mod bejn dawk ir-ringieli fit-tul - id-densità tal-primes kollha kongruwenti Modulo 9 hija 1/6.")</f>
        <v>Jista 'jkollhom infinitament ħafna primes biss meta A u Q huma koprime, i.e., l-akbar divisor komuni tagħhom huwa wieħed. Jekk din il-kundizzjoni meħtieġa tkun sodisfatta, it-teorema ta 'Dirichlet fuq il-progressjonijiet aritmetiċi tafferma li l-progressjoni fiha ħafna primes infinitament. L-istampa hawn taħt turi dan bi q = 9: in-numri huma "mgeżwra" malli jiġi mgħoddi multiplu ta '9. Il-primes huma enfasizzati bl-aħmar. Ir-ringieli (= progressjonijiet) li jibdew b '= 3, 6, jew 9 fihom l-aktar numru ewlieni. Fir-ringieli l-oħra kollha (a = 1, 2, 4, 5, 7, u 8) hemm ħafna numri ewlenin. Barra minn hekk, il-primes huma mqassma bl-istess mod bejn dawk ir-ringieli fit-tul - id-densità tal-primes kollha kongruwenti Modulo 9 hija 1/6.</v>
      </c>
    </row>
    <row r="793" ht="15.75" customHeight="1">
      <c r="A793" s="2" t="s">
        <v>793</v>
      </c>
      <c r="B793" s="2" t="str">
        <f>IFERROR(__xludf.DUMMYFUNCTION("GOOGLETRANSLATE(A793,""en"", ""mt"")"),"Iċ-ċelloli T qattiel jistgħu jirrikonoxxu biss antiġeni akkoppjati ma 'x'tip ta' molekuli?")</f>
        <v>Iċ-ċelloli T qattiel jistgħu jirrikonoxxu biss antiġeni akkoppjati ma 'x'tip ta' molekuli?</v>
      </c>
    </row>
    <row r="794" ht="15.75" customHeight="1">
      <c r="A794" s="2" t="s">
        <v>794</v>
      </c>
      <c r="B794" s="2" t="str">
        <f>IFERROR(__xludf.DUMMYFUNCTION("GOOGLETRANSLATE(A794,""en"", ""mt"")"),"X'inhu mod kif tista 'turi uffiċjali tal-pulizija diżubbidjenza ċivili?")</f>
        <v>X'inhu mod kif tista 'turi uffiċjali tal-pulizija diżubbidjenza ċivili?</v>
      </c>
    </row>
    <row r="795" ht="15.75" customHeight="1">
      <c r="A795" s="2" t="s">
        <v>795</v>
      </c>
      <c r="B795" s="2" t="str">
        <f>IFERROR(__xludf.DUMMYFUNCTION("GOOGLETRANSLATE(A795,""en"", ""mt"")"),"Diretti Diretti Ċivili")</f>
        <v>Diretti Diretti Ċivili</v>
      </c>
    </row>
    <row r="796" ht="15.75" customHeight="1">
      <c r="A796" s="2" t="s">
        <v>796</v>
      </c>
      <c r="B796" s="2" t="str">
        <f>IFERROR(__xludf.DUMMYFUNCTION("GOOGLETRANSLATE(A796,""en"", ""mt"")"),"Mill-mewt ta ’Augustus fl-14 ta’ wara sa wara s-70 ta ’wara, Ruma aċċettat bħala l-fruntiera Ġermanika tagħha l-fruntiera tal-ilma tar-Renu u tad-Danubju ta’ Fuq. Lil hinn minn dawn ix-xmajjar hija kellha biss il-pjanura fertili ta 'Frankfurt, faċċata tal"&amp;"-fortizza tal-fruntiera Rumana ta' Moguntiacum (Mainz), l-għoljiet tan-nofsinhar tal-foresta s-sewda u ftit irjus tal-pont imxerrdin. It-taqsima tat-tramuntana ta 'din il-fruntiera, fejn ir-Renu hija fonda u wiesgħa, baqgħet il-konfini Rumana sakemm waqa'"&amp;" l-imperu. Il-parti tan-Nofsinhar kienet differenti. Ir-Renu ta ’Fuq u d-Danubju ta’ Fuq jinqasmu faċilment. Il-fruntiera li huma jiffurmaw hija twila inkonvenjent, li tagħlaq feles akut ta 'territorju barrani bejn il-Baden modern u l-Württemberg. Il-popo"&amp;"lazzjonijiet Ġermaniċi ta 'dawn l-artijiet jidhru fi żminijiet Rumani li kienu skarsi, u s-suġġetti Rumani mill-Alsace-Lorraine moderna kienu injorati madwar ix-xmara lejn il-lvant.")</f>
        <v>Mill-mewt ta ’Augustus fl-14 ta’ wara sa wara s-70 ta ’wara, Ruma aċċettat bħala l-fruntiera Ġermanika tagħha l-fruntiera tal-ilma tar-Renu u tad-Danubju ta’ Fuq. Lil hinn minn dawn ix-xmajjar hija kellha biss il-pjanura fertili ta 'Frankfurt, faċċata tal-fortizza tal-fruntiera Rumana ta' Moguntiacum (Mainz), l-għoljiet tan-nofsinhar tal-foresta s-sewda u ftit irjus tal-pont imxerrdin. It-taqsima tat-tramuntana ta 'din il-fruntiera, fejn ir-Renu hija fonda u wiesgħa, baqgħet il-konfini Rumana sakemm waqa' l-imperu. Il-parti tan-Nofsinhar kienet differenti. Ir-Renu ta ’Fuq u d-Danubju ta’ Fuq jinqasmu faċilment. Il-fruntiera li huma jiffurmaw hija twila inkonvenjent, li tagħlaq feles akut ta 'territorju barrani bejn il-Baden modern u l-Württemberg. Il-popolazzjonijiet Ġermaniċi ta 'dawn l-artijiet jidhru fi żminijiet Rumani li kienu skarsi, u s-suġġetti Rumani mill-Alsace-Lorraine moderna kienu injorati madwar ix-xmara lejn il-lvant.</v>
      </c>
    </row>
    <row r="797" ht="15.75" customHeight="1">
      <c r="A797" s="2" t="s">
        <v>797</v>
      </c>
      <c r="B797" s="2" t="str">
        <f>IFERROR(__xludf.DUMMYFUNCTION("GOOGLETRANSLATE(A797,""en"", ""mt"")"),"Telekomunikazzjonijiet")</f>
        <v>Telekomunikazzjonijiet</v>
      </c>
    </row>
    <row r="798" ht="15.75" customHeight="1">
      <c r="A798" s="2" t="s">
        <v>798</v>
      </c>
      <c r="B798" s="2" t="str">
        <f>IFERROR(__xludf.DUMMYFUNCTION("GOOGLETRANSLATE(A798,""en"", ""mt"")"),"Inizjalment mibnija bi tliet saffi, aktar tard (1982) evolviet fi protokoll ta 'netwerking konformi ma' seba 'saffi")</f>
        <v>Inizjalment mibnija bi tliet saffi, aktar tard (1982) evolviet fi protokoll ta 'netwerking konformi ma' seba 'saffi</v>
      </c>
    </row>
    <row r="799" ht="15.75" customHeight="1">
      <c r="A799" s="2" t="s">
        <v>799</v>
      </c>
      <c r="B799" s="2" t="str">
        <f>IFERROR(__xludf.DUMMYFUNCTION("GOOGLETRANSLATE(A799,""en"", ""mt"")"),"jista 'jkun ta' profitt")</f>
        <v>jista 'jkun ta' profitt</v>
      </c>
    </row>
    <row r="800" ht="15.75" customHeight="1">
      <c r="A800" s="2" t="s">
        <v>800</v>
      </c>
      <c r="B800" s="2" t="str">
        <f>IFERROR(__xludf.DUMMYFUNCTION("GOOGLETRANSLATE(A800,""en"", ""mt"")"),"Min inkella rrefera Datnet 1")</f>
        <v>Min inkella rrefera Datnet 1</v>
      </c>
    </row>
    <row r="801" ht="15.75" customHeight="1">
      <c r="A801" s="2" t="s">
        <v>801</v>
      </c>
      <c r="B801" s="2" t="str">
        <f>IFERROR(__xludf.DUMMYFUNCTION("GOOGLETRANSLATE(A801,""en"", ""mt"")"),"Repulsjoni Pauli")</f>
        <v>Repulsjoni Pauli</v>
      </c>
    </row>
    <row r="802" ht="15.75" customHeight="1">
      <c r="A802" s="2" t="s">
        <v>802</v>
      </c>
      <c r="B802" s="2" t="str">
        <f>IFERROR(__xludf.DUMMYFUNCTION("GOOGLETRANSLATE(A802,""en"", ""mt"")"),"tnaqqas l-ispejjeż u timmassimizza l-profitti")</f>
        <v>tnaqqas l-ispejjeż u timmassimizza l-profitti</v>
      </c>
    </row>
    <row r="803" ht="15.75" customHeight="1">
      <c r="A803" s="2" t="s">
        <v>803</v>
      </c>
      <c r="B803" s="2" t="str">
        <f>IFERROR(__xludf.DUMMYFUNCTION("GOOGLETRANSLATE(A803,""en"", ""mt"")"),"Marzu 1974")</f>
        <v>Marzu 1974</v>
      </c>
    </row>
    <row r="804" ht="15.75" customHeight="1">
      <c r="A804" s="2" t="s">
        <v>804</v>
      </c>
      <c r="B804" s="2" t="str">
        <f>IFERROR(__xludf.DUMMYFUNCTION("GOOGLETRANSLATE(A804,""en"", ""mt"")"),"tfisser li tinvesti")</f>
        <v>tfisser li tinvesti</v>
      </c>
    </row>
    <row r="805" ht="15.75" customHeight="1">
      <c r="A805" s="2" t="s">
        <v>805</v>
      </c>
      <c r="B805" s="2" t="str">
        <f>IFERROR(__xludf.DUMMYFUNCTION("GOOGLETRANSLATE(A805,""en"", ""mt"")"),"Liġi Primarja, Liġi Sekondarja u Liġi Supplimentari")</f>
        <v>Liġi Primarja, Liġi Sekondarja u Liġi Supplimentari</v>
      </c>
    </row>
    <row r="806" ht="15.75" customHeight="1">
      <c r="A806" s="2" t="s">
        <v>806</v>
      </c>
      <c r="B806" s="2" t="str">
        <f>IFERROR(__xludf.DUMMYFUNCTION("GOOGLETRANSLATE(A806,""en"", ""mt"")"),"Franza Antartika")</f>
        <v>Franza Antartika</v>
      </c>
    </row>
    <row r="807" ht="15.75" customHeight="1">
      <c r="A807" s="2" t="s">
        <v>807</v>
      </c>
      <c r="B807" s="2" t="str">
        <f>IFERROR(__xludf.DUMMYFUNCTION("GOOGLETRANSLATE(A807,""en"", ""mt"")"),"L-intestatura tal-pakkett tista 'tkun żgħira, peress li teħtieġ biss li tinkludi dan il-kodiċi u kwalunkwe informazzjoni, bħal tul, timestamp, jew numru tas-sekwenza")</f>
        <v>L-intestatura tal-pakkett tista 'tkun żgħira, peress li teħtieġ biss li tinkludi dan il-kodiċi u kwalunkwe informazzjoni, bħal tul, timestamp, jew numru tas-sekwenza</v>
      </c>
    </row>
    <row r="808" ht="15.75" customHeight="1">
      <c r="A808" s="2" t="s">
        <v>808</v>
      </c>
      <c r="B808" s="2" t="str">
        <f>IFERROR(__xludf.DUMMYFUNCTION("GOOGLETRANSLATE(A808,""en"", ""mt"")"),"Is-sistema immuni adattiva tirrikonoxxi antiġeni mhux awto waqt proċess imsejjaħ x'inhu?")</f>
        <v>Is-sistema immuni adattiva tirrikonoxxi antiġeni mhux awto waqt proċess imsejjaħ x'inhu?</v>
      </c>
    </row>
    <row r="809" ht="15.75" customHeight="1">
      <c r="A809" s="2" t="s">
        <v>809</v>
      </c>
      <c r="B809" s="2" t="str">
        <f>IFERROR(__xludf.DUMMYFUNCTION("GOOGLETRANSLATE(A809,""en"", ""mt"")"),"Il-ġeoloġi strutturali jużaw analiżi mikroskopika ta 'sezzjonijiet irqaq orjentati ta' kampjuni ġeoloġiċi biex josservaw id-drapp fil-blat li jagħti informazzjoni dwar ir-razza fl-istruttura kristallina tal-blat. Huma wkoll jippjanaw u jikkombinaw kejl ta"&amp;" 'strutturi ġeoloġiċi sabiex jifhmu aħjar l-orjentazzjonijiet ta' ħsarat u jingħalaq sabiex terġa 'tinbena l-istorja tad-deformazzjoni tal-blat fiż-żona. Barra minn hekk, huma jwettqu esperimenti analogi u numeriċi ta 'deformazzjoni tal-blat f'ambjenti kb"&amp;"ar u żgħar.")</f>
        <v>Il-ġeoloġi strutturali jużaw analiżi mikroskopika ta 'sezzjonijiet irqaq orjentati ta' kampjuni ġeoloġiċi biex josservaw id-drapp fil-blat li jagħti informazzjoni dwar ir-razza fl-istruttura kristallina tal-blat. Huma wkoll jippjanaw u jikkombinaw kejl ta 'strutturi ġeoloġiċi sabiex jifhmu aħjar l-orjentazzjonijiet ta' ħsarat u jingħalaq sabiex terġa 'tinbena l-istorja tad-deformazzjoni tal-blat fiż-żona. Barra minn hekk, huma jwettqu esperimenti analogi u numeriċi ta 'deformazzjoni tal-blat f'ambjenti kbar u żgħar.</v>
      </c>
    </row>
    <row r="810" ht="15.75" customHeight="1">
      <c r="A810" s="2" t="s">
        <v>810</v>
      </c>
      <c r="B810" s="2" t="str">
        <f>IFERROR(__xludf.DUMMYFUNCTION("GOOGLETRANSLATE(A810,""en"", ""mt"")"),"Wirit mid-Dynasty Jin")</f>
        <v>Wirit mid-Dynasty Jin</v>
      </c>
    </row>
    <row r="811" ht="15.75" customHeight="1">
      <c r="A811" s="2" t="s">
        <v>811</v>
      </c>
      <c r="B811" s="2" t="str">
        <f>IFERROR(__xludf.DUMMYFUNCTION("GOOGLETRANSLATE(A811,""en"", ""mt"")"),"Għaliex inħarġu r-rapporti speċjali tal-2011?")</f>
        <v>Għaliex inħarġu r-rapporti speċjali tal-2011?</v>
      </c>
    </row>
    <row r="812" ht="15.75" customHeight="1">
      <c r="A812" s="2" t="s">
        <v>812</v>
      </c>
      <c r="B812" s="2" t="str">
        <f>IFERROR(__xludf.DUMMYFUNCTION("GOOGLETRANSLATE(A812,""en"", ""mt"")"),"Ir-reġjun huwa dar għal madwar 2.5 miljun speċi ta 'insetti, għexieren ta' eluf ta 'pjanti, u madwar 2,000 għasafar u mammiferi. Sal-lum, mill-inqas 40,000 speċi ta ’pjanti, 2,200 ħut, 1,294 għasafar, 427 mammiferi, 428 anfibji, u 378 rettili ġew klassifi"&amp;"kati xjentifikament fir-reġjun. Waħda minn kull ħamsa mill-ispeċi kollha tal-għasafar fid-dinja tgħix fil-foresti tropikali tal-Amażonja, u waħda minn kull ħamsa mill-ispeċi tal-ħut jgħixu fix-xmajjar u n-nixxigħat tal-Amażonja. Ix-xjentisti ddeskrivew be"&amp;"jn 96,660 u 128,843 speċi invertebrati fil-Brażil biss.")</f>
        <v>Ir-reġjun huwa dar għal madwar 2.5 miljun speċi ta 'insetti, għexieren ta' eluf ta 'pjanti, u madwar 2,000 għasafar u mammiferi. Sal-lum, mill-inqas 40,000 speċi ta ’pjanti, 2,200 ħut, 1,294 għasafar, 427 mammiferi, 428 anfibji, u 378 rettili ġew klassifikati xjentifikament fir-reġjun. Waħda minn kull ħamsa mill-ispeċi kollha tal-għasafar fid-dinja tgħix fil-foresti tropikali tal-Amażonja, u waħda minn kull ħamsa mill-ispeċi tal-ħut jgħixu fix-xmajjar u n-nixxigħat tal-Amażonja. Ix-xjentisti ddeskrivew bejn 96,660 u 128,843 speċi invertebrati fil-Brażil biss.</v>
      </c>
    </row>
    <row r="813" ht="15.75" customHeight="1">
      <c r="A813" s="2" t="s">
        <v>813</v>
      </c>
      <c r="B813" s="2" t="str">
        <f>IFERROR(__xludf.DUMMYFUNCTION("GOOGLETRANSLATE(A813,""en"", ""mt"")"),"Il-Watersheds ta ’San Lawrenz u Mississippi")</f>
        <v>Il-Watersheds ta ’San Lawrenz u Mississippi</v>
      </c>
    </row>
    <row r="814" ht="15.75" customHeight="1">
      <c r="A814" s="2" t="s">
        <v>814</v>
      </c>
      <c r="B814" s="2" t="str">
        <f>IFERROR(__xludf.DUMMYFUNCTION("GOOGLETRANSLATE(A814,""en"", ""mt"")"),"X'tip ta 'diżubbidjenza ċivili hija skala akbar?")</f>
        <v>X'tip ta 'diżubbidjenza ċivili hija skala akbar?</v>
      </c>
    </row>
    <row r="815" ht="15.75" customHeight="1">
      <c r="A815" s="2" t="s">
        <v>815</v>
      </c>
      <c r="B815" s="2" t="str">
        <f>IFERROR(__xludf.DUMMYFUNCTION("GOOGLETRANSLATE(A815,""en"", ""mt"")"),"L-ogħla bini fiċ-ċentru ta ’Jacksonville")</f>
        <v>L-ogħla bini fiċ-ċentru ta ’Jacksonville</v>
      </c>
    </row>
    <row r="816" ht="15.75" customHeight="1">
      <c r="A816" s="2" t="s">
        <v>816</v>
      </c>
      <c r="B816" s="2" t="str">
        <f>IFERROR(__xludf.DUMMYFUNCTION("GOOGLETRANSLATE(A816,""en"", ""mt"")"),"X'kien qed jistudja Iqbal fl-Ingilterra u l-Ġermanja?")</f>
        <v>X'kien qed jistudja Iqbal fl-Ingilterra u l-Ġermanja?</v>
      </c>
    </row>
    <row r="817" ht="15.75" customHeight="1">
      <c r="A817" s="2" t="s">
        <v>817</v>
      </c>
      <c r="B817" s="2" t="str">
        <f>IFERROR(__xludf.DUMMYFUNCTION("GOOGLETRANSLATE(A817,""en"", ""mt"")"),"Liema kitba ispirat l-isem kbir Yuan?")</f>
        <v>Liema kitba ispirat l-isem kbir Yuan?</v>
      </c>
    </row>
    <row r="818" ht="15.75" customHeight="1">
      <c r="A818" s="2" t="s">
        <v>818</v>
      </c>
      <c r="B818" s="2" t="str">
        <f>IFERROR(__xludf.DUMMYFUNCTION("GOOGLETRANSLATE(A818,""en"", ""mt"")"),"X'inhuma eżempji irrilevanti oħra ta 'problema ta' funzjoni&gt;")</f>
        <v>X'inhuma eżempji irrilevanti oħra ta 'problema ta' funzjoni&gt;</v>
      </c>
    </row>
    <row r="819" ht="15.75" customHeight="1">
      <c r="A819" s="2" t="s">
        <v>819</v>
      </c>
      <c r="B819" s="2" t="str">
        <f>IFERROR(__xludf.DUMMYFUNCTION("GOOGLETRANSLATE(A819,""en"", ""mt"")"),"X'kien l-ivvjaġġar tas-sema aktar tard mill-ġdid?")</f>
        <v>X'kien l-ivvjaġġar tas-sema aktar tard mill-ġdid?</v>
      </c>
    </row>
    <row r="820" ht="15.75" customHeight="1">
      <c r="A820" s="2" t="s">
        <v>820</v>
      </c>
      <c r="B820" s="2" t="str">
        <f>IFERROR(__xludf.DUMMYFUNCTION("GOOGLETRANSLATE(A820,""en"", ""mt"")"),"Limitazzjonijiet prattiċi ta 'ħidma fil-foresta tropikali")</f>
        <v>Limitazzjonijiet prattiċi ta 'ħidma fil-foresta tropikali</v>
      </c>
    </row>
    <row r="821" ht="15.75" customHeight="1">
      <c r="A821" s="2" t="s">
        <v>821</v>
      </c>
      <c r="B821" s="2" t="str">
        <f>IFERROR(__xludf.DUMMYFUNCTION("GOOGLETRANSLATE(A821,""en"", ""mt"")"),"Ix-xandiriet standard ta 'definizzjoni standard ta' BSKYB huma f'MPEG-2 konformi mad-DVB, bil-films Sky u l-kanali tal-box office Sky inklużi soundtracks diġitali Dolby mhux obbligatorji għal films riċenti, għalkemm dawn huma aċċessibbli biss b'kaxxa Sky "&amp;"+. SKY + HD Material huwa mxandar bl-użu ta 'MPEG-4 u l-biċċa l-kbira tal-materjal HD juża l-istandard DVB-S2. Servizzi interattivi u EPG ta '7 ijiem jużaw is-sistema proprjetarja OPENTV, b'kaxex set-top inklużi modems għal mogħdija ta' ritorn. Sky News, "&amp;"fost kanali oħra, tipprovdi servizz interattiv psewdo-video fuq talba billi xxandar flussi ta 'vidjow looping.")</f>
        <v>Ix-xandiriet standard ta 'definizzjoni standard ta' BSKYB huma f'MPEG-2 konformi mad-DVB, bil-films Sky u l-kanali tal-box office Sky inklużi soundtracks diġitali Dolby mhux obbligatorji għal films riċenti, għalkemm dawn huma aċċessibbli biss b'kaxxa Sky +. SKY + HD Material huwa mxandar bl-użu ta 'MPEG-4 u l-biċċa l-kbira tal-materjal HD juża l-istandard DVB-S2. Servizzi interattivi u EPG ta '7 ijiem jużaw is-sistema proprjetarja OPENTV, b'kaxex set-top inklużi modems għal mogħdija ta' ritorn. Sky News, fost kanali oħra, tipprovdi servizz interattiv psewdo-video fuq talba billi xxandar flussi ta 'vidjow looping.</v>
      </c>
    </row>
    <row r="822" ht="15.75" customHeight="1">
      <c r="A822" s="2" t="s">
        <v>822</v>
      </c>
      <c r="B822" s="2" t="str">
        <f>IFERROR(__xludf.DUMMYFUNCTION("GOOGLETRANSLATE(A822,""en"", ""mt"")"),"X’għamlu l-Musulmani li għamlu l-Musulmani?")</f>
        <v>X’għamlu l-Musulmani li għamlu l-Musulmani?</v>
      </c>
    </row>
    <row r="823" ht="15.75" customHeight="1">
      <c r="A823" s="2" t="s">
        <v>823</v>
      </c>
      <c r="B823" s="2" t="str">
        <f>IFERROR(__xludf.DUMMYFUNCTION("GOOGLETRANSLATE(A823,""en"", ""mt"")"),"Liema oqsma tal-Ewropa tat-Tramuntana pprattikaw dawk ir-reliġjonijiet?")</f>
        <v>Liema oqsma tal-Ewropa tat-Tramuntana pprattikaw dawk ir-reliġjonijiet?</v>
      </c>
    </row>
    <row r="824" ht="15.75" customHeight="1">
      <c r="A824" s="2" t="s">
        <v>824</v>
      </c>
      <c r="B824" s="2" t="str">
        <f>IFERROR(__xludf.DUMMYFUNCTION("GOOGLETRANSLATE(A824,""en"", ""mt"")"),"irjiħat")</f>
        <v>irjiħat</v>
      </c>
    </row>
    <row r="825" ht="15.75" customHeight="1">
      <c r="A825" s="2" t="s">
        <v>825</v>
      </c>
      <c r="B825" s="2" t="str">
        <f>IFERROR(__xludf.DUMMYFUNCTION("GOOGLETRANSLATE(A825,""en"", ""mt"")"),"Minħabba li ċ-Ċina tan-Nofsinhar irreżistiet u ġġieldet għall-aħħar qabel ma ħarġet")</f>
        <v>Minħabba li ċ-Ċina tan-Nofsinhar irreżistiet u ġġieldet għall-aħħar qabel ma ħarġet</v>
      </c>
    </row>
    <row r="826" ht="15.75" customHeight="1">
      <c r="A826" s="2" t="s">
        <v>826</v>
      </c>
      <c r="B826" s="2" t="str">
        <f>IFERROR(__xludf.DUMMYFUNCTION("GOOGLETRANSLATE(A826,""en"", ""mt"")"),"estiż")</f>
        <v>estiż</v>
      </c>
    </row>
    <row r="827" ht="15.75" customHeight="1">
      <c r="A827" s="2" t="s">
        <v>827</v>
      </c>
      <c r="B827" s="2" t="str">
        <f>IFERROR(__xludf.DUMMYFUNCTION("GOOGLETRANSLATE(A827,""en"", ""mt"")"),"Turbini tal-fwar")</f>
        <v>Turbini tal-fwar</v>
      </c>
    </row>
    <row r="828" ht="15.75" customHeight="1">
      <c r="A828" s="2" t="s">
        <v>828</v>
      </c>
      <c r="B828" s="2" t="str">
        <f>IFERROR(__xludf.DUMMYFUNCTION("GOOGLETRANSLATE(A828,""en"", ""mt"")"),"Amazon")</f>
        <v>Amazon</v>
      </c>
    </row>
    <row r="829" ht="15.75" customHeight="1">
      <c r="A829" s="2" t="s">
        <v>829</v>
      </c>
      <c r="B829" s="2" t="str">
        <f>IFERROR(__xludf.DUMMYFUNCTION("GOOGLETRANSLATE(A829,""en"", ""mt"")"),"aġenziji tal-gvern u kumpaniji kbar (l-aktar banek u linji tal-ajru) biex jibnu n-netwerks iddedikati tagħhom stess")</f>
        <v>aġenziji tal-gvern u kumpaniji kbar (l-aktar banek u linji tal-ajru) biex jibnu n-netwerks iddedikati tagħhom stess</v>
      </c>
    </row>
    <row r="830" ht="15.75" customHeight="1">
      <c r="A830" s="2" t="s">
        <v>830</v>
      </c>
      <c r="B830" s="2" t="str">
        <f>IFERROR(__xludf.DUMMYFUNCTION("GOOGLETRANSLATE(A830,""en"", ""mt"")"),"iktar għali")</f>
        <v>iktar għali</v>
      </c>
    </row>
    <row r="831" ht="15.75" customHeight="1">
      <c r="A831" s="2" t="s">
        <v>831</v>
      </c>
      <c r="B831" s="2" t="str">
        <f>IFERROR(__xludf.DUMMYFUNCTION("GOOGLETRANSLATE(A831,""en"", ""mt"")"),"pari ta 'primes bid-differenza 2")</f>
        <v>pari ta 'primes bid-differenza 2</v>
      </c>
    </row>
    <row r="832" ht="15.75" customHeight="1">
      <c r="A832" s="2" t="s">
        <v>832</v>
      </c>
      <c r="B832" s="2" t="str">
        <f>IFERROR(__xludf.DUMMYFUNCTION("GOOGLETRANSLATE(A832,""en"", ""mt"")"),"L-Interkonnessjoni tan-Netwerks Nazzjonali X.25")</f>
        <v>L-Interkonnessjoni tan-Netwerks Nazzjonali X.25</v>
      </c>
    </row>
    <row r="833" ht="15.75" customHeight="1">
      <c r="A833" s="2" t="s">
        <v>833</v>
      </c>
      <c r="B833" s="2" t="str">
        <f>IFERROR(__xludf.DUMMYFUNCTION("GOOGLETRANSLATE(A833,""en"", ""mt"")"),"X'kienet it-telfa tat-truppi Għarab f'idejn it-truppi Iżraeljani matul il-gwerra ta 'sitt ijiem?")</f>
        <v>X'kienet it-telfa tat-truppi Għarab f'idejn it-truppi Iżraeljani matul il-gwerra ta 'sitt ijiem?</v>
      </c>
    </row>
    <row r="834" ht="15.75" customHeight="1">
      <c r="A834" s="2" t="s">
        <v>834</v>
      </c>
      <c r="B834" s="2" t="str">
        <f>IFERROR(__xludf.DUMMYFUNCTION("GOOGLETRANSLATE(A834,""en"", ""mt"")"),"Residenti Franċiżi li għażlu li jibqgħu fil-kolonja jingħataw il-libertà")</f>
        <v>Residenti Franċiżi li għażlu li jibqgħu fil-kolonja jingħataw il-libertà</v>
      </c>
    </row>
    <row r="835" ht="15.75" customHeight="1">
      <c r="A835" s="2" t="s">
        <v>835</v>
      </c>
      <c r="B835" s="2" t="str">
        <f>IFERROR(__xludf.DUMMYFUNCTION("GOOGLETRANSLATE(A835,""en"", ""mt"")"),"Paltz Ġdid")</f>
        <v>Paltz Ġdid</v>
      </c>
    </row>
    <row r="836" ht="15.75" customHeight="1">
      <c r="A836" s="2" t="s">
        <v>836</v>
      </c>
      <c r="B836" s="2" t="str">
        <f>IFERROR(__xludf.DUMMYFUNCTION("GOOGLETRANSLATE(A836,""en"", ""mt"")"),"Ir-Rabat fih ħafna żoni topografikament, ġeoloġikament u klimatikament differenti, li jvarjaw mill-klima mxarrba u moderata tal-Gippsland fix-Xlokk saż-żoni Alpini Vittorjani miksija bil-borra li jogħlew għal kważi 2,000 m (6,600 ft), bil-Muntanja Bogong "&amp;"l-ogħla quċċata fi 1,986 m (6,516 ft). Hemm pjanuri estensivi semi-aridi lejn il-punent u l-majjistral. Hemm serje estensiva ta 'sistemi tax-xmajjar fir-Rabat. L-iktar notevoli hija s-sistema tax-Xmara Murray. Xmajjar oħra jinkludu: Xmara tal-Fran, Xmara "&amp;"Goulburn, River Patterson, River King, River Campaspe, River Loddon, River Wimmera, Elgin River, Barwon River, Thomson River, Snowy River, Latrobe River, Yarra River, Mabrarnong, River Mitta, Mitta River, Hopkins Xmara, Xmara Merri u Xmara Kiewa. Is-simbo"&amp;"li tal-istat jinkludu s-Saħħa Roża (Fjura tal-Istat), il-Possum ta 'Leadbeater (State Animal) u l-Honeyeater Elmuted (State Bird).")</f>
        <v>Ir-Rabat fih ħafna żoni topografikament, ġeoloġikament u klimatikament differenti, li jvarjaw mill-klima mxarrba u moderata tal-Gippsland fix-Xlokk saż-żoni Alpini Vittorjani miksija bil-borra li jogħlew għal kważi 2,000 m (6,600 ft), bil-Muntanja Bogong l-ogħla quċċata fi 1,986 m (6,516 ft). Hemm pjanuri estensivi semi-aridi lejn il-punent u l-majjistral. Hemm serje estensiva ta 'sistemi tax-xmajjar fir-Rabat. L-iktar notevoli hija s-sistema tax-Xmara Murray. Xmajjar oħra jinkludu: Xmara tal-Fran, Xmara Goulburn, River Patterson, River King, River Campaspe, River Loddon, River Wimmera, Elgin River, Barwon River, Thomson River, Snowy River, Latrobe River, Yarra River, Mabrarnong, River Mitta, Mitta River, Hopkins Xmara, Xmara Merri u Xmara Kiewa. Is-simboli tal-istat jinkludu s-Saħħa Roża (Fjura tal-Istat), il-Possum ta 'Leadbeater (State Animal) u l-Honeyeater Elmuted (State Bird).</v>
      </c>
    </row>
    <row r="837" ht="15.75" customHeight="1">
      <c r="A837" s="2" t="s">
        <v>837</v>
      </c>
      <c r="B837" s="2" t="str">
        <f>IFERROR(__xludf.DUMMYFUNCTION("GOOGLETRANSLATE(A837,""en"", ""mt"")"),"Plugs fużibbli taċ-ċomb jistgħu jkunu preżenti fil-kuruna tal-firebox tal-bojler. Jekk il-livell tal-ilma jonqos, b’tali mod li t-temperatura tal-kuruna tal-firebox tiżdied b’mod sinifikanti, iċ-ċomb idub u l-fwar jaħrab, iwissi lill-operaturi, li mbagħad"&amp;" jistgħu jrażżnu manwalment in-nar. Ħlief fl-iżgħar bojlers, il-ħarba tal-fwar għandha ftit effett fuq it-tneħħija tan-nar. Il-plugs huma wkoll żgħar wisq f'żona biex ibaxxu l-pressjoni tal-fwar b'mod sinifikanti, billi depressurizzaw il-bojler. Kieku kie"&amp;"nu akbar, il-volum ta 'l-istim li jaħrab innifsu jipperikola l-ekwipaġġ. [Ċitazzjoni meħtieġa]")</f>
        <v>Plugs fużibbli taċ-ċomb jistgħu jkunu preżenti fil-kuruna tal-firebox tal-bojler. Jekk il-livell tal-ilma jonqos, b’tali mod li t-temperatura tal-kuruna tal-firebox tiżdied b’mod sinifikanti, iċ-ċomb idub u l-fwar jaħrab, iwissi lill-operaturi, li mbagħad jistgħu jrażżnu manwalment in-nar. Ħlief fl-iżgħar bojlers, il-ħarba tal-fwar għandha ftit effett fuq it-tneħħija tan-nar. Il-plugs huma wkoll żgħar wisq f'żona biex ibaxxu l-pressjoni tal-fwar b'mod sinifikanti, billi depressurizzaw il-bojler. Kieku kienu akbar, il-volum ta 'l-istim li jaħrab innifsu jipperikola l-ekwipaġġ. [Ċitazzjoni meħtieġa]</v>
      </c>
    </row>
    <row r="838" ht="15.75" customHeight="1">
      <c r="A838" s="2" t="s">
        <v>838</v>
      </c>
      <c r="B838" s="2" t="str">
        <f>IFERROR(__xludf.DUMMYFUNCTION("GOOGLETRANSLATE(A838,""en"", ""mt"")"),"Il-metodu ewlieni l-ieħor ta 'produzzjoni O
2 gass jinvolvi li tgħaddi fluss ta 'arja nadifa u niexfa minn sodda waħda ta' par ta 'passaġġi molekulari identiċi taż-żeoliti, li jassorbi n-nitroġenu u jagħti fluss tal-gass li huwa 90% sa 93% o
2. Fl-istess "&amp;"ħin, il-gass tan-nitroġenu jinħeles mis-sodda taż-żeoliti l-oħra saturata għan-nitroġenu, billi tnaqqas il-pressjoni operattiva tal-kamra u tiddevja l-parti tal-gass tal-ossiġnu mis-sodda tal-produttur minn ġo fih, fid-direzzjoni ta 'wara tal-fluss. Wara "&amp;"ħin ta 'ċiklu stabbilit it-tħaddim taż-żewġ sodod huwa interkambjat, u b'hekk jippermetti li provvista kontinwa ta' ossiġenu gassuż jiġi ppumpjat permezz ta 'pipeline. Dan huwa magħruf bħala adsorbiment ta 'tbandil tal-pressjoni. Il-gass ta 'l-ossiġnu huw"&amp;"a dejjem aktar miksub minn dawn it-teknoloġiji mhux kriġeniċi (ara wkoll l-adsorbiment relatat ma' swing tal-vakwu).")</f>
        <v>Il-metodu ewlieni l-ieħor ta 'produzzjoni O
2 gass jinvolvi li tgħaddi fluss ta 'arja nadifa u niexfa minn sodda waħda ta' par ta 'passaġġi molekulari identiċi taż-żeoliti, li jassorbi n-nitroġenu u jagħti fluss tal-gass li huwa 90% sa 93% o
2. Fl-istess ħin, il-gass tan-nitroġenu jinħeles mis-sodda taż-żeoliti l-oħra saturata għan-nitroġenu, billi tnaqqas il-pressjoni operattiva tal-kamra u tiddevja l-parti tal-gass tal-ossiġnu mis-sodda tal-produttur minn ġo fih, fid-direzzjoni ta 'wara tal-fluss. Wara ħin ta 'ċiklu stabbilit it-tħaddim taż-żewġ sodod huwa interkambjat, u b'hekk jippermetti li provvista kontinwa ta' ossiġenu gassuż jiġi ppumpjat permezz ta 'pipeline. Dan huwa magħruf bħala adsorbiment ta 'tbandil tal-pressjoni. Il-gass ta 'l-ossiġnu huwa dejjem aktar miksub minn dawn it-teknoloġiji mhux kriġeniċi (ara wkoll l-adsorbiment relatat ma' swing tal-vakwu).</v>
      </c>
    </row>
    <row r="839" ht="15.75" customHeight="1">
      <c r="A839" s="2" t="s">
        <v>839</v>
      </c>
      <c r="B839" s="2" t="str">
        <f>IFERROR(__xludf.DUMMYFUNCTION("GOOGLETRANSLATE(A839,""en"", ""mt"")"),"Għaliex huwa preferut li d-diżubbidjenza ċivili mhix vjolenti?")</f>
        <v>Għaliex huwa preferut li d-diżubbidjenza ċivili mhix vjolenti?</v>
      </c>
    </row>
    <row r="840" ht="15.75" customHeight="1">
      <c r="A840" s="2" t="s">
        <v>840</v>
      </c>
      <c r="B840" s="2" t="str">
        <f>IFERROR(__xludf.DUMMYFUNCTION("GOOGLETRANSLATE(A840,""en"", ""mt"")"),"F'liema sena nħolqot is-sistema ta 'awtostrada bejn l-istati?")</f>
        <v>F'liema sena nħolqot is-sistema ta 'awtostrada bejn l-istati?</v>
      </c>
    </row>
    <row r="841" ht="15.75" customHeight="1">
      <c r="A841" s="2" t="s">
        <v>841</v>
      </c>
      <c r="B841" s="2" t="str">
        <f>IFERROR(__xludf.DUMMYFUNCTION("GOOGLETRANSLATE(A841,""en"", ""mt"")"),"Biex ""float"" (titla 'u taqa' skont id-domanda tas-suq)")</f>
        <v>Biex "float" (titla 'u taqa' skont id-domanda tas-suq)</v>
      </c>
    </row>
    <row r="842" ht="15.75" customHeight="1">
      <c r="A842" s="2" t="s">
        <v>842</v>
      </c>
      <c r="B842" s="2" t="str">
        <f>IFERROR(__xludf.DUMMYFUNCTION("GOOGLETRANSLATE(A842,""en"", ""mt"")"),"X'kienu l-pjanijiet ta 'Loudoun għall-1757?")</f>
        <v>X'kienu l-pjanijiet ta 'Loudoun għall-1757?</v>
      </c>
    </row>
    <row r="843" ht="15.75" customHeight="1">
      <c r="A843" s="2" t="s">
        <v>843</v>
      </c>
      <c r="B843" s="2" t="str">
        <f>IFERROR(__xludf.DUMMYFUNCTION("GOOGLETRANSLATE(A843,""en"", ""mt"")"),"affarijiet li huma kwistjoni ta 'drawwa jew aspettattiva")</f>
        <v>affarijiet li huma kwistjoni ta 'drawwa jew aspettattiva</v>
      </c>
    </row>
    <row r="844" ht="15.75" customHeight="1">
      <c r="A844" s="2" t="s">
        <v>844</v>
      </c>
      <c r="B844" s="2" t="str">
        <f>IFERROR(__xludf.DUMMYFUNCTION("GOOGLETRANSLATE(A844,""en"", ""mt"")"),"il-firxa tal-qsim il-kbir")</f>
        <v>il-firxa tal-qsim il-kbir</v>
      </c>
    </row>
    <row r="845" ht="15.75" customHeight="1">
      <c r="A845" s="2" t="s">
        <v>845</v>
      </c>
      <c r="B845" s="2" t="str">
        <f>IFERROR(__xludf.DUMMYFUNCTION("GOOGLETRANSLATE(A845,""en"", ""mt"")"),"Ktieb ta ’ħames volum fil-Grieg nattiv tiegħu")</f>
        <v>Ktieb ta ’ħames volum fil-Grieg nattiv tiegħu</v>
      </c>
    </row>
    <row r="846" ht="15.75" customHeight="1">
      <c r="A846" s="2" t="s">
        <v>846</v>
      </c>
      <c r="B846" s="2" t="str">
        <f>IFERROR(__xludf.DUMMYFUNCTION("GOOGLETRANSLATE(A846,""en"", ""mt"")"),"Il-ġurnata preżenti Upstate New York u l-Ohio Country")</f>
        <v>Il-ġurnata preżenti Upstate New York u l-Ohio Country</v>
      </c>
    </row>
    <row r="847" ht="15.75" customHeight="1">
      <c r="A847" s="2" t="s">
        <v>847</v>
      </c>
      <c r="B847" s="2" t="str">
        <f>IFERROR(__xludf.DUMMYFUNCTION("GOOGLETRANSLATE(A847,""en"", ""mt"")"),"Liġi tal-Iswed")</f>
        <v>Liġi tal-Iswed</v>
      </c>
    </row>
    <row r="848" ht="15.75" customHeight="1">
      <c r="A848" s="2" t="s">
        <v>848</v>
      </c>
      <c r="B848" s="2" t="str">
        <f>IFERROR(__xludf.DUMMYFUNCTION("GOOGLETRANSLATE(A848,""en"", ""mt"")"),"Utent jew ospitanti jistgħu jċemplu ospitanti fuq netwerk barrani billi jinkludu d-DNIC tan-netwerk remot bħala parti mill-indirizz tad-destinazzjoni")</f>
        <v>Utent jew ospitanti jistgħu jċemplu ospitanti fuq netwerk barrani billi jinkludu d-DNIC tan-netwerk remot bħala parti mill-indirizz tad-destinazzjoni</v>
      </c>
    </row>
    <row r="849" ht="15.75" customHeight="1">
      <c r="A849" s="2" t="s">
        <v>849</v>
      </c>
      <c r="B849" s="2" t="str">
        <f>IFERROR(__xludf.DUMMYFUNCTION("GOOGLETRANSLATE(A849,""en"", ""mt"")"),"Il-gvern ta 'Kublai wara l-1262 kien kompromess bejn il-preservazzjoni tal-interessi Mongoljani fiċ-Ċina u li jissodisfa t-talbiet tas-suġġetti Ċiniżi tiegħu. Huwa stabbilixxa r-riformi proposti mill-konsulenti Ċiniżi tiegħu billi jiċċentralizza l-burokra"&amp;"zija, jespandi ċ-ċirkolazzjoni tal-flus tal-karta, u żamm il-monopolji tradizzjonali fuq il-melħ u l-ħadid. Huwa rrestawra s-Segretarjat Imperjali u ħalla l-istruttura amministrattiva lokali tad-dinastiji Ċiniżi tal-passat mhux mibdula. Madankollu, Kublai"&amp;" ċaħad il-pjanijiet biex terġa 'titqajjem l-eżamijiet Imperjali Confucian u s-soċjetà tal-wan maqsuma fi tlieta, aktar tard erbgħa, klassijiet maċ-Ċiniżi Han li jokkupaw l-inqas grad. Il-konsulenti Ċiniżi ta 'Kublai għadhom għamlu poter sinifikanti fil-gv"&amp;"ern, iżda l-grad uffiċjali tagħhom kien nebulous.")</f>
        <v>Il-gvern ta 'Kublai wara l-1262 kien kompromess bejn il-preservazzjoni tal-interessi Mongoljani fiċ-Ċina u li jissodisfa t-talbiet tas-suġġetti Ċiniżi tiegħu. Huwa stabbilixxa r-riformi proposti mill-konsulenti Ċiniżi tiegħu billi jiċċentralizza l-burokrazija, jespandi ċ-ċirkolazzjoni tal-flus tal-karta, u żamm il-monopolji tradizzjonali fuq il-melħ u l-ħadid. Huwa rrestawra s-Segretarjat Imperjali u ħalla l-istruttura amministrattiva lokali tad-dinastiji Ċiniżi tal-passat mhux mibdula. Madankollu, Kublai ċaħad il-pjanijiet biex terġa 'titqajjem l-eżamijiet Imperjali Confucian u s-soċjetà tal-wan maqsuma fi tlieta, aktar tard erbgħa, klassijiet maċ-Ċiniżi Han li jokkupaw l-inqas grad. Il-konsulenti Ċiniżi ta 'Kublai għadhom għamlu poter sinifikanti fil-gvern, iżda l-grad uffiċjali tagħhom kien nebulous.</v>
      </c>
    </row>
    <row r="850" ht="15.75" customHeight="1">
      <c r="A850" s="2" t="s">
        <v>850</v>
      </c>
      <c r="B850" s="2" t="str">
        <f>IFERROR(__xludf.DUMMYFUNCTION("GOOGLETRANSLATE(A850,""en"", ""mt"")"),"N - S")</f>
        <v>N - S</v>
      </c>
    </row>
    <row r="851" ht="15.75" customHeight="1">
      <c r="A851" s="2" t="s">
        <v>851</v>
      </c>
      <c r="B851" s="2" t="str">
        <f>IFERROR(__xludf.DUMMYFUNCTION("GOOGLETRANSLATE(A851,""en"", ""mt"")"),"Kif qed jaqleb il-pakketti charecterized")</f>
        <v>Kif qed jaqleb il-pakketti charecterized</v>
      </c>
    </row>
    <row r="852" ht="15.75" customHeight="1">
      <c r="A852" s="2" t="s">
        <v>852</v>
      </c>
      <c r="B852" s="2" t="str">
        <f>IFERROR(__xludf.DUMMYFUNCTION("GOOGLETRANSLATE(A852,""en"", ""mt"")"),"ħdejn it-tarf ta 'fuq tal-firxa mogħtija mill-projezzjoni tal-2001 tal-IPCC")</f>
        <v>ħdejn it-tarf ta 'fuq tal-firxa mogħtija mill-projezzjoni tal-2001 tal-IPCC</v>
      </c>
    </row>
    <row r="853" ht="15.75" customHeight="1">
      <c r="A853" s="2" t="s">
        <v>853</v>
      </c>
      <c r="B853" s="2" t="str">
        <f>IFERROR(__xludf.DUMMYFUNCTION("GOOGLETRANSLATE(A853,""en"", ""mt"")"),"Kemm hemm mistoqsijiet ġenerali disponibbli għall-mexxejja tal-oppożizzjoni?")</f>
        <v>Kemm hemm mistoqsijiet ġenerali disponibbli għall-mexxejja tal-oppożizzjoni?</v>
      </c>
    </row>
    <row r="854" ht="15.75" customHeight="1">
      <c r="A854" s="2" t="s">
        <v>854</v>
      </c>
      <c r="B854" s="2" t="str">
        <f>IFERROR(__xludf.DUMMYFUNCTION("GOOGLETRANSLATE(A854,""en"", ""mt"")"),"It-titjib tal-port mill-aħħar tas-seklu 19 għamlu lil Jacksonville port maġġuri militari u ċivili tal-fond. Il-post tax-xmajjar tiegħu jiffaċilita żewġ bażijiet tan-Navy tal-Istati Uniti u l-Port ta 'Jacksonville, it-tielet l-akbar port tal-baħar ta' Flor"&amp;"ida. Iż-żewġ bażijiet tan-Navy Amerikana, Blount Island Command u l-Bażi tas-sottomarini Navali fil-viċin jiffurmaw it-tielet l-akbar preżenza militari fl-Istati Uniti. Fatturi sinifikanti fl-ekonomija lokali jinkludu servizzi bħal banek, assigurazzjoni, "&amp;"kura tas-saħħa u loġistika. Bħal f'ħafna mill-Florida, it-turiżmu huwa importanti wkoll għaż-żona ta 'Jacksonville, partikolarment it-turiżmu relatat mal-golf. Nies minn Jacksonville jistgħu jissejħu ""Jacksonvillians"" jew ""Jaxsons"" (spjegati wkoll ""J"&amp;"axons"").")</f>
        <v>It-titjib tal-port mill-aħħar tas-seklu 19 għamlu lil Jacksonville port maġġuri militari u ċivili tal-fond. Il-post tax-xmajjar tiegħu jiffaċilita żewġ bażijiet tan-Navy tal-Istati Uniti u l-Port ta 'Jacksonville, it-tielet l-akbar port tal-baħar ta' Florida. Iż-żewġ bażijiet tan-Navy Amerikana, Blount Island Command u l-Bażi tas-sottomarini Navali fil-viċin jiffurmaw it-tielet l-akbar preżenza militari fl-Istati Uniti. Fatturi sinifikanti fl-ekonomija lokali jinkludu servizzi bħal banek, assigurazzjoni, kura tas-saħħa u loġistika. Bħal f'ħafna mill-Florida, it-turiżmu huwa importanti wkoll għaż-żona ta 'Jacksonville, partikolarment it-turiżmu relatat mal-golf. Nies minn Jacksonville jistgħu jissejħu "Jacksonvillians" jew "Jaxsons" (spjegati wkoll "Jaxons").</v>
      </c>
    </row>
    <row r="855" ht="15.75" customHeight="1">
      <c r="A855" s="2" t="s">
        <v>855</v>
      </c>
      <c r="B855" s="2" t="str">
        <f>IFERROR(__xludf.DUMMYFUNCTION("GOOGLETRANSLATE(A855,""en"", ""mt"")"),"L-aħjar, l-agħar u l-medja")</f>
        <v>L-aħjar, l-agħar u l-medja</v>
      </c>
    </row>
    <row r="856" ht="15.75" customHeight="1">
      <c r="A856" s="2" t="s">
        <v>856</v>
      </c>
      <c r="B856" s="2" t="str">
        <f>IFERROR(__xludf.DUMMYFUNCTION("GOOGLETRANSLATE(A856,""en"", ""mt"")"),"Peress li l-IPCC ma jwettaqx ir-riċerka tiegħu stess, jopera fuq il-bażi ta 'dokumenti xjentifiċi u r-riżultati dokumentati b'mod indipendenti minn korpi xjentifiċi oħra, u l-iskeda tagħha għall-produzzjoni ta' rapporti teħtieġ skadenza għal sottomissjoni"&amp;"jiet qabel ir-rilaxx finali tar-rapport. Fil-prinċipju, dan ifisser li kwalunkwe evidenza jew avvenimenti ġodda sinifikanti li jibdlu l-għarfien tagħna dwar ix-xjenza dwar il-klima bejn dan l-iskadenza u l-pubblikazzjoni ta 'rapport IPCC ma jistgħux jiġu "&amp;"inklużi. F'żona ta 'xjenza fejn il-fehim xjentifiku tagħna qed jinbidel malajr, dan tqajjem bħala nuqqas serju f'ġisem li huwa meqjus b'mod wiesa' bħala l-awtorità aħħarija fuq ix-xjenza. Madankollu, ġeneralment kien hemm evoluzzjoni kostanti ta 'sejbiet "&amp;"ewlenin u livelli ta' kunfidenza xjentifika minn rapport ta 'valutazzjoni għal dak li jmiss. [Ċitazzjoni meħtieġa]")</f>
        <v>Peress li l-IPCC ma jwettaqx ir-riċerka tiegħu stess, jopera fuq il-bażi ta 'dokumenti xjentifiċi u r-riżultati dokumentati b'mod indipendenti minn korpi xjentifiċi oħra, u l-iskeda tagħha għall-produzzjoni ta' rapporti teħtieġ skadenza għal sottomissjonijiet qabel ir-rilaxx finali tar-rapport. Fil-prinċipju, dan ifisser li kwalunkwe evidenza jew avvenimenti ġodda sinifikanti li jibdlu l-għarfien tagħna dwar ix-xjenza dwar il-klima bejn dan l-iskadenza u l-pubblikazzjoni ta 'rapport IPCC ma jistgħux jiġu inklużi. F'żona ta 'xjenza fejn il-fehim xjentifiku tagħna qed jinbidel malajr, dan tqajjem bħala nuqqas serju f'ġisem li huwa meqjus b'mod wiesa' bħala l-awtorità aħħarija fuq ix-xjenza. Madankollu, ġeneralment kien hemm evoluzzjoni kostanti ta 'sejbiet ewlenin u livelli ta' kunfidenza xjentifika minn rapport ta 'valutazzjoni għal dak li jmiss. [Ċitazzjoni meħtieġa]</v>
      </c>
    </row>
    <row r="857" ht="15.75" customHeight="1">
      <c r="A857" s="2" t="s">
        <v>857</v>
      </c>
      <c r="B857" s="2" t="str">
        <f>IFERROR(__xludf.DUMMYFUNCTION("GOOGLETRANSLATE(A857,""en"", ""mt"")"),"Ħafna ħsarat huma kapaċi jipproduċu terremot ta 'kobor 6.7+, bħalma huma l-ħsara ta' San Andreas, li tista 'tipproduċi avveniment ta' kobor 8.0. Ħsarat oħra jinkludu l-Ħsarat ta 'San Jacinto, il-Ħsarat ta' Puente Hills, u ż-Żona ta 'Ħsarat ta' Elsinore. L"&amp;"-USGS ħarġet tbassir tat-terremot ta 'Kalifornja li jimmudella l-okkorrenza tat-terremot f'Kalifornja.")</f>
        <v>Ħafna ħsarat huma kapaċi jipproduċu terremot ta 'kobor 6.7+, bħalma huma l-ħsara ta' San Andreas, li tista 'tipproduċi avveniment ta' kobor 8.0. Ħsarat oħra jinkludu l-Ħsarat ta 'San Jacinto, il-Ħsarat ta' Puente Hills, u ż-Żona ta 'Ħsarat ta' Elsinore. L-USGS ħarġet tbassir tat-terremot ta 'Kalifornja li jimmudella l-okkorrenza tat-terremot f'Kalifornja.</v>
      </c>
    </row>
    <row r="858" ht="15.75" customHeight="1">
      <c r="A858" s="2" t="s">
        <v>858</v>
      </c>
      <c r="B858" s="2" t="str">
        <f>IFERROR(__xludf.DUMMYFUNCTION("GOOGLETRANSLATE(A858,""en"", ""mt"")"),"F'liema battalja ġew megħluba l-Mongoli mit-Tran?")</f>
        <v>F'liema battalja ġew megħluba l-Mongoli mit-Tran?</v>
      </c>
    </row>
    <row r="859" ht="15.75" customHeight="1">
      <c r="A859" s="2" t="s">
        <v>859</v>
      </c>
      <c r="B859" s="2" t="str">
        <f>IFERROR(__xludf.DUMMYFUNCTION("GOOGLETRANSLATE(A859,""en"", ""mt"")"),"imnissel bħala kandidati tal-partit uffiċjali waqt elezzjonijiet futuri")</f>
        <v>imnissel bħala kandidati tal-partit uffiċjali waqt elezzjonijiet futuri</v>
      </c>
    </row>
    <row r="860" ht="15.75" customHeight="1">
      <c r="A860" s="2" t="s">
        <v>860</v>
      </c>
      <c r="B860" s="2" t="str">
        <f>IFERROR(__xludf.DUMMYFUNCTION("GOOGLETRANSLATE(A860,""en"", ""mt"")"),"300 km twil")</f>
        <v>300 km twil</v>
      </c>
    </row>
    <row r="861" ht="15.75" customHeight="1">
      <c r="A861" s="2" t="s">
        <v>861</v>
      </c>
      <c r="B861" s="2" t="str">
        <f>IFERROR(__xludf.DUMMYFUNCTION("GOOGLETRANSLATE(A861,""en"", ""mt"")"),"""Żgura li fl-interpretazzjoni u l-applikazzjoni tat-trattati tkun osservata l-liġi""")</f>
        <v>"Żgura li fl-interpretazzjoni u l-applikazzjoni tat-trattati tkun osservata l-liġi"</v>
      </c>
    </row>
    <row r="862" ht="15.75" customHeight="1">
      <c r="A862" s="2" t="s">
        <v>862</v>
      </c>
      <c r="B862" s="2" t="str">
        <f>IFERROR(__xludf.DUMMYFUNCTION("GOOGLETRANSLATE(A862,""en"", ""mt"")"),"X'inhi l-akbar skola medika fil-Polonja?")</f>
        <v>X'inhi l-akbar skola medika fil-Polonja?</v>
      </c>
    </row>
    <row r="863" ht="15.75" customHeight="1">
      <c r="A863" s="2" t="s">
        <v>863</v>
      </c>
      <c r="B863" s="2" t="str">
        <f>IFERROR(__xludf.DUMMYFUNCTION("GOOGLETRANSLATE(A863,""en"", ""mt"")"),"Matul is-snin sebgħin u xi kultant wara, il-gvernijiet tal-Punent u favur il-Punent spiss appoġġjaw Iżlamisti u gruppi Iżlamisti li aktar tard ġew meqjusa bħala għedewwa perikolużi. L-Iżlamisti kienu meqjusa mill-gvernijiet tal-Punent li jbatu kontra - da"&amp;"k li kien maħsub li kien dak iż-żmien - aktar perikolużi xellugin / Komunisti / Nazzjonalisti Insurgenti / oppożizzjoni, li l-Iżlamisti kienu meqjusa b'mod korrett bħala opposti. L-Istati Uniti nefqu biljuni ta 'dollari biex jgħinu lill-għedewwa tal-Mujah"&amp;"ideen Musulmani Afganistan tal-Unjoni Sovjetika, u veterani mhux Afgani tal-gwerra rritornaw id-dar bil-prestiġju tagħhom, ""esperjenza, ideoloġija, u armi"", u kellhom impatt konsiderevoli.")</f>
        <v>Matul is-snin sebgħin u xi kultant wara, il-gvernijiet tal-Punent u favur il-Punent spiss appoġġjaw Iżlamisti u gruppi Iżlamisti li aktar tard ġew meqjusa bħala għedewwa perikolużi. L-Iżlamisti kienu meqjusa mill-gvernijiet tal-Punent li jbatu kontra - dak li kien maħsub li kien dak iż-żmien - aktar perikolużi xellugin / Komunisti / Nazzjonalisti Insurgenti / oppożizzjoni, li l-Iżlamisti kienu meqjusa b'mod korrett bħala opposti. L-Istati Uniti nefqu biljuni ta 'dollari biex jgħinu lill-għedewwa tal-Mujahideen Musulmani Afganistan tal-Unjoni Sovjetika, u veterani mhux Afgani tal-gwerra rritornaw id-dar bil-prestiġju tagħhom, "esperjenza, ideoloġija, u armi", u kellhom impatt konsiderevoli.</v>
      </c>
    </row>
    <row r="864" ht="15.75" customHeight="1">
      <c r="A864" s="2" t="s">
        <v>864</v>
      </c>
      <c r="B864" s="2" t="str">
        <f>IFERROR(__xludf.DUMMYFUNCTION("GOOGLETRANSLATE(A864,""en"", ""mt"")"),"kopertura ta 'veġetazzjoni tropikali niedja mnaqqsa fil-baċin")</f>
        <v>kopertura ta 'veġetazzjoni tropikali niedja mnaqqsa fil-baċin</v>
      </c>
    </row>
    <row r="865" ht="15.75" customHeight="1">
      <c r="A865" s="2" t="s">
        <v>865</v>
      </c>
      <c r="B865" s="2" t="str">
        <f>IFERROR(__xludf.DUMMYFUNCTION("GOOGLETRANSLATE(A865,""en"", ""mt"")"),"Wara r-revoka tal-editt ta 'Nantes, ir-Repubblika Olandiża rċeviet l-akbar grupp ta' refuġjati Huguenot, total stmat ta '75,000 sa 100,000 persuna. Fost dawn kien hemm 200 kleru. Ħafna ġew mir-reġjun ta 'Cévennes, pereżempju, il-villaġġ ta' Fraissinet-de-"&amp;"Lozère. Dan kien influss enormi peress li l-popolazzjoni kollha tar-repubblika Olandiża kienet tammonta għal ca. 2 miljun dak iż-żmien. Madwar l-1700, huwa stmat li kważi 25% tal-popolazzjoni ta 'Amsterdam kienet Huguenot. [Ċitazzjoni meħtieġa] fl-1705, A"&amp;"msterdam u ż-żona ta' West Frisia kienu l-ewwel żoni li pprovdew drittijiet sħaħ liċ-ċittadini għall-immigranti Huguenot, segwiti mir-Repubblika Olandiża fi 1715. Huguenots żarmat mal-Olandiż mill-bidu.")</f>
        <v>Wara r-revoka tal-editt ta 'Nantes, ir-Repubblika Olandiża rċeviet l-akbar grupp ta' refuġjati Huguenot, total stmat ta '75,000 sa 100,000 persuna. Fost dawn kien hemm 200 kleru. Ħafna ġew mir-reġjun ta 'Cévennes, pereżempju, il-villaġġ ta' Fraissinet-de-Lozère. Dan kien influss enormi peress li l-popolazzjoni kollha tar-repubblika Olandiża kienet tammonta għal ca. 2 miljun dak iż-żmien. Madwar l-1700, huwa stmat li kważi 25% tal-popolazzjoni ta 'Amsterdam kienet Huguenot. [Ċitazzjoni meħtieġa] fl-1705, Amsterdam u ż-żona ta' West Frisia kienu l-ewwel żoni li pprovdew drittijiet sħaħ liċ-ċittadini għall-immigranti Huguenot, segwiti mir-Repubblika Olandiża fi 1715. Huguenots żarmat mal-Olandiż mill-bidu.</v>
      </c>
    </row>
    <row r="866" ht="15.75" customHeight="1">
      <c r="A866" s="2" t="s">
        <v>866</v>
      </c>
      <c r="B866" s="2" t="str">
        <f>IFERROR(__xludf.DUMMYFUNCTION("GOOGLETRANSLATE(A866,""en"", ""mt"")"),"Fl-arti viżwali, in-Normanni ma kellhomx it-tradizzjonijiet sinjuri u distintivi tal-kulturi li ħakmu. Madankollu, fil-bidu tas-seklu 11 id-Dukes bdew programm ta 'riforma tal-knisja, li ħeġġew ir-riforma cluniac tal-monasteri u patronizzaw l-attivitajiet"&amp;" intellettwali, speċjalment il-proliferazzjoni ta' Scriptoria u r-rikostituzzjoni ta 'kumpilazzjoni ta' manuskritti mdawlin mitlufa. Il-knisja kienet użata mid-Dukes bħala forza li tgħaqqad għall-dukat differenti tagħhom. Il-monasteri ewlenin li qed jieħd"&amp;"u sehem f'dan ir- ""Rinaxximent"" ta 'l-arti Norman u l-borża ta' studju kienu Mont-Saint-Michel, Fécamp, Jumièges, Bec, Saint-Ouen, Saint-Evroul, u Saint-Wandrille. Dawn iċ-ċentri kienu f'kuntatt mal-hekk imsejħa ""Winchester School"", li biddlu tradizzj"&amp;"oni artistika Karolingjana pura għan-Normandija. Fl-aħħar għaxar snin tal-11 u l-ewwel tas-seklu 12, in-Normandija esperjenzat età tad-deheb ta 'manuskritti illustrati, iżda kienet qasira u l-iscriporia ewlenija tan-Normandija ma baqgħetx tiffunzjona wara"&amp;" l-punt tan-nofs tas-seklu.")</f>
        <v>Fl-arti viżwali, in-Normanni ma kellhomx it-tradizzjonijiet sinjuri u distintivi tal-kulturi li ħakmu. Madankollu, fil-bidu tas-seklu 11 id-Dukes bdew programm ta 'riforma tal-knisja, li ħeġġew ir-riforma cluniac tal-monasteri u patronizzaw l-attivitajiet intellettwali, speċjalment il-proliferazzjoni ta' Scriptoria u r-rikostituzzjoni ta 'kumpilazzjoni ta' manuskritti mdawlin mitlufa. Il-knisja kienet użata mid-Dukes bħala forza li tgħaqqad għall-dukat differenti tagħhom. Il-monasteri ewlenin li qed jieħdu sehem f'dan ir- "Rinaxximent" ta 'l-arti Norman u l-borża ta' studju kienu Mont-Saint-Michel, Fécamp, Jumièges, Bec, Saint-Ouen, Saint-Evroul, u Saint-Wandrille. Dawn iċ-ċentri kienu f'kuntatt mal-hekk imsejħa "Winchester School", li biddlu tradizzjoni artistika Karolingjana pura għan-Normandija. Fl-aħħar għaxar snin tal-11 u l-ewwel tas-seklu 12, in-Normandija esperjenzat età tad-deheb ta 'manuskritti illustrati, iżda kienet qasira u l-iscriporia ewlenija tan-Normandija ma baqgħetx tiffunzjona wara l-punt tan-nofs tas-seklu.</v>
      </c>
    </row>
    <row r="867" ht="15.75" customHeight="1">
      <c r="A867" s="2" t="s">
        <v>867</v>
      </c>
      <c r="B867" s="2" t="str">
        <f>IFERROR(__xludf.DUMMYFUNCTION("GOOGLETRANSLATE(A867,""en"", ""mt"")"),"Magazine tax-Xjenza")</f>
        <v>Magazine tax-Xjenza</v>
      </c>
    </row>
    <row r="868" ht="15.75" customHeight="1">
      <c r="A868" s="2" t="s">
        <v>868</v>
      </c>
      <c r="B868" s="2" t="str">
        <f>IFERROR(__xludf.DUMMYFUNCTION("GOOGLETRANSLATE(A868,""en"", ""mt"")"),"Ir-raba '")</f>
        <v>Ir-raba '</v>
      </c>
    </row>
    <row r="869" ht="15.75" customHeight="1">
      <c r="A869" s="2" t="s">
        <v>869</v>
      </c>
      <c r="B869" s="2" t="str">
        <f>IFERROR(__xludf.DUMMYFUNCTION("GOOGLETRANSLATE(A869,""en"", ""mt"")"),"X'inhu flimkien mal-prezzijiet tal-għasafar biex jagħmluha diffiċli jew impossibbli għal nies foqra li jżommu l-pass?")</f>
        <v>X'inhu flimkien mal-prezzijiet tal-għasafar biex jagħmluha diffiċli jew impossibbli għal nies foqra li jżommu l-pass?</v>
      </c>
    </row>
    <row r="870" ht="15.75" customHeight="1">
      <c r="A870" s="2" t="s">
        <v>870</v>
      </c>
      <c r="B870" s="2" t="str">
        <f>IFERROR(__xludf.DUMMYFUNCTION("GOOGLETRANSLATE(A870,""en"", ""mt"")"),"X'għamel Tymnet")</f>
        <v>X'għamel Tymnet</v>
      </c>
    </row>
    <row r="871" ht="15.75" customHeight="1">
      <c r="A871" s="2" t="s">
        <v>871</v>
      </c>
      <c r="B871" s="2" t="str">
        <f>IFERROR(__xludf.DUMMYFUNCTION("GOOGLETRANSLATE(A871,""en"", ""mt"")"),"Biex tevita t-talbiet ta 'dota li jiswew ħafna flus")</f>
        <v>Biex tevita t-talbiet ta 'dota li jiswew ħafna flus</v>
      </c>
    </row>
    <row r="872" ht="15.75" customHeight="1">
      <c r="A872" s="2" t="s">
        <v>872</v>
      </c>
      <c r="B872" s="2" t="str">
        <f>IFERROR(__xludf.DUMMYFUNCTION("GOOGLETRANSLATE(A872,""en"", ""mt"")"),"X'sar DECNET Fażi 2")</f>
        <v>X'sar DECNET Fażi 2</v>
      </c>
    </row>
    <row r="873" ht="15.75" customHeight="1">
      <c r="A873" s="2" t="s">
        <v>873</v>
      </c>
      <c r="B873" s="2" t="str">
        <f>IFERROR(__xludf.DUMMYFUNCTION("GOOGLETRANSLATE(A873,""en"", ""mt"")"),"Il-klassifikazzjoni tar-riżorsi tiddependi fuq id-determinazzjoni tal-limiti ta 'fuq u t'isfel tal-ħin minimu meħtieġ minn xiex?")</f>
        <v>Il-klassifikazzjoni tar-riżorsi tiddependi fuq id-determinazzjoni tal-limiti ta 'fuq u t'isfel tal-ħin minimu meħtieġ minn xiex?</v>
      </c>
    </row>
    <row r="874" ht="15.75" customHeight="1">
      <c r="A874" s="2" t="s">
        <v>874</v>
      </c>
      <c r="B874" s="2" t="str">
        <f>IFERROR(__xludf.DUMMYFUNCTION("GOOGLETRANSLATE(A874,""en"", ""mt"")"),"Għaliex Harvard temm il-programm ta 'ammissjoni bikrija tiegħu?")</f>
        <v>Għaliex Harvard temm il-programm ta 'ammissjoni bikrija tiegħu?</v>
      </c>
    </row>
    <row r="875" ht="15.75" customHeight="1">
      <c r="A875" s="2" t="s">
        <v>875</v>
      </c>
      <c r="B875" s="2" t="str">
        <f>IFERROR(__xludf.DUMMYFUNCTION("GOOGLETRANSLATE(A875,""en"", ""mt"")"),"Robert ta 'Jumièges")</f>
        <v>Robert ta 'Jumièges</v>
      </c>
    </row>
    <row r="876" ht="15.75" customHeight="1">
      <c r="A876" s="2" t="s">
        <v>876</v>
      </c>
      <c r="B876" s="2" t="str">
        <f>IFERROR(__xludf.DUMMYFUNCTION("GOOGLETRANSLATE(A876,""en"", ""mt"")"),"Kif wieħed jiddeskrivi s-sjuf fi Fresno?")</f>
        <v>Kif wieħed jiddeskrivi s-sjuf fi Fresno?</v>
      </c>
    </row>
    <row r="877" ht="15.75" customHeight="1">
      <c r="A877" s="2" t="s">
        <v>877</v>
      </c>
      <c r="B877" s="2" t="str">
        <f>IFERROR(__xludf.DUMMYFUNCTION("GOOGLETRANSLATE(A877,""en"", ""mt"")"),"Ulear")</f>
        <v>Ulear</v>
      </c>
    </row>
    <row r="878" ht="15.75" customHeight="1">
      <c r="A878" s="2" t="s">
        <v>878</v>
      </c>
      <c r="B878" s="2" t="str">
        <f>IFERROR(__xludf.DUMMYFUNCTION("GOOGLETRANSLATE(A878,""en"", ""mt"")"),"San Lawrence u Mississippi Watersheds, għamlu negozju ma 'tribujiet lokali, u ħafna drabi żżewġu nisa Indjani")</f>
        <v>San Lawrence u Mississippi Watersheds, għamlu negozju ma 'tribujiet lokali, u ħafna drabi żżewġu nisa Indjani</v>
      </c>
    </row>
    <row r="879" ht="15.75" customHeight="1">
      <c r="A879" s="2" t="s">
        <v>879</v>
      </c>
      <c r="B879" s="2" t="str">
        <f>IFERROR(__xludf.DUMMYFUNCTION("GOOGLETRANSLATE(A879,""en"", ""mt"")"),"L-oriġini tal-kampi elettriċi u manjetiċi ma tkunx spjegata għal kollox sal-1864 meta James Clerk Maxwell unifika numru ta 'teoriji preċedenti f'sett ta '20 ekwazzjonijiet skalari, li aktar tard ġew riformulati f'4 ekwazzjonijiet ta' vettur minn Oliver He"&amp;"aviside u Josiah Willard Gibbs. Dawn l- ""ekwazzjonijiet ta 'Maxwell"" iddeskrivew bis-sħiħ is-sorsi ta' l-oqsma bħala ħlasijiet wieqfa u li jiċċaqalqu, u l-interazzjonijiet ta 'l-oqsma nfushom. Dan wassal lil Maxwell biex jiskopri li l-kampijiet elettriċ"&amp;"i u manjetiċi jistgħu jkunu ""jiġġeneraw lilhom infushom"" permezz ta 'mewġa li vvjaġġat b'veloċità li huwa kkalkulat bħala l-veloċità tad-dawl. Din il-ħarsa għaqdet l-oqsma li għadhom jitwieldu tat-teorija elettromanjetika bl-ottika u wasslu direttament "&amp;"għal deskrizzjoni sħiħa tal-ispettru elettromanjetiku.")</f>
        <v>L-oriġini tal-kampi elettriċi u manjetiċi ma tkunx spjegata għal kollox sal-1864 meta James Clerk Maxwell unifika numru ta 'teoriji preċedenti f'sett ta '20 ekwazzjonijiet skalari, li aktar tard ġew riformulati f'4 ekwazzjonijiet ta' vettur minn Oliver Heaviside u Josiah Willard Gibbs. Dawn l- "ekwazzjonijiet ta 'Maxwell" iddeskrivew bis-sħiħ is-sorsi ta' l-oqsma bħala ħlasijiet wieqfa u li jiċċaqalqu, u l-interazzjonijiet ta 'l-oqsma nfushom. Dan wassal lil Maxwell biex jiskopri li l-kampijiet elettriċi u manjetiċi jistgħu jkunu "jiġġeneraw lilhom infushom" permezz ta 'mewġa li vvjaġġat b'veloċità li huwa kkalkulat bħala l-veloċità tad-dawl. Din il-ħarsa għaqdet l-oqsma li għadhom jitwieldu tat-teorija elettromanjetika bl-ottika u wasslu direttament għal deskrizzjoni sħiħa tal-ispettru elettromanjetiku.</v>
      </c>
    </row>
    <row r="880" ht="15.75" customHeight="1">
      <c r="A880" s="2" t="s">
        <v>880</v>
      </c>
      <c r="B880" s="2" t="str">
        <f>IFERROR(__xludf.DUMMYFUNCTION("GOOGLETRANSLATE(A880,""en"", ""mt"")"),"X'inhi l-karta miktuba minn Richard Karp fl-1972 li wasslet f'era ġdida ta 'fehim bejn il-intrattabilità u l-problemi kompluti NP?")</f>
        <v>X'inhi l-karta miktuba minn Richard Karp fl-1972 li wasslet f'era ġdida ta 'fehim bejn il-intrattabilità u l-problemi kompluti NP?</v>
      </c>
    </row>
    <row r="881" ht="15.75" customHeight="1">
      <c r="A881" s="2" t="s">
        <v>881</v>
      </c>
      <c r="B881" s="2" t="str">
        <f>IFERROR(__xludf.DUMMYFUNCTION("GOOGLETRANSLATE(A881,""en"", ""mt"")"),"Assoċjazzjoni tal-Karozzi tal-Istat tal-Kalifornja")</f>
        <v>Assoċjazzjoni tal-Karozzi tal-Istat tal-Kalifornja</v>
      </c>
    </row>
    <row r="882" ht="15.75" customHeight="1">
      <c r="A882" s="2" t="s">
        <v>882</v>
      </c>
      <c r="B882" s="2" t="str">
        <f>IFERROR(__xludf.DUMMYFUNCTION("GOOGLETRANSLATE(A882,""en"", ""mt"")"),"L-ewwel netwerk ta 'dejta pubblika liċenzjata mill-FCC")</f>
        <v>L-ewwel netwerk ta 'dejta pubblika liċenzjata mill-FCC</v>
      </c>
    </row>
    <row r="883" ht="15.75" customHeight="1">
      <c r="A883" s="2" t="s">
        <v>883</v>
      </c>
      <c r="B883" s="2" t="str">
        <f>IFERROR(__xludf.DUMMYFUNCTION("GOOGLETRANSLATE(A883,""en"", ""mt"")"),"Netwerks ta 'komunikazzjoni li jistgħu jiġu sopravvitabbli")</f>
        <v>Netwerks ta 'komunikazzjoni li jistgħu jiġu sopravvitabbli</v>
      </c>
    </row>
    <row r="884" ht="15.75" customHeight="1">
      <c r="A884" s="2" t="s">
        <v>884</v>
      </c>
      <c r="B884" s="2" t="str">
        <f>IFERROR(__xludf.DUMMYFUNCTION("GOOGLETRANSLATE(A884,""en"", ""mt"")"),"Dak li ħafna drabi jaffettwa jew jiffaċilita l-faċilità ta 'analiżi fi problemi tal-komputazzjoni?")</f>
        <v>Dak li ħafna drabi jaffettwa jew jiffaċilita l-faċilità ta 'analiżi fi problemi tal-komputazzjoni?</v>
      </c>
    </row>
    <row r="885" ht="15.75" customHeight="1">
      <c r="A885" s="2" t="s">
        <v>885</v>
      </c>
      <c r="B885" s="2" t="str">
        <f>IFERROR(__xludf.DUMMYFUNCTION("GOOGLETRANSLATE(A885,""en"", ""mt"")"),"Ilmijiet tal-baħar")</f>
        <v>Ilmijiet tal-baħar</v>
      </c>
    </row>
    <row r="886" ht="15.75" customHeight="1">
      <c r="A886" s="2" t="s">
        <v>886</v>
      </c>
      <c r="B886" s="2" t="str">
        <f>IFERROR(__xludf.DUMMYFUNCTION("GOOGLETRANSLATE(A886,""en"", ""mt"")"),"X'bidliet il-kontenut minerali ta 'blat?")</f>
        <v>X'bidliet il-kontenut minerali ta 'blat?</v>
      </c>
    </row>
    <row r="887" ht="15.75" customHeight="1">
      <c r="A887" s="2" t="s">
        <v>887</v>
      </c>
      <c r="B887" s="2" t="str">
        <f>IFERROR(__xludf.DUMMYFUNCTION("GOOGLETRANSLATE(A887,""en"", ""mt"")"),"Liema partijiet tad-dinja huma inklużi fil-litosfera?")</f>
        <v>Liema partijiet tad-dinja huma inklużi fil-litosfera?</v>
      </c>
    </row>
    <row r="888" ht="15.75" customHeight="1">
      <c r="A888" s="2" t="s">
        <v>888</v>
      </c>
      <c r="B888" s="2" t="str">
        <f>IFERROR(__xludf.DUMMYFUNCTION("GOOGLETRANSLATE(A888,""en"", ""mt"")"),"It-tort tal-Puente Hills")</f>
        <v>It-tort tal-Puente Hills</v>
      </c>
    </row>
    <row r="889" ht="15.75" customHeight="1">
      <c r="A889" s="2" t="s">
        <v>889</v>
      </c>
      <c r="B889" s="2" t="str">
        <f>IFERROR(__xludf.DUMMYFUNCTION("GOOGLETRANSLATE(A889,""en"", ""mt"")"),"Eroj ta ’Lixandra")</f>
        <v>Eroj ta ’Lixandra</v>
      </c>
    </row>
    <row r="890" ht="15.75" customHeight="1">
      <c r="A890" s="2" t="s">
        <v>890</v>
      </c>
      <c r="B890" s="2" t="str">
        <f>IFERROR(__xludf.DUMMYFUNCTION("GOOGLETRANSLATE(A890,""en"", ""mt"")"),"Konferenza Big Ten")</f>
        <v>Konferenza Big Ten</v>
      </c>
    </row>
    <row r="891" ht="15.75" customHeight="1">
      <c r="A891" s="2" t="s">
        <v>891</v>
      </c>
      <c r="B891" s="2" t="str">
        <f>IFERROR(__xludf.DUMMYFUNCTION("GOOGLETRANSLATE(A891,""en"", ""mt"")"),"Megaregion tan-Nofsinhar ta 'California")</f>
        <v>Megaregion tan-Nofsinhar ta 'California</v>
      </c>
    </row>
    <row r="892" ht="15.75" customHeight="1">
      <c r="A892" s="2" t="s">
        <v>892</v>
      </c>
      <c r="B892" s="2" t="str">
        <f>IFERROR(__xludf.DUMMYFUNCTION("GOOGLETRANSLATE(A892,""en"", ""mt"")"),"L-effiċjenza ta 'ċiklu ta' Rankine hija ġeneralment limitata mill-fluwidu tax-xogħol. Mingħajr ma l-pressjoni tilħaq livelli superkritiċi għall-fluwidu tax-xogħol, il-firxa tat-temperatura li ċ-ċiklu jista 'jaħdem fuqha hija pjuttost żgħira; Fit-turbini t"&amp;"al-fwar, it-temperaturi tad-dħul tat-turbina huma tipikament 565 ° C (il-limitu tal-creep ta 'l-istainless steel) u t-temperaturi tal-kondensatur huma ta' madwar 30 ° C. Dan jagħti effiċjenza teoretika ta 'Carnot ta' madwar 63% meta mqabbel ma 'effiċjenza"&amp;" attwali ta' 42% għal stazzjon tal-enerġija modern li jaħdem bil-faħam. Din it-temperatura baxxa tad-dħul tat-turbina (meta mqabbla ma 'turbina tal-gass) hija r-raġuni għaliex iċ-ċiklu ta' rankine spiss jintuża bħala ċiklu ta 'qiegħ fl-istazzjonijiet ta' "&amp;"enerġija tat-turbina tal-gass b'ċiklu magħqud. [Ċitazzjoni meħtieġa]")</f>
        <v>L-effiċjenza ta 'ċiklu ta' Rankine hija ġeneralment limitata mill-fluwidu tax-xogħol. Mingħajr ma l-pressjoni tilħaq livelli superkritiċi għall-fluwidu tax-xogħol, il-firxa tat-temperatura li ċ-ċiklu jista 'jaħdem fuqha hija pjuttost żgħira; Fit-turbini tal-fwar, it-temperaturi tad-dħul tat-turbina huma tipikament 565 ° C (il-limitu tal-creep ta 'l-istainless steel) u t-temperaturi tal-kondensatur huma ta' madwar 30 ° C. Dan jagħti effiċjenza teoretika ta 'Carnot ta' madwar 63% meta mqabbel ma 'effiċjenza attwali ta' 42% għal stazzjon tal-enerġija modern li jaħdem bil-faħam. Din it-temperatura baxxa tad-dħul tat-turbina (meta mqabbla ma 'turbina tal-gass) hija r-raġuni għaliex iċ-ċiklu ta' rankine spiss jintuża bħala ċiklu ta 'qiegħ fl-istazzjonijiet ta' enerġija tat-turbina tal-gass b'ċiklu magħqud. [Ċitazzjoni meħtieġa]</v>
      </c>
    </row>
    <row r="893" ht="15.75" customHeight="1">
      <c r="A893" s="2" t="s">
        <v>893</v>
      </c>
      <c r="B893" s="2" t="str">
        <f>IFERROR(__xludf.DUMMYFUNCTION("GOOGLETRANSLATE(A893,""en"", ""mt"")"),"L-irkapti tal-valv l-aktar sempliċi jagħtu avvenimenti ta 'tul fiss matul iċ-ċiklu tal-magna u ħafna drabi jagħmlu l-magna ddur f'direzzjoni waħda biss. Madankollu l-biċċa l-kbira għandhom mekkaniżmu ta 'treġġigħ lura li barra minn hekk jista' jipprovdi m"&amp;"ezzi għall-iffrankar tal-fwar hekk kif il-veloċità u l-momentum jinkisbu billi ""tqassar il-cutoff"" jew pjuttost, tqassar l-avveniment ta 'ammissjoni; Dan imbagħad ittawwal proporzjonalment il-perjodu ta 'espansjoni. Madankollu, hekk kif wieħed u l-istes"&amp;"s valv ġeneralment jikkontrolla ż-żewġ flussi tal-fwar, qtugħ qasir fl-ammissjoni jaffettwa ħażin l-egżost u l-perjodi ta 'kompressjoni li idealment għandhom dejjem jinżammu pjuttost kostanti; Jekk l-avveniment tal-egżost huwa qasir wisq, it-totalità tal-"&amp;"fwar tal-egżost ma tistax tevakwa ċ-ċilindru, tifgah u tagħti kompressjoni eċċessiva (""kick lura""). [Ċitazzjoni meħtieġa]")</f>
        <v>L-irkapti tal-valv l-aktar sempliċi jagħtu avvenimenti ta 'tul fiss matul iċ-ċiklu tal-magna u ħafna drabi jagħmlu l-magna ddur f'direzzjoni waħda biss. Madankollu l-biċċa l-kbira għandhom mekkaniżmu ta 'treġġigħ lura li barra minn hekk jista' jipprovdi mezzi għall-iffrankar tal-fwar hekk kif il-veloċità u l-momentum jinkisbu billi "tqassar il-cutoff" jew pjuttost, tqassar l-avveniment ta 'ammissjoni; Dan imbagħad ittawwal proporzjonalment il-perjodu ta 'espansjoni. Madankollu, hekk kif wieħed u l-istess valv ġeneralment jikkontrolla ż-żewġ flussi tal-fwar, qtugħ qasir fl-ammissjoni jaffettwa ħażin l-egżost u l-perjodi ta 'kompressjoni li idealment għandhom dejjem jinżammu pjuttost kostanti; Jekk l-avveniment tal-egżost huwa qasir wisq, it-totalità tal-fwar tal-egżost ma tistax tevakwa ċ-ċilindru, tifgah u tagħti kompressjoni eċċessiva ("kick lura"). [Ċitazzjoni meħtieġa]</v>
      </c>
    </row>
    <row r="894" ht="15.75" customHeight="1">
      <c r="A894" s="2" t="s">
        <v>894</v>
      </c>
      <c r="B894" s="2" t="str">
        <f>IFERROR(__xludf.DUMMYFUNCTION("GOOGLETRANSLATE(A894,""en"", ""mt"")"),"In-Netwerk tal-Fondazzjoni Nazzjonali tax-Xjenza")</f>
        <v>In-Netwerk tal-Fondazzjoni Nazzjonali tax-Xjenza</v>
      </c>
    </row>
    <row r="895" ht="15.75" customHeight="1">
      <c r="A895" s="2" t="s">
        <v>895</v>
      </c>
      <c r="B895" s="2" t="str">
        <f>IFERROR(__xludf.DUMMYFUNCTION("GOOGLETRANSLATE(A895,""en"", ""mt"")"),"Id-diżubbidjenza ċivili mhux rivoluzzjonarja hija diżubbidjenza sempliċi tal-liġijiet minħabba li huma ġġudikati ""ħażin"" minn kuxjenza individwali, jew bħala parti minn sforz biex jagħmlu ċerti liġijiet ineffettivi, biex jikkawżaw ir-revoka tagħhom, jew"&amp;" biex jagħmlu pressjoni biex jiksbu wieħed Xewqat politiċi dwar xi kwistjoni oħra. Id-diżubbidjenza ċivili rivoluzzjonarja hija aktar ta 'tentattiv attiv biex titwaqqa' gvern (jew biex tbiddel it-tradizzjonijiet kulturali, id-drawwiet soċjali, it-twemmin "&amp;"reliġjuż, eċċ ... ir-rivoluzzjoni m'għandhiex għalfejn tkun politika, i.e. ""rivoluzzjoni kulturali"", sempliċement timplika knis u Bidla mifruxa għal sezzjoni tat-tessut soċjali). L-atti ta 'Gandhi ġew deskritti bħala diżubbidjenza ċivili rivoluzzjonarja"&amp;". Ġie ddikjarat li l-Ungeriżi taħt Ferenc Deák indirizzaw diżubbidjenza ċivili rivoluzzjonarja kontra l-gvern Awstrijak. Thoreau kiteb ukoll dwar diżubbidjenza ċivili li twettaq ""rivoluzzjoni paċifika."" Howard Zinn, Harvey Wheeler, u oħrajn identifikaw "&amp;"id-dritt imħaddem fid-dikjarazzjoni tal-indipendenza biex ""ibiddel jew jabolixxi"" gvern inġust biex ikun prinċipju ta 'diżubbidjenza ċivili.")</f>
        <v>Id-diżubbidjenza ċivili mhux rivoluzzjonarja hija diżubbidjenza sempliċi tal-liġijiet minħabba li huma ġġudikati "ħażin" minn kuxjenza individwali, jew bħala parti minn sforz biex jagħmlu ċerti liġijiet ineffettivi, biex jikkawżaw ir-revoka tagħhom, jew biex jagħmlu pressjoni biex jiksbu wieħed Xewqat politiċi dwar xi kwistjoni oħra. Id-diżubbidjenza ċivili rivoluzzjonarja hija aktar ta 'tentattiv attiv biex titwaqqa' gvern (jew biex tbiddel it-tradizzjonijiet kulturali, id-drawwiet soċjali, it-twemmin reliġjuż, eċċ ... ir-rivoluzzjoni m'għandhiex għalfejn tkun politika, i.e. "rivoluzzjoni kulturali", sempliċement timplika knis u Bidla mifruxa għal sezzjoni tat-tessut soċjali). L-atti ta 'Gandhi ġew deskritti bħala diżubbidjenza ċivili rivoluzzjonarja. Ġie ddikjarat li l-Ungeriżi taħt Ferenc Deák indirizzaw diżubbidjenza ċivili rivoluzzjonarja kontra l-gvern Awstrijak. Thoreau kiteb ukoll dwar diżubbidjenza ċivili li twettaq "rivoluzzjoni paċifika." Howard Zinn, Harvey Wheeler, u oħrajn identifikaw id-dritt imħaddem fid-dikjarazzjoni tal-indipendenza biex "ibiddel jew jabolixxi" gvern inġust biex ikun prinċipju ta 'diżubbidjenza ċivili.</v>
      </c>
    </row>
    <row r="896" ht="15.75" customHeight="1">
      <c r="A896" s="2" t="s">
        <v>896</v>
      </c>
      <c r="B896" s="2" t="str">
        <f>IFERROR(__xludf.DUMMYFUNCTION("GOOGLETRANSLATE(A896,""en"", ""mt"")"),"Fir-Renju Unit u diversi pajjiżi oħra tal-Commonwealth inkluż l-Awstralja u l-Kanada, l-użu tat-terminu huwa ġeneralment ristrett għal-livelli edukattivi primarji u sekondarji; Huwa kważi qatt ma jintuża minn universitajiet u istituzzjonijiet terzjarji oħ"&amp;"ra. L-edukazzjoni privata fl-Amerika ta ’Fuq tkopri l-firxa sħiħa ta’ attività edukattiva, li tvarja minn istituzzjonijiet ta ’qabel l-iskola għal istituzzjonijiet ta’ livell terzjarju. It-tariffi annwali tat-tagħlim fl-iskejjel K-12 ivarjaw minn xejn fl-"&amp;"iskejjel 'mingħajr tagħlim' għal aktar minn $ 45,000 f'diversi skejjel preparatorji ta 'New England.")</f>
        <v>Fir-Renju Unit u diversi pajjiżi oħra tal-Commonwealth inkluż l-Awstralja u l-Kanada, l-użu tat-terminu huwa ġeneralment ristrett għal-livelli edukattivi primarji u sekondarji; Huwa kważi qatt ma jintuża minn universitajiet u istituzzjonijiet terzjarji oħra. L-edukazzjoni privata fl-Amerika ta ’Fuq tkopri l-firxa sħiħa ta’ attività edukattiva, li tvarja minn istituzzjonijiet ta ’qabel l-iskola għal istituzzjonijiet ta’ livell terzjarju. It-tariffi annwali tat-tagħlim fl-iskejjel K-12 ivarjaw minn xejn fl-iskejjel 'mingħajr tagħlim' għal aktar minn $ 45,000 f'diversi skejjel preparatorji ta 'New England.</v>
      </c>
    </row>
    <row r="897" ht="15.75" customHeight="1">
      <c r="A897" s="2" t="s">
        <v>897</v>
      </c>
      <c r="B897" s="2" t="str">
        <f>IFERROR(__xludf.DUMMYFUNCTION("GOOGLETRANSLATE(A897,""en"", ""mt"")"),"X'ħeġġeġ il-Karta tal-Ħamas mingħajr kompromess?")</f>
        <v>X'ħeġġeġ il-Karta tal-Ħamas mingħajr kompromess?</v>
      </c>
    </row>
    <row r="898" ht="15.75" customHeight="1">
      <c r="A898" s="2" t="s">
        <v>898</v>
      </c>
      <c r="B898" s="2" t="str">
        <f>IFERROR(__xludf.DUMMYFUNCTION("GOOGLETRANSLATE(A898,""en"", ""mt"")"),"ikkonfermat u emendat")</f>
        <v>ikkonfermat u emendat</v>
      </c>
    </row>
    <row r="899" ht="15.75" customHeight="1">
      <c r="A899" s="2" t="s">
        <v>899</v>
      </c>
      <c r="B899" s="2" t="str">
        <f>IFERROR(__xludf.DUMMYFUNCTION("GOOGLETRANSLATE(A899,""en"", ""mt"")"),"Suleiman il-magnífico")</f>
        <v>Suleiman il-magnífico</v>
      </c>
    </row>
    <row r="900" ht="15.75" customHeight="1">
      <c r="A900" s="2" t="s">
        <v>900</v>
      </c>
      <c r="B900" s="2" t="str">
        <f>IFERROR(__xludf.DUMMYFUNCTION("GOOGLETRANSLATE(A900,""en"", ""mt"")"),"Varsavja")</f>
        <v>Varsavja</v>
      </c>
    </row>
    <row r="901" ht="15.75" customHeight="1">
      <c r="A901" s="2" t="s">
        <v>901</v>
      </c>
      <c r="B901" s="2" t="str">
        <f>IFERROR(__xludf.DUMMYFUNCTION("GOOGLETRANSLATE(A901,""en"", ""mt"")"),"Wara liema battalja rritornaw u jokkupaw lil Jacksonville għall-bqija tal-gwerra?")</f>
        <v>Wara liema battalja rritornaw u jokkupaw lil Jacksonville għall-bqija tal-gwerra?</v>
      </c>
    </row>
    <row r="902" ht="15.75" customHeight="1">
      <c r="A902" s="2" t="s">
        <v>902</v>
      </c>
      <c r="B902" s="2" t="str">
        <f>IFERROR(__xludf.DUMMYFUNCTION("GOOGLETRANSLATE(A902,""en"", ""mt"")"),"Kunsinna sekwenzjata tad-dejta")</f>
        <v>Kunsinna sekwenzjata tad-dejta</v>
      </c>
    </row>
    <row r="903" ht="15.75" customHeight="1">
      <c r="A903" s="2" t="s">
        <v>903</v>
      </c>
      <c r="B903" s="2" t="str">
        <f>IFERROR(__xludf.DUMMYFUNCTION("GOOGLETRANSLATE(A903,""en"", ""mt"")"),"Gold Rush")</f>
        <v>Gold Rush</v>
      </c>
    </row>
    <row r="904" ht="15.75" customHeight="1">
      <c r="A904" s="2" t="s">
        <v>904</v>
      </c>
      <c r="B904" s="2" t="str">
        <f>IFERROR(__xludf.DUMMYFUNCTION("GOOGLETRANSLATE(A904,""en"", ""mt"")"),"Liema mard ħafna xjenzati jemmnu li kkontribwew għall-pandemija tal-pesta?")</f>
        <v>Liema mard ħafna xjenzati jemmnu li kkontribwew għall-pandemija tal-pesta?</v>
      </c>
    </row>
    <row r="905" ht="15.75" customHeight="1">
      <c r="A905" s="2" t="s">
        <v>905</v>
      </c>
      <c r="B905" s="2" t="str">
        <f>IFERROR(__xludf.DUMMYFUNCTION("GOOGLETRANSLATE(A905,""en"", ""mt"")"),"Evalwazzjoni tal-adegwatezza tat-terapija tal-mediċina")</f>
        <v>Evalwazzjoni tal-adegwatezza tat-terapija tal-mediċina</v>
      </c>
    </row>
    <row r="906" ht="15.75" customHeight="1">
      <c r="A906" s="2" t="s">
        <v>906</v>
      </c>
      <c r="B906" s="2" t="str">
        <f>IFERROR(__xludf.DUMMYFUNCTION("GOOGLETRANSLATE(A906,""en"", ""mt"")"),"ir-regolamenti finanzjarji u r-regoli tal-WMO")</f>
        <v>ir-regolamenti finanzjarji u r-regoli tal-WMO</v>
      </c>
    </row>
    <row r="907" ht="15.75" customHeight="1">
      <c r="A907" s="2" t="s">
        <v>907</v>
      </c>
      <c r="B907" s="2" t="str">
        <f>IFERROR(__xludf.DUMMYFUNCTION("GOOGLETRANSLATE(A907,""en"", ""mt"")"),"Qwest")</f>
        <v>Qwest</v>
      </c>
    </row>
    <row r="908" ht="15.75" customHeight="1">
      <c r="A908" s="2" t="s">
        <v>908</v>
      </c>
      <c r="B908" s="2" t="str">
        <f>IFERROR(__xludf.DUMMYFUNCTION("GOOGLETRANSLATE(A908,""en"", ""mt"")"),"Sorsi kkonċentrati ħafna ta 'ossiġnu jippromwovu kombustjoni rapida. Perikli tan-nar u ta 'splużjoni jeżistu meta ossidanti u karburanti kkonċentrati jinġiebu viċin; Avveniment ta 'tqabbid, bħal sħana jew xrar, huwa meħtieġ biex jiskatta l-kombustjoni. L-"&amp;"ossiġnu huwa l-ossidant, mhux il-fjuwil, iżda madankollu s-sors ta 'ħafna mill-enerġija kimika rilaxxata fil-kombustjoni. Il-perikli tal-kombustjoni japplikaw ukoll għal komposti ta 'ossiġenu b'potenzjal ossidattiv għoli, bħal perossidi, klorati, nitrati,"&amp;" perklorati, u dikromi minħabba li jistgħu jagħtu ossiġnu għal nar.")</f>
        <v>Sorsi kkonċentrati ħafna ta 'ossiġnu jippromwovu kombustjoni rapida. Perikli tan-nar u ta 'splużjoni jeżistu meta ossidanti u karburanti kkonċentrati jinġiebu viċin; Avveniment ta 'tqabbid, bħal sħana jew xrar, huwa meħtieġ biex jiskatta l-kombustjoni. L-ossiġnu huwa l-ossidant, mhux il-fjuwil, iżda madankollu s-sors ta 'ħafna mill-enerġija kimika rilaxxata fil-kombustjoni. Il-perikli tal-kombustjoni japplikaw ukoll għal komposti ta 'ossiġenu b'potenzjal ossidattiv għoli, bħal perossidi, klorati, nitrati, perklorati, u dikromi minħabba li jistgħu jagħtu ossiġnu għal nar.</v>
      </c>
    </row>
    <row r="909" ht="15.75" customHeight="1">
      <c r="A909" s="2" t="s">
        <v>909</v>
      </c>
      <c r="B909" s="2" t="str">
        <f>IFERROR(__xludf.DUMMYFUNCTION("GOOGLETRANSLATE(A909,""en"", ""mt"")"),"xewqa li tipprevjeni affarijiet li huma indiskutibbli ħżiena")</f>
        <v>xewqa li tipprevjeni affarijiet li huma indiskutibbli ħżiena</v>
      </c>
    </row>
    <row r="910" ht="15.75" customHeight="1">
      <c r="A910" s="2" t="s">
        <v>910</v>
      </c>
      <c r="B910" s="2" t="str">
        <f>IFERROR(__xludf.DUMMYFUNCTION("GOOGLETRANSLATE(A910,""en"", ""mt"")"),"Min kien responsabbli għall-proġetti ta 'bini l-ġodda f'Jacksonville?")</f>
        <v>Min kien responsabbli għall-proġetti ta 'bini l-ġodda f'Jacksonville?</v>
      </c>
    </row>
    <row r="911" ht="15.75" customHeight="1">
      <c r="A911" s="2" t="s">
        <v>911</v>
      </c>
      <c r="B911" s="2" t="str">
        <f>IFERROR(__xludf.DUMMYFUNCTION("GOOGLETRANSLATE(A911,""en"", ""mt"")"),"Lamprey u Hagfish")</f>
        <v>Lamprey u Hagfish</v>
      </c>
    </row>
    <row r="912" ht="15.75" customHeight="1">
      <c r="A912" s="2" t="s">
        <v>912</v>
      </c>
      <c r="B912" s="2" t="str">
        <f>IFERROR(__xludf.DUMMYFUNCTION("GOOGLETRANSLATE(A912,""en"", ""mt"")"),"Inventarji tal-gass serra")</f>
        <v>Inventarji tal-gass serra</v>
      </c>
    </row>
    <row r="913" ht="15.75" customHeight="1">
      <c r="A913" s="2" t="s">
        <v>913</v>
      </c>
      <c r="B913" s="2" t="str">
        <f>IFERROR(__xludf.DUMMYFUNCTION("GOOGLETRANSLATE(A913,""en"", ""mt"")"),"Wahhabi / Salafi Jihadist Extremist Militant")</f>
        <v>Wahhabi / Salafi Jihadist Extremist Militant</v>
      </c>
    </row>
    <row r="914" ht="15.75" customHeight="1">
      <c r="A914" s="2" t="s">
        <v>914</v>
      </c>
      <c r="B914" s="2" t="str">
        <f>IFERROR(__xludf.DUMMYFUNCTION("GOOGLETRANSLATE(A914,""en"", ""mt"")"),"Il-bankini u l-faċilitajiet tas-sanità ta 'Varsavja huma xi eżempji ta' affarijiet li għandhom xiex?")</f>
        <v>Il-bankini u l-faċilitajiet tas-sanità ta 'Varsavja huma xi eżempji ta' affarijiet li għandhom xiex?</v>
      </c>
    </row>
    <row r="915" ht="15.75" customHeight="1">
      <c r="A915" s="2" t="s">
        <v>915</v>
      </c>
      <c r="B915" s="2" t="str">
        <f>IFERROR(__xludf.DUMMYFUNCTION("GOOGLETRANSLATE(A915,""en"", ""mt"")"),"Bill Aken")</f>
        <v>Bill Aken</v>
      </c>
    </row>
    <row r="916" ht="15.75" customHeight="1">
      <c r="A916" s="2" t="s">
        <v>916</v>
      </c>
      <c r="B916" s="2" t="str">
        <f>IFERROR(__xludf.DUMMYFUNCTION("GOOGLETRANSLATE(A916,""en"", ""mt"")"),"Bħal ħafna bliet fl-Ewropa Ċentrali u tal-Lvant, l-infrastruttura f'Varsavja sofriet konsiderevolment matul iż-żmien tagħha bħala ekonomija tal-blokk tal-Lvant - għalkemm ta 'min isemmi li l-pjan inizjali ta' tliet snin biex jerġa 'jibni l-Polonja (speċja"&amp;"lment Varsavja) kien suċċess kbir, imma dak li segwa kien ħafna l-oppost. Madankollu, matul l-aħħar għaxar snin Varsavja rat bosta titjib minħabba tkabbir ekonomiku solidu, żieda fl-investiment barrani kif ukoll fondi mill-Unjoni Ewropea. B'mod partikolar"&amp;"i, il-metro tal-belt, toroq, bankini, faċilitajiet tal-kura tas-saħħa u faċilitajiet ta 'sanità tjiebu sew.")</f>
        <v>Bħal ħafna bliet fl-Ewropa Ċentrali u tal-Lvant, l-infrastruttura f'Varsavja sofriet konsiderevolment matul iż-żmien tagħha bħala ekonomija tal-blokk tal-Lvant - għalkemm ta 'min isemmi li l-pjan inizjali ta' tliet snin biex jerġa 'jibni l-Polonja (speċjalment Varsavja) kien suċċess kbir, imma dak li segwa kien ħafna l-oppost. Madankollu, matul l-aħħar għaxar snin Varsavja rat bosta titjib minħabba tkabbir ekonomiku solidu, żieda fl-investiment barrani kif ukoll fondi mill-Unjoni Ewropea. B'mod partikolari, il-metro tal-belt, toroq, bankini, faċilitajiet tal-kura tas-saħħa u faċilitajiet ta 'sanità tjiebu sew.</v>
      </c>
    </row>
    <row r="917" ht="15.75" customHeight="1">
      <c r="A917" s="2" t="s">
        <v>917</v>
      </c>
      <c r="B917" s="2" t="str">
        <f>IFERROR(__xludf.DUMMYFUNCTION("GOOGLETRANSLATE(A917,""en"", ""mt"")"),"Kontra l-kulur")</f>
        <v>Kontra l-kulur</v>
      </c>
    </row>
    <row r="918" ht="15.75" customHeight="1">
      <c r="A918" s="2" t="s">
        <v>918</v>
      </c>
      <c r="B918" s="2" t="str">
        <f>IFERROR(__xludf.DUMMYFUNCTION("GOOGLETRANSLATE(A918,""en"", ""mt"")")," Li ssaltan fuq l-Imperu Ottoman meta kien l-iktar dgħajjef tiegħu.")</f>
        <v> Li ssaltan fuq l-Imperu Ottoman meta kien l-iktar dgħajjef tiegħu.</v>
      </c>
    </row>
    <row r="919" ht="15.75" customHeight="1">
      <c r="A919" s="2" t="s">
        <v>919</v>
      </c>
      <c r="B919" s="2" t="str">
        <f>IFERROR(__xludf.DUMMYFUNCTION("GOOGLETRANSLATE(A919,""en"", ""mt"")"),"żewġ arbli")</f>
        <v>żewġ arbli</v>
      </c>
    </row>
    <row r="920" ht="15.75" customHeight="1">
      <c r="A920" s="2" t="s">
        <v>920</v>
      </c>
      <c r="B920" s="2" t="str">
        <f>IFERROR(__xludf.DUMMYFUNCTION("GOOGLETRANSLATE(A920,""en"", ""mt"")"),"Algoritmi Randomizzati")</f>
        <v>Algoritmi Randomizzati</v>
      </c>
    </row>
    <row r="921" ht="15.75" customHeight="1">
      <c r="A921" s="2" t="s">
        <v>921</v>
      </c>
      <c r="B921" s="2" t="str">
        <f>IFERROR(__xludf.DUMMYFUNCTION("GOOGLETRANSLATE(A921,""en"", ""mt"")"),"Ċikli tal-isplużjoni u tal-bust")</f>
        <v>Ċikli tal-isplużjoni u tal-bust</v>
      </c>
    </row>
    <row r="922" ht="15.75" customHeight="1">
      <c r="A922" s="2" t="s">
        <v>922</v>
      </c>
      <c r="B922" s="2" t="str">
        <f>IFERROR(__xludf.DUMMYFUNCTION("GOOGLETRANSLATE(A922,""en"", ""mt"")"),"Kif huma allokati n-numri totali ta 'siġġijiet lill-partijiet?")</f>
        <v>Kif huma allokati n-numri totali ta 'siġġijiet lill-partijiet?</v>
      </c>
    </row>
    <row r="923" ht="15.75" customHeight="1">
      <c r="A923" s="2" t="s">
        <v>923</v>
      </c>
      <c r="B923" s="2" t="str">
        <f>IFERROR(__xludf.DUMMYFUNCTION("GOOGLETRANSLATE(A923,""en"", ""mt"")"),"X'inhu l-isem tad-deżert fuq il-fruntiera ta 'Arizona?")</f>
        <v>X'inhu l-isem tad-deżert fuq il-fruntiera ta 'Arizona?</v>
      </c>
    </row>
    <row r="924" ht="15.75" customHeight="1">
      <c r="A924" s="2" t="s">
        <v>924</v>
      </c>
      <c r="B924" s="2" t="str">
        <f>IFERROR(__xludf.DUMMYFUNCTION("GOOGLETRANSLATE(A924,""en"", ""mt"")"),"Immaniġġja d-Dipartiment tal-Ispiżerija")</f>
        <v>Immaniġġja d-Dipartiment tal-Ispiżerija</v>
      </c>
    </row>
    <row r="925" ht="15.75" customHeight="1">
      <c r="A925" s="2" t="s">
        <v>925</v>
      </c>
      <c r="B925" s="2" t="str">
        <f>IFERROR(__xludf.DUMMYFUNCTION("GOOGLETRANSLATE(A925,""en"", ""mt"")"),"kura farmaċewtika jew spiżerija klinika")</f>
        <v>kura farmaċewtika jew spiżerija klinika</v>
      </c>
    </row>
    <row r="926" ht="15.75" customHeight="1">
      <c r="A926" s="2" t="s">
        <v>926</v>
      </c>
      <c r="B926" s="2" t="str">
        <f>IFERROR(__xludf.DUMMYFUNCTION("GOOGLETRANSLATE(A926,""en"", ""mt"")"),"Triq Huguenot Distrett Storiku")</f>
        <v>Triq Huguenot Distrett Storiku</v>
      </c>
    </row>
    <row r="927" ht="15.75" customHeight="1">
      <c r="A927" s="2" t="s">
        <v>927</v>
      </c>
      <c r="B927" s="2" t="str">
        <f>IFERROR(__xludf.DUMMYFUNCTION("GOOGLETRANSLATE(A927,""en"", ""mt"")"),"X’ħeġġiġhom iż-żjarat ta ’John Paul II fl-1979 u fl-1983?")</f>
        <v>X’ħeġġiġhom iż-żjarat ta ’John Paul II fl-1979 u fl-1983?</v>
      </c>
    </row>
    <row r="928" ht="15.75" customHeight="1">
      <c r="A928" s="2" t="s">
        <v>928</v>
      </c>
      <c r="B928" s="2" t="str">
        <f>IFERROR(__xludf.DUMMYFUNCTION("GOOGLETRANSLATE(A928,""en"", ""mt"")"),"X'jagħmlu r-rosettes ciliary biex jibnu bl-ingrossa u jżidu d-densità?")</f>
        <v>X'jagħmlu r-rosettes ciliary biex jibnu bl-ingrossa u jżidu d-densità?</v>
      </c>
    </row>
    <row r="929" ht="15.75" customHeight="1">
      <c r="A929" s="2" t="s">
        <v>929</v>
      </c>
      <c r="B929" s="2" t="str">
        <f>IFERROR(__xludf.DUMMYFUNCTION("GOOGLETRANSLATE(A929,""en"", ""mt"")"),"Liema xogħol preċedenti esperimenti Lavoisier jiskreditaw?")</f>
        <v>Liema xogħol preċedenti esperimenti Lavoisier jiskreditaw?</v>
      </c>
    </row>
    <row r="930" ht="15.75" customHeight="1">
      <c r="A930" s="2" t="s">
        <v>930</v>
      </c>
      <c r="B930" s="2" t="str">
        <f>IFERROR(__xludf.DUMMYFUNCTION("GOOGLETRANSLATE(A930,""en"", ""mt"")"),"X'inhuma ż-żewġ faċilitajiet ta 'proċessar fil-viċinat?")</f>
        <v>X'inhuma ż-żewġ faċilitajiet ta 'proċessar fil-viċinat?</v>
      </c>
    </row>
    <row r="931" ht="15.75" customHeight="1">
      <c r="A931" s="2" t="s">
        <v>931</v>
      </c>
      <c r="B931" s="2" t="str">
        <f>IFERROR(__xludf.DUMMYFUNCTION("GOOGLETRANSLATE(A931,""en"", ""mt"")"),"Netwerk Pubbliku Awstraljan X.25")</f>
        <v>Netwerk Pubbliku Awstraljan X.25</v>
      </c>
    </row>
    <row r="932" ht="15.75" customHeight="1">
      <c r="A932" s="2" t="s">
        <v>932</v>
      </c>
      <c r="B932" s="2" t="str">
        <f>IFERROR(__xludf.DUMMYFUNCTION("GOOGLETRANSLATE(A932,""en"", ""mt"")"),"Varsavja tinsab fuq żewġ formazzjonijiet ġeomorfoloġiċi ewlenin: il-plateau tal-moraine sempliċi u l-wied Vistula bil-mudell asimmetriku tagħha ta 'terrazzi differenti. Ix-Xmara Vistula hija l-assi speċifiku ta 'Varsavja, li taqsam il-belt f'żewġ partijie"&amp;"t, xellug u lemin. Ix-xellug jinsab kemm fuq il-Plateau Moraine (10 sa 25 m (32.8 sa 82.0 ft) 'il fuq mil-livell ta' vistula) kif ukoll fuq it-terrazzi tal-vistula (max. 6.5 m (21.3 ft) 'il fuq mil-livell Vistula). L-element sinifikanti tas-serħan, f'din "&amp;"il-parti ta 'Varsavja, huwa t-tarf tal-Plateau Moraine imsejjaħ Escarpment ta' Varsavja. Huwa għoli 20 sa 25 m (65.6 sa 82.0 ft) fil-belt il-qadima u d-distrett ċentrali u madwar 10 m (32.8 ft) fit-tramuntana u fin-nofsinhar ta 'Varsavja. Hija tgħaddi mil"&amp;"l-belt u għandha rwol importanti bħala monument.")</f>
        <v>Varsavja tinsab fuq żewġ formazzjonijiet ġeomorfoloġiċi ewlenin: il-plateau tal-moraine sempliċi u l-wied Vistula bil-mudell asimmetriku tagħha ta 'terrazzi differenti. Ix-Xmara Vistula hija l-assi speċifiku ta 'Varsavja, li taqsam il-belt f'żewġ partijiet, xellug u lemin. Ix-xellug jinsab kemm fuq il-Plateau Moraine (10 sa 25 m (32.8 sa 82.0 ft) 'il fuq mil-livell ta' vistula) kif ukoll fuq it-terrazzi tal-vistula (max. 6.5 m (21.3 ft) 'il fuq mil-livell Vistula). L-element sinifikanti tas-serħan, f'din il-parti ta 'Varsavja, huwa t-tarf tal-Plateau Moraine imsejjaħ Escarpment ta' Varsavja. Huwa għoli 20 sa 25 m (65.6 sa 82.0 ft) fil-belt il-qadima u d-distrett ċentrali u madwar 10 m (32.8 ft) fit-tramuntana u fin-nofsinhar ta 'Varsavja. Hija tgħaddi mill-belt u għandha rwol importanti bħala monument.</v>
      </c>
    </row>
    <row r="933" ht="15.75" customHeight="1">
      <c r="A933" s="2" t="s">
        <v>933</v>
      </c>
      <c r="B933" s="2" t="str">
        <f>IFERROR(__xludf.DUMMYFUNCTION("GOOGLETRANSLATE(A933,""en"", ""mt"")"),"Liema diviżjoni toffri aktar minn fergħa waħda ta 'studji li ma jaqblux ma' l-erbgħa l-oħra?")</f>
        <v>Liema diviżjoni toffri aktar minn fergħa waħda ta 'studji li ma jaqblux ma' l-erbgħa l-oħra?</v>
      </c>
    </row>
    <row r="934" ht="15.75" customHeight="1">
      <c r="A934" s="2" t="s">
        <v>934</v>
      </c>
      <c r="B934" s="2" t="str">
        <f>IFERROR(__xludf.DUMMYFUNCTION("GOOGLETRANSLATE(A934,""en"", ""mt"")"),"inkonklussivament, biż-żewġ naħat jirtiraw mill-grawnd")</f>
        <v>inkonklussivament, biż-żewġ naħat jirtiraw mill-grawnd</v>
      </c>
    </row>
    <row r="935" ht="15.75" customHeight="1">
      <c r="A935" s="2" t="s">
        <v>935</v>
      </c>
      <c r="B935" s="2" t="str">
        <f>IFERROR(__xludf.DUMMYFUNCTION("GOOGLETRANSLATE(A935,""en"", ""mt"")"),"blat, alka, jew uċuħ tal-ġisem ta 'invertebrati oħra")</f>
        <v>blat, alka, jew uċuħ tal-ġisem ta 'invertebrati oħra</v>
      </c>
    </row>
    <row r="936" ht="15.75" customHeight="1">
      <c r="A936" s="2" t="s">
        <v>936</v>
      </c>
      <c r="B936" s="2" t="str">
        <f>IFERROR(__xludf.DUMMYFUNCTION("GOOGLETRANSLATE(A936,""en"", ""mt"")"),"Liema skejjel tar-reliġjon ġew integrati fl-iskejjel pubbliċi ta 'New Zealand bejn l-1979 u l-1984?")</f>
        <v>Liema skejjel tar-reliġjon ġew integrati fl-iskejjel pubbliċi ta 'New Zealand bejn l-1979 u l-1984?</v>
      </c>
    </row>
    <row r="937" ht="15.75" customHeight="1">
      <c r="A937" s="2" t="s">
        <v>937</v>
      </c>
      <c r="B937" s="2" t="str">
        <f>IFERROR(__xludf.DUMMYFUNCTION("GOOGLETRANSLATE(A937,""en"", ""mt"")"),"Analiżi tal-filoġenija molekulari kkonfermat li Cydippid mhumiex xiex?")</f>
        <v>Analiżi tal-filoġenija molekulari kkonfermat li Cydippid mhumiex xiex?</v>
      </c>
    </row>
    <row r="938" ht="15.75" customHeight="1">
      <c r="A938" s="2" t="s">
        <v>938</v>
      </c>
      <c r="B938" s="2" t="str">
        <f>IFERROR(__xludf.DUMMYFUNCTION("GOOGLETRANSLATE(A938,""en"", ""mt"")"),"Franza kif kienet differenti mill-Gran Brittanja fil-ġestjoni tal-kolonji tagħha?")</f>
        <v>Franza kif kienet differenti mill-Gran Brittanja fil-ġestjoni tal-kolonji tagħha?</v>
      </c>
    </row>
    <row r="939" ht="15.75" customHeight="1">
      <c r="A939" s="2" t="s">
        <v>939</v>
      </c>
      <c r="B939" s="2" t="str">
        <f>IFERROR(__xludf.DUMMYFUNCTION("GOOGLETRANSLATE(A939,""en"", ""mt"")"),"Parlament tar-Rabat")</f>
        <v>Parlament tar-Rabat</v>
      </c>
    </row>
    <row r="940" ht="15.75" customHeight="1">
      <c r="A940" s="2" t="s">
        <v>940</v>
      </c>
      <c r="B940" s="2" t="str">
        <f>IFERROR(__xludf.DUMMYFUNCTION("GOOGLETRANSLATE(A940,""en"", ""mt"")"),"Min wera kif joħloq numru perfett minn Mersenne Prime?")</f>
        <v>Min wera kif joħloq numru perfett minn Mersenne Prime?</v>
      </c>
    </row>
    <row r="941" ht="15.75" customHeight="1">
      <c r="A941" s="2" t="s">
        <v>941</v>
      </c>
      <c r="B941" s="2" t="str">
        <f>IFERROR(__xludf.DUMMYFUNCTION("GOOGLETRANSLATE(A941,""en"", ""mt"")"),"X'ghomet NSFNET")</f>
        <v>X'ghomet NSFNET</v>
      </c>
    </row>
    <row r="942" ht="15.75" customHeight="1">
      <c r="A942" s="2" t="s">
        <v>942</v>
      </c>
      <c r="B942" s="2" t="str">
        <f>IFERROR(__xludf.DUMMYFUNCTION("GOOGLETRANSLATE(A942,""en"", ""mt"")"),"NP-Sodisfazzjon Boolean NP")</f>
        <v>NP-Sodisfazzjon Boolean NP</v>
      </c>
    </row>
    <row r="943" ht="15.75" customHeight="1">
      <c r="A943" s="2" t="s">
        <v>943</v>
      </c>
      <c r="B943" s="2" t="str">
        <f>IFERROR(__xludf.DUMMYFUNCTION("GOOGLETRANSLATE(A943,""en"", ""mt"")"),"X'inhu s-sors tas-sħana tas-soltu għall-ilma jagħli fil-magna tal-fwar?")</f>
        <v>X'inhu s-sors tas-sħana tas-soltu għall-ilma jagħli fil-magna tal-fwar?</v>
      </c>
    </row>
    <row r="944" ht="15.75" customHeight="1">
      <c r="A944" s="2" t="s">
        <v>944</v>
      </c>
      <c r="B944" s="2" t="str">
        <f>IFERROR(__xludf.DUMMYFUNCTION("GOOGLETRANSLATE(A944,""en"", ""mt"")"),"Mill-Dynasties Sui u Tang")</f>
        <v>Mill-Dynasties Sui u Tang</v>
      </c>
    </row>
    <row r="945" ht="15.75" customHeight="1">
      <c r="A945" s="2" t="s">
        <v>945</v>
      </c>
      <c r="B945" s="2" t="str">
        <f>IFERROR(__xludf.DUMMYFUNCTION("GOOGLETRANSLATE(A945,""en"", ""mt"")"),"Il-fratellanza kienet l-uniku grupp ta ’oppożizzjoni fl-Eġittu kapaċi jagħmel dak waqt l-elezzjonijiet?")</f>
        <v>Il-fratellanza kienet l-uniku grupp ta ’oppożizzjoni fl-Eġittu kapaċi jagħmel dak waqt l-elezzjonijiet?</v>
      </c>
    </row>
    <row r="946" ht="15.75" customHeight="1">
      <c r="A946" s="2" t="s">
        <v>946</v>
      </c>
      <c r="B946" s="2" t="str">
        <f>IFERROR(__xludf.DUMMYFUNCTION("GOOGLETRANSLATE(A946,""en"", ""mt"")"),"Kemm trattati oriġinali li jistabbilixxu l-UE ma pproteġux id-drittijiet fundamentali /")</f>
        <v>Kemm trattati oriġinali li jistabbilixxu l-UE ma pproteġux id-drittijiet fundamentali /</v>
      </c>
    </row>
    <row r="947" ht="15.75" customHeight="1">
      <c r="A947" s="2" t="s">
        <v>947</v>
      </c>
      <c r="B947" s="2" t="str">
        <f>IFERROR(__xludf.DUMMYFUNCTION("GOOGLETRANSLATE(A947,""en"", ""mt"")"),"Kemm it-trab jiġi minfuħ mis-Saħara kull sena?")</f>
        <v>Kemm it-trab jiġi minfuħ mis-Saħara kull sena?</v>
      </c>
    </row>
    <row r="948" ht="15.75" customHeight="1">
      <c r="A948" s="2" t="s">
        <v>948</v>
      </c>
      <c r="B948" s="2" t="str">
        <f>IFERROR(__xludf.DUMMYFUNCTION("GOOGLETRANSLATE(A948,""en"", ""mt"")"),"Il-patoġeni jistgħu jevolvu malajr u jadattaw, u b'hekk jevitaw is-sejbien u n-newtralizzazzjoni mis-sistema immunitarja; Madankollu, mekkaniżmi ta 'difiża multipli evolvew ukoll biex jirrikonoxxu u jinnewtralizzaw il-patoġeni. Anke organiżmi uniċellulari"&amp;" sempliċi bħal batterji għandhom sistema immuni rudimentarja, fil-forma ta 'enzimi li jipproteġu kontra infezzjonijiet tal-batterjofagi. Mekkaniżmi immuni bażiċi oħra evolvew fl-ewkarioti tal-qedem u jibqgħu fid-dixxendenti moderni tagħhom, bħal pjanti u "&amp;"invertebrati. Dawn il-mekkaniżmi jinkludu fagoċitosi, peptidi antimikrobiċi msejħa difensini, u s-sistema ta 'komplement. Il-vertebrati tax-xedaq, inklużi l-bnedmin, għandhom mekkaniżmi ta 'difiża saħansitra aktar sofistikati, inkluża l-abbiltà li tadatta"&amp;" maż-żmien biex tirrikonoxxi patoġeni speċifiċi b'mod aktar effiċjenti. L-immunità adattiva (jew akkwistata) toħloq memorja immunoloġika wara rispons inizjali għal patoġen speċifiku, li jwassal għal rispons imtejjeb għal inkontri sussegwenti bl-istess pat"&amp;"oġen. Dan il-proċess ta 'immunità akkwistata huwa l-bażi tat-tilqima.")</f>
        <v>Il-patoġeni jistgħu jevolvu malajr u jadattaw, u b'hekk jevitaw is-sejbien u n-newtralizzazzjoni mis-sistema immunitarja; Madankollu, mekkaniżmi ta 'difiża multipli evolvew ukoll biex jirrikonoxxu u jinnewtralizzaw il-patoġeni. Anke organiżmi uniċellulari sempliċi bħal batterji għandhom sistema immuni rudimentarja, fil-forma ta 'enzimi li jipproteġu kontra infezzjonijiet tal-batterjofagi. Mekkaniżmi immuni bażiċi oħra evolvew fl-ewkarioti tal-qedem u jibqgħu fid-dixxendenti moderni tagħhom, bħal pjanti u invertebrati. Dawn il-mekkaniżmi jinkludu fagoċitosi, peptidi antimikrobiċi msejħa difensini, u s-sistema ta 'komplement. Il-vertebrati tax-xedaq, inklużi l-bnedmin, għandhom mekkaniżmi ta 'difiża saħansitra aktar sofistikati, inkluża l-abbiltà li tadatta maż-żmien biex tirrikonoxxi patoġeni speċifiċi b'mod aktar effiċjenti. L-immunità adattiva (jew akkwistata) toħloq memorja immunoloġika wara rispons inizjali għal patoġen speċifiku, li jwassal għal rispons imtejjeb għal inkontri sussegwenti bl-istess patoġen. Dan il-proċess ta 'immunità akkwistata huwa l-bażi tat-tilqima.</v>
      </c>
    </row>
    <row r="949" ht="15.75" customHeight="1">
      <c r="A949" s="2" t="s">
        <v>949</v>
      </c>
      <c r="B949" s="2" t="str">
        <f>IFERROR(__xludf.DUMMYFUNCTION("GOOGLETRANSLATE(A949,""en"", ""mt"")"),"f'distanzi akbar.")</f>
        <v>f'distanzi akbar.</v>
      </c>
    </row>
    <row r="950" ht="15.75" customHeight="1">
      <c r="A950" s="2" t="s">
        <v>950</v>
      </c>
      <c r="B950" s="2" t="str">
        <f>IFERROR(__xludf.DUMMYFUNCTION("GOOGLETRANSLATE(A950,""en"", ""mt"")"),"l-istess metodoloġija tar-rotta tal-messaġġi kif żviluppata minn baran")</f>
        <v>l-istess metodoloġija tar-rotta tal-messaġġi kif żviluppata minn baran</v>
      </c>
    </row>
    <row r="951" ht="15.75" customHeight="1">
      <c r="A951" s="2" t="s">
        <v>951</v>
      </c>
      <c r="B951" s="2" t="str">
        <f>IFERROR(__xludf.DUMMYFUNCTION("GOOGLETRANSLATE(A951,""en"", ""mt"")"),"Speċi reattivi ta 'ossiġnu, bħal jone superoxide (O−
2) u perossidu tal-idroġenu (h
2o
2), huma prodotti sekondarji perikolużi ta 'użu ta' ossiġnu f'organiżmi. Partijiet mis-sistema immunitarja ta 'organiżmi ogħla joħolqu perossidu, superossidu u ossiġnu "&amp;"singlet biex jeqirdu mikrobi li jinvadu. Speċi reattivi ta 'ossiġnu għandhom ukoll rwol importanti fir-rispons ipersensittiv ta' pjanti kontra attakk ta 'patoġeni. L-ossiġnu huwa tossiku għal organiżmi anerobiċi obbligatament, li kienu l-forma dominanti t"&amp;"al-ħajja bikrija fid-dinja sakemm o
2 bdew jakkumulaw fl-atmosfera madwar 2.5 biljun sena ilu matul l-avveniment tal-ossiġenazzjoni l-kbira, madwar biljun sena wara l-ewwel dehra ta 'dawn l-organiżmi.")</f>
        <v>Speċi reattivi ta 'ossiġnu, bħal jone superoxide (O−
2) u perossidu tal-idroġenu (h
2o
2), huma prodotti sekondarji perikolużi ta 'użu ta' ossiġnu f'organiżmi. Partijiet mis-sistema immunitarja ta 'organiżmi ogħla joħolqu perossidu, superossidu u ossiġnu singlet biex jeqirdu mikrobi li jinvadu. Speċi reattivi ta 'ossiġnu għandhom ukoll rwol importanti fir-rispons ipersensittiv ta' pjanti kontra attakk ta 'patoġeni. L-ossiġnu huwa tossiku għal organiżmi anerobiċi obbligatament, li kienu l-forma dominanti tal-ħajja bikrija fid-dinja sakemm o
2 bdew jakkumulaw fl-atmosfera madwar 2.5 biljun sena ilu matul l-avveniment tal-ossiġenazzjoni l-kbira, madwar biljun sena wara l-ewwel dehra ta 'dawn l-organiżmi.</v>
      </c>
    </row>
    <row r="952" ht="15.75" customHeight="1">
      <c r="A952" s="2" t="s">
        <v>952</v>
      </c>
      <c r="B952" s="2" t="str">
        <f>IFERROR(__xludf.DUMMYFUNCTION("GOOGLETRANSLATE(A952,""en"", ""mt"")"),"Liema artikoli jiddikjaraw li s-setgħat jibqgħu ma 'stati membri sakemm ma ġewx mogħtija?")</f>
        <v>Liema artikoli jiddikjaraw li s-setgħat jibqgħu ma 'stati membri sakemm ma ġewx mogħtija?</v>
      </c>
    </row>
    <row r="953" ht="15.75" customHeight="1">
      <c r="A953" s="2" t="s">
        <v>953</v>
      </c>
      <c r="B953" s="2" t="str">
        <f>IFERROR(__xludf.DUMMYFUNCTION("GOOGLETRANSLATE(A953,""en"", ""mt"")"),"Biex tevita l-installazzjoni ta 'immaġini pagani fit-tempju f'Ġerusalemm")</f>
        <v>Biex tevita l-installazzjoni ta 'immaġini pagani fit-tempju f'Ġerusalemm</v>
      </c>
    </row>
    <row r="954" ht="15.75" customHeight="1">
      <c r="A954" s="2" t="s">
        <v>954</v>
      </c>
      <c r="B954" s="2" t="str">
        <f>IFERROR(__xludf.DUMMYFUNCTION("GOOGLETRANSLATE(A954,""en"", ""mt"")"),"Memorja immunoloġika tista 'tieħu liema żewġ forom?")</f>
        <v>Memorja immunoloġika tista 'tieħu liema żewġ forom?</v>
      </c>
    </row>
    <row r="955" ht="15.75" customHeight="1">
      <c r="A955" s="2" t="s">
        <v>955</v>
      </c>
      <c r="B955" s="2" t="str">
        <f>IFERROR(__xludf.DUMMYFUNCTION("GOOGLETRANSLATE(A955,""en"", ""mt"")"),"Min iddisinja l-bini tal-Parlament Skoċċiż?")</f>
        <v>Min iddisinja l-bini tal-Parlament Skoċċiż?</v>
      </c>
    </row>
    <row r="956" ht="15.75" customHeight="1">
      <c r="A956" s="2" t="s">
        <v>956</v>
      </c>
      <c r="B956" s="2" t="str">
        <f>IFERROR(__xludf.DUMMYFUNCTION("GOOGLETRANSLATE(A956,""en"", ""mt"")"),"Nar kbir tal-1901")</f>
        <v>Nar kbir tal-1901</v>
      </c>
    </row>
    <row r="957" ht="15.75" customHeight="1">
      <c r="A957" s="2" t="s">
        <v>957</v>
      </c>
      <c r="B957" s="2" t="str">
        <f>IFERROR(__xludf.DUMMYFUNCTION("GOOGLETRANSLATE(A957,""en"", ""mt"")"),"X'inhu NSFNET")</f>
        <v>X'inhu NSFNET</v>
      </c>
    </row>
    <row r="958" ht="15.75" customHeight="1">
      <c r="A958" s="2" t="s">
        <v>958</v>
      </c>
      <c r="B958" s="2" t="str">
        <f>IFERROR(__xludf.DUMMYFUNCTION("GOOGLETRANSLATE(A958,""en"", ""mt"")"),"X'jagħmel livelli għoljin ta 'inugwaljanza għat-tkabbir f'pajjiżi foqra?")</f>
        <v>X'jagħmel livelli għoljin ta 'inugwaljanza għat-tkabbir f'pajjiżi foqra?</v>
      </c>
    </row>
    <row r="959" ht="15.75" customHeight="1">
      <c r="A959" s="2" t="s">
        <v>959</v>
      </c>
      <c r="B959" s="2" t="str">
        <f>IFERROR(__xludf.DUMMYFUNCTION("GOOGLETRANSLATE(A959,""en"", ""mt"")"),"Dak li stabbilixxa l-istadju għall-mertu rwol f'NSFNET")</f>
        <v>Dak li stabbilixxa l-istadju għall-mertu rwol f'NSFNET</v>
      </c>
    </row>
    <row r="960" ht="15.75" customHeight="1">
      <c r="A960" s="2" t="s">
        <v>960</v>
      </c>
      <c r="B960" s="2" t="str">
        <f>IFERROR(__xludf.DUMMYFUNCTION("GOOGLETRANSLATE(A960,""en"", ""mt"")"),"X'inhuma l-partiċelli skambjati mbassra mill-mudell standard?")</f>
        <v>X'inhuma l-partiċelli skambjati mbassra mill-mudell standard?</v>
      </c>
    </row>
    <row r="961" ht="15.75" customHeight="1">
      <c r="A961" s="2" t="s">
        <v>961</v>
      </c>
      <c r="B961" s="2" t="str">
        <f>IFERROR(__xludf.DUMMYFUNCTION("GOOGLETRANSLATE(A961,""en"", ""mt"")"),"Fejn twaqqaf assemblea eletta, skont it-termini tal-Att tal-Iskozja tal-1978?")</f>
        <v>Fejn twaqqaf assemblea eletta, skont it-termini tal-Att tal-Iskozja tal-1978?</v>
      </c>
    </row>
    <row r="962" ht="15.75" customHeight="1">
      <c r="A962" s="2" t="s">
        <v>962</v>
      </c>
      <c r="B962" s="2" t="str">
        <f>IFERROR(__xludf.DUMMYFUNCTION("GOOGLETRANSLATE(A962,""en"", ""mt"")"),"Waħda mill-iktar persuni famużi mwielda f'Varsavja kienet Maria Skłodowska-Curie, li kisbet rikonoxximent internazzjonali għar-riċerka tagħha dwar ir-radjuattività u kienet l-ewwel mara riċevitur tal-Premju Nobel. Mużiċisti famużi jinkludu Władysław Szpil"&amp;"man u Frédéric Chopin. Għalkemm Chopin twieled fir-raħal ta 'Żelazowa Wola, madwar 60 km (37 mi) minn Varsavja, huwa mar il-belt mal-familja tiegħu meta kellu seba' xhur. Casimir Pulaski, ġenerali Pollakk u eroj tal-Gwerra Rivoluzzjonarja Amerikana, twiel"&amp;"ed hawn fl-1745.")</f>
        <v>Waħda mill-iktar persuni famużi mwielda f'Varsavja kienet Maria Skłodowska-Curie, li kisbet rikonoxximent internazzjonali għar-riċerka tagħha dwar ir-radjuattività u kienet l-ewwel mara riċevitur tal-Premju Nobel. Mużiċisti famużi jinkludu Władysław Szpilman u Frédéric Chopin. Għalkemm Chopin twieled fir-raħal ta 'Żelazowa Wola, madwar 60 km (37 mi) minn Varsavja, huwa mar il-belt mal-familja tiegħu meta kellu seba' xhur. Casimir Pulaski, ġenerali Pollakk u eroj tal-Gwerra Rivoluzzjonarja Amerikana, twieled hawn fl-1745.</v>
      </c>
    </row>
    <row r="963" ht="15.75" customHeight="1">
      <c r="A963" s="2" t="s">
        <v>963</v>
      </c>
      <c r="B963" s="2" t="str">
        <f>IFERROR(__xludf.DUMMYFUNCTION("GOOGLETRANSLATE(A963,""en"", ""mt"")"),"Kull kapitolu għandu numru ta ’awturi li huma responsabbli għall-kitba u l-editjar tal-materjal. Kapitolu tipikament għandu żewġ ""awturi ewlenin li jikkoordinaw"", għaxra sa ħmistax ""awturi ewlenin"", u numru kemmxejn ikbar ta '""awturi li jikkontribwix"&amp;"xu"". L-awturi ewlenin li jikkoordinaw huma responsabbli biex jiġbru l-kontribuzzjonijiet tal-awturi l-oħra, u jiżguraw li jissodisfaw ir-rekwiżiti stilistiċi u l-ifformattjar, u jirrappurtaw lis-siġġijiet tal-grupp ta 'ħidma. L-awturi ewlenin huma respon"&amp;"sabbli biex jiktbu sezzjonijiet ta ’kapitoli. L-awturi li jikkontribwixxu jħejju test, graffs jew dejta għall-inklużjoni mill-awturi ewlenin.")</f>
        <v>Kull kapitolu għandu numru ta ’awturi li huma responsabbli għall-kitba u l-editjar tal-materjal. Kapitolu tipikament għandu żewġ "awturi ewlenin li jikkoordinaw", għaxra sa ħmistax "awturi ewlenin", u numru kemmxejn ikbar ta '"awturi li jikkontribwixxu". L-awturi ewlenin li jikkoordinaw huma responsabbli biex jiġbru l-kontribuzzjonijiet tal-awturi l-oħra, u jiżguraw li jissodisfaw ir-rekwiżiti stilistiċi u l-ifformattjar, u jirrappurtaw lis-siġġijiet tal-grupp ta 'ħidma. L-awturi ewlenin huma responsabbli biex jiktbu sezzjonijiet ta ’kapitoli. L-awturi li jikkontribwixxu jħejju test, graffs jew dejta għall-inklużjoni mill-awturi ewlenin.</v>
      </c>
    </row>
    <row r="964" ht="15.75" customHeight="1">
      <c r="A964" s="2" t="s">
        <v>964</v>
      </c>
      <c r="B964" s="2" t="str">
        <f>IFERROR(__xludf.DUMMYFUNCTION("GOOGLETRANSLATE(A964,""en"", ""mt"")"),"Introduzzjoni aċċidentali ta 'Beroe")</f>
        <v>Introduzzjoni aċċidentali ta 'Beroe</v>
      </c>
    </row>
    <row r="965" ht="15.75" customHeight="1">
      <c r="A965" s="2" t="s">
        <v>965</v>
      </c>
      <c r="B965" s="2" t="str">
        <f>IFERROR(__xludf.DUMMYFUNCTION("GOOGLETRANSLATE(A965,""en"", ""mt"")"),"Marzu 1974.")</f>
        <v>Marzu 1974.</v>
      </c>
    </row>
    <row r="966" ht="15.75" customHeight="1">
      <c r="A966" s="2" t="s">
        <v>966</v>
      </c>
      <c r="B966" s="2" t="str">
        <f>IFERROR(__xludf.DUMMYFUNCTION("GOOGLETRANSLATE(A966,""en"", ""mt"")"),"fin-Nofsinhar")</f>
        <v>fin-Nofsinhar</v>
      </c>
    </row>
    <row r="967" ht="15.75" customHeight="1">
      <c r="A967" s="2" t="s">
        <v>967</v>
      </c>
      <c r="B967" s="2" t="str">
        <f>IFERROR(__xludf.DUMMYFUNCTION("GOOGLETRANSLATE(A967,""en"", ""mt"")"),"Iskejjel magħluqa Huguenot")</f>
        <v>Iskejjel magħluqa Huguenot</v>
      </c>
    </row>
    <row r="968" ht="15.75" customHeight="1">
      <c r="A968" s="2" t="s">
        <v>968</v>
      </c>
      <c r="B968" s="2" t="str">
        <f>IFERROR(__xludf.DUMMYFUNCTION("GOOGLETRANSLATE(A968,""en"", ""mt"")"),"Il-pesta ġiet rappurtata l-ewwel introdotta fl-Ewropa permezz ta 'negozjanti Ġenesi fil-belt tal-port ta' Kaffa fil-Krimea fl-1347. Wara assedju fit-tul, li matulu l-armata Mongolja taħt Jani Beg kienet tbati mill-marda, l-armata qabdet il-kadavri infetta"&amp;"ti fuq il-belt Ħitan ta ’Kaffa biex jinfettaw lill-abitanti. In-negozjanti Ġenesi ħarbu, billi ħadu l-pesta bil-vapur lejn Sqallija u fin-nofsinhar tal-Ewropa, minn fejn tinfirex lejn it-tramuntana. Jekk din l-ipoteżi hijiex eżatta jew le, huwa ċar li div"&amp;"ersi kundizzjonijiet eżistenti bħall-gwerra, il-ġuħ, u t-temp ikkontribwew għas-severità tal-mewt sewda.")</f>
        <v>Il-pesta ġiet rappurtata l-ewwel introdotta fl-Ewropa permezz ta 'negozjanti Ġenesi fil-belt tal-port ta' Kaffa fil-Krimea fl-1347. Wara assedju fit-tul, li matulu l-armata Mongolja taħt Jani Beg kienet tbati mill-marda, l-armata qabdet il-kadavri infettati fuq il-belt Ħitan ta ’Kaffa biex jinfettaw lill-abitanti. In-negozjanti Ġenesi ħarbu, billi ħadu l-pesta bil-vapur lejn Sqallija u fin-nofsinhar tal-Ewropa, minn fejn tinfirex lejn it-tramuntana. Jekk din l-ipoteżi hijiex eżatta jew le, huwa ċar li diversi kundizzjonijiet eżistenti bħall-gwerra, il-ġuħ, u t-temp ikkontribwew għas-severità tal-mewt sewda.</v>
      </c>
    </row>
    <row r="969" ht="15.75" customHeight="1">
      <c r="A969" s="2" t="s">
        <v>969</v>
      </c>
      <c r="B969" s="2" t="str">
        <f>IFERROR(__xludf.DUMMYFUNCTION("GOOGLETRANSLATE(A969,""en"", ""mt"")"),"Għaliex il-Fratellanza Musulmana ffaċilitat ċerimonji rħas taż-żwieġ tal-massa?")</f>
        <v>Għaliex il-Fratellanza Musulmana ffaċilitat ċerimonji rħas taż-żwieġ tal-massa?</v>
      </c>
    </row>
    <row r="970" ht="15.75" customHeight="1">
      <c r="A970" s="2" t="s">
        <v>970</v>
      </c>
      <c r="B970" s="2" t="str">
        <f>IFERROR(__xludf.DUMMYFUNCTION("GOOGLETRANSLATE(A970,""en"", ""mt"")"),"Liema armi kienu qed jużaw iż-Żulus matul il-Gwerra Anglo-Żulu tal-1879?")</f>
        <v>Liema armi kienu qed jużaw iż-Żulus matul il-Gwerra Anglo-Żulu tal-1879?</v>
      </c>
    </row>
    <row r="971" ht="15.75" customHeight="1">
      <c r="A971" s="2" t="s">
        <v>971</v>
      </c>
      <c r="B971" s="2" t="str">
        <f>IFERROR(__xludf.DUMMYFUNCTION("GOOGLETRANSLATE(A971,""en"", ""mt"")"),"peptidi awto")</f>
        <v>peptidi awto</v>
      </c>
    </row>
    <row r="972" ht="15.75" customHeight="1">
      <c r="A972" s="2" t="s">
        <v>972</v>
      </c>
      <c r="B972" s="2" t="str">
        <f>IFERROR(__xludf.DUMMYFUNCTION("GOOGLETRANSLATE(A972,""en"", ""mt"")"),"il-punent")</f>
        <v>il-punent</v>
      </c>
    </row>
    <row r="973" ht="15.75" customHeight="1">
      <c r="A973" s="2" t="s">
        <v>973</v>
      </c>
      <c r="B973" s="2" t="str">
        <f>IFERROR(__xludf.DUMMYFUNCTION("GOOGLETRANSLATE(A973,""en"", ""mt"")"),"Min appoġġja politiki li għandhom soluzzjonijiet li jidhru tajbin imma għandhom prospetti ħżiena?")</f>
        <v>Min appoġġja politiki li għandhom soluzzjonijiet li jidhru tajbin imma għandhom prospetti ħżiena?</v>
      </c>
    </row>
    <row r="974" ht="15.75" customHeight="1">
      <c r="A974" s="2" t="s">
        <v>974</v>
      </c>
      <c r="B974" s="2" t="str">
        <f>IFERROR(__xludf.DUMMYFUNCTION("GOOGLETRANSLATE(A974,""en"", ""mt"")"),"ideat")</f>
        <v>ideat</v>
      </c>
    </row>
    <row r="975" ht="15.75" customHeight="1">
      <c r="A975" s="2" t="s">
        <v>975</v>
      </c>
      <c r="B975" s="2" t="str">
        <f>IFERROR(__xludf.DUMMYFUNCTION("GOOGLETRANSLATE(A975,""en"", ""mt"")"),"jippreserva l-interessi tal-Mongolja fiċ-Ċina u jissodisfa t-talbiet tas-suġġetti Ċiniżi tiegħu")</f>
        <v>jippreserva l-interessi tal-Mongolja fiċ-Ċina u jissodisfa t-talbiet tas-suġġetti Ċiniżi tiegħu</v>
      </c>
    </row>
    <row r="976" ht="15.75" customHeight="1">
      <c r="A976" s="2" t="s">
        <v>976</v>
      </c>
      <c r="B976" s="2" t="str">
        <f>IFERROR(__xludf.DUMMYFUNCTION("GOOGLETRANSLATE(A976,""en"", ""mt"")"),"Sistema tradizzjonali Ċiniża Awtokratika-Bureacratic")</f>
        <v>Sistema tradizzjonali Ċiniża Awtokratika-Bureacratic</v>
      </c>
    </row>
    <row r="977" ht="15.75" customHeight="1">
      <c r="A977" s="2" t="s">
        <v>977</v>
      </c>
      <c r="B977" s="2" t="str">
        <f>IFERROR(__xludf.DUMMYFUNCTION("GOOGLETRANSLATE(A977,""en"", ""mt"")"),"Il-proprjetà li tkun prim (jew le) tissejjaħ primalità. Metodu sempliċi imma bil-mod tal-verifika tal-primalità ta 'numru partikolari n huwa magħruf bħala diviżjoni ta' prova. Tikkonsisti fl-ittestjar jekk N huwiex multiplu minn kwalunkwe numru sħiħ bejn "&amp;"2 u. Algoritmi ferm aktar effiċjenti mid-diviżjoni tal-prova ġew iddisinjati biex jittestjaw il-primalità ta 'numri kbar. Dawn jinkludu t-test tal-primalità Miller-Rabin, li huwa mgħaġġel iżda għandu probabbiltà żgħira ta 'żball, u t-test tal-primalità AK"&amp;"S, li dejjem jipproduċi t-tweġiba t-tajba fi żmien polinomjali iżda huwa bil-mod wisq biex ikun prattiku. Metodi partikolarment veloċi huma disponibbli għal numri ta 'forom speċjali, bħal numri ta' mersenne. Minn Jannar 2016 [aġġornament], l-akbar numru e"&amp;"wlieni magħruf għandu 22,338,618 ċifri deċimali.")</f>
        <v>Il-proprjetà li tkun prim (jew le) tissejjaħ primalità. Metodu sempliċi imma bil-mod tal-verifika tal-primalità ta 'numru partikolari n huwa magħruf bħala diviżjoni ta' prova. Tikkonsisti fl-ittestjar jekk N huwiex multiplu minn kwalunkwe numru sħiħ bejn 2 u. Algoritmi ferm aktar effiċjenti mid-diviżjoni tal-prova ġew iddisinjati biex jittestjaw il-primalità ta 'numri kbar. Dawn jinkludu t-test tal-primalità Miller-Rabin, li huwa mgħaġġel iżda għandu probabbiltà żgħira ta 'żball, u t-test tal-primalità AKS, li dejjem jipproduċi t-tweġiba t-tajba fi żmien polinomjali iżda huwa bil-mod wisq biex ikun prattiku. Metodi partikolarment veloċi huma disponibbli għal numri ta 'forom speċjali, bħal numri ta' mersenne. Minn Jannar 2016 [aġġornament], l-akbar numru ewlieni magħruf għandu 22,338,618 ċifri deċimali.</v>
      </c>
    </row>
    <row r="978" ht="15.75" customHeight="1">
      <c r="A978" s="2" t="s">
        <v>978</v>
      </c>
      <c r="B978" s="2" t="str">
        <f>IFERROR(__xludf.DUMMYFUNCTION("GOOGLETRANSLATE(A978,""en"", ""mt"")"),"Partiċelli tal-punt idealizzati aktar milli oġġetti tridimensjonali")</f>
        <v>Partiċelli tal-punt idealizzati aktar milli oġġetti tridimensjonali</v>
      </c>
    </row>
    <row r="979" ht="15.75" customHeight="1">
      <c r="A979" s="2" t="s">
        <v>979</v>
      </c>
      <c r="B979" s="2" t="str">
        <f>IFERROR(__xludf.DUMMYFUNCTION("GOOGLETRANSLATE(A979,""en"", ""mt"")"),"Il-biċċa l-kbira tal-platyctenida għandhom korpi ovali li huma ċċattjati fid-direzzjoni orali-aborat, b'par ta 'tentakli li jġorru t-tentilla fuq il-wiċċ aboral. Huma jaqbdu u jkabbru fuq uċuħ billi jtaffu l-farinġi u jużawha bħala ""sieq"" muskolari. L-i"&amp;"speċi kollha tal-platyctenid magħrufa kollha kemm huma nieqsa mill-moxt. Il-platyctenids huma ġeneralment ikkuluriti kriptikament, jgħixu fuq blat, alka, jew l-uċuħ tal-ġisem ta 'invertebrati oħra, u ħafna drabi jiġu żvelati bit-tentakli twal tagħhom b'ħa"&amp;"fna sidebranches, li jidhru streaming barra minn wara tal-ctenophore fil-kurrent.")</f>
        <v>Il-biċċa l-kbira tal-platyctenida għandhom korpi ovali li huma ċċattjati fid-direzzjoni orali-aborat, b'par ta 'tentakli li jġorru t-tentilla fuq il-wiċċ aboral. Huma jaqbdu u jkabbru fuq uċuħ billi jtaffu l-farinġi u jużawha bħala "sieq" muskolari. L-ispeċi kollha tal-platyctenid magħrufa kollha kemm huma nieqsa mill-moxt. Il-platyctenids huma ġeneralment ikkuluriti kriptikament, jgħixu fuq blat, alka, jew l-uċuħ tal-ġisem ta 'invertebrati oħra, u ħafna drabi jiġu żvelati bit-tentakli twal tagħhom b'ħafna sidebranches, li jidhru streaming barra minn wara tal-ctenophore fil-kurrent.</v>
      </c>
    </row>
    <row r="980" ht="15.75" customHeight="1">
      <c r="A980" s="2" t="s">
        <v>980</v>
      </c>
      <c r="B980" s="2" t="str">
        <f>IFERROR(__xludf.DUMMYFUNCTION("GOOGLETRANSLATE(A980,""en"", ""mt"")"),"King Sigismund III Vasa")</f>
        <v>King Sigismund III Vasa</v>
      </c>
    </row>
    <row r="981" ht="15.75" customHeight="1">
      <c r="A981" s="2" t="s">
        <v>981</v>
      </c>
      <c r="B981" s="2" t="str">
        <f>IFERROR(__xludf.DUMMYFUNCTION("GOOGLETRANSLATE(A981,""en"", ""mt"")"),"Il-Metro tal-Kosta tan-Nofsinhar")</f>
        <v>Il-Metro tal-Kosta tan-Nofsinhar</v>
      </c>
    </row>
    <row r="982" ht="15.75" customHeight="1">
      <c r="A982" s="2" t="s">
        <v>982</v>
      </c>
      <c r="B982" s="2" t="str">
        <f>IFERROR(__xludf.DUMMYFUNCTION("GOOGLETRANSLATE(A982,""en"", ""mt"")"),"Xi jfisser meta l-muniti jitħallew biex ""jitilgħu?""")</f>
        <v>Xi jfisser meta l-muniti jitħallew biex "jitilgħu?"</v>
      </c>
    </row>
    <row r="983" ht="15.75" customHeight="1">
      <c r="A983" s="2" t="s">
        <v>983</v>
      </c>
      <c r="B983" s="2" t="str">
        <f>IFERROR(__xludf.DUMMYFUNCTION("GOOGLETRANSLATE(A983,""en"", ""mt"")"),"Taħt liema mexxej il-Huguenots ġġieldu f'dan il-kunflitt?")</f>
        <v>Taħt liema mexxej il-Huguenots ġġieldu f'dan il-kunflitt?</v>
      </c>
    </row>
    <row r="984" ht="15.75" customHeight="1">
      <c r="A984" s="2" t="s">
        <v>984</v>
      </c>
      <c r="B984" s="2" t="str">
        <f>IFERROR(__xludf.DUMMYFUNCTION("GOOGLETRANSLATE(A984,""en"", ""mt"")"),"Peress li l-ctenofori moderni kollha ħlief il-beroids għandhom larva simili għal ċidippidi, ġie assunt ħafna li l-aħħar antenat komuni tagħhom kien jixbah ukoll cydippids, li għandhom korp b'forma ta 'bajd u par ta' tentakli li jistgħu jinġibdu lura. L-an"&amp;"aliżi purament morfoloġika ta 'Richard Harbison fl-1985 ikkonkludiet li ċ-ċidippidi mhumiex monofiletiċi, fi kliem ieħor ma fihomx id-dixxendenti kollha u biss ta' antenat komuni wieħed li kien innifsu ċidippid. Minflok huwa sab li diversi familji Cydippi"&amp;"d kienu aktar simili għal membri ta 'ordnijiet oħra ta' ctenophore milli għal cydippids oħra. Huwa ssuġġerixxa wkoll li l-aħħar antenat komuni ta 'ctenophores moderni kien jew simili ta' cydippid jew simili għal beroid. Analiżi molekulari tal-filoġenija f"&amp;"l-2001, bl-użu ta '26 speċi, inklużi 4 dawk skoperti riċentement, ikkonfermaw li ċ-ċidippids mhumiex monofiletiċi u kkonkludew li l-aħħar antenat komuni ta 'ctenophores moderni kien simili għal cydippid. Instab ukoll li d-differenzi ġenetiċi bejn dawn l-i"&amp;"speċi kienu żgħar ħafna - daqshekk żgħar li r-relazzjonijiet bejn il-lobata, cestida u thalassocalycida baqgħu inċerti. Dan jissuġġerixxi li l-aħħar antenat komuni ta 'ctenophores moderni kien relattivament reċenti, u forsi kien xortik tajba biżżejjed bie"&amp;"x jgħix l-avveniment ta' estinzjoni Kretaċeju-Paleogene 65.5 miljun sena ilu waqt li n-nisel ieħor jitħassar. Meta l-analiżi twessgħet biex tinkludi rappreżentanti ta 'phyla oħra, hija kkonkludiet li ċ-cnidarians huma probabbilment relatati aktar mill-qri"&amp;"b mal-bilaterjani milli kull grupp huwa ma' ctenophores iżda li din id-dijanjosi hija inċerta.")</f>
        <v>Peress li l-ctenofori moderni kollha ħlief il-beroids għandhom larva simili għal ċidippidi, ġie assunt ħafna li l-aħħar antenat komuni tagħhom kien jixbah ukoll cydippids, li għandhom korp b'forma ta 'bajd u par ta' tentakli li jistgħu jinġibdu lura. L-analiżi purament morfoloġika ta 'Richard Harbison fl-1985 ikkonkludiet li ċ-ċidippidi mhumiex monofiletiċi, fi kliem ieħor ma fihomx id-dixxendenti kollha u biss ta' antenat komuni wieħed li kien innifsu ċidippid. Minflok huwa sab li diversi familji Cydippid kienu aktar simili għal membri ta 'ordnijiet oħra ta' ctenophore milli għal cydippids oħra. Huwa ssuġġerixxa wkoll li l-aħħar antenat komuni ta 'ctenophores moderni kien jew simili ta' cydippid jew simili għal beroid. Analiżi molekulari tal-filoġenija fl-2001, bl-użu ta '26 speċi, inklużi 4 dawk skoperti riċentement, ikkonfermaw li ċ-ċidippids mhumiex monofiletiċi u kkonkludew li l-aħħar antenat komuni ta 'ctenophores moderni kien simili għal cydippid. Instab ukoll li d-differenzi ġenetiċi bejn dawn l-ispeċi kienu żgħar ħafna - daqshekk żgħar li r-relazzjonijiet bejn il-lobata, cestida u thalassocalycida baqgħu inċerti. Dan jissuġġerixxi li l-aħħar antenat komuni ta 'ctenophores moderni kien relattivament reċenti, u forsi kien xortik tajba biżżejjed biex jgħix l-avveniment ta' estinzjoni Kretaċeju-Paleogene 65.5 miljun sena ilu waqt li n-nisel ieħor jitħassar. Meta l-analiżi twessgħet biex tinkludi rappreżentanti ta 'phyla oħra, hija kkonkludiet li ċ-cnidarians huma probabbilment relatati aktar mill-qrib mal-bilaterjani milli kull grupp huwa ma' ctenophores iżda li din id-dijanjosi hija inċerta.</v>
      </c>
    </row>
    <row r="985" ht="15.75" customHeight="1">
      <c r="A985" s="2" t="s">
        <v>985</v>
      </c>
      <c r="B985" s="2" t="str">
        <f>IFERROR(__xludf.DUMMYFUNCTION("GOOGLETRANSLATE(A985,""en"", ""mt"")"),"pagi jew salarju")</f>
        <v>pagi jew salarju</v>
      </c>
    </row>
    <row r="986" ht="15.75" customHeight="1">
      <c r="A986" s="2" t="s">
        <v>986</v>
      </c>
      <c r="B986" s="2" t="str">
        <f>IFERROR(__xludf.DUMMYFUNCTION("GOOGLETRANSLATE(A986,""en"", ""mt"")"),"X’kawża li r-reġjuni tas-savanna jikbru fit-tropiċi tal-Amerika t'Isfel fl-aħħar 34 miljun sena?")</f>
        <v>X’kawża li r-reġjuni tas-savanna jikbru fit-tropiċi tal-Amerika t'Isfel fl-aħħar 34 miljun sena?</v>
      </c>
    </row>
    <row r="987" ht="15.75" customHeight="1">
      <c r="A987" s="2" t="s">
        <v>987</v>
      </c>
      <c r="B987" s="2" t="str">
        <f>IFERROR(__xludf.DUMMYFUNCTION("GOOGLETRANSLATE(A987,""en"", ""mt"")"),"Wojciech Bogusławski Theatre")</f>
        <v>Wojciech Bogusławski Theatre</v>
      </c>
    </row>
    <row r="988" ht="15.75" customHeight="1">
      <c r="A988" s="2" t="s">
        <v>988</v>
      </c>
      <c r="B988" s="2" t="str">
        <f>IFERROR(__xludf.DUMMYFUNCTION("GOOGLETRANSLATE(A988,""en"", ""mt"")"),"Ir-raba ', il-qrati nazzjonali għandhom id-dmir li jinterpretaw il-liġi domestika ""kemm jista' jkun fid-dawl tal-kliem u l-iskop tad-direttiva"". Il-kotba tat-test (għalkemm mhux il-qorti nnifisha) spiss jissejħu dan l- ""effett indirett"". Fil-marleasin"&amp;"g sa v la comercial sa l-qorti tal-ġustizzja ddeċidiet li qorti Spanjola kellha tinterpreta d-dispożizzjonijiet ġenerali tal-kodiċi ċivili tagħha, fuq kuntratti li m'għandhomx kawża jew li jeqirdu l-kredituri, biex jikkonformaw mal-ewwel Artikolu tal-Liġi"&amp;" tal-Liġi 11 tal-Kumpanija, li meħtieġa inkorporazzjonijiet ikunu biss annulifikat għal lista fissa ta 'raġunijiet. Il-Qorti tal-Ġustizzja malajr irrikonoxxiet li d-dmir ta 'interpretazzjoni ma jistax jikkontradixxi kliem sempliċi fi statut nazzjonali. Iż"&amp;"da, il-ħames, jekk stat membru naqas milli jimplimenta direttiva, ċittadin jista 'ma jkunx jista' jġib talbiet kontra partijiet oħra mhux statali, iżda jista 'jħarrek lill-Istat Membru nnifsu minħabba nuqqas ta' implimentazzjoni tal-liġi. Allura, fi Franc"&amp;"ovich vs l-Italja, il-gvern Taljan naqas milli jwaqqaf fond ta 'assigurazzjoni għall-impjegati biex jitolbu pagi mhux imħallsa jekk min iħaddemhom kienu marru insolventi, kif kienet meħtieġa d-Direttiva dwar il-Protezzjoni ta' l-Insolvenza. Francovich, l-"&amp;"ex impjegat ta 'ditta Venezjana falluta, għalhekk tħalla jitlob 6 miljun lira mill-gvern Taljan dwar danni għat-telf tiegħu. Il-Qorti tal-Ġustizzja ddeċidiet li jekk direttiva tagħti drittijiet identifikabbli fuq individwi, u hemm rabta kawżali bejn il-ks"&amp;"ur tal-istat membru tal-UE u t-telf ta 'pretendent, għandhom jitħallsu d-danni. Il-fatt li l-liġi inkompatibbli hija att tal-parlament huwa l-ebda difiża.")</f>
        <v>Ir-raba ', il-qrati nazzjonali għandhom id-dmir li jinterpretaw il-liġi domestika "kemm jista' jkun fid-dawl tal-kliem u l-iskop tad-direttiva". Il-kotba tat-test (għalkemm mhux il-qorti nnifisha) spiss jissejħu dan l- "effett indirett". Fil-marleasing sa v la comercial sa l-qorti tal-ġustizzja ddeċidiet li qorti Spanjola kellha tinterpreta d-dispożizzjonijiet ġenerali tal-kodiċi ċivili tagħha, fuq kuntratti li m'għandhomx kawża jew li jeqirdu l-kredituri, biex jikkonformaw mal-ewwel Artikolu tal-Liġi tal-Liġi 11 tal-Kumpanija, li meħtieġa inkorporazzjonijiet ikunu biss annulifikat għal lista fissa ta 'raġunijiet. Il-Qorti tal-Ġustizzja malajr irrikonoxxiet li d-dmir ta 'interpretazzjoni ma jistax jikkontradixxi kliem sempliċi fi statut nazzjonali. Iżda, il-ħames, jekk stat membru naqas milli jimplimenta direttiva, ċittadin jista 'ma jkunx jista' jġib talbiet kontra partijiet oħra mhux statali, iżda jista 'jħarrek lill-Istat Membru nnifsu minħabba nuqqas ta' implimentazzjoni tal-liġi. Allura, fi Francovich vs l-Italja, il-gvern Taljan naqas milli jwaqqaf fond ta 'assigurazzjoni għall-impjegati biex jitolbu pagi mhux imħallsa jekk min iħaddemhom kienu marru insolventi, kif kienet meħtieġa d-Direttiva dwar il-Protezzjoni ta' l-Insolvenza. Francovich, l-ex impjegat ta 'ditta Venezjana falluta, għalhekk tħalla jitlob 6 miljun lira mill-gvern Taljan dwar danni għat-telf tiegħu. Il-Qorti tal-Ġustizzja ddeċidiet li jekk direttiva tagħti drittijiet identifikabbli fuq individwi, u hemm rabta kawżali bejn il-ksur tal-istat membru tal-UE u t-telf ta 'pretendent, għandhom jitħallsu d-danni. Il-fatt li l-liġi inkompatibbli hija att tal-parlament huwa l-ebda difiża.</v>
      </c>
    </row>
    <row r="989" ht="15.75" customHeight="1">
      <c r="A989" s="2" t="s">
        <v>989</v>
      </c>
      <c r="B989" s="2" t="str">
        <f>IFERROR(__xludf.DUMMYFUNCTION("GOOGLETRANSLATE(A989,""en"", ""mt"")"),"Forza konservattiva li taġixxi fuq sistema magħluqa għandha xogħol mekkaniku assoċjat li jippermetti li l-enerġija tikkonverti biss bejn forom kinetiċi jew potenzjali. Dan ifisser li għal sistema magħluqa, l-enerġija mekkanika netta tiġi kkonservata kull "&amp;"meta forza konservattiva taġixxi fis-sistema. Il-forza, għalhekk, hija relatata direttament mad-differenza fl-enerġija potenzjali bejn żewġ postijiet differenti fl-ispazju, u tista 'titqies bħala artifact tal-kamp potenzjali bl-istess mod li d-direzzjoni "&amp;"u l-ammont ta' fluss ta 'ilma jistgħu jitqiesu Biex tkun artifact tal-mappa tal-kontorn tal-elevazzjoni ta 'żona.")</f>
        <v>Forza konservattiva li taġixxi fuq sistema magħluqa għandha xogħol mekkaniku assoċjat li jippermetti li l-enerġija tikkonverti biss bejn forom kinetiċi jew potenzjali. Dan ifisser li għal sistema magħluqa, l-enerġija mekkanika netta tiġi kkonservata kull meta forza konservattiva taġixxi fis-sistema. Il-forza, għalhekk, hija relatata direttament mad-differenza fl-enerġija potenzjali bejn żewġ postijiet differenti fl-ispazju, u tista 'titqies bħala artifact tal-kamp potenzjali bl-istess mod li d-direzzjoni u l-ammont ta' fluss ta 'ilma jistgħu jitqiesu Biex tkun artifact tal-mappa tal-kontorn tal-elevazzjoni ta 'żona.</v>
      </c>
    </row>
    <row r="990" ht="15.75" customHeight="1">
      <c r="A990" s="2" t="s">
        <v>990</v>
      </c>
      <c r="B990" s="2" t="str">
        <f>IFERROR(__xludf.DUMMYFUNCTION("GOOGLETRANSLATE(A990,""en"", ""mt"")"),"Hemm ukoll bosta operaturi tal-merkanzija iżgħar u bosta ferroviji turistiċi li joperaw fuq linji li darba kienu partijiet ta 'sistema ta' l-istat. Linji Vittorjani jużaw prinċipalment il-kejl wiesa 'ta' 1,600 mm (5 ft 3 in). Madankollu, ir-rotot ta 'zokk"&amp;" bejn l-istati, kif ukoll numru ta' linji tal-fergħat fil-punent ta 'l-istat ġew konvertiti għal 1,435 mm (4 ft 8 1⁄2 in) gauge standard. Żewġ ferroviji turistiċi joperaw aktar minn 760 mm (2 ft 6 in) linji ta 'gauge dojoq, li huma l-fdalijiet ta' ħames l"&amp;"inji li qabel kienu proprjetà tal-gvern li kienu mibnija f'żoni muntanjużi.")</f>
        <v>Hemm ukoll bosta operaturi tal-merkanzija iżgħar u bosta ferroviji turistiċi li joperaw fuq linji li darba kienu partijiet ta 'sistema ta' l-istat. Linji Vittorjani jużaw prinċipalment il-kejl wiesa 'ta' 1,600 mm (5 ft 3 in). Madankollu, ir-rotot ta 'zokk bejn l-istati, kif ukoll numru ta' linji tal-fergħat fil-punent ta 'l-istat ġew konvertiti għal 1,435 mm (4 ft 8 1⁄2 in) gauge standard. Żewġ ferroviji turistiċi joperaw aktar minn 760 mm (2 ft 6 in) linji ta 'gauge dojoq, li huma l-fdalijiet ta' ħames linji li qabel kienu proprjetà tal-gvern li kienu mibnija f'żoni muntanjużi.</v>
      </c>
    </row>
    <row r="991" ht="15.75" customHeight="1">
      <c r="A991" s="2" t="s">
        <v>991</v>
      </c>
      <c r="B991" s="2" t="str">
        <f>IFERROR(__xludf.DUMMYFUNCTION("GOOGLETRANSLATE(A991,""en"", ""mt"")"),"X’")</f>
        <v>X’</v>
      </c>
    </row>
    <row r="992" ht="15.75" customHeight="1">
      <c r="A992" s="2" t="s">
        <v>992</v>
      </c>
      <c r="B992" s="2" t="str">
        <f>IFERROR(__xludf.DUMMYFUNCTION("GOOGLETRANSLATE(A992,""en"", ""mt"")"),"il-mezzi tiegħu biex jaħtfu")</f>
        <v>il-mezzi tiegħu biex jaħtfu</v>
      </c>
    </row>
    <row r="993" ht="15.75" customHeight="1">
      <c r="A993" s="2" t="s">
        <v>993</v>
      </c>
      <c r="B993" s="2" t="str">
        <f>IFERROR(__xludf.DUMMYFUNCTION("GOOGLETRANSLATE(A993,""en"", ""mt"")"),"L-istrumenti mużikali tal-Punent ġew introdotti biex jarrikkixxu l-arti tal-ispettaklu Ċiniżi. Minn dan il-perjodu tmur il-konverżjoni għall-Iżlam, mill-Musulmani tal-Asja Ċentrali, ta 'numru dejjem jikber ta' Ċiniżi fil-majjistral u fil-Lbiċ. In-Nestorij"&amp;"iżmu u l-Kattoliċiżmu Ruman gawdew ukoll perjodu ta ’tolleranza. Il-Buddiżmu (speċjalment il-Buddiżmu Tibetan) iffjorixxa, għalkemm it-Taoiżmu ġarrab ċerti persekuzzjonijiet favur il-Buddiżmu mill-gvern tal-Yuan. Prattiki governattivi Confucian u eżamijie"&amp;"t ibbażati fuq il-klassiċi, li ma waqgħux fl-użu fit-tramuntana taċ-Ċina matul il-perjodu ta 'diżunità, reġgħu ġew imdaħħla mill-qorti tal-Yuan, probabbilment bit-tama li żżomm l-ordni fuq is-soċjetà Han. L-avvanzi ġew realizzati fl-oqsma tal-letteratura "&amp;"tal-ivvjaġġar, il-kartografija, il-ġeografija, u l-edukazzjoni xjentifika.")</f>
        <v>L-istrumenti mużikali tal-Punent ġew introdotti biex jarrikkixxu l-arti tal-ispettaklu Ċiniżi. Minn dan il-perjodu tmur il-konverżjoni għall-Iżlam, mill-Musulmani tal-Asja Ċentrali, ta 'numru dejjem jikber ta' Ċiniżi fil-majjistral u fil-Lbiċ. In-Nestorijiżmu u l-Kattoliċiżmu Ruman gawdew ukoll perjodu ta ’tolleranza. Il-Buddiżmu (speċjalment il-Buddiżmu Tibetan) iffjorixxa, għalkemm it-Taoiżmu ġarrab ċerti persekuzzjonijiet favur il-Buddiżmu mill-gvern tal-Yuan. Prattiki governattivi Confucian u eżamijiet ibbażati fuq il-klassiċi, li ma waqgħux fl-użu fit-tramuntana taċ-Ċina matul il-perjodu ta 'diżunità, reġgħu ġew imdaħħla mill-qorti tal-Yuan, probabbilment bit-tama li żżomm l-ordni fuq is-soċjetà Han. L-avvanzi ġew realizzati fl-oqsma tal-letteratura tal-ivvjaġġar, il-kartografija, il-ġeografija, u l-edukazzjoni xjentifika.</v>
      </c>
    </row>
    <row r="994" ht="15.75" customHeight="1">
      <c r="A994" s="2" t="s">
        <v>994</v>
      </c>
      <c r="B994" s="2" t="str">
        <f>IFERROR(__xludf.DUMMYFUNCTION("GOOGLETRANSLATE(A994,""en"", ""mt"")"),"Kif tissejjaħ il-pleurobrachia kostali komuni?")</f>
        <v>Kif tissejjaħ il-pleurobrachia kostali komuni?</v>
      </c>
    </row>
    <row r="995" ht="15.75" customHeight="1">
      <c r="A995" s="2" t="s">
        <v>995</v>
      </c>
      <c r="B995" s="2" t="str">
        <f>IFERROR(__xludf.DUMMYFUNCTION("GOOGLETRANSLATE(A995,""en"", ""mt"")"),"Meta bdiet tiżdied l-inugwaljanza fid-dħul fl-Istati Uniti?")</f>
        <v>Meta bdiet tiżdied l-inugwaljanza fid-dħul fl-Istati Uniti?</v>
      </c>
    </row>
    <row r="996" ht="15.75" customHeight="1">
      <c r="A996" s="2" t="s">
        <v>996</v>
      </c>
      <c r="B996" s="2" t="str">
        <f>IFERROR(__xludf.DUMMYFUNCTION("GOOGLETRANSLATE(A996,""en"", ""mt"")"),"Lagos u Quiberon Bay")</f>
        <v>Lagos u Quiberon Bay</v>
      </c>
    </row>
    <row r="997" ht="15.75" customHeight="1">
      <c r="A997" s="2" t="s">
        <v>997</v>
      </c>
      <c r="B997" s="2" t="str">
        <f>IFERROR(__xludf.DUMMYFUNCTION("GOOGLETRANSLATE(A997,""en"", ""mt"")"),"In-numri ewlenin influwenzaw ħafna artisti u kittieba. Il-kompożitur Franċiż Olivier Messiaen uża n-numri ewlenin biex joħloq mużika ametrika permezz ta '""fenomeni naturali"". F'xogħlijiet bħal La Nativité du Seigneur (1935) u Quatre Études de Rythme (19"&amp;"49-50), huwa fl-istess ħin jimpjega motivi b'tulijiet mogħtija minn numri primarji differenti biex joħolqu ritmi imprevedibbli: il-Primes 41, 43, 47 u 53 jidhru fil-Primes It-tielet Étude, ""Neumes Rythmiques"". Skond Messiaen dan il-mod ta 'kompożizzjoni"&amp;" kien ""ispirat mill-movimenti tan-natura, movimenti ta' tul ta 'żmien ħieles u mhux ugwali"".")</f>
        <v>In-numri ewlenin influwenzaw ħafna artisti u kittieba. Il-kompożitur Franċiż Olivier Messiaen uża n-numri ewlenin biex joħloq mużika ametrika permezz ta '"fenomeni naturali". F'xogħlijiet bħal La Nativité du Seigneur (1935) u Quatre Études de Rythme (1949-50), huwa fl-istess ħin jimpjega motivi b'tulijiet mogħtija minn numri primarji differenti biex joħolqu ritmi imprevedibbli: il-Primes 41, 43, 47 u 53 jidhru fil-Primes It-tielet Étude, "Neumes Rythmiques". Skond Messiaen dan il-mod ta 'kompożizzjoni kien "ispirat mill-movimenti tan-natura, movimenti ta' tul ta 'żmien ħieles u mhux ugwali".</v>
      </c>
    </row>
    <row r="998" ht="15.75" customHeight="1">
      <c r="A998" s="2" t="s">
        <v>998</v>
      </c>
      <c r="B998" s="2" t="str">
        <f>IFERROR(__xludf.DUMMYFUNCTION("GOOGLETRANSLATE(A998,""en"", ""mt"")"),"L-Alpi Vittorjani fil-Grigal huma l-iktar parti kiesħa tar-Rabat. L-Alpi huma parti mis-sistema kbira tal-Muntanji tal-Muntanji Diviżorji li jestendu l-Lvant-Punent miċ-ċentru tar-Rabat. It-temperaturi medji huma inqas minn 9 ° C (48 ° F) fix-xitwa u taħt"&amp;" 0 ° C (32 ° F) fl-ogħla partijiet tal-meded. L-inqas temperatura minima ta 'l-istat ta' -11.7 ° C (10.9 ° F) ġiet irreġistrata f'OMEO fit-13 ta 'Ġunju 1965, u għal darb'oħra fi Falls Creek fit-3 ta' Lulju 1970. It-temperatura estremi għall-istat huma ele"&amp;"nkati fit-tabella hawn taħt:")</f>
        <v>L-Alpi Vittorjani fil-Grigal huma l-iktar parti kiesħa tar-Rabat. L-Alpi huma parti mis-sistema kbira tal-Muntanji tal-Muntanji Diviżorji li jestendu l-Lvant-Punent miċ-ċentru tar-Rabat. It-temperaturi medji huma inqas minn 9 ° C (48 ° F) fix-xitwa u taħt 0 ° C (32 ° F) fl-ogħla partijiet tal-meded. L-inqas temperatura minima ta 'l-istat ta' -11.7 ° C (10.9 ° F) ġiet irreġistrata f'OMEO fit-13 ta 'Ġunju 1965, u għal darb'oħra fi Falls Creek fit-3 ta' Lulju 1970. It-temperatura estremi għall-istat huma elenkati fit-tabella hawn taħt:</v>
      </c>
    </row>
    <row r="999" ht="15.75" customHeight="1">
      <c r="A999" s="2" t="s">
        <v>999</v>
      </c>
      <c r="B999" s="2" t="str">
        <f>IFERROR(__xludf.DUMMYFUNCTION("GOOGLETRANSLATE(A999,""en"", ""mt"")"),"L-Amerika t'Isfel Amerikana")</f>
        <v>L-Amerika t'Isfel Amerikana</v>
      </c>
    </row>
    <row r="1000" ht="15.75" customHeight="1">
      <c r="A1000" s="2" t="s">
        <v>1000</v>
      </c>
      <c r="B1000" s="2" t="str">
        <f>IFERROR(__xludf.DUMMYFUNCTION("GOOGLETRANSLATE(A1000,""en"", ""mt"")"),"Irvine tal-Punent")</f>
        <v>Irvine tal-Punent</v>
      </c>
    </row>
    <row r="1001" ht="15.75" customHeight="1">
      <c r="A1001" s="2" t="s">
        <v>1001</v>
      </c>
      <c r="B1001" s="2" t="str">
        <f>IFERROR(__xludf.DUMMYFUNCTION("GOOGLETRANSLATE(A1001,""en"", ""mt"")"),"Materjali kombustibbli ħafna li jħallu ftit residwi, bħall-injam jew il-faħam, kienu maħsuba li huma magħmula l-aktar minn phlogiston; billi sustanzi mhux kombustibbli li jissaddad, bħall-ħadid, fihom ftit. L-AIR ma kellhiex rwol fit-teorija tal-phlogisto"&amp;"n, u lanqas ma saru l-ebda esperimenti kwantitattivi inizjali biex jiġu ttestjati l-idea; Minflok, kien ibbażat fuq osservazzjonijiet ta 'dak li jiġri meta tinħaraq xi ħaġa, li l-iktar oġġetti komuni jidhru li jsiru eħfef u jidhru li jitilfu xi ħaġa fil-p"&amp;"roċess. Il-fatt li sustanza bħall-injam jikseb piż ġenerali fil-ħruq kien moħbi mill-galleġġjatura tal-prodotti tal-kombustjoni gassuża. Tassew, waħda mill-ewwel ħjiel li t-teorija tal-phlogiston ma kinitx korretta kienet li l-metalli, ukoll, żiedu l-piż "&amp;"fit-tħawwil (meta suppost kienu qed jitilfu l-phlogiston).")</f>
        <v>Materjali kombustibbli ħafna li jħallu ftit residwi, bħall-injam jew il-faħam, kienu maħsuba li huma magħmula l-aktar minn phlogiston; billi sustanzi mhux kombustibbli li jissaddad, bħall-ħadid, fihom ftit. L-AIR ma kellhiex rwol fit-teorija tal-phlogiston, u lanqas ma saru l-ebda esperimenti kwantitattivi inizjali biex jiġu ttestjati l-idea; Minflok, kien ibbażat fuq osservazzjonijiet ta 'dak li jiġri meta tinħaraq xi ħaġa, li l-iktar oġġetti komuni jidhru li jsiru eħfef u jidhru li jitilfu xi ħaġa fil-proċess. Il-fatt li sustanza bħall-injam jikseb piż ġenerali fil-ħruq kien moħbi mill-galleġġjatura tal-prodotti tal-kombustjoni gassuża. Tassew, waħda mill-ewwel ħjiel li t-teorija tal-phlogiston ma kinitx korretta kienet li l-metalli, ukoll, żiedu l-piż fit-tħawwil (meta suppost kienu qed jitilfu l-phlogiston).</v>
      </c>
    </row>
    <row r="1002" ht="15.75" customHeight="1">
      <c r="A1002" s="2" t="s">
        <v>1002</v>
      </c>
      <c r="B1002" s="2" t="str">
        <f>IFERROR(__xludf.DUMMYFUNCTION("GOOGLETRANSLATE(A1002,""en"", ""mt"")"),"X'kienet Apple Talk")</f>
        <v>X'kienet Apple Talk</v>
      </c>
    </row>
    <row r="1003" ht="15.75" customHeight="1">
      <c r="A1003" s="2" t="s">
        <v>1003</v>
      </c>
      <c r="B1003" s="2" t="str">
        <f>IFERROR(__xludf.DUMMYFUNCTION("GOOGLETRANSLATE(A1003,""en"", ""mt"")"),"il-Guanabara Confession of Faith")</f>
        <v>il-Guanabara Confession of Faith</v>
      </c>
    </row>
    <row r="1004" ht="15.75" customHeight="1">
      <c r="A1004" s="2" t="s">
        <v>1004</v>
      </c>
      <c r="B1004" s="2" t="str">
        <f>IFERROR(__xludf.DUMMYFUNCTION("GOOGLETRANSLATE(A1004,""en"", ""mt"")"),"Stat tal-Mongolja Kbira")</f>
        <v>Stat tal-Mongolja Kbira</v>
      </c>
    </row>
    <row r="1005" ht="15.75" customHeight="1">
      <c r="A1005" s="2" t="s">
        <v>1005</v>
      </c>
      <c r="B1005" s="2" t="str">
        <f>IFERROR(__xludf.DUMMYFUNCTION("GOOGLETRANSLATE(A1005,""en"", ""mt"")"),"Internet2 irtirat uffiċjalment Abilene u issa jirreferi għan-netwerk ġdid u ta 'kapaċità ogħla tiegħu bħala n-netwerk Internet2")</f>
        <v>Internet2 irtirat uffiċjalment Abilene u issa jirreferi għan-netwerk ġdid u ta 'kapaċità ogħla tiegħu bħala n-netwerk Internet2</v>
      </c>
    </row>
    <row r="1006" ht="15.75" customHeight="1">
      <c r="A1006" s="2" t="s">
        <v>1006</v>
      </c>
      <c r="B1006" s="2" t="str">
        <f>IFERROR(__xludf.DUMMYFUNCTION("GOOGLETRANSLATE(A1006,""en"", ""mt"")"),"X’għandu jagħmel il-kunflitt tal-Musulmani madwar id-dinja?")</f>
        <v>X’għandu jagħmel il-kunflitt tal-Musulmani madwar id-dinja?</v>
      </c>
    </row>
    <row r="1007" ht="15.75" customHeight="1">
      <c r="A1007" s="2" t="s">
        <v>1007</v>
      </c>
      <c r="B1007" s="2" t="str">
        <f>IFERROR(__xludf.DUMMYFUNCTION("GOOGLETRANSLATE(A1007,""en"", ""mt"")"),"Kif Huguenots evolvew it-twemmin reliġjuż tagħhom fid-dinja l-ġdida?")</f>
        <v>Kif Huguenots evolvew it-twemmin reliġjuż tagħhom fid-dinja l-ġdida?</v>
      </c>
    </row>
    <row r="1008" ht="15.75" customHeight="1">
      <c r="A1008" s="2" t="s">
        <v>1008</v>
      </c>
      <c r="B1008" s="2" t="str">
        <f>IFERROR(__xludf.DUMMYFUNCTION("GOOGLETRANSLATE(A1008,""en"", ""mt"")"),"15 ta ’Frar 1763")</f>
        <v>15 ta ’Frar 1763</v>
      </c>
    </row>
    <row r="1009" ht="15.75" customHeight="1">
      <c r="A1009" s="2" t="s">
        <v>1009</v>
      </c>
      <c r="B1009" s="2" t="str">
        <f>IFERROR(__xludf.DUMMYFUNCTION("GOOGLETRANSLATE(A1009,""en"", ""mt"")"),"Shi Tianze kien Ċiniż Han li kien jgħix fid-dinastija Jin. Iż-żwieġ interetniku bejn Han u Jurchen sar komuni f'dan il-ħin. Missieru kien Shi Bingzhi (史秉直, Shih Ping-Chih). Shi Bingzhi kien miżżewweġ lil mara Jurchen (kunjom na-ho) u mara Ċiniża Han (kunj"&amp;"om Chang); Mhux magħruf liema minnhom kienet omm Shi Tianze. Shi Tianze kien miżżewweġ ma 'żewġ nisa Jurchen, mara Ċiniża Han, u mara Koreana, u ibnu Shi Gang twieled f'waħda min-nisa Jurchen tiegħu. Il-kunjomijiet tan-nisa Jurchen tiegħu kienu Mo-Nien u "&amp;"Na-ho; Kunjom il-mara Koreana tiegħu kien Li; U l-kunjom tal-mara Ċiniża Han tiegħu kien Shi. Shi Tianze iddefetta lill-forzi tal-Mongol fuq l-invażjoni tagħhom tad-dinastija Jin. Ibnu Shi Gang iżżewweġ mara Kerait; Il-Kerait kienu nies Turkiċi Mongolifik"&amp;"ati u kienu meqjusa bħala parti min-nazzjon Mongoljan "". Shi Tianze (Shih T'ien-Tse), Zhang Rou (Chang Jou, 張柔), u Yan Shi (Yen Shih, 嚴實) u Ċiniż ieħor ta 'klassifikazzjoni għolja li servew fid-dinastija Jin u ddefendew mal-Mongoli għenu jibnu l-istruttu"&amp;"ra għall-amministrazzjoni tal-istat il-ġdid. Chagaan (Tsagaan) u Zhang Rou nedew flimkien attakk fuq id-dinastija tal-kanzunetta ordnata minn Töregene Khatun.")</f>
        <v>Shi Tianze kien Ċiniż Han li kien jgħix fid-dinastija Jin. Iż-żwieġ interetniku bejn Han u Jurchen sar komuni f'dan il-ħin. Missieru kien Shi Bingzhi (史秉直, Shih Ping-Chih). Shi Bingzhi kien miżżewweġ lil mara Jurchen (kunjom na-ho) u mara Ċiniża Han (kunjom Chang); Mhux magħruf liema minnhom kienet omm Shi Tianze. Shi Tianze kien miżżewweġ ma 'żewġ nisa Jurchen, mara Ċiniża Han, u mara Koreana, u ibnu Shi Gang twieled f'waħda min-nisa Jurchen tiegħu. Il-kunjomijiet tan-nisa Jurchen tiegħu kienu Mo-Nien u Na-ho; Kunjom il-mara Koreana tiegħu kien Li; U l-kunjom tal-mara Ċiniża Han tiegħu kien Shi. Shi Tianze iddefetta lill-forzi tal-Mongol fuq l-invażjoni tagħhom tad-dinastija Jin. Ibnu Shi Gang iżżewweġ mara Kerait; Il-Kerait kienu nies Turkiċi Mongolifikati u kienu meqjusa bħala parti min-nazzjon Mongoljan ". Shi Tianze (Shih T'ien-Tse), Zhang Rou (Chang Jou, 張柔), u Yan Shi (Yen Shih, 嚴實) u Ċiniż ieħor ta 'klassifikazzjoni għolja li servew fid-dinastija Jin u ddefendew mal-Mongoli għenu jibnu l-istruttura għall-amministrazzjoni tal-istat il-ġdid. Chagaan (Tsagaan) u Zhang Rou nedew flimkien attakk fuq id-dinastija tal-kanzunetta ordnata minn Töregene Khatun.</v>
      </c>
    </row>
    <row r="1010" ht="15.75" customHeight="1">
      <c r="A1010" s="2" t="s">
        <v>1010</v>
      </c>
      <c r="B1010" s="2" t="str">
        <f>IFERROR(__xludf.DUMMYFUNCTION("GOOGLETRANSLATE(A1010,""en"", ""mt"")"),"Teorema ta 'Chen")</f>
        <v>Teorema ta 'Chen</v>
      </c>
    </row>
    <row r="1011" ht="15.75" customHeight="1">
      <c r="A1011" s="2" t="s">
        <v>1011</v>
      </c>
      <c r="B1011" s="2" t="str">
        <f>IFERROR(__xludf.DUMMYFUNCTION("GOOGLETRANSLATE(A1011,""en"", ""mt"")"),"Donald Davies")</f>
        <v>Donald Davies</v>
      </c>
    </row>
    <row r="1012" ht="15.75" customHeight="1">
      <c r="A1012" s="2" t="s">
        <v>1012</v>
      </c>
      <c r="B1012" s="2" t="str">
        <f>IFERROR(__xludf.DUMMYFUNCTION("GOOGLETRANSLATE(A1012,""en"", ""mt"")"),"Awtorità tal-Istati Uniti ta '' New World '")</f>
        <v>Awtorità tal-Istati Uniti ta '' New World '</v>
      </c>
    </row>
    <row r="1013" ht="15.75" customHeight="1">
      <c r="A1013" s="2" t="s">
        <v>1013</v>
      </c>
      <c r="B1013" s="2" t="str">
        <f>IFERROR(__xludf.DUMMYFUNCTION("GOOGLETRANSLATE(A1013,""en"", ""mt"")"),"Id-deforestazzjoni hija l-konverżjoni ta 'żoni forestali f'żoni mhux forestati. Is-sorsi ewlenin ta 'deforestazzjoni fl-Amażonja huma s-soluzzjoni umana u l-iżvilupp tal-art. Qabel il-bidu tas-snin 1960, l-aċċess għall-intern tal-foresta kien ristrett ħaf"&amp;"na, u l-foresta baqgħet bażikament intatta. L-irziezet stabbiliti matul is-snin 1960 kienu bbażati fuq il-kultivazzjoni tal-għelejjel u l-metodu slash u ħruq. Madankollu, il-kolonisti ma setgħux jimmaniġġjaw l-għelieqi tagħhom u l-għelejjel minħabba t-tel"&amp;"f tal-fertilità tal-ħamrija u l-invażjoni tal-ħaxix ħażin. Il-ħamrija fl-Amażonja huma produttivi għal perjodu qasir ta 'żmien, u għalhekk il-bdiewa qed jimxu kontinwament għal żoni ġodda u jikklerjaw aktar art. Dawn il-prattiki tal-biedja wasslu għal def"&amp;"orestazzjoni u kkawżaw ħsara ambjentali estensiva. Id-deforestazzjoni hija konsiderevoli, u ż-żoni mneħħija mill-foresta huma viżibbli għall-għajn mill-ispazju ta 'barra.")</f>
        <v>Id-deforestazzjoni hija l-konverżjoni ta 'żoni forestali f'żoni mhux forestati. Is-sorsi ewlenin ta 'deforestazzjoni fl-Amażonja huma s-soluzzjoni umana u l-iżvilupp tal-art. Qabel il-bidu tas-snin 1960, l-aċċess għall-intern tal-foresta kien ristrett ħafna, u l-foresta baqgħet bażikament intatta. L-irziezet stabbiliti matul is-snin 1960 kienu bbażati fuq il-kultivazzjoni tal-għelejjel u l-metodu slash u ħruq. Madankollu, il-kolonisti ma setgħux jimmaniġġjaw l-għelieqi tagħhom u l-għelejjel minħabba t-telf tal-fertilità tal-ħamrija u l-invażjoni tal-ħaxix ħażin. Il-ħamrija fl-Amażonja huma produttivi għal perjodu qasir ta 'żmien, u għalhekk il-bdiewa qed jimxu kontinwament għal żoni ġodda u jikklerjaw aktar art. Dawn il-prattiki tal-biedja wasslu għal deforestazzjoni u kkawżaw ħsara ambjentali estensiva. Id-deforestazzjoni hija konsiderevoli, u ż-żoni mneħħija mill-foresta huma viżibbli għall-għajn mill-ispazju ta 'barra.</v>
      </c>
    </row>
    <row r="1014" ht="15.75" customHeight="1">
      <c r="A1014" s="2" t="s">
        <v>1014</v>
      </c>
      <c r="B1014" s="2" t="str">
        <f>IFERROR(__xludf.DUMMYFUNCTION("GOOGLETRANSLATE(A1014,""en"", ""mt"")"),"X inaqqas għal y")</f>
        <v>X inaqqas għal y</v>
      </c>
    </row>
    <row r="1015" ht="15.75" customHeight="1">
      <c r="A1015" s="2" t="s">
        <v>1015</v>
      </c>
      <c r="B1015" s="2" t="str">
        <f>IFERROR(__xludf.DUMMYFUNCTION("GOOGLETRANSLATE(A1015,""en"", ""mt"")"),"Sema + Kaxxa HD")</f>
        <v>Sema + Kaxxa HD</v>
      </c>
    </row>
    <row r="1016" ht="15.75" customHeight="1">
      <c r="A1016" s="2" t="s">
        <v>1016</v>
      </c>
      <c r="B1016" s="2" t="str">
        <f>IFERROR(__xludf.DUMMYFUNCTION("GOOGLETRANSLATE(A1016,""en"", ""mt"")"),"L-assorbiment ta 'o
2 Mill-arja huwa l-iskop essenzjali tar-respirazzjoni, u għalhekk is-supplimentazzjoni tal-ossiġnu tintuża fil-mediċina. It-trattament mhux biss iżid il-livelli ta 'ossiġnu fid-demm tal-pazjent, iżda għandu l-effett sekondarju li jonqo"&amp;"s ir-reżistenza għall-fluss tad-demm f'ħafna tipi ta' pulmuni morda, li jtaffi t-tagħbija tax-xogħol fuq il-qalb. It-terapija bl-ossiġenu tintuża biex tikkura enfisema, pnewmonja, xi disturbi fil-qalb (insuffiċjenza tal-qalb konġestiva), xi disturbi li ji"&amp;"kkawżaw pressjoni tal-arterja pulmonari miżjuda, u kwalunkwe marda li tfixkel il-kapaċità tal-ġisem li tieħu u tuża ossiġenu gassuż.")</f>
        <v>L-assorbiment ta 'o
2 Mill-arja huwa l-iskop essenzjali tar-respirazzjoni, u għalhekk is-supplimentazzjoni tal-ossiġnu tintuża fil-mediċina. It-trattament mhux biss iżid il-livelli ta 'ossiġnu fid-demm tal-pazjent, iżda għandu l-effett sekondarju li jonqos ir-reżistenza għall-fluss tad-demm f'ħafna tipi ta' pulmuni morda, li jtaffi t-tagħbija tax-xogħol fuq il-qalb. It-terapija bl-ossiġenu tintuża biex tikkura enfisema, pnewmonja, xi disturbi fil-qalb (insuffiċjenza tal-qalb konġestiva), xi disturbi li jikkawżaw pressjoni tal-arterja pulmonari miżjuda, u kwalunkwe marda li tfixkel il-kapaċità tal-ġisem li tieħu u tuża ossiġenu gassuż.</v>
      </c>
    </row>
    <row r="1017" ht="15.75" customHeight="1">
      <c r="A1017" s="2" t="s">
        <v>1017</v>
      </c>
      <c r="B1017" s="2" t="str">
        <f>IFERROR(__xludf.DUMMYFUNCTION("GOOGLETRANSLATE(A1017,""en"", ""mt"")"),"Jekk ma tafx kemm il-kobor kif ukoll id-direzzjoni ta 'żewġ forzi fuq oġġett, x'sejjaħ dik is-sitwazzjoni?")</f>
        <v>Jekk ma tafx kemm il-kobor kif ukoll id-direzzjoni ta 'żewġ forzi fuq oġġett, x'sejjaħ dik is-sitwazzjoni?</v>
      </c>
    </row>
    <row r="1018" ht="15.75" customHeight="1">
      <c r="A1018" s="2" t="s">
        <v>1018</v>
      </c>
      <c r="B1018" s="2" t="str">
        <f>IFERROR(__xludf.DUMMYFUNCTION("GOOGLETRANSLATE(A1018,""en"", ""mt"")"),"Studju ta 'saffi sedimentarji")</f>
        <v>Studju ta 'saffi sedimentarji</v>
      </c>
    </row>
    <row r="1019" ht="15.75" customHeight="1">
      <c r="A1019" s="2" t="s">
        <v>1019</v>
      </c>
      <c r="B1019" s="2" t="str">
        <f>IFERROR(__xludf.DUMMYFUNCTION("GOOGLETRANSLATE(A1019,""en"", ""mt"")"),"1 ta ’Ottubru 1998")</f>
        <v>1 ta ’Ottubru 1998</v>
      </c>
    </row>
    <row r="1020" ht="15.75" customHeight="1">
      <c r="A1020" s="2" t="s">
        <v>1020</v>
      </c>
      <c r="B1020" s="2" t="str">
        <f>IFERROR(__xludf.DUMMYFUNCTION("GOOGLETRANSLATE(A1020,""en"", ""mt"")"),"Disa 'wieħed")</f>
        <v>Disa 'wieħed</v>
      </c>
    </row>
    <row r="1021" ht="15.75" customHeight="1">
      <c r="A1021" s="2" t="s">
        <v>1021</v>
      </c>
      <c r="B1021" s="2" t="str">
        <f>IFERROR(__xludf.DUMMYFUNCTION("GOOGLETRANSLATE(A1021,""en"", ""mt"")"),"Xejn")</f>
        <v>Xejn</v>
      </c>
    </row>
    <row r="1022" ht="15.75" customHeight="1">
      <c r="A1022" s="2" t="s">
        <v>1022</v>
      </c>
      <c r="B1022" s="2" t="str">
        <f>IFERROR(__xludf.DUMMYFUNCTION("GOOGLETRANSLATE(A1022,""en"", ""mt"")"),"X’taħseb John Dalton li l-elementi kollha kienu preżenti fil-komposti?")</f>
        <v>X’taħseb John Dalton li l-elementi kollha kienu preżenti fil-komposti?</v>
      </c>
    </row>
    <row r="1023" ht="15.75" customHeight="1">
      <c r="A1023" s="2" t="s">
        <v>1023</v>
      </c>
      <c r="B1023" s="2" t="str">
        <f>IFERROR(__xludf.DUMMYFUNCTION("GOOGLETRANSLATE(A1023,""en"", ""mt"")"),"Liema reġjun beda jikber u jafferma ruħu fis-snin 2000?")</f>
        <v>Liema reġjun beda jikber u jafferma ruħu fis-snin 2000?</v>
      </c>
    </row>
    <row r="1024" ht="15.75" customHeight="1">
      <c r="A1024" s="2" t="s">
        <v>1024</v>
      </c>
      <c r="B1024" s="2" t="str">
        <f>IFERROR(__xludf.DUMMYFUNCTION("GOOGLETRANSLATE(A1024,""en"", ""mt"")"),"Gruppi ta 'cili kbar u mwebbsa")</f>
        <v>Gruppi ta 'cili kbar u mwebbsa</v>
      </c>
    </row>
    <row r="1025" ht="15.75" customHeight="1">
      <c r="A1025" s="2" t="s">
        <v>1025</v>
      </c>
      <c r="B1025" s="2" t="str">
        <f>IFERROR(__xludf.DUMMYFUNCTION("GOOGLETRANSLATE(A1025,""en"", ""mt"")"),"Li żviluppa Datapac")</f>
        <v>Li żviluppa Datapac</v>
      </c>
    </row>
    <row r="1026" ht="15.75" customHeight="1">
      <c r="A1026" s="2" t="s">
        <v>1026</v>
      </c>
      <c r="B1026" s="2" t="str">
        <f>IFERROR(__xludf.DUMMYFUNCTION("GOOGLETRANSLATE(A1026,""en"", ""mt"")"),"X'kien eżempju ta 'tip ta' bastiment tal-gwerra li kien jeħtieġ veloċità għolja?")</f>
        <v>X'kien eżempju ta 'tip ta' bastiment tal-gwerra li kien jeħtieġ veloċità għolja?</v>
      </c>
    </row>
    <row r="1027" ht="15.75" customHeight="1">
      <c r="A1027" s="2" t="s">
        <v>1027</v>
      </c>
      <c r="B1027" s="2" t="str">
        <f>IFERROR(__xludf.DUMMYFUNCTION("GOOGLETRANSLATE(A1027,""en"", ""mt"")"),"Għal dak li hu ugwali ta '50 kilopascals?")</f>
        <v>Għal dak li hu ugwali ta '50 kilopascals?</v>
      </c>
    </row>
    <row r="1028" ht="15.75" customHeight="1">
      <c r="A1028" s="2" t="s">
        <v>1028</v>
      </c>
      <c r="B1028" s="2" t="str">
        <f>IFERROR(__xludf.DUMMYFUNCTION("GOOGLETRANSLATE(A1028,""en"", ""mt"")"),"Arkitettura ġenerali għal netwerk ta 'komunikazzjonijiet fuq skala kbira, imqassma u li jista' jibqa 'ħaj")</f>
        <v>Arkitettura ġenerali għal netwerk ta 'komunikazzjonijiet fuq skala kbira, imqassma u li jista' jibqa 'ħaj</v>
      </c>
    </row>
    <row r="1029" ht="15.75" customHeight="1">
      <c r="A1029" s="2" t="s">
        <v>1029</v>
      </c>
      <c r="B1029" s="2" t="str">
        <f>IFERROR(__xludf.DUMMYFUNCTION("GOOGLETRANSLATE(A1029,""en"", ""mt"")"),"jinsabu f'P jew daqs P.")</f>
        <v>jinsabu f'P jew daqs P.</v>
      </c>
    </row>
    <row r="1030" ht="15.75" customHeight="1">
      <c r="A1030" s="2" t="s">
        <v>1030</v>
      </c>
      <c r="B1030" s="2" t="str">
        <f>IFERROR(__xludf.DUMMYFUNCTION("GOOGLETRANSLATE(A1030,""en"", ""mt"")"),"Spanja ċediet lil Florida lill-Ingliżi fl-1763 wara l-Gwerra Franċiża u Indjana, u l-Ingliżi dalwaqt bnew it-Triq tar-Re li jgħaqqdu Santu Wistin mal-Ġeorġja. It-triq qasmet ix-Xmara San Ġwann f'punt dejjaq, li s-Seminole sejjaħ Wacca Pilatka u l-Ingliżi "&amp;"sejħu l-Cow Ford jew Cowford; Dawn l-ismijiet jirriflettu b'mod ostensibbli l-fatt li l-baqar ingħataw ix-xmara hemmhekk. Il-Brittaniċi introduċew il-kultivazzjoni tal-kannamieli, indigo u frott tal-kannamieli kif ukoll l-esportazzjoni tal-injam. Bħala ri"&amp;"żultat, iż-żona tal-Grigal ta 'Florida rnexxiet ekonomikament aktar milli kellha taħt l-Ispanjol. Il-Gran Brittanja ċediet il-kontroll tat-territorju lura lejn Spanja fl-1783, wara t-telfa tagħha fil-Gwerra Rivoluzzjonarja Amerikana, u l-ftehim fil-Cow Fo"&amp;"rd kompla jikber. Wara li Spanja ċediet it-territorju ta ’Florida lejn l-Istati Uniti fl-1821, kolonizzaturi Amerikani fuq in-naħa tat-tramuntana tal-baqra Ford iddeċidew li jippjanaw belt, li jpoġġu t-toroq u l-plats. Huma malajr semmew il-belt Jacksonvi"&amp;"lle, wara Andrew Jackson. Immexxi minn Isaija D. Hart, ir-residenti kitbu charter għal gvern tal-belt, li ġie approvat mill-Kunsill Leġiżlattiv ta 'Florida fid-9 ta' Frar, 1832.")</f>
        <v>Spanja ċediet lil Florida lill-Ingliżi fl-1763 wara l-Gwerra Franċiża u Indjana, u l-Ingliżi dalwaqt bnew it-Triq tar-Re li jgħaqqdu Santu Wistin mal-Ġeorġja. It-triq qasmet ix-Xmara San Ġwann f'punt dejjaq, li s-Seminole sejjaħ Wacca Pilatka u l-Ingliżi sejħu l-Cow Ford jew Cowford; Dawn l-ismijiet jirriflettu b'mod ostensibbli l-fatt li l-baqar ingħataw ix-xmara hemmhekk. Il-Brittaniċi introduċew il-kultivazzjoni tal-kannamieli, indigo u frott tal-kannamieli kif ukoll l-esportazzjoni tal-injam. Bħala riżultat, iż-żona tal-Grigal ta 'Florida rnexxiet ekonomikament aktar milli kellha taħt l-Ispanjol. Il-Gran Brittanja ċediet il-kontroll tat-territorju lura lejn Spanja fl-1783, wara t-telfa tagħha fil-Gwerra Rivoluzzjonarja Amerikana, u l-ftehim fil-Cow Ford kompla jikber. Wara li Spanja ċediet it-territorju ta ’Florida lejn l-Istati Uniti fl-1821, kolonizzaturi Amerikani fuq in-naħa tat-tramuntana tal-baqra Ford iddeċidew li jippjanaw belt, li jpoġġu t-toroq u l-plats. Huma malajr semmew il-belt Jacksonville, wara Andrew Jackson. Immexxi minn Isaija D. Hart, ir-residenti kitbu charter għal gvern tal-belt, li ġie approvat mill-Kunsill Leġiżlattiv ta 'Florida fid-9 ta' Frar, 1832.</v>
      </c>
    </row>
    <row r="1031" ht="15.75" customHeight="1">
      <c r="A1031" s="2" t="s">
        <v>1031</v>
      </c>
      <c r="B1031" s="2" t="str">
        <f>IFERROR(__xludf.DUMMYFUNCTION("GOOGLETRANSLATE(A1031,""en"", ""mt"")"),"Il-finanzjament għal skejjel privati ​​huwa ġeneralment ipprovdut permezz ta 'tagħlim ta' studenti, dotazzjonijiet, fondi ta 'boroż ta' studju / vawċer, u donazzjonijiet u għotjiet minn organizzazzjonijiet reliġjużi jew individwi privati. Il-finanzjament "&amp;"tal-gvern għall-iskejjel reliġjużi huwa jew soġġett għal restrizzjonijiet jew possibilment projbit, skont l-interpretazzjoni tal-qrati tal-Klawsola ta 'Stabbiliment tal-Ewwel Emenda jew Emendi tal-Istat individwali ta' Blaine. Skejjel privati ​​mhux reliġ"&amp;"jużi teoretikament jistgħu jikkwalifikaw għal dan il-finanzjament mingħajr tbatija, u jippreferu l-vantaġġi tal-kontroll indipendenti tal-ammissjonijiet tal-istudenti tagħhom u tal-kontenut tal-kors minflok il-finanzjament pubbliku li jistgħu jiksbu bi st"&amp;"atus charter.")</f>
        <v>Il-finanzjament għal skejjel privati ​​huwa ġeneralment ipprovdut permezz ta 'tagħlim ta' studenti, dotazzjonijiet, fondi ta 'boroż ta' studju / vawċer, u donazzjonijiet u għotjiet minn organizzazzjonijiet reliġjużi jew individwi privati. Il-finanzjament tal-gvern għall-iskejjel reliġjużi huwa jew soġġett għal restrizzjonijiet jew possibilment projbit, skont l-interpretazzjoni tal-qrati tal-Klawsola ta 'Stabbiliment tal-Ewwel Emenda jew Emendi tal-Istat individwali ta' Blaine. Skejjel privati ​​mhux reliġjużi teoretikament jistgħu jikkwalifikaw għal dan il-finanzjament mingħajr tbatija, u jippreferu l-vantaġġi tal-kontroll indipendenti tal-ammissjonijiet tal-istudenti tagħhom u tal-kontenut tal-kors minflok il-finanzjament pubbliku li jistgħu jiksbu bi status charter.</v>
      </c>
    </row>
    <row r="1032" ht="15.75" customHeight="1">
      <c r="A1032" s="2" t="s">
        <v>1032</v>
      </c>
      <c r="B1032" s="2" t="str">
        <f>IFERROR(__xludf.DUMMYFUNCTION("GOOGLETRANSLATE(A1032,""en"", ""mt"")"),"Kif huma rregolati l-ispiżjara fil-biċċa l-kbira tal-ġurisdizzjonijiet?")</f>
        <v>Kif huma rregolati l-ispiżjara fil-biċċa l-kbira tal-ġurisdizzjonijiet?</v>
      </c>
    </row>
    <row r="1033" ht="15.75" customHeight="1">
      <c r="A1033" s="2" t="s">
        <v>1033</v>
      </c>
      <c r="B1033" s="2" t="str">
        <f>IFERROR(__xludf.DUMMYFUNCTION("GOOGLETRANSLATE(A1033,""en"", ""mt"")"),"Karluk Kara-Khanid")</f>
        <v>Karluk Kara-Khanid</v>
      </c>
    </row>
    <row r="1034" ht="15.75" customHeight="1">
      <c r="A1034" s="2" t="s">
        <v>1034</v>
      </c>
      <c r="B1034" s="2" t="str">
        <f>IFERROR(__xludf.DUMMYFUNCTION("GOOGLETRANSLATE(A1034,""en"", ""mt"")"),"L-Iżlamisti ġew biex jiddominaw kompletament l-għaqdiet ta ’studenti universitarji")</f>
        <v>L-Iżlamisti ġew biex jiddominaw kompletament l-għaqdiet ta ’studenti universitarji</v>
      </c>
    </row>
    <row r="1035" ht="15.75" customHeight="1">
      <c r="A1035" s="2" t="s">
        <v>1035</v>
      </c>
      <c r="B1035" s="2" t="str">
        <f>IFERROR(__xludf.DUMMYFUNCTION("GOOGLETRANSLATE(A1035,""en"", ""mt"")"),"Reġjun ta 'Upper Rhine")</f>
        <v>Reġjun ta 'Upper Rhine</v>
      </c>
    </row>
    <row r="1036" ht="15.75" customHeight="1">
      <c r="A1036" s="2" t="s">
        <v>1036</v>
      </c>
      <c r="B1036" s="2" t="str">
        <f>IFERROR(__xludf.DUMMYFUNCTION("GOOGLETRANSLATE(A1036,""en"", ""mt"")"),"Kemm-il elementi Aristotile emmnu li l-isfera terrestri għandha tkun magħmula minnha?")</f>
        <v>Kemm-il elementi Aristotile emmnu li l-isfera terrestri għandha tkun magħmula minnha?</v>
      </c>
    </row>
    <row r="1037" ht="15.75" customHeight="1">
      <c r="A1037" s="2" t="s">
        <v>1037</v>
      </c>
      <c r="B1037" s="2" t="str">
        <f>IFERROR(__xludf.DUMMYFUNCTION("GOOGLETRANSLATE(A1037,""en"", ""mt"")"),"X'inhuma l-peptidi antimikrobiċi li evolvew bħala difiża immuni fl-ewkarioti msejħa?")</f>
        <v>X'inhuma l-peptidi antimikrobiċi li evolvew bħala difiża immuni fl-ewkarioti msejħa?</v>
      </c>
    </row>
    <row r="1038" ht="15.75" customHeight="1">
      <c r="A1038" s="2" t="s">
        <v>1038</v>
      </c>
      <c r="B1038" s="2" t="str">
        <f>IFERROR(__xludf.DUMMYFUNCTION("GOOGLETRANSLATE(A1038,""en"", ""mt"")"),"Liema prinċipju għandu x'jaqsam mal-formazzjoni tal-ħsarat u l-età tas-sekwenzi li permezz tagħhom huma jaqtgħu?")</f>
        <v>Liema prinċipju għandu x'jaqsam mal-formazzjoni tal-ħsarat u l-età tas-sekwenzi li permezz tagħhom huma jaqtgħu?</v>
      </c>
    </row>
    <row r="1039" ht="15.75" customHeight="1">
      <c r="A1039" s="2" t="s">
        <v>1039</v>
      </c>
      <c r="B1039" s="2" t="str">
        <f>IFERROR(__xludf.DUMMYFUNCTION("GOOGLETRANSLATE(A1039,""en"", ""mt"")"),"Dizzjunarju tal-Liġi tal-Iswed")</f>
        <v>Dizzjunarju tal-Liġi tal-Iswed</v>
      </c>
    </row>
    <row r="1040" ht="15.75" customHeight="1">
      <c r="A1040" s="2" t="s">
        <v>1040</v>
      </c>
      <c r="B1040" s="2" t="str">
        <f>IFERROR(__xludf.DUMMYFUNCTION("GOOGLETRANSLATE(A1040,""en"", ""mt"")"),"sustanza bħall-injam taqbad piż ġenerali fil-ħruq")</f>
        <v>sustanza bħall-injam taqbad piż ġenerali fil-ħruq</v>
      </c>
    </row>
    <row r="1041" ht="15.75" customHeight="1">
      <c r="A1041" s="2" t="s">
        <v>1041</v>
      </c>
      <c r="B1041" s="2" t="str">
        <f>IFERROR(__xludf.DUMMYFUNCTION("GOOGLETRANSLATE(A1041,""en"", ""mt"")"),"dial-up")</f>
        <v>dial-up</v>
      </c>
    </row>
    <row r="1042" ht="15.75" customHeight="1">
      <c r="A1042" s="2" t="s">
        <v>1042</v>
      </c>
      <c r="B1042" s="2" t="str">
        <f>IFERROR(__xludf.DUMMYFUNCTION("GOOGLETRANSLATE(A1042,""en"", ""mt"")"),"Miocene Nofsani")</f>
        <v>Miocene Nofsani</v>
      </c>
    </row>
    <row r="1043" ht="15.75" customHeight="1">
      <c r="A1043" s="2" t="s">
        <v>1043</v>
      </c>
      <c r="B1043" s="2" t="str">
        <f>IFERROR(__xludf.DUMMYFUNCTION("GOOGLETRANSLATE(A1043,""en"", ""mt"")"),"seba 'u tmienja")</f>
        <v>seba 'u tmienja</v>
      </c>
    </row>
    <row r="1044" ht="15.75" customHeight="1">
      <c r="A1044" s="2" t="s">
        <v>1044</v>
      </c>
      <c r="B1044" s="2" t="str">
        <f>IFERROR(__xludf.DUMMYFUNCTION("GOOGLETRANSLATE(A1044,""en"", ""mt"")"),"Ferrovija ta ’Middleton")</f>
        <v>Ferrovija ta ’Middleton</v>
      </c>
    </row>
    <row r="1045" ht="15.75" customHeight="1">
      <c r="A1045" s="2" t="s">
        <v>1045</v>
      </c>
      <c r="B1045" s="2" t="str">
        <f>IFERROR(__xludf.DUMMYFUNCTION("GOOGLETRANSLATE(A1045,""en"", ""mt"")"),"Hemm ħafna primes infinitament, kif muri mill-Ewklide madwar 300 QK. M'hemm l-ebda formula sempliċi magħrufa li tifred in-numri ewlenin minn numri komposti. Madankollu, id-distribuzzjoni tal-primes, jiġifieri, l-imġieba statistika tal-primes fil-kbir, tis"&amp;"ta 'tkun immudellata. L-ewwel riżultat f'dik id-direzzjoni huwa t-teorema tan-numru ewlieni, ippruvat fl-aħħar tas-seklu 19, li jgħid li l-probabbiltà li n-numru magħżul mogħti bl-addoċċ huwa prim huwa inversament proporzjonali għan-numru ta 'ċifri tiegħu"&amp;", jew għall-logaritmu ta' n.")</f>
        <v>Hemm ħafna primes infinitament, kif muri mill-Ewklide madwar 300 QK. M'hemm l-ebda formula sempliċi magħrufa li tifred in-numri ewlenin minn numri komposti. Madankollu, id-distribuzzjoni tal-primes, jiġifieri, l-imġieba statistika tal-primes fil-kbir, tista 'tkun immudellata. L-ewwel riżultat f'dik id-direzzjoni huwa t-teorema tan-numru ewlieni, ippruvat fl-aħħar tas-seklu 19, li jgħid li l-probabbiltà li n-numru magħżul mogħti bl-addoċċ huwa prim huwa inversament proporzjonali għan-numru ta 'ċifri tiegħu, jew għall-logaritmu ta' n.</v>
      </c>
    </row>
    <row r="1046" ht="15.75" customHeight="1">
      <c r="A1046" s="2" t="s">
        <v>1046</v>
      </c>
      <c r="B1046" s="2" t="str">
        <f>IFERROR(__xludf.DUMMYFUNCTION("GOOGLETRANSLATE(A1046,""en"", ""mt"")"),"b’saħħtu,")</f>
        <v>b’saħħtu,</v>
      </c>
    </row>
    <row r="1047" ht="15.75" customHeight="1">
      <c r="A1047" s="2" t="s">
        <v>1047</v>
      </c>
      <c r="B1047" s="2" t="str">
        <f>IFERROR(__xludf.DUMMYFUNCTION("GOOGLETRANSLATE(A1047,""en"", ""mt"")"),"kompressjoni orizzontali")</f>
        <v>kompressjoni orizzontali</v>
      </c>
    </row>
    <row r="1048" ht="15.75" customHeight="1">
      <c r="A1048" s="2" t="s">
        <v>1048</v>
      </c>
      <c r="B1048" s="2" t="str">
        <f>IFERROR(__xludf.DUMMYFUNCTION("GOOGLETRANSLATE(A1048,""en"", ""mt"")"),"Ekwilibriju statiku")</f>
        <v>Ekwilibriju statiku</v>
      </c>
    </row>
    <row r="1049" ht="15.75" customHeight="1">
      <c r="A1049" s="2" t="s">
        <v>1049</v>
      </c>
      <c r="B1049" s="2" t="str">
        <f>IFERROR(__xludf.DUMMYFUNCTION("GOOGLETRANSLATE(A1049,""en"", ""mt"")"),"gass ​​serra")</f>
        <v>gass ​​serra</v>
      </c>
    </row>
    <row r="1050" ht="15.75" customHeight="1">
      <c r="A1050" s="2" t="s">
        <v>1050</v>
      </c>
      <c r="B1050" s="2" t="str">
        <f>IFERROR(__xludf.DUMMYFUNCTION("GOOGLETRANSLATE(A1050,""en"", ""mt"")"),"Uffiċjali tal-Gvern u Esperti tat-Tibdil fil-Klima")</f>
        <v>Uffiċjali tal-Gvern u Esperti tat-Tibdil fil-Klima</v>
      </c>
    </row>
    <row r="1051" ht="15.75" customHeight="1">
      <c r="A1051" s="2" t="s">
        <v>1051</v>
      </c>
      <c r="B1051" s="2" t="str">
        <f>IFERROR(__xludf.DUMMYFUNCTION("GOOGLETRANSLATE(A1051,""en"", ""mt"")"),"Kif il-graffs huma kodifikati bħala kordi binarji")</f>
        <v>Kif il-graffs huma kodifikati bħala kordi binarji</v>
      </c>
    </row>
    <row r="1052" ht="15.75" customHeight="1">
      <c r="A1052" s="2" t="s">
        <v>1052</v>
      </c>
      <c r="B1052" s="2" t="str">
        <f>IFERROR(__xludf.DUMMYFUNCTION("GOOGLETRANSLATE(A1052,""en"", ""mt"")"),"X'inhu terminu li jfisser temperatura kostanti?")</f>
        <v>X'inhu terminu li jfisser temperatura kostanti?</v>
      </c>
    </row>
    <row r="1053" ht="15.75" customHeight="1">
      <c r="A1053" s="2" t="s">
        <v>1053</v>
      </c>
      <c r="B1053" s="2" t="str">
        <f>IFERROR(__xludf.DUMMYFUNCTION("GOOGLETRANSLATE(A1053,""en"", ""mt"")"),"X'inhu terminu għat-treġġigħ lura tal-fluss tal-fwar f'magna tal-pistuni wara kull puplesija?")</f>
        <v>X'inhu terminu għat-treġġigħ lura tal-fluss tal-fwar f'magna tal-pistuni wara kull puplesija?</v>
      </c>
    </row>
    <row r="1054" ht="15.75" customHeight="1">
      <c r="A1054" s="2" t="s">
        <v>1054</v>
      </c>
      <c r="B1054" s="2" t="str">
        <f>IFERROR(__xludf.DUMMYFUNCTION("GOOGLETRANSLATE(A1054,""en"", ""mt"")"),"Kemm passiġġieri jistgħu jakkomodaw il-Ford Fiesta?")</f>
        <v>Kemm passiġġieri jistgħu jakkomodaw il-Ford Fiesta?</v>
      </c>
    </row>
    <row r="1055" ht="15.75" customHeight="1">
      <c r="A1055" s="2" t="s">
        <v>1055</v>
      </c>
      <c r="B1055" s="2" t="str">
        <f>IFERROR(__xludf.DUMMYFUNCTION("GOOGLETRANSLATE(A1055,""en"", ""mt"")"),"Liema persuni ma tħallewx joqgħodu fi Franza l-ġdida?")</f>
        <v>Liema persuni ma tħallewx joqgħodu fi Franza l-ġdida?</v>
      </c>
    </row>
    <row r="1056" ht="15.75" customHeight="1">
      <c r="A1056" s="2" t="s">
        <v>1056</v>
      </c>
      <c r="B1056" s="2" t="str">
        <f>IFERROR(__xludf.DUMMYFUNCTION("GOOGLETRANSLATE(A1056,""en"", ""mt"")"),"mhux neċessarjament raġun")</f>
        <v>mhux neċessarjament raġun</v>
      </c>
    </row>
    <row r="1057" ht="15.75" customHeight="1">
      <c r="A1057" s="2" t="s">
        <v>1057</v>
      </c>
      <c r="B1057" s="2" t="str">
        <f>IFERROR(__xludf.DUMMYFUNCTION("GOOGLETRANSLATE(A1057,""en"", ""mt"")"),"Jekk il-kap tal-gvern ta 'pajjiż kellu jirrifjuta li jinforza deċiżjoni tal-ogħla qorti ta' dak il-pajjiż")</f>
        <v>Jekk il-kap tal-gvern ta 'pajjiż kellu jirrifjuta li jinforza deċiżjoni tal-ogħla qorti ta' dak il-pajjiż</v>
      </c>
    </row>
    <row r="1058" ht="15.75" customHeight="1">
      <c r="A1058" s="2" t="s">
        <v>1058</v>
      </c>
      <c r="B1058" s="2" t="str">
        <f>IFERROR(__xludf.DUMMYFUNCTION("GOOGLETRANSLATE(A1058,""en"", ""mt"")"),"Xi tfisser Ctenophora bil-Grieg?")</f>
        <v>Xi tfisser Ctenophora bil-Grieg?</v>
      </c>
    </row>
    <row r="1059" ht="15.75" customHeight="1">
      <c r="A1059" s="2" t="s">
        <v>1059</v>
      </c>
      <c r="B1059" s="2" t="str">
        <f>IFERROR(__xludf.DUMMYFUNCTION("GOOGLETRANSLATE(A1059,""en"", ""mt"")"),"Aalane ġiet irtirata u l-pjattaforma l-ġdida tissejjaħ")</f>
        <v>Aalane ġiet irtirata u l-pjattaforma l-ġdida tissejjaħ</v>
      </c>
    </row>
    <row r="1060" ht="15.75" customHeight="1">
      <c r="A1060" s="2" t="s">
        <v>1060</v>
      </c>
      <c r="B1060" s="2" t="str">
        <f>IFERROR(__xludf.DUMMYFUNCTION("GOOGLETRANSLATE(A1060,""en"", ""mt"")"),"Ir-rati ta 'mortalità f'żoni rurali matul il-pandemija tas-seklu 14 kienu inkonsistenti mal-pesta bubonika moderna")</f>
        <v>Ir-rati ta 'mortalità f'żoni rurali matul il-pandemija tas-seklu 14 kienu inkonsistenti mal-pesta bubonika moderna</v>
      </c>
    </row>
    <row r="1061" ht="15.75" customHeight="1">
      <c r="A1061" s="2" t="s">
        <v>1061</v>
      </c>
      <c r="B1061" s="2" t="str">
        <f>IFERROR(__xludf.DUMMYFUNCTION("GOOGLETRANSLATE(A1061,""en"", ""mt"")"),"Liema trattament mediku jintuża biex jibbenefika pazjenti b'disturbi tal-fuklar u tal-pulmun?")</f>
        <v>Liema trattament mediku jintuża biex jibbenefika pazjenti b'disturbi tal-fuklar u tal-pulmun?</v>
      </c>
    </row>
    <row r="1062" ht="15.75" customHeight="1">
      <c r="A1062" s="2" t="s">
        <v>1062</v>
      </c>
      <c r="B1062" s="2" t="str">
        <f>IFERROR(__xludf.DUMMYFUNCTION("GOOGLETRANSLATE(A1062,""en"", ""mt"")"),"Reżistenza akkwistata sistemika")</f>
        <v>Reżistenza akkwistata sistemika</v>
      </c>
    </row>
    <row r="1063" ht="15.75" customHeight="1">
      <c r="A1063" s="2" t="s">
        <v>1063</v>
      </c>
      <c r="B1063" s="2" t="str">
        <f>IFERROR(__xludf.DUMMYFUNCTION("GOOGLETRANSLATE(A1063,""en"", ""mt"")"),"Civil_disobedjenza")</f>
        <v>Civil_disobedjenza</v>
      </c>
    </row>
    <row r="1064" ht="15.75" customHeight="1">
      <c r="A1064" s="2" t="s">
        <v>1064</v>
      </c>
      <c r="B1064" s="2" t="str">
        <f>IFERROR(__xludf.DUMMYFUNCTION("GOOGLETRANSLATE(A1064,""en"", ""mt"")"),"tadotta kultura Ċiniża mainstream")</f>
        <v>tadotta kultura Ċiniża mainstream</v>
      </c>
    </row>
    <row r="1065" ht="15.75" customHeight="1">
      <c r="A1065" s="2" t="s">
        <v>1065</v>
      </c>
      <c r="B1065" s="2" t="str">
        <f>IFERROR(__xludf.DUMMYFUNCTION("GOOGLETRANSLATE(A1065,""en"", ""mt"")"),"Tymnet kien netwerk ta 'komunikazzjonijiet ta' dejta internazzjonali bil-kwartjieri ġenerali f'San Jose, CA li utilizza l-interfaces ta 'pakkett ta' sejħa virtwali u uża X.25, SNA / SDLC, BSC u ASCII interfaces biex jgħaqqdu kompjuters ospitanti (servers)"&amp;" f'eluf ta 'kumpaniji kbar, istituzzjonijiet edukattivi, u aġenziji tal-gvern. L-utenti tipikament konnessi permezz ta 'konnessjonijiet dial-up jew konnessjonijiet ta' async iddedikati. In-negozju kien jikkonsisti minn netwerk pubbliku kbir li appoġġa lil"&amp;"l-utenti dial-up u negozju ta 'netwerk privat li ppermetta aġenziji tal-gvern u kumpaniji kbar (l-aktar banek u linji tal-ajru) biex jibnu n-netwerks iddedikati tagħhom stess. In-netwerks privati ​​spiss kienu konnessi permezz ta ’gateways man-netwerk pub"&amp;"bliku biex jilħqu postijiet mhux fuq in-netwerk privat. Tymnet kien ukoll konness ma 'għexieren ta' netwerks pubbliċi oħra fl-Istati Uniti u internazzjonalment permezz ta 'gateways X.25 / x.75. (Nota interessanti: Tymnet ma kienx imsemmi wara s-Sur Tyme. "&amp;"Impjegat ieħor issuġġerixxa l-isem.)")</f>
        <v>Tymnet kien netwerk ta 'komunikazzjonijiet ta' dejta internazzjonali bil-kwartjieri ġenerali f'San Jose, CA li utilizza l-interfaces ta 'pakkett ta' sejħa virtwali u uża X.25, SNA / SDLC, BSC u ASCII interfaces biex jgħaqqdu kompjuters ospitanti (servers) f'eluf ta 'kumpaniji kbar, istituzzjonijiet edukattivi, u aġenziji tal-gvern. L-utenti tipikament konnessi permezz ta 'konnessjonijiet dial-up jew konnessjonijiet ta' async iddedikati. In-negozju kien jikkonsisti minn netwerk pubbliku kbir li appoġġa lill-utenti dial-up u negozju ta 'netwerk privat li ppermetta aġenziji tal-gvern u kumpaniji kbar (l-aktar banek u linji tal-ajru) biex jibnu n-netwerks iddedikati tagħhom stess. In-netwerks privati ​​spiss kienu konnessi permezz ta ’gateways man-netwerk pubbliku biex jilħqu postijiet mhux fuq in-netwerk privat. Tymnet kien ukoll konness ma 'għexieren ta' netwerks pubbliċi oħra fl-Istati Uniti u internazzjonalment permezz ta 'gateways X.25 / x.75. (Nota interessanti: Tymnet ma kienx imsemmi wara s-Sur Tyme. Impjegat ieħor issuġġerixxa l-isem.)</v>
      </c>
    </row>
    <row r="1066" ht="15.75" customHeight="1">
      <c r="A1066" s="2" t="s">
        <v>1066</v>
      </c>
      <c r="B1066" s="2" t="str">
        <f>IFERROR(__xludf.DUMMYFUNCTION("GOOGLETRANSLATE(A1066,""en"", ""mt"")"),"F'magna kompost b'erba 'ċilindri, f'liema grad kienu l-cranks individwali bilanċjati")</f>
        <v>F'magna kompost b'erba 'ċilindri, f'liema grad kienu l-cranks individwali bilanċjati</v>
      </c>
    </row>
    <row r="1067" ht="15.75" customHeight="1">
      <c r="A1067" s="2" t="s">
        <v>1067</v>
      </c>
      <c r="B1067" s="2" t="str">
        <f>IFERROR(__xludf.DUMMYFUNCTION("GOOGLETRANSLATE(A1067,""en"", ""mt"")"),"Saff ta 'ożonu ta' altitudni għolja")</f>
        <v>Saff ta 'ożonu ta' altitudni għolja</v>
      </c>
    </row>
    <row r="1068" ht="15.75" customHeight="1">
      <c r="A1068" s="2" t="s">
        <v>1068</v>
      </c>
      <c r="B1068" s="2" t="str">
        <f>IFERROR(__xludf.DUMMYFUNCTION("GOOGLETRANSLATE(A1068,""en"", ""mt"")"),"Dak li kien Telenet")</f>
        <v>Dak li kien Telenet</v>
      </c>
    </row>
    <row r="1069" ht="15.75" customHeight="1">
      <c r="A1069" s="2" t="s">
        <v>1069</v>
      </c>
      <c r="B1069" s="2" t="str">
        <f>IFERROR(__xludf.DUMMYFUNCTION("GOOGLETRANSLATE(A1069,""en"", ""mt"")"),"Awtorità ta 'preskrizzjoni indipendenti sħiħa")</f>
        <v>Awtorità ta 'preskrizzjoni indipendenti sħiħa</v>
      </c>
    </row>
    <row r="1070" ht="15.75" customHeight="1">
      <c r="A1070" s="2" t="s">
        <v>1070</v>
      </c>
      <c r="B1070" s="2" t="str">
        <f>IFERROR(__xludf.DUMMYFUNCTION("GOOGLETRANSLATE(A1070,""en"", ""mt"")"),"Biex ""widen [en] l-għażliet tan-nies u l-livell tal-benesseri miksub tagħhom""")</f>
        <v>Biex "widen [en] l-għażliet tan-nies u l-livell tal-benesseri miksub tagħhom"</v>
      </c>
    </row>
    <row r="1071" ht="15.75" customHeight="1">
      <c r="A1071" s="2" t="s">
        <v>1071</v>
      </c>
      <c r="B1071" s="2" t="str">
        <f>IFERROR(__xludf.DUMMYFUNCTION("GOOGLETRANSLATE(A1071,""en"", ""mt"")"),"It-tiswir ta 'ideat dwar is-suq ħieles")</f>
        <v>It-tiswir ta 'ideat dwar is-suq ħieles</v>
      </c>
    </row>
    <row r="1072" ht="15.75" customHeight="1">
      <c r="A1072" s="2" t="s">
        <v>1072</v>
      </c>
      <c r="B1072" s="2" t="str">
        <f>IFERROR(__xludf.DUMMYFUNCTION("GOOGLETRANSLATE(A1072,""en"", ""mt"")"),"arbli")</f>
        <v>arbli</v>
      </c>
    </row>
    <row r="1073" ht="15.75" customHeight="1">
      <c r="A1073" s="2" t="s">
        <v>1073</v>
      </c>
      <c r="B1073" s="2" t="str">
        <f>IFERROR(__xludf.DUMMYFUNCTION("GOOGLETRANSLATE(A1073,""en"", ""mt"")"),"Xi jħossu xi nies diżubbidjenti ċivili li jirrikonoxxu.")</f>
        <v>Xi jħossu xi nies diżubbidjenti ċivili li jirrikonoxxu.</v>
      </c>
    </row>
    <row r="1074" ht="15.75" customHeight="1">
      <c r="A1074" s="2" t="s">
        <v>1074</v>
      </c>
      <c r="B1074" s="2" t="str">
        <f>IFERROR(__xludf.DUMMYFUNCTION("GOOGLETRANSLATE(A1074,""en"", ""mt"")"),"Upstate New York u l-pajjiż Ohio")</f>
        <v>Upstate New York u l-pajjiż Ohio</v>
      </c>
    </row>
    <row r="1075" ht="15.75" customHeight="1">
      <c r="A1075" s="2" t="s">
        <v>1075</v>
      </c>
      <c r="B1075" s="2" t="str">
        <f>IFERROR(__xludf.DUMMYFUNCTION("GOOGLETRANSLATE(A1075,""en"", ""mt"")"),"Kemm hemm żoni metropolitani tal-popolazzjoni tan-Nofsinhar ta 'California?")</f>
        <v>Kemm hemm żoni metropolitani tal-popolazzjoni tan-Nofsinhar ta 'California?</v>
      </c>
    </row>
    <row r="1076" ht="15.75" customHeight="1">
      <c r="A1076" s="2" t="s">
        <v>1076</v>
      </c>
      <c r="B1076" s="2" t="str">
        <f>IFERROR(__xludf.DUMMYFUNCTION("GOOGLETRANSLATE(A1076,""en"", ""mt"")"),"Fredericia (id-Danimarka), Berlin, Stokkolma, Hamburg, Frankfurt, Ħelsinki, u Emden")</f>
        <v>Fredericia (id-Danimarka), Berlin, Stokkolma, Hamburg, Frankfurt, Ħelsinki, u Emden</v>
      </c>
    </row>
    <row r="1077" ht="15.75" customHeight="1">
      <c r="A1077" s="2" t="s">
        <v>1077</v>
      </c>
      <c r="B1077" s="2" t="str">
        <f>IFERROR(__xludf.DUMMYFUNCTION("GOOGLETRANSLATE(A1077,""en"", ""mt"")"),"Il-kriżi taż-żejt tal-1973 bdiet f'Ottubru 1973 meta l-membri tal-Organizzazzjoni tal-Pajjiżi Esportanti tal-Petrolju Għarab (OAPEC, li jikkonsistu mill-membri Għarab tal-OPEC flimkien mal-Eġittu u s-Sirja) ipproklamaw embargo taż-żejt. Sa tmiem l-embargo"&amp;" f'Marzu 1974, il-prezz taż-żejt kien żdied minn US $ 3 kull barmil għal kważi $ 12 globalment; Il-prezzijiet tal-Istati Uniti kienu sinifikament ogħla. L-embargo kkawża kriżi taż-żejt, jew ""xokk"", b'ħafna effetti għal żmien qasir u fit-tul fuq il-polit"&amp;"ika globali u l-ekonomija globali. Aktar tard ġie msejjaħ ""l-ewwel xokk taż-żejt"", segwit mill-kriżi taż-żejt tal-1979, imsejjaħ it- ""Tieni Xokk taż-Żejt.""")</f>
        <v>Il-kriżi taż-żejt tal-1973 bdiet f'Ottubru 1973 meta l-membri tal-Organizzazzjoni tal-Pajjiżi Esportanti tal-Petrolju Għarab (OAPEC, li jikkonsistu mill-membri Għarab tal-OPEC flimkien mal-Eġittu u s-Sirja) ipproklamaw embargo taż-żejt. Sa tmiem l-embargo f'Marzu 1974, il-prezz taż-żejt kien żdied minn US $ 3 kull barmil għal kważi $ 12 globalment; Il-prezzijiet tal-Istati Uniti kienu sinifikament ogħla. L-embargo kkawża kriżi taż-żejt, jew "xokk", b'ħafna effetti għal żmien qasir u fit-tul fuq il-politika globali u l-ekonomija globali. Aktar tard ġie msejjaħ "l-ewwel xokk taż-żejt", segwit mill-kriżi taż-żejt tal-1979, imsejjaħ it- "Tieni Xokk taż-Żejt."</v>
      </c>
    </row>
    <row r="1078" ht="15.75" customHeight="1">
      <c r="A1078" s="2" t="s">
        <v>1078</v>
      </c>
      <c r="B1078" s="2" t="str">
        <f>IFERROR(__xludf.DUMMYFUNCTION("GOOGLETRANSLATE(A1078,""en"", ""mt"")"),"1,600")</f>
        <v>1,600</v>
      </c>
    </row>
    <row r="1079" ht="15.75" customHeight="1">
      <c r="A1079" s="2" t="s">
        <v>1079</v>
      </c>
      <c r="B1079" s="2" t="str">
        <f>IFERROR(__xludf.DUMMYFUNCTION("GOOGLETRANSLATE(A1079,""en"", ""mt"")"),"pagi u profitti")</f>
        <v>pagi u profitti</v>
      </c>
    </row>
    <row r="1080" ht="15.75" customHeight="1">
      <c r="A1080" s="2" t="s">
        <v>1080</v>
      </c>
      <c r="B1080" s="2" t="str">
        <f>IFERROR(__xludf.DUMMYFUNCTION("GOOGLETRANSLATE(A1080,""en"", ""mt"")"),"Petrolju")</f>
        <v>Petrolju</v>
      </c>
    </row>
    <row r="1081" ht="15.75" customHeight="1">
      <c r="A1081" s="2" t="s">
        <v>1081</v>
      </c>
      <c r="B1081" s="2" t="str">
        <f>IFERROR(__xludf.DUMMYFUNCTION("GOOGLETRANSLATE(A1081,""en"", ""mt"")"),"Affiljat ma 'denominazzjonijiet Protestanti oħra ma' aktar membri numerużi")</f>
        <v>Affiljat ma 'denominazzjonijiet Protestanti oħra ma' aktar membri numerużi</v>
      </c>
    </row>
    <row r="1082" ht="15.75" customHeight="1">
      <c r="A1082" s="2" t="s">
        <v>1082</v>
      </c>
      <c r="B1082" s="2" t="str">
        <f>IFERROR(__xludf.DUMMYFUNCTION("GOOGLETRANSLATE(A1082,""en"", ""mt"")"),"Taħt kondizzjonijiet normali, iċ-ċelloli T u l-antikorpi jipproduċu x'tip ta 'peptidi?")</f>
        <v>Taħt kondizzjonijiet normali, iċ-ċelloli T u l-antikorpi jipproduċu x'tip ta 'peptidi?</v>
      </c>
    </row>
    <row r="1083" ht="15.75" customHeight="1">
      <c r="A1083" s="2" t="s">
        <v>1083</v>
      </c>
      <c r="B1083" s="2" t="str">
        <f>IFERROR(__xludf.DUMMYFUNCTION("GOOGLETRANSLATE(A1083,""en"", ""mt"")"),"Otter, kastur u mijiet ta 'speċi ta' għasafar")</f>
        <v>Otter, kastur u mijiet ta 'speċi ta' għasafar</v>
      </c>
    </row>
    <row r="1084" ht="15.75" customHeight="1">
      <c r="A1084" s="2" t="s">
        <v>1084</v>
      </c>
      <c r="B1084" s="2" t="str">
        <f>IFERROR(__xludf.DUMMYFUNCTION("GOOGLETRANSLATE(A1084,""en"", ""mt"")"),"X'kien l-għan tal-expedition ta 'Braddock?")</f>
        <v>X'kien l-għan tal-expedition ta 'Braddock?</v>
      </c>
    </row>
    <row r="1085" ht="15.75" customHeight="1">
      <c r="A1085" s="2" t="s">
        <v>1085</v>
      </c>
      <c r="B1085" s="2" t="str">
        <f>IFERROR(__xludf.DUMMYFUNCTION("GOOGLETRANSLATE(A1085,""en"", ""mt"")"),"Liema żewġ oqsma tax-xjenza teoretika tal-kompjuter jirriflettu mill-qrib it-teorija tal-kumplessità tal-komputazzjoni?")</f>
        <v>Liema żewġ oqsma tax-xjenza teoretika tal-kompjuter jirriflettu mill-qrib it-teorija tal-kumplessità tal-komputazzjoni?</v>
      </c>
    </row>
    <row r="1086" ht="15.75" customHeight="1">
      <c r="A1086" s="2" t="s">
        <v>1086</v>
      </c>
      <c r="B1086" s="2" t="str">
        <f>IFERROR(__xludf.DUMMYFUNCTION("GOOGLETRANSLATE(A1086,""en"", ""mt"")"),"It-tieni l-akbar belt")</f>
        <v>It-tieni l-akbar belt</v>
      </c>
    </row>
    <row r="1087" ht="15.75" customHeight="1">
      <c r="A1087" s="2" t="s">
        <v>1087</v>
      </c>
      <c r="B1087" s="2" t="str">
        <f>IFERROR(__xludf.DUMMYFUNCTION("GOOGLETRANSLATE(A1087,""en"", ""mt"")"),"Ossiġnu")</f>
        <v>Ossiġnu</v>
      </c>
    </row>
    <row r="1088" ht="15.75" customHeight="1">
      <c r="A1088" s="2" t="s">
        <v>1088</v>
      </c>
      <c r="B1088" s="2" t="str">
        <f>IFERROR(__xludf.DUMMYFUNCTION("GOOGLETRANSLATE(A1088,""en"", ""mt"")"),"Dak li ta lil Priestley it-talba li kienet l-ewwel skoperta ta ’ossiġnu?")</f>
        <v>Dak li ta lil Priestley it-talba li kienet l-ewwel skoperta ta ’ossiġnu?</v>
      </c>
    </row>
    <row r="1089" ht="15.75" customHeight="1">
      <c r="A1089" s="2" t="s">
        <v>1089</v>
      </c>
      <c r="B1089" s="2" t="str">
        <f>IFERROR(__xludf.DUMMYFUNCTION("GOOGLETRANSLATE(A1089,""en"", ""mt"")"),"il-lamprey u l-hagfish")</f>
        <v>il-lamprey u l-hagfish</v>
      </c>
    </row>
    <row r="1090" ht="15.75" customHeight="1">
      <c r="A1090" s="2" t="s">
        <v>1090</v>
      </c>
      <c r="B1090" s="2" t="str">
        <f>IFERROR(__xludf.DUMMYFUNCTION("GOOGLETRANSLATE(A1090,""en"", ""mt"")"),"jiċċarġjaw it-tagħlim tal-istudenti tagħhom")</f>
        <v>jiċċarġjaw it-tagħlim tal-istudenti tagħhom</v>
      </c>
    </row>
    <row r="1091" ht="15.75" customHeight="1">
      <c r="A1091" s="2" t="s">
        <v>1091</v>
      </c>
      <c r="B1091" s="2" t="str">
        <f>IFERROR(__xludf.DUMMYFUNCTION("GOOGLETRANSLATE(A1091,""en"", ""mt"")"),"Kemm hemm mekkaniżmi magna tal-fwar tipika biex iżżomm il-pressjoni tal-bojler milli tqum wisq?")</f>
        <v>Kemm hemm mekkaniżmi magna tal-fwar tipika biex iżżomm il-pressjoni tal-bojler milli tqum wisq?</v>
      </c>
    </row>
    <row r="1092" ht="15.75" customHeight="1">
      <c r="A1092" s="2" t="s">
        <v>1092</v>
      </c>
      <c r="B1092" s="2" t="str">
        <f>IFERROR(__xludf.DUMMYFUNCTION("GOOGLETRANSLATE(A1092,""en"", ""mt"")"),"Kemm mill-parteċipanti tal-IPCC huma rappreżentanti tal-gvern?")</f>
        <v>Kemm mill-parteċipanti tal-IPCC huma rappreżentanti tal-gvern?</v>
      </c>
    </row>
    <row r="1093" ht="15.75" customHeight="1">
      <c r="A1093" s="2" t="s">
        <v>1093</v>
      </c>
      <c r="B1093" s="2" t="str">
        <f>IFERROR(__xludf.DUMMYFUNCTION("GOOGLETRANSLATE(A1093,""en"", ""mt"")"),"Ċittadin jista 'jistrieħ fuq id-direttiva f'tali azzjoni (hekk imsejjaħ effett dirett ""vertikali"")")</f>
        <v>Ċittadin jista 'jistrieħ fuq id-direttiva f'tali azzjoni (hekk imsejjaħ effett dirett "vertikali")</v>
      </c>
    </row>
    <row r="1094" ht="15.75" customHeight="1">
      <c r="A1094" s="2" t="s">
        <v>1094</v>
      </c>
      <c r="B1094" s="2" t="str">
        <f>IFERROR(__xludf.DUMMYFUNCTION("GOOGLETRANSLATE(A1094,""en"", ""mt"")"),"Valutazzjonijiet iżgħar ta 'problemi speċjali minflok l-approċċ fuq skala kbira")</f>
        <v>Valutazzjonijiet iżgħar ta 'problemi speċjali minflok l-approċċ fuq skala kbira</v>
      </c>
    </row>
    <row r="1095" ht="15.75" customHeight="1">
      <c r="A1095" s="2" t="s">
        <v>1095</v>
      </c>
      <c r="B1095" s="2" t="str">
        <f>IFERROR(__xludf.DUMMYFUNCTION("GOOGLETRANSLATE(A1095,""en"", ""mt"")"),"Sema")</f>
        <v>Sema</v>
      </c>
    </row>
    <row r="1096" ht="15.75" customHeight="1">
      <c r="A1096" s="2" t="s">
        <v>1096</v>
      </c>
      <c r="B1096" s="2" t="str">
        <f>IFERROR(__xludf.DUMMYFUNCTION("GOOGLETRANSLATE(A1096,""en"", ""mt"")"),"B'għarfien modern dwar il-mekkanika kwantistika u t-teknoloġija li jistgħu jaċċeleraw il-partiċelli viċin il-veloċità tad-dawl, il-fiżika tal-partikuli fasslet mudell standard biex tiddeskrivi forzi bejn partiċelli iżgħar mill-atomi. Il-mudell standard ib"&amp;"assar li partiċelli skambjati msejħa bosons tal-gauge huma l-mezzi fundamentali li bihom il-forzi jiġu emessi u assorbiti. Erba 'interazzjonijiet ewlenin huma magħrufa biss: f'ordni ta' saħħa li tonqos, huma: b'saħħithom, elettromanjetiċi, dgħajfa, u grav"&amp;"itazzjonali. huma espressjonijiet ta 'interazzjoni elettroweak aktar fundamentali.")</f>
        <v>B'għarfien modern dwar il-mekkanika kwantistika u t-teknoloġija li jistgħu jaċċeleraw il-partiċelli viċin il-veloċità tad-dawl, il-fiżika tal-partikuli fasslet mudell standard biex tiddeskrivi forzi bejn partiċelli iżgħar mill-atomi. Il-mudell standard ibassar li partiċelli skambjati msejħa bosons tal-gauge huma l-mezzi fundamentali li bihom il-forzi jiġu emessi u assorbiti. Erba 'interazzjonijiet ewlenin huma magħrufa biss: f'ordni ta' saħħa li tonqos, huma: b'saħħithom, elettromanjetiċi, dgħajfa, u gravitazzjonali. huma espressjonijiet ta 'interazzjoni elettroweak aktar fundamentali.</v>
      </c>
    </row>
    <row r="1097" ht="15.75" customHeight="1">
      <c r="A1097" s="2" t="s">
        <v>1097</v>
      </c>
      <c r="B1097" s="2" t="str">
        <f>IFERROR(__xludf.DUMMYFUNCTION("GOOGLETRANSLATE(A1097,""en"", ""mt"")"),"Il-possedimenti kontinentali tagħha tal-Amerika ta ’Fuq fil-lvant tal-Mississippi jew il-Gżejjer tal-Karibew")</f>
        <v>Il-possedimenti kontinentali tagħha tal-Amerika ta ’Fuq fil-lvant tal-Mississippi jew il-Gżejjer tal-Karibew</v>
      </c>
    </row>
    <row r="1098" ht="15.75" customHeight="1">
      <c r="A1098" s="2" t="s">
        <v>1098</v>
      </c>
      <c r="B1098" s="2" t="str">
        <f>IFERROR(__xludf.DUMMYFUNCTION("GOOGLETRANSLATE(A1098,""en"", ""mt"")"),"L-Università ta 'Chicago College Bowl Team")</f>
        <v>L-Università ta 'Chicago College Bowl Team</v>
      </c>
    </row>
    <row r="1099" ht="15.75" customHeight="1">
      <c r="A1099" s="2" t="s">
        <v>1099</v>
      </c>
      <c r="B1099" s="2" t="str">
        <f>IFERROR(__xludf.DUMMYFUNCTION("GOOGLETRANSLATE(A1099,""en"", ""mt"")"),"Ikkalkula l-primes")</f>
        <v>Ikkalkula l-primes</v>
      </c>
    </row>
    <row r="1100" ht="15.75" customHeight="1">
      <c r="A1100" s="2" t="s">
        <v>1100</v>
      </c>
      <c r="B1100" s="2" t="str">
        <f>IFERROR(__xludf.DUMMYFUNCTION("GOOGLETRANSLATE(A1100,""en"", ""mt"")"),"X'kien l-ewwel netwerk tal-internet2 imsemmi")</f>
        <v>X'kien l-ewwel netwerk tal-internet2 imsemmi</v>
      </c>
    </row>
    <row r="1101" ht="15.75" customHeight="1">
      <c r="A1101" s="2" t="s">
        <v>1101</v>
      </c>
      <c r="B1101" s="2" t="str">
        <f>IFERROR(__xludf.DUMMYFUNCTION("GOOGLETRANSLATE(A1101,""en"", ""mt"")"),"jissupplimentah")</f>
        <v>jissupplimentah</v>
      </c>
    </row>
    <row r="1102" ht="15.75" customHeight="1">
      <c r="A1102" s="2" t="s">
        <v>1102</v>
      </c>
      <c r="B1102" s="2" t="str">
        <f>IFERROR(__xludf.DUMMYFUNCTION("GOOGLETRANSLATE(A1102,""en"", ""mt"")"),"il-koordinatur tal-proġett")</f>
        <v>il-koordinatur tal-proġett</v>
      </c>
    </row>
    <row r="1103" ht="15.75" customHeight="1">
      <c r="A1103" s="2" t="s">
        <v>1103</v>
      </c>
      <c r="B1103" s="2" t="str">
        <f>IFERROR(__xludf.DUMMYFUNCTION("GOOGLETRANSLATE(A1103,""en"", ""mt"")"),"ħin jew spazju")</f>
        <v>ħin jew spazju</v>
      </c>
    </row>
    <row r="1104" ht="15.75" customHeight="1">
      <c r="A1104" s="2" t="s">
        <v>1104</v>
      </c>
      <c r="B1104" s="2" t="str">
        <f>IFERROR(__xludf.DUMMYFUNCTION("GOOGLETRANSLATE(A1104,""en"", ""mt"")"),"Liema sistema ma tiddefinixxix ħafna drabi klassijiet bħal IP u AM /")</f>
        <v>Liema sistema ma tiddefinixxix ħafna drabi klassijiet bħal IP u AM /</v>
      </c>
    </row>
    <row r="1105" ht="15.75" customHeight="1">
      <c r="A1105" s="2" t="s">
        <v>1105</v>
      </c>
      <c r="B1105" s="2" t="str">
        <f>IFERROR(__xludf.DUMMYFUNCTION("GOOGLETRANSLATE(A1105,""en"", ""mt"")"),"In-naħa tal-punent ta 'Fresno hija ċ-ċentru ta' liema komunità etnika?")</f>
        <v>In-naħa tal-punent ta 'Fresno hija ċ-ċentru ta' liema komunità etnika?</v>
      </c>
    </row>
    <row r="1106" ht="15.75" customHeight="1">
      <c r="A1106" s="2" t="s">
        <v>1106</v>
      </c>
      <c r="B1106" s="2" t="str">
        <f>IFERROR(__xludf.DUMMYFUNCTION("GOOGLETRANSLATE(A1106,""en"", ""mt"")"),"L-ispejjeż żejda bi proġetti tal-gvern seħħew meta l-kuntrattur għamel xiex?")</f>
        <v>L-ispejjeż żejda bi proġetti tal-gvern seħħew meta l-kuntrattur għamel xiex?</v>
      </c>
    </row>
    <row r="1107" ht="15.75" customHeight="1">
      <c r="A1107" s="2" t="s">
        <v>1107</v>
      </c>
      <c r="B1107" s="2" t="str">
        <f>IFERROR(__xludf.DUMMYFUNCTION("GOOGLETRANSLATE(A1107,""en"", ""mt"")"),"Il-liġi konswetudinarja tan-Normandija ġiet żviluppata bejn is-sekli 10 u 13 u tibqa 'ħajja llum permezz tas-sistemi legali ta' Jersey u Guernsey fil-Channel Islands. Il-liġi konswetudinarja Norman ġiet traskritta f'żewġ drawwa bil-Latin minn żewġ imħallf"&amp;"in għall-użu minnhom u l-kollegi tagħhom: dawn huma t-Très Ancien Coumier (konswetudinarja antika ħafna), miktuba bejn l-1200 u l-1245; u l-Grand Coumier de Normandie (konswetudinarju kbir tan-Normandija, oriġinarjament Summa de Legibus Normanniae fil-Cur"&amp;"ia Laïcali), awturi bejn l-1235 u l-1245.")</f>
        <v>Il-liġi konswetudinarja tan-Normandija ġiet żviluppata bejn is-sekli 10 u 13 u tibqa 'ħajja llum permezz tas-sistemi legali ta' Jersey u Guernsey fil-Channel Islands. Il-liġi konswetudinarja Norman ġiet traskritta f'żewġ drawwa bil-Latin minn żewġ imħallfin għall-użu minnhom u l-kollegi tagħhom: dawn huma t-Très Ancien Coumier (konswetudinarja antika ħafna), miktuba bejn l-1200 u l-1245; u l-Grand Coumier de Normandie (konswetudinarju kbir tan-Normandija, oriġinarjament Summa de Legibus Normanniae fil-Curia Laïcali), awturi bejn l-1235 u l-1245.</v>
      </c>
    </row>
    <row r="1108" ht="15.75" customHeight="1">
      <c r="A1108" s="2" t="s">
        <v>1108</v>
      </c>
      <c r="B1108" s="2" t="str">
        <f>IFERROR(__xludf.DUMMYFUNCTION("GOOGLETRANSLATE(A1108,""en"", ""mt"")"),"miġbura fit-toroq")</f>
        <v>miġbura fit-toroq</v>
      </c>
    </row>
    <row r="1109" ht="15.75" customHeight="1">
      <c r="A1109" s="2" t="s">
        <v>1109</v>
      </c>
      <c r="B1109" s="2" t="str">
        <f>IFERROR(__xludf.DUMMYFUNCTION("GOOGLETRANSLATE(A1109,""en"", ""mt"")"),"Intbagħat sitt reġimenti lejn Franza Ġdida taħt il-kmand tal-Baruni Dieskau fl-1755.")</f>
        <v>Intbagħat sitt reġimenti lejn Franza Ġdida taħt il-kmand tal-Baruni Dieskau fl-1755.</v>
      </c>
    </row>
    <row r="1110" ht="15.75" customHeight="1">
      <c r="A1110" s="2" t="s">
        <v>1110</v>
      </c>
      <c r="B1110" s="2" t="str">
        <f>IFERROR(__xludf.DUMMYFUNCTION("GOOGLETRANSLATE(A1110,""en"", ""mt"")"),"X'tip ta 'oġġetti huma murija fil-Mużew ta' Esteve Pharmacy?")</f>
        <v>X'tip ta 'oġġetti huma murija fil-Mużew ta' Esteve Pharmacy?</v>
      </c>
    </row>
    <row r="1111" ht="15.75" customHeight="1">
      <c r="A1111" s="2" t="s">
        <v>1111</v>
      </c>
      <c r="B1111" s="2" t="str">
        <f>IFERROR(__xludf.DUMMYFUNCTION("GOOGLETRANSLATE(A1111,""en"", ""mt"")"),"Liema grupp ibbenefika mill-fondi mqassma mill-karità reliġjuża, Fondazzjoni Al-Haramain?")</f>
        <v>Liema grupp ibbenefika mill-fondi mqassma mill-karità reliġjuża, Fondazzjoni Al-Haramain?</v>
      </c>
    </row>
    <row r="1112" ht="15.75" customHeight="1">
      <c r="A1112" s="2" t="s">
        <v>1112</v>
      </c>
      <c r="B1112" s="2" t="str">
        <f>IFERROR(__xludf.DUMMYFUNCTION("GOOGLETRANSLATE(A1112,""en"", ""mt"")"),"Netwerk ta 'Komunikazzjonijiet tad-Dejta Internazzjonali")</f>
        <v>Netwerk ta 'Komunikazzjonijiet tad-Dejta Internazzjonali</v>
      </c>
    </row>
    <row r="1113" ht="15.75" customHeight="1">
      <c r="A1113" s="2" t="s">
        <v>1113</v>
      </c>
      <c r="B1113" s="2" t="str">
        <f>IFERROR(__xludf.DUMMYFUNCTION("GOOGLETRANSLATE(A1113,""en"", ""mt"")"),"Kompressar u Tkessiħ")</f>
        <v>Kompressar u Tkessiħ</v>
      </c>
    </row>
    <row r="1114" ht="15.75" customHeight="1">
      <c r="A1114" s="2" t="s">
        <v>1114</v>
      </c>
      <c r="B1114" s="2" t="str">
        <f>IFERROR(__xludf.DUMMYFUNCTION("GOOGLETRANSLATE(A1114,""en"", ""mt"")"),"Il-popolarità ta 'Jacksonville għall-films kisbet liema titlu?")</f>
        <v>Il-popolarità ta 'Jacksonville għall-films kisbet liema titlu?</v>
      </c>
    </row>
    <row r="1115" ht="15.75" customHeight="1">
      <c r="A1115" s="2" t="s">
        <v>1115</v>
      </c>
      <c r="B1115" s="2" t="str">
        <f>IFERROR(__xludf.DUMMYFUNCTION("GOOGLETRANSLATE(A1115,""en"", ""mt"")"),"Sala tal-Assemblea Ġenerali tal-Knisja tal-Iskozja")</f>
        <v>Sala tal-Assemblea Ġenerali tal-Knisja tal-Iskozja</v>
      </c>
    </row>
    <row r="1116" ht="15.75" customHeight="1">
      <c r="A1116" s="2" t="s">
        <v>1116</v>
      </c>
      <c r="B1116" s="2" t="str">
        <f>IFERROR(__xludf.DUMMYFUNCTION("GOOGLETRANSLATE(A1116,""en"", ""mt"")"),"Huguenot")</f>
        <v>Huguenot</v>
      </c>
    </row>
    <row r="1117" ht="15.75" customHeight="1">
      <c r="A1117" s="2" t="s">
        <v>1117</v>
      </c>
      <c r="B1117" s="2" t="str">
        <f>IFERROR(__xludf.DUMMYFUNCTION("GOOGLETRANSLATE(A1117,""en"", ""mt"")"),"Ix-xogħol tiegħu ġie ppubblikat l-ewwel")</f>
        <v>Ix-xogħol tiegħu ġie ppubblikat l-ewwel</v>
      </c>
    </row>
    <row r="1118" ht="15.75" customHeight="1">
      <c r="A1118" s="2" t="s">
        <v>1118</v>
      </c>
      <c r="B1118" s="2" t="str">
        <f>IFERROR(__xludf.DUMMYFUNCTION("GOOGLETRANSLATE(A1118,""en"", ""mt"")"),"Liema relay tal-qafas sostitwit u x.25")</f>
        <v>Liema relay tal-qafas sostitwit u x.25</v>
      </c>
    </row>
    <row r="1119" ht="15.75" customHeight="1">
      <c r="A1119" s="2" t="s">
        <v>1119</v>
      </c>
      <c r="B1119" s="2" t="str">
        <f>IFERROR(__xludf.DUMMYFUNCTION("GOOGLETRANSLATE(A1119,""en"", ""mt"")"),"Erba 'rġiel li jattendu l-Kulleġġ ta' Harvard għal kull mara li tistudja f'Radcliffe")</f>
        <v>Erba 'rġiel li jattendu l-Kulleġġ ta' Harvard għal kull mara li tistudja f'Radcliffe</v>
      </c>
    </row>
    <row r="1120" ht="15.75" customHeight="1">
      <c r="A1120" s="2" t="s">
        <v>1120</v>
      </c>
      <c r="B1120" s="2" t="str">
        <f>IFERROR(__xludf.DUMMYFUNCTION("GOOGLETRANSLATE(A1120,""en"", ""mt"")"),"qawwi")</f>
        <v>qawwi</v>
      </c>
    </row>
    <row r="1121" ht="15.75" customHeight="1">
      <c r="A1121" s="2" t="s">
        <v>1121</v>
      </c>
      <c r="B1121" s="2" t="str">
        <f>IFERROR(__xludf.DUMMYFUNCTION("GOOGLETRANSLATE(A1121,""en"", ""mt"")"),"Kompjuters ospitanti (servers) f'eluf ta 'kumpaniji kbar, istituzzjonijiet edukattivi, u aġenziji tal-gvern")</f>
        <v>Kompjuters ospitanti (servers) f'eluf ta 'kumpaniji kbar, istituzzjonijiet edukattivi, u aġenziji tal-gvern</v>
      </c>
    </row>
    <row r="1122" ht="15.75" customHeight="1">
      <c r="A1122" s="2" t="s">
        <v>1122</v>
      </c>
      <c r="B1122" s="2" t="str">
        <f>IFERROR(__xludf.DUMMYFUNCTION("GOOGLETRANSLATE(A1122,""en"", ""mt"")"),"skart ta 'riżorsi")</f>
        <v>skart ta 'riżorsi</v>
      </c>
    </row>
    <row r="1123" ht="15.75" customHeight="1">
      <c r="A1123" s="2" t="s">
        <v>1123</v>
      </c>
      <c r="B1123" s="2" t="str">
        <f>IFERROR(__xludf.DUMMYFUNCTION("GOOGLETRANSLATE(A1123,""en"", ""mt"")"),"30,000")</f>
        <v>30,000</v>
      </c>
    </row>
    <row r="1124" ht="15.75" customHeight="1">
      <c r="A1124" s="2" t="s">
        <v>1124</v>
      </c>
      <c r="B1124" s="2" t="str">
        <f>IFERROR(__xludf.DUMMYFUNCTION("GOOGLETRANSLATE(A1124,""en"", ""mt"")"),"parti ewlenija tas-sinsla tal-internet")</f>
        <v>parti ewlenija tas-sinsla tal-internet</v>
      </c>
    </row>
    <row r="1125" ht="15.75" customHeight="1">
      <c r="A1125" s="2" t="s">
        <v>1125</v>
      </c>
      <c r="B1125" s="2" t="str">
        <f>IFERROR(__xludf.DUMMYFUNCTION("GOOGLETRANSLATE(A1125,""en"", ""mt"")"),"it-test tal-primalità AKS")</f>
        <v>it-test tal-primalità AKS</v>
      </c>
    </row>
    <row r="1126" ht="15.75" customHeight="1">
      <c r="A1126" s="2" t="s">
        <v>1126</v>
      </c>
      <c r="B1126" s="2" t="str">
        <f>IFERROR(__xludf.DUMMYFUNCTION("GOOGLETRANSLATE(A1126,""en"", ""mt"")"),"Ġermanja")</f>
        <v>Ġermanja</v>
      </c>
    </row>
    <row r="1127" ht="15.75" customHeight="1">
      <c r="A1127" s="2" t="s">
        <v>1127</v>
      </c>
      <c r="B1127" s="2" t="str">
        <f>IFERROR(__xludf.DUMMYFUNCTION("GOOGLETRANSLATE(A1127,""en"", ""mt"")"),"miżżewġin barra l-komunitajiet Franċiżi immedjati tagħhom")</f>
        <v>miżżewġin barra l-komunitajiet Franċiżi immedjati tagħhom</v>
      </c>
    </row>
    <row r="1128" ht="15.75" customHeight="1">
      <c r="A1128" s="2" t="s">
        <v>1128</v>
      </c>
      <c r="B1128" s="2" t="str">
        <f>IFERROR(__xludf.DUMMYFUNCTION("GOOGLETRANSLATE(A1128,""en"", ""mt"")"),"Reviżjoni tar-Reġim tal-Medikazzjoni")</f>
        <v>Reviżjoni tar-Reġim tal-Medikazzjoni</v>
      </c>
    </row>
    <row r="1129" ht="15.75" customHeight="1">
      <c r="A1129" s="2" t="s">
        <v>1129</v>
      </c>
      <c r="B1129" s="2" t="str">
        <f>IFERROR(__xludf.DUMMYFUNCTION("GOOGLETRANSLATE(A1129,""en"", ""mt"")"),"X'karattru manjetiku għandu triplet O2?")</f>
        <v>X'karattru manjetiku għandu triplet O2?</v>
      </c>
    </row>
    <row r="1130" ht="15.75" customHeight="1">
      <c r="A1130" s="2" t="s">
        <v>1130</v>
      </c>
      <c r="B1130" s="2" t="str">
        <f>IFERROR(__xludf.DUMMYFUNCTION("GOOGLETRANSLATE(A1130,""en"", ""mt"")"),"Liema strutturi tal-proġett jgħinu lis-sid fl-integrazzjoni?")</f>
        <v>Liema strutturi tal-proġett jgħinu lis-sid fl-integrazzjoni?</v>
      </c>
    </row>
    <row r="1131" ht="15.75" customHeight="1">
      <c r="A1131" s="2" t="s">
        <v>1131</v>
      </c>
      <c r="B1131" s="2" t="str">
        <f>IFERROR(__xludf.DUMMYFUNCTION("GOOGLETRANSLATE(A1131,""en"", ""mt"")"),"Ir-revoka pprojbixxa s-Servizzi Protestanti, kien jeħtieġ edukazzjoni tat-tfal bħala Kattoliċi, u emigrat ipprojbit. Irriżulta diżastruż għall-Huguenots u jiswa ħafna flus għal Franza. Huwa ppreċipita t-tixrid tad-demm ċivili, il-kummerċ imħassar, u rriżu"&amp;"lta fit-titjira illegali mill-pajjiż ta 'mijiet ta' eluf ta 'protestanti, li ħafna minnhom saru intellettwali, tobba u mexxejja tan-negozju fil-Gran Brittanja kif ukoll l-Olanda, il-Prussja, u l-Afrika t'Isfel. Erbgħa elf emigraw lejn il-kolonji ta 'l-Ame"&amp;"rika ta' Fuq, fejn stabbilixxew fi New York u Virginia, speċjalment. L-Ingliżi laqgħu r-refuġjati Franċiżi, u pprovdew flus kemm mill-gvern kif ukoll mill-aġenziji privati ​​biex jgħinu r-rilokazzjoni tagħhom. Dawk il-Huguenots li qagħdu fi Franza saru Ka"&amp;"ttoliċi u kienu jissejħu ""konvertiti ġodda"".")</f>
        <v>Ir-revoka pprojbixxa s-Servizzi Protestanti, kien jeħtieġ edukazzjoni tat-tfal bħala Kattoliċi, u emigrat ipprojbit. Irriżulta diżastruż għall-Huguenots u jiswa ħafna flus għal Franza. Huwa ppreċipita t-tixrid tad-demm ċivili, il-kummerċ imħassar, u rriżulta fit-titjira illegali mill-pajjiż ta 'mijiet ta' eluf ta 'protestanti, li ħafna minnhom saru intellettwali, tobba u mexxejja tan-negozju fil-Gran Brittanja kif ukoll l-Olanda, il-Prussja, u l-Afrika t'Isfel. Erbgħa elf emigraw lejn il-kolonji ta 'l-Amerika ta' Fuq, fejn stabbilixxew fi New York u Virginia, speċjalment. L-Ingliżi laqgħu r-refuġjati Franċiżi, u pprovdew flus kemm mill-gvern kif ukoll mill-aġenziji privati ​​biex jgħinu r-rilokazzjoni tagħhom. Dawk il-Huguenots li qagħdu fi Franza saru Kattoliċi u kienu jissejħu "konvertiti ġodda".</v>
      </c>
    </row>
    <row r="1132" ht="15.75" customHeight="1">
      <c r="A1132" s="2" t="s">
        <v>1132</v>
      </c>
      <c r="B1132" s="2" t="str">
        <f>IFERROR(__xludf.DUMMYFUNCTION("GOOGLETRANSLATE(A1132,""en"", ""mt"")"),"Han Ċiniż, Khitans, Jurchens, Mongoli, u Buddisti Tibetani.")</f>
        <v>Han Ċiniż, Khitans, Jurchens, Mongoli, u Buddisti Tibetani.</v>
      </c>
    </row>
    <row r="1133" ht="15.75" customHeight="1">
      <c r="A1133" s="2" t="s">
        <v>1133</v>
      </c>
      <c r="B1133" s="2" t="str">
        <f>IFERROR(__xludf.DUMMYFUNCTION("GOOGLETRANSLATE(A1133,""en"", ""mt"")"),"Minbarra l-argumentazzjoni li l-popolazzjoni tal-firien ma kinitx biżżejjed biex tagħti kont ta 'pandemija tal-pesta bubonika, ix-xettiċi tat-teorija tal-pesta bubonika jindikaw li s-sintomi tal-mewt sewda mhumiex uniċi (u bla dubju f'xi kontijiet jistgħu"&amp;" jvarjaw mill-pesta bubonika); Dik it-trasferiment permezz ta 'briegħed fil-merkanzija x'aktarx li tkun ta' sinifikat marġinali; u li r-riżultati tad-DNA jistgħu jkunu difetti u forsi ma ġewx ripetuti x'imkien ieħor, minkejja kampjuni estensivi minn oqbra"&amp;" tal-massa oħra. Argumenti oħra jinkludu n-nuqqas ta ’kontijiet tal-mewt tal-firien qabel it-tifqigħ tal-pesta bejn is-sekli 14 u 17; temperaturi li huma kesħin wisq fl-Ewropa tat-Tramuntana għas-sopravivenza tal-briegħed; Dan, minkejja sistemi ta 'traspo"&amp;"rt primittivi, it-tixrid tal-mewt l-Iswed kien ferm aktar mgħaġġel minn dak tal-pesta bubonika moderna; Dik ir-rati ta 'mortalità tal-mewt l-Iswed jidhru li huma għoljin ħafna; Dan, filwaqt li l-pesta bubonika moderna hija fil-biċċa l-kbira endemika bħala"&amp;" marda rurali, il-Mewt l-Iswed laqtitha b'mod indiskriminat żoni urbani u rurali; u li x-xejra tal-mewt sewda, bi tifqigħat kbar fl-istess żoni separati minn 5 sa 15-il sena, hija differenti mill-pesta bubonika moderna - li ħafna drabi ssir endemika għal "&amp;"għexieren ta 'snin bi flare-ups annwali.")</f>
        <v>Minbarra l-argumentazzjoni li l-popolazzjoni tal-firien ma kinitx biżżejjed biex tagħti kont ta 'pandemija tal-pesta bubonika, ix-xettiċi tat-teorija tal-pesta bubonika jindikaw li s-sintomi tal-mewt sewda mhumiex uniċi (u bla dubju f'xi kontijiet jistgħu jvarjaw mill-pesta bubonika); Dik it-trasferiment permezz ta 'briegħed fil-merkanzija x'aktarx li tkun ta' sinifikat marġinali; u li r-riżultati tad-DNA jistgħu jkunu difetti u forsi ma ġewx ripetuti x'imkien ieħor, minkejja kampjuni estensivi minn oqbra tal-massa oħra. Argumenti oħra jinkludu n-nuqqas ta ’kontijiet tal-mewt tal-firien qabel it-tifqigħ tal-pesta bejn is-sekli 14 u 17; temperaturi li huma kesħin wisq fl-Ewropa tat-Tramuntana għas-sopravivenza tal-briegħed; Dan, minkejja sistemi ta 'trasport primittivi, it-tixrid tal-mewt l-Iswed kien ferm aktar mgħaġġel minn dak tal-pesta bubonika moderna; Dik ir-rati ta 'mortalità tal-mewt l-Iswed jidhru li huma għoljin ħafna; Dan, filwaqt li l-pesta bubonika moderna hija fil-biċċa l-kbira endemika bħala marda rurali, il-Mewt l-Iswed laqtitha b'mod indiskriminat żoni urbani u rurali; u li x-xejra tal-mewt sewda, bi tifqigħat kbar fl-istess żoni separati minn 5 sa 15-il sena, hija differenti mill-pesta bubonika moderna - li ħafna drabi ssir endemika għal għexieren ta 'snin bi flare-ups annwali.</v>
      </c>
    </row>
    <row r="1134" ht="15.75" customHeight="1">
      <c r="A1134" s="2" t="s">
        <v>1134</v>
      </c>
      <c r="B1134" s="2" t="str">
        <f>IFERROR(__xludf.DUMMYFUNCTION("GOOGLETRANSLATE(A1134,""en"", ""mt"")"),"Ħafna drabi r-regoli japplikaw għall-oġġetti kollha newtralment, iżda jista 'jkollhom effett prattiku akbar fuq l-importazzjonijiet minn prodotti domestiċi. Għal dawn il-Qorti tal-Ġustizzja ""indiretti"" (jew ""indistindament applikabbli"", il-Qorti tal-Ġ"&amp;"ustizzja żviluppat aktar ġustifikazzjonijiet: jew dawk fl-Artikolu 36, jew ħtiġijiet addizzjonali ""obbligatorji"" jew ""importanti"" bħall-protezzjoni tal-konsumatur, itejbu l-istandards tax-xogħol, il-ħarsien tal-istandards tax-xogħol Ambjent, diversità"&amp;" tal-istampa, ġustizzja fil-kummerċ, u aktar: il-kategoriji mhumiex magħluqa. Fil-każ l-iktar famuż Rewe-Zentral Ag V Bundesmonopol für Branntwein, il-Qorti tal-Ġustizzja sabet li liġi Ġermaniża li teħtieġ li l-ispirti u l-likuri kollha (mhux biss dawk im"&amp;"portati) ikollhom kontenut minimu ta 'alkoħol ta '25 fil-mija kien kuntrarju għall-Artikolu 34 tat-TFEU 34 , minħabba li kellha effett negattiv akbar fuq l-importazzjonijiet. Il-likuri Ġermaniżi kellhom aktar minn 25 fil-mija ta 'alkoħol, iżda Cassis de D"&amp;"ijon, li Rew-Zentrale Ag xtaq jimporta minn Franza, kellu biss 15 sa 20 fil-mija ta' alkoħol. Il-Qorti tal-Ġustizzja ċaħdet l-argumenti tal-gvern Ġermaniż li l-miżura protetta proporzjonalment is-saħħa pubblika taħt l-Artikolu 36 tat-TFEU, minħabba li x-x"&amp;"orb aktar qawwi kien disponibbli u t-tikkettar adegwat ikun biżżejjed biex il-konsumaturi jifhmu dak li xtraw. Din ir-regola tapplika primarjament għal rekwiżiti dwar il-kontenut jew l-imballaġġ ta 'prodott. Fil-Walter Rau Lebensmittelke v De Smedt Pvba, "&amp;"il-Qorti tal-Ġustizzja sabet li liġi Belġjana li teħtieġ li l-marġerina kollha tkun fil-pakketti tal-forma ta ’kubu li kisret l-Artikolu 34, u ma kinitx iġġustifikata mill-insegwiment tal-protezzjoni tal-konsumatur. L-argument li l-Belġjani kienu jemmnu l"&amp;"i kien butir kieku ma kienx iffurmat kubu kien sproporzjonat: ""jaqbeż konsiderevolment ir-rekwiżiti tal-oġġett fil-vista"" u l-ittikkettjar jipproteġi lill-konsumaturi ""daqstant effettivament"". F'każ ta 'l-2003, il-liġi Taljana tal-Kummissjoni v Italja"&amp;" kienet teħtieġ li l-prodotti tal-kawkaw li kienu jinkludu xaħmijiet veġetali oħra ma jistgħux jiġu ttikkettjati bħala ""ċikkulata"". Kellu jkun ""sostitut taċ-ċikkulata"". Iċ-ċikkulata kollha Taljana kienet magħmula mill-butir tal-kawkaw waħedha, iżda l-"&amp;"manifatturi Ingliżi, Daniżi u Irlandiżi użaw xaħmijiet veġetali oħra. Huma ddikjaraw li l-liġi kisret l-Artikolu 34. Il-Qorti tal-Ġustizzja ddeċidiet li kontenut baxx ta 'xaħam tal-ħaxix ma jiġġustifikax tikketta ""sostitut taċ-ċikkulata"". Dan kien derog"&amp;"atorju f'għajnejn il-konsumaturi. ""Dikjarazzjoni newtrali u oġġettiva"" kienet biżżejjed biex tipproteġi lill-konsumaturi. Jekk l-istati membri jpoġġu ostakli konsiderevoli dwar l-użu ta 'prodott, dan jista' jikser ukoll l-Artikolu 34. Allura, f'każ tal-"&amp;"2009, il-Kummissjoni v l-Italja, il-Qorti tal-Ġustizzja ddeċidiet li liġi Taljana li tipprojbixxi muturi jew mopeds li tiġbed karrijiet li kisret l-Artikolu 34. Għal darb'oħra, il-liġi applikat newtralment għal kulħadd, iżda affettwat b'mod sproporzjonat "&amp;"l-importaturi, minħabba li l-kumpaniji Taljani ma għamlux karrijiet. Din ma kinitx rekwiżit tal-prodott, iżda l-qorti rraġunaw li l-projbizzjoni tiskoraġġixxi lin-nies milli jixtruha: ikollha ""influwenza konsiderevoli fuq l-imġieba tal-konsumaturi"" li "&amp;"""taffettwa l-aċċess ta 'dak il-prodott għas-suq"". Teħtieġ ġustifikazzjoni skont l-Artikolu 36, jew bħala ħtieġa obbligatorja.")</f>
        <v>Ħafna drabi r-regoli japplikaw għall-oġġetti kollha newtralment, iżda jista 'jkollhom effett prattiku akbar fuq l-importazzjonijiet minn prodotti domestiċi. Għal dawn il-Qorti tal-Ġustizzja "indiretti" (jew "indistindament applikabbli", il-Qorti tal-Ġustizzja żviluppat aktar ġustifikazzjonijiet: jew dawk fl-Artikolu 36, jew ħtiġijiet addizzjonali "obbligatorji" jew "importanti" bħall-protezzjoni tal-konsumatur, itejbu l-istandards tax-xogħol, il-ħarsien tal-istandards tax-xogħol Ambjent, diversità tal-istampa, ġustizzja fil-kummerċ, u aktar: il-kategoriji mhumiex magħluqa. Fil-każ l-iktar famuż Rewe-Zentral Ag V Bundesmonopol für Branntwein, il-Qorti tal-Ġustizzja sabet li liġi Ġermaniża li teħtieġ li l-ispirti u l-likuri kollha (mhux biss dawk importati) ikollhom kontenut minimu ta 'alkoħol ta '25 fil-mija kien kuntrarju għall-Artikolu 34 tat-TFEU 34 , minħabba li kellha effett negattiv akbar fuq l-importazzjonijiet. Il-likuri Ġermaniżi kellhom aktar minn 25 fil-mija ta 'alkoħol, iżda Cassis de Dijon, li Rew-Zentrale Ag xtaq jimporta minn Franza, kellu biss 15 sa 20 fil-mija ta' alkoħol. Il-Qorti tal-Ġustizzja ċaħdet l-argumenti tal-gvern Ġermaniż li l-miżura protetta proporzjonalment is-saħħa pubblika taħt l-Artikolu 36 tat-TFEU, minħabba li x-xorb aktar qawwi kien disponibbli u t-tikkettar adegwat ikun biżżejjed biex il-konsumaturi jifhmu dak li xtraw. Din ir-regola tapplika primarjament għal rekwiżiti dwar il-kontenut jew l-imballaġġ ta 'prodott. Fil-Walter Rau Lebensmittelke v De Smedt Pvba, il-Qorti tal-Ġustizzja sabet li liġi Belġjana li teħtieġ li l-marġerina kollha tkun fil-pakketti tal-forma ta ’kubu li kisret l-Artikolu 34, u ma kinitx iġġustifikata mill-insegwiment tal-protezzjoni tal-konsumatur. L-argument li l-Belġjani kienu jemmnu li kien butir kieku ma kienx iffurmat kubu kien sproporzjonat: "jaqbeż konsiderevolment ir-rekwiżiti tal-oġġett fil-vista" u l-ittikkettjar jipproteġi lill-konsumaturi "daqstant effettivament". F'każ ta 'l-2003, il-liġi Taljana tal-Kummissjoni v Italja kienet teħtieġ li l-prodotti tal-kawkaw li kienu jinkludu xaħmijiet veġetali oħra ma jistgħux jiġu ttikkettjati bħala "ċikkulata". Kellu jkun "sostitut taċ-ċikkulata". Iċ-ċikkulata kollha Taljana kienet magħmula mill-butir tal-kawkaw waħedha, iżda l-manifatturi Ingliżi, Daniżi u Irlandiżi użaw xaħmijiet veġetali oħra. Huma ddikjaraw li l-liġi kisret l-Artikolu 34. Il-Qorti tal-Ġustizzja ddeċidiet li kontenut baxx ta 'xaħam tal-ħaxix ma jiġġustifikax tikketta "sostitut taċ-ċikkulata". Dan kien derogatorju f'għajnejn il-konsumaturi. "Dikjarazzjoni newtrali u oġġettiva" kienet biżżejjed biex tipproteġi lill-konsumaturi. Jekk l-istati membri jpoġġu ostakli konsiderevoli dwar l-użu ta 'prodott, dan jista' jikser ukoll l-Artikolu 34. Allura, f'każ tal-2009, il-Kummissjoni v l-Italja, il-Qorti tal-Ġustizzja ddeċidiet li liġi Taljana li tipprojbixxi muturi jew mopeds li tiġbed karrijiet li kisret l-Artikolu 34. Għal darb'oħra, il-liġi applikat newtralment għal kulħadd, iżda affettwat b'mod sproporzjonat l-importaturi, minħabba li l-kumpaniji Taljani ma għamlux karrijiet. Din ma kinitx rekwiżit tal-prodott, iżda l-qorti rraġunaw li l-projbizzjoni tiskoraġġixxi lin-nies milli jixtruha: ikollha "influwenza konsiderevoli fuq l-imġieba tal-konsumaturi" li "taffettwa l-aċċess ta 'dak il-prodott għas-suq". Teħtieġ ġustifikazzjoni skont l-Artikolu 36, jew bħala ħtieġa obbligatorja.</v>
      </c>
    </row>
    <row r="1135" ht="15.75" customHeight="1">
      <c r="A1135" s="2" t="s">
        <v>1135</v>
      </c>
      <c r="B1135" s="2" t="str">
        <f>IFERROR(__xludf.DUMMYFUNCTION("GOOGLETRANSLATE(A1135,""en"", ""mt"")"),"iżżid il-biċċa l-kbira tagħha u tnaqqas id-densità tagħha")</f>
        <v>iżżid il-biċċa l-kbira tagħha u tnaqqas id-densità tagħha</v>
      </c>
    </row>
    <row r="1136" ht="15.75" customHeight="1">
      <c r="A1136" s="2" t="s">
        <v>1136</v>
      </c>
      <c r="B1136" s="2" t="str">
        <f>IFERROR(__xludf.DUMMYFUNCTION("GOOGLETRANSLATE(A1136,""en"", ""mt"")"),"Dammed")</f>
        <v>Dammed</v>
      </c>
    </row>
    <row r="1137" ht="15.75" customHeight="1">
      <c r="A1137" s="2" t="s">
        <v>1137</v>
      </c>
      <c r="B1137" s="2" t="str">
        <f>IFERROR(__xludf.DUMMYFUNCTION("GOOGLETRANSLATE(A1137,""en"", ""mt"")"),"Liema jum tal-ġimgħa jseħħ il-ħin għar-riflessjoni?")</f>
        <v>Liema jum tal-ġimgħa jseħħ il-ħin għar-riflessjoni?</v>
      </c>
    </row>
    <row r="1138" ht="15.75" customHeight="1">
      <c r="A1138" s="2" t="s">
        <v>1138</v>
      </c>
      <c r="B1138" s="2" t="str">
        <f>IFERROR(__xludf.DUMMYFUNCTION("GOOGLETRANSLATE(A1138,""en"", ""mt"")"),"Fl-1781 James Watt brevettat magna tal-fwar li pproduċiet moviment li jdur kontinwu. Il-magni ta 'għaxar horsepower ta' Watt ippermettew firxa wiesgħa ta 'makkinarju tal-manifattura. Il-magni jistgħu jinstabu kullimkien li l-ilma u l-faħam jew fjuwil tal-"&amp;"injam jistgħu jinkisbu. Sal-1883, magni li setgħu jipprovdu 10,000 hp kienu fattibbli. Il-magna tal-fwar wieqfa kienet komponent ewlieni tar-rivoluzzjoni industrijali, li ppermettiet lill-fabbriki biex jinstabu fejn l-enerġija tal-ilma ma kinitx disponibb"&amp;"li. Il-magni atmosferiċi ta 'Newcomen u Watt kienu kbar meta mqabbla ma' l-ammont ta 'enerġija li pproduċew, iżda magni tal-fwar bi pressjoni għolja kienu ħfief biżżejjed biex jiġu applikati għal vetturi bħal magni tat-trazzjoni u l-lokomottivi tal-ferrov"&amp;"ija.")</f>
        <v>Fl-1781 James Watt brevettat magna tal-fwar li pproduċiet moviment li jdur kontinwu. Il-magni ta 'għaxar horsepower ta' Watt ippermettew firxa wiesgħa ta 'makkinarju tal-manifattura. Il-magni jistgħu jinstabu kullimkien li l-ilma u l-faħam jew fjuwil tal-injam jistgħu jinkisbu. Sal-1883, magni li setgħu jipprovdu 10,000 hp kienu fattibbli. Il-magna tal-fwar wieqfa kienet komponent ewlieni tar-rivoluzzjoni industrijali, li ppermettiet lill-fabbriki biex jinstabu fejn l-enerġija tal-ilma ma kinitx disponibbli. Il-magni atmosferiċi ta 'Newcomen u Watt kienu kbar meta mqabbla ma' l-ammont ta 'enerġija li pproduċew, iżda magni tal-fwar bi pressjoni għolja kienu ħfief biżżejjed biex jiġu applikati għal vetturi bħal magni tat-trazzjoni u l-lokomottivi tal-ferrovija.</v>
      </c>
    </row>
    <row r="1139" ht="15.75" customHeight="1">
      <c r="A1139" s="2" t="s">
        <v>1139</v>
      </c>
      <c r="B1139" s="2" t="str">
        <f>IFERROR(__xludf.DUMMYFUNCTION("GOOGLETRANSLATE(A1139,""en"", ""mt"")"),"Id-diżubbidjenza ċivili hija ġustifikata biss kontra entitajiet governattivi")</f>
        <v>Id-diżubbidjenza ċivili hija ġustifikata biss kontra entitajiet governattivi</v>
      </c>
    </row>
    <row r="1140" ht="15.75" customHeight="1">
      <c r="A1140" s="2" t="s">
        <v>1140</v>
      </c>
      <c r="B1140" s="2" t="str">
        <f>IFERROR(__xludf.DUMMYFUNCTION("GOOGLETRANSLATE(A1140,""en"", ""mt"")"),"Minbarra L.A. Liema kontea oħra jagħmlu ħafna nies jibdlu?")</f>
        <v>Minbarra L.A. Liema kontea oħra jagħmlu ħafna nies jibdlu?</v>
      </c>
    </row>
    <row r="1141" ht="15.75" customHeight="1">
      <c r="A1141" s="2" t="s">
        <v>1141</v>
      </c>
      <c r="B1141" s="2" t="str">
        <f>IFERROR(__xludf.DUMMYFUNCTION("GOOGLETRANSLATE(A1141,""en"", ""mt"")"),"Disinn-Build, Sħubija u Ġestjoni tal-Kostruzzjoni")</f>
        <v>Disinn-Build, Sħubija u Ġestjoni tal-Kostruzzjoni</v>
      </c>
    </row>
    <row r="1142" ht="15.75" customHeight="1">
      <c r="A1142" s="2" t="s">
        <v>1142</v>
      </c>
      <c r="B1142" s="2" t="str">
        <f>IFERROR(__xludf.DUMMYFUNCTION("GOOGLETRANSLATE(A1142,""en"", ""mt"")"),"Iffissat")</f>
        <v>Iffissat</v>
      </c>
    </row>
    <row r="1143" ht="15.75" customHeight="1">
      <c r="A1143" s="2" t="s">
        <v>1143</v>
      </c>
      <c r="B1143" s="2" t="str">
        <f>IFERROR(__xludf.DUMMYFUNCTION("GOOGLETRANSLATE(A1143,""en"", ""mt"")"),"Ghost of Le Roi Huguet")</f>
        <v>Ghost of Le Roi Huguet</v>
      </c>
    </row>
    <row r="1144" ht="15.75" customHeight="1">
      <c r="A1144" s="2" t="s">
        <v>1144</v>
      </c>
      <c r="B1144" s="2" t="str">
        <f>IFERROR(__xludf.DUMMYFUNCTION("GOOGLETRANSLATE(A1144,""en"", ""mt"")"),"biex jagħmlu ċerti liġijiet ineffettivi, li jikkawżaw ir-revoka tagħhom, jew li jagħmlu pressjoni biex jiksbu x-xewqat politiċi ta 'wieħed fuq xi kwistjoni oħra")</f>
        <v>biex jagħmlu ċerti liġijiet ineffettivi, li jikkawżaw ir-revoka tagħhom, jew li jagħmlu pressjoni biex jiksbu x-xewqat politiċi ta 'wieħed fuq xi kwistjoni oħra</v>
      </c>
    </row>
    <row r="1145" ht="15.75" customHeight="1">
      <c r="A1145" s="2" t="s">
        <v>1145</v>
      </c>
      <c r="B1145" s="2" t="str">
        <f>IFERROR(__xludf.DUMMYFUNCTION("GOOGLETRANSLATE(A1145,""en"", ""mt"")"),"X'inhu jikser liġi li mhix l-għan tal-protesta msejħa?")</f>
        <v>X'inhu jikser liġi li mhix l-għan tal-protesta msejħa?</v>
      </c>
    </row>
    <row r="1146" ht="15.75" customHeight="1">
      <c r="A1146" s="2" t="s">
        <v>1146</v>
      </c>
      <c r="B1146" s="2" t="str">
        <f>IFERROR(__xludf.DUMMYFUNCTION("GOOGLETRANSLATE(A1146,""en"", ""mt"")"),"Kif jiġu peżati l-voti biex jiżguraw li stati iżgħar ma jkunux iddominati minn dawk ikbar?")</f>
        <v>Kif jiġu peżati l-voti biex jiżguraw li stati iżgħar ma jkunux iddominati minn dawk ikbar?</v>
      </c>
    </row>
    <row r="1147" ht="15.75" customHeight="1">
      <c r="A1147" s="2" t="s">
        <v>1147</v>
      </c>
      <c r="B1147" s="2" t="str">
        <f>IFERROR(__xludf.DUMMYFUNCTION("GOOGLETRANSLATE(A1147,""en"", ""mt"")"),"Hekk kif it-territorji indiġeni jibqgħu jinqerdu mid-deforestazzjoni u l-ekokokide, bħal fil-komunitajiet tal-foresti tal-foresti tal-popli indiġeni Peruvjani jibqgħu jisparixxu, filwaqt li oħrajn, bħall-Urarina jibqgħu jissieltu biex jiġġieldu għas-sopra"&amp;"vivenza kulturali tagħhom u d-destin tat-territorji forestati tagħhom. Sadanittant, ir-relazzjoni bejn il-primati mhux umani fis-sussistenza u s-simboliżmu tal-popli tal-Amerika t'Isfel Indiġeni kisbet attenzjoni akbar, bħalma għamlu l-isforzi tal-etno-bi"&amp;"joloġija u l-isforzi ta 'konservazzjoni bbażati fil-komunità.")</f>
        <v>Hekk kif it-territorji indiġeni jibqgħu jinqerdu mid-deforestazzjoni u l-ekokokide, bħal fil-komunitajiet tal-foresti tal-foresti tal-popli indiġeni Peruvjani jibqgħu jisparixxu, filwaqt li oħrajn, bħall-Urarina jibqgħu jissieltu biex jiġġieldu għas-sopravivenza kulturali tagħhom u d-destin tat-territorji forestati tagħhom. Sadanittant, ir-relazzjoni bejn il-primati mhux umani fis-sussistenza u s-simboliżmu tal-popli tal-Amerika t'Isfel Indiġeni kisbet attenzjoni akbar, bħalma għamlu l-isforzi tal-etno-bijoloġija u l-isforzi ta 'konservazzjoni bbażati fil-komunità.</v>
      </c>
    </row>
    <row r="1148" ht="15.75" customHeight="1">
      <c r="A1148" s="2" t="s">
        <v>1148</v>
      </c>
      <c r="B1148" s="2" t="str">
        <f>IFERROR(__xludf.DUMMYFUNCTION("GOOGLETRANSLATE(A1148,""en"", ""mt"")"),"X'kienet l-iktar skoperta importanti li wasslet għall-fehim li l-litosfera tad-Dinja hija separata fi pjanċi tettoniċi?")</f>
        <v>X'kienet l-iktar skoperta importanti li wasslet għall-fehim li l-litosfera tad-Dinja hija separata fi pjanċi tettoniċi?</v>
      </c>
    </row>
    <row r="1149" ht="15.75" customHeight="1">
      <c r="A1149" s="2" t="s">
        <v>1149</v>
      </c>
      <c r="B1149" s="2" t="str">
        <f>IFERROR(__xludf.DUMMYFUNCTION("GOOGLETRANSLATE(A1149,""en"", ""mt"")"),"Naddafhom")</f>
        <v>Naddafhom</v>
      </c>
    </row>
    <row r="1150" ht="15.75" customHeight="1">
      <c r="A1150" s="2" t="s">
        <v>1150</v>
      </c>
      <c r="B1150" s="2" t="str">
        <f>IFERROR(__xludf.DUMMYFUNCTION("GOOGLETRANSLATE(A1150,""en"", ""mt"")"),"Kif se javviċina l-kapaċitajiet jilħaq l-għan tiegħu?")</f>
        <v>Kif se javviċina l-kapaċitajiet jilħaq l-għan tiegħu?</v>
      </c>
    </row>
    <row r="1151" ht="15.75" customHeight="1">
      <c r="A1151" s="2" t="s">
        <v>1151</v>
      </c>
      <c r="B1151" s="2" t="str">
        <f>IFERROR(__xludf.DUMMYFUNCTION("GOOGLETRANSLATE(A1151,""en"", ""mt"")"),"X'inhu t-terminu għan-nuqqas ta 'quarks ħielsa li josservaw?")</f>
        <v>X'inhu t-terminu għan-nuqqas ta 'quarks ħielsa li josservaw?</v>
      </c>
    </row>
    <row r="1152" ht="15.75" customHeight="1">
      <c r="A1152" s="2" t="s">
        <v>1152</v>
      </c>
      <c r="B1152" s="2" t="str">
        <f>IFERROR(__xludf.DUMMYFUNCTION("GOOGLETRANSLATE(A1152,""en"", ""mt"")"),"X'jista 'jiġġustifika restrizzjonijiet fuq il-libertà tal-istabbiliment?")</f>
        <v>X'jista 'jiġġustifika restrizzjonijiet fuq il-libertà tal-istabbiliment?</v>
      </c>
    </row>
    <row r="1153" ht="15.75" customHeight="1">
      <c r="A1153" s="2" t="s">
        <v>1153</v>
      </c>
      <c r="B1153" s="2" t="str">
        <f>IFERROR(__xludf.DUMMYFUNCTION("GOOGLETRANSLATE(A1153,""en"", ""mt"")"),"Ippjana l-proċeduri fiżiċi, u tintegra dawk il-proċeduri mal-partijiet l-oħra")</f>
        <v>Ippjana l-proċeduri fiżiċi, u tintegra dawk il-proċeduri mal-partijiet l-oħra</v>
      </c>
    </row>
    <row r="1154" ht="15.75" customHeight="1">
      <c r="A1154" s="2" t="s">
        <v>1154</v>
      </c>
      <c r="B1154" s="2" t="str">
        <f>IFERROR(__xludf.DUMMYFUNCTION("GOOGLETRANSLATE(A1154,""en"", ""mt"")"),"karozza")</f>
        <v>karozza</v>
      </c>
    </row>
    <row r="1155" ht="15.75" customHeight="1">
      <c r="A1155" s="2" t="s">
        <v>1155</v>
      </c>
      <c r="B1155" s="2" t="str">
        <f>IFERROR(__xludf.DUMMYFUNCTION("GOOGLETRANSLATE(A1155,""en"", ""mt"")"),"L-ispettaklu globu")</f>
        <v>L-ispettaklu globu</v>
      </c>
    </row>
    <row r="1156" ht="15.75" customHeight="1">
      <c r="A1156" s="2" t="s">
        <v>1156</v>
      </c>
      <c r="B1156" s="2" t="str">
        <f>IFERROR(__xludf.DUMMYFUNCTION("GOOGLETRANSLATE(A1156,""en"", ""mt"")"),"Moviment Iżlamista influwenzat mis-Salafiżmu u l-jihad fl-Afganistan, kif ukoll il-Fratellanza Musulmana, kien il-FIS jew il-Front Islamique de Salut (il-Front tas-Salvazzjoni Iżlamika) fl-Alġerija. Imwaqqfa bħala koalizzjoni wiesgħa Iżlamista fl-1989 kie"&amp;"net immexxija minn Abbassi Madani, u predikatur żagħżugħ Iżlamista kariżmatiku, Ali Belhadj. Meta ħa vantaġġ minn insuffiċjenza ekonomika u l-liberalizzazzjoni soċjali mhux popolari u s-sekularizzazzjoni mill-gvern tal-FLN tax-xellug-nazzjonalista, huwa u"&amp;"ża l-predikazzjoni tiegħu biex jippromwovi l-istabbiliment ta 'sistema legali wara l-liġi tax-sharia, il-programm ta' liberalizzazzjoni ekonomika u żvilupp, edukazzjoni, edukazzjoni bl-Għarbi aktar milli bil-Franċiż, u Segregazzjoni bejn is-sessi, bin-nis"&amp;"a joqogħdu d-dar biex itaffu r-rata għolja ta 'qgħad fost irġiel żgħażagħ Alġerini. L-FIS rebaħ rebħiet ta 'knis fl-elezzjonijiet lokali u kienet se tirbaħ l-elezzjonijiet nazzjonali fl-1991 meta l-votazzjoni ġiet ikkanċellata minn kolp ta' stat militari.")</f>
        <v>Moviment Iżlamista influwenzat mis-Salafiżmu u l-jihad fl-Afganistan, kif ukoll il-Fratellanza Musulmana, kien il-FIS jew il-Front Islamique de Salut (il-Front tas-Salvazzjoni Iżlamika) fl-Alġerija. Imwaqqfa bħala koalizzjoni wiesgħa Iżlamista fl-1989 kienet immexxija minn Abbassi Madani, u predikatur żagħżugħ Iżlamista kariżmatiku, Ali Belhadj. Meta ħa vantaġġ minn insuffiċjenza ekonomika u l-liberalizzazzjoni soċjali mhux popolari u s-sekularizzazzjoni mill-gvern tal-FLN tax-xellug-nazzjonalista, huwa uża l-predikazzjoni tiegħu biex jippromwovi l-istabbiliment ta 'sistema legali wara l-liġi tax-sharia, il-programm ta' liberalizzazzjoni ekonomika u żvilupp, edukazzjoni, edukazzjoni bl-Għarbi aktar milli bil-Franċiż, u Segregazzjoni bejn is-sessi, bin-nisa joqogħdu d-dar biex itaffu r-rata għolja ta 'qgħad fost irġiel żgħażagħ Alġerini. L-FIS rebaħ rebħiet ta 'knis fl-elezzjonijiet lokali u kienet se tirbaħ l-elezzjonijiet nazzjonali fl-1991 meta l-votazzjoni ġiet ikkanċellata minn kolp ta' stat militari.</v>
      </c>
    </row>
    <row r="1157" ht="15.75" customHeight="1">
      <c r="A1157" s="2" t="s">
        <v>1157</v>
      </c>
      <c r="B1157" s="2" t="str">
        <f>IFERROR(__xludf.DUMMYFUNCTION("GOOGLETRANSLATE(A1157,""en"", ""mt"")"),"Tpinġi r-relazzjoni bejn il-livell ta 'dħul u l-inugwaljanza, il-Kuznets raw l-ekonomiji ta' dħul medju li qed jiżviluppaw il-livell ta 'inugwaljanza li joħroġ biex jifforma dak li issa huwa magħruf bħala l-kurva tal-Kuznets. Kuznets urew din ir-relazzjon"&amp;"i bl-użu ta 'dejta trasversali. Madankollu, ittestjar aktar reċenti ta 'din it-teorija b'data ta' pannell superjuri wera li huwa dgħajjef ħafna. Il-kurva ta 'Kuznets tbassar li l-inugwaljanza fid-dħul eventwalment tonqos il-ħin. Bħala eżempju, l-inugwalja"&amp;"nza fid-dħul waqgħet fl-Istati Uniti matul il-moviment tal-iskola għolja tagħha mill-1910 sal-1940 u wara. [Ċitazzjoni meħtieġa] Madankollu, dejta riċenti turi li l-livell ta 'inugwaljanza fid-dħul beda jiżdied wara s-snin sebgħin. Dan mhux neċessarjament"&amp;" jikkontesta t-teorija tal-Kuznets. [Ċitazzjoni meħtieġa] Jista 'jkun possibbli li ċiklu ta' Kuznets ieħor iseħħ, speċifikament il-moviment mis-settur tal-manifattura għas-settur tas-servizz. [Ċitazzjoni meħtieġa] Dan jimplika li jista 'jkun possibbli għa"&amp;"l multiplu Iċ-ċikli tal-Kuznets għandhom ikunu fis-seħħ fi kwalunkwe ħin.")</f>
        <v>Tpinġi r-relazzjoni bejn il-livell ta 'dħul u l-inugwaljanza, il-Kuznets raw l-ekonomiji ta' dħul medju li qed jiżviluppaw il-livell ta 'inugwaljanza li joħroġ biex jifforma dak li issa huwa magħruf bħala l-kurva tal-Kuznets. Kuznets urew din ir-relazzjoni bl-użu ta 'dejta trasversali. Madankollu, ittestjar aktar reċenti ta 'din it-teorija b'data ta' pannell superjuri wera li huwa dgħajjef ħafna. Il-kurva ta 'Kuznets tbassar li l-inugwaljanza fid-dħul eventwalment tonqos il-ħin. Bħala eżempju, l-inugwaljanza fid-dħul waqgħet fl-Istati Uniti matul il-moviment tal-iskola għolja tagħha mill-1910 sal-1940 u wara. [Ċitazzjoni meħtieġa] Madankollu, dejta riċenti turi li l-livell ta 'inugwaljanza fid-dħul beda jiżdied wara s-snin sebgħin. Dan mhux neċessarjament jikkontesta t-teorija tal-Kuznets. [Ċitazzjoni meħtieġa] Jista 'jkun possibbli li ċiklu ta' Kuznets ieħor iseħħ, speċifikament il-moviment mis-settur tal-manifattura għas-settur tas-servizz. [Ċitazzjoni meħtieġa] Dan jimplika li jista 'jkun possibbli għal multiplu Iċ-ċikli tal-Kuznets għandhom ikunu fis-seħħ fi kwalunkwe ħin.</v>
      </c>
    </row>
    <row r="1158" ht="15.75" customHeight="1">
      <c r="A1158" s="2" t="s">
        <v>1158</v>
      </c>
      <c r="B1158" s="2" t="str">
        <f>IFERROR(__xludf.DUMMYFUNCTION("GOOGLETRANSLATE(A1158,""en"", ""mt"")"),"Imneħħi f'Kondensatur")</f>
        <v>Imneħħi f'Kondensatur</v>
      </c>
    </row>
    <row r="1159" ht="15.75" customHeight="1">
      <c r="A1159" s="2" t="s">
        <v>1159</v>
      </c>
      <c r="B1159" s="2" t="str">
        <f>IFERROR(__xludf.DUMMYFUNCTION("GOOGLETRANSLATE(A1159,""en"", ""mt"")"),"Il-Kunsill Reġjonali ta 'Strathclyde Ex-Diskussjoni tal-Kamra fi Glasgow")</f>
        <v>Il-Kunsill Reġjonali ta 'Strathclyde Ex-Diskussjoni tal-Kamra fi Glasgow</v>
      </c>
    </row>
    <row r="1160" ht="15.75" customHeight="1">
      <c r="A1160" s="2" t="s">
        <v>1160</v>
      </c>
      <c r="B1160" s="2" t="str">
        <f>IFERROR(__xludf.DUMMYFUNCTION("GOOGLETRANSLATE(A1160,""en"", ""mt"")"),"Duke Kent-Brown")</f>
        <v>Duke Kent-Brown</v>
      </c>
    </row>
    <row r="1161" ht="15.75" customHeight="1">
      <c r="A1161" s="2" t="s">
        <v>1161</v>
      </c>
      <c r="B1161" s="2" t="str">
        <f>IFERROR(__xludf.DUMMYFUNCTION("GOOGLETRANSLATE(A1161,""en"", ""mt"")"),"X'għandhom l-esperjenza ta 'Astronaughts waqt li tkun free-waqgħa?")</f>
        <v>X'għandhom l-esperjenza ta 'Astronaughts waqt li tkun free-waqgħa?</v>
      </c>
    </row>
    <row r="1162" ht="15.75" customHeight="1">
      <c r="A1162" s="2" t="s">
        <v>1162</v>
      </c>
      <c r="B1162" s="2" t="str">
        <f>IFERROR(__xludf.DUMMYFUNCTION("GOOGLETRANSLATE(A1162,""en"", ""mt"")"),"Xi jfisser il-Mużew tal-Art Fogg?")</f>
        <v>Xi jfisser il-Mużew tal-Art Fogg?</v>
      </c>
    </row>
    <row r="1163" ht="15.75" customHeight="1">
      <c r="A1163" s="2" t="s">
        <v>1163</v>
      </c>
      <c r="B1163" s="2" t="str">
        <f>IFERROR(__xludf.DUMMYFUNCTION("GOOGLETRANSLATE(A1163,""en"", ""mt"")"),"Iżlamisti moderati u riformisti li jaċċettaw u jaħdmu fil-proċess demokratiku jinkludu partijiet bħall-moviment Tuneżin Ennahda. Il-Jamaat-e-Islami tal-Pakistan huwa bażikament partit soċjo-politiku u Demokratiku Vanguard iżda kiseb ukoll influwenza polit"&amp;"ika permezz ta 'kolp ta' stat militari fil-passat. Il-gruppi Iżlamisti bħal Hezbollah fil-Libanu u l-Ħamas fil-Palestina jipparteċipaw fil-proċess demokratiku u politiku kif ukoll attakki armati, li jfittxu li jabolixxu l-istat ta ’Iżrael. Organizzazzjoni"&amp;"jiet Iżlamiċi radikali bħal Al-Qaeda u l-Ġiħad Iżlamiku Eġizzjan, u gruppi bħat-Taliban, jirrifjutaw kompletament id-demokrazija, li spiss jiddikjaraw bħala kuffar dawk il-Musulmani li jappoġġjawha (ara t-takfirizmu), kif ukoll jitolbu għal jihad vjolenti"&amp;" / offensiv jew li jħeġġeġ twettaq attakki fuq bażi reliġjuża.")</f>
        <v>Iżlamisti moderati u riformisti li jaċċettaw u jaħdmu fil-proċess demokratiku jinkludu partijiet bħall-moviment Tuneżin Ennahda. Il-Jamaat-e-Islami tal-Pakistan huwa bażikament partit soċjo-politiku u Demokratiku Vanguard iżda kiseb ukoll influwenza politika permezz ta 'kolp ta' stat militari fil-passat. Il-gruppi Iżlamisti bħal Hezbollah fil-Libanu u l-Ħamas fil-Palestina jipparteċipaw fil-proċess demokratiku u politiku kif ukoll attakki armati, li jfittxu li jabolixxu l-istat ta ’Iżrael. Organizzazzjonijiet Iżlamiċi radikali bħal Al-Qaeda u l-Ġiħad Iżlamiku Eġizzjan, u gruppi bħat-Taliban, jirrifjutaw kompletament id-demokrazija, li spiss jiddikjaraw bħala kuffar dawk il-Musulmani li jappoġġjawha (ara t-takfirizmu), kif ukoll jitolbu għal jihad vjolenti / offensiv jew li jħeġġeġ twettaq attakki fuq bażi reliġjuża.</v>
      </c>
    </row>
    <row r="1164" ht="15.75" customHeight="1">
      <c r="A1164" s="2" t="s">
        <v>1164</v>
      </c>
      <c r="B1164" s="2" t="str">
        <f>IFERROR(__xludf.DUMMYFUNCTION("GOOGLETRANSLATE(A1164,""en"", ""mt"")"),"L-industrija taċ-ċinema, it-televiżjoni u l-mużika hija ċċentrata fuq il-Los Angeles fin-Nofsinhar ta ’California. Hollywood, distrett fi ħdan Los Angeles, huwa wkoll isem assoċjat mal-industrija tal-istampi taċ-ċinema. Bil-kwartjieri ġenerali fin-Nofsinh"&amp;"ar tal-Kalifornja huma l-Walt Disney Company (li hija wkoll il-proprjetarja ABC), Sony Pictures, Universal, MGM, Paramount Pictures, 20th Century Fox, u Warner Brothers. Universal, Warner Brothers, u Sony jmexxu wkoll kumpaniji tad-diski ewlenin ukoll.")</f>
        <v>L-industrija taċ-ċinema, it-televiżjoni u l-mużika hija ċċentrata fuq il-Los Angeles fin-Nofsinhar ta ’California. Hollywood, distrett fi ħdan Los Angeles, huwa wkoll isem assoċjat mal-industrija tal-istampi taċ-ċinema. Bil-kwartjieri ġenerali fin-Nofsinhar tal-Kalifornja huma l-Walt Disney Company (li hija wkoll il-proprjetarja ABC), Sony Pictures, Universal, MGM, Paramount Pictures, 20th Century Fox, u Warner Brothers. Universal, Warner Brothers, u Sony jmexxu wkoll kumpaniji tad-diski ewlenin ukoll.</v>
      </c>
    </row>
    <row r="1165" ht="15.75" customHeight="1">
      <c r="A1165" s="2" t="s">
        <v>1165</v>
      </c>
      <c r="B1165" s="2" t="str">
        <f>IFERROR(__xludf.DUMMYFUNCTION("GOOGLETRANSLATE(A1165,""en"", ""mt"")"),"iddur bilanċ")</f>
        <v>iddur bilanċ</v>
      </c>
    </row>
    <row r="1166" ht="15.75" customHeight="1">
      <c r="A1166" s="2" t="s">
        <v>1166</v>
      </c>
      <c r="B1166" s="2" t="str">
        <f>IFERROR(__xludf.DUMMYFUNCTION("GOOGLETRANSLATE(A1166,""en"", ""mt"")"),"Tim ta 'disinn formali jista' jkun immuntat biex jagħmel xiex?")</f>
        <v>Tim ta 'disinn formali jista' jkun immuntat biex jagħmel xiex?</v>
      </c>
    </row>
    <row r="1167" ht="15.75" customHeight="1">
      <c r="A1167" s="2" t="s">
        <v>1167</v>
      </c>
      <c r="B1167" s="2" t="str">
        <f>IFERROR(__xludf.DUMMYFUNCTION("GOOGLETRANSLATE(A1167,""en"", ""mt"")"),"Esperimenti fiżiċi tal-pressjoni")</f>
        <v>Esperimenti fiżiċi tal-pressjoni</v>
      </c>
    </row>
    <row r="1168" ht="15.75" customHeight="1">
      <c r="A1168" s="2" t="s">
        <v>1168</v>
      </c>
      <c r="B1168" s="2" t="str">
        <f>IFERROR(__xludf.DUMMYFUNCTION("GOOGLETRANSLATE(A1168,""en"", ""mt"")"),"ħin u memorja")</f>
        <v>ħin u memorja</v>
      </c>
    </row>
    <row r="1169" ht="15.75" customHeight="1">
      <c r="A1169" s="2" t="s">
        <v>1169</v>
      </c>
      <c r="B1169" s="2" t="str">
        <f>IFERROR(__xludf.DUMMYFUNCTION("GOOGLETRANSLATE(A1169,""en"", ""mt"")"),"Sebgħa")</f>
        <v>Sebgħa</v>
      </c>
    </row>
    <row r="1170" ht="15.75" customHeight="1">
      <c r="A1170" s="2" t="s">
        <v>1170</v>
      </c>
      <c r="B1170" s="2" t="str">
        <f>IFERROR(__xludf.DUMMYFUNCTION("GOOGLETRANSLATE(A1170,""en"", ""mt"")"),"Emissjonijiet ta 'gass serra")</f>
        <v>Emissjonijiet ta 'gass serra</v>
      </c>
    </row>
    <row r="1171" ht="15.75" customHeight="1">
      <c r="A1171" s="2" t="s">
        <v>1171</v>
      </c>
      <c r="B1171" s="2" t="str">
        <f>IFERROR(__xludf.DUMMYFUNCTION("GOOGLETRANSLATE(A1171,""en"", ""mt"")"),"Minħabba li baqa 'ħaj minn bosta gwerer, kunflitti u invażjonijiet matul l-istorja twila tiegħu")</f>
        <v>Minħabba li baqa 'ħaj minn bosta gwerer, kunflitti u invażjonijiet matul l-istorja twila tiegħu</v>
      </c>
    </row>
    <row r="1172" ht="15.75" customHeight="1">
      <c r="A1172" s="2" t="s">
        <v>1172</v>
      </c>
      <c r="B1172" s="2" t="str">
        <f>IFERROR(__xludf.DUMMYFUNCTION("GOOGLETRANSLATE(A1172,""en"", ""mt"")"),"L-arkitettura Gotika hija rrappreżentata fil-knejjes maestużi iżda wkoll fid-djar u l-fortifikazzjonijiet tal-burgher. L-iktar bini sinifikanti huma l-Katidral ta ’San Ġwann (seklu 14), it-tempju huwa eżempju tipiku tal-hekk imsejħa stil Gotiku Masovjan, "&amp;"Santa Marija tal-Knisja (1411), dar tal-belt tal-familja Burbach (seklu 14), Gunpowder Tower (wara l-1379) u r-Royal Castle Curia Maior (1407-1410). L-iktar eżempji notevoli ta 'arkitettura ta' Rinaxximent fil-belt huma l-familja merkantili tad-dar ta 'Ba"&amp;"ryczko (1562), bini msejjaħ ""in-negro"" (seklu 17 kmieni) u l-fond ta' Salwator (1632). L-iktar eżempji interessanti ta 'arkitettura ta' manjerista huma l-Kastell Irjali (1596-1619) u l-Knisja tal-Ġiżwiti (1609-1626) fil-Belt il-Qadima. Fost l-ewwel stru"&amp;"tturi tal-Barokk bikri l-iktar importanti huma l-Knisja ta ’San Ġjaċint (1603-1639) u l-kolonna ta’ Sigismund (1644).")</f>
        <v>L-arkitettura Gotika hija rrappreżentata fil-knejjes maestużi iżda wkoll fid-djar u l-fortifikazzjonijiet tal-burgher. L-iktar bini sinifikanti huma l-Katidral ta ’San Ġwann (seklu 14), it-tempju huwa eżempju tipiku tal-hekk imsejħa stil Gotiku Masovjan, Santa Marija tal-Knisja (1411), dar tal-belt tal-familja Burbach (seklu 14), Gunpowder Tower (wara l-1379) u r-Royal Castle Curia Maior (1407-1410). L-iktar eżempji notevoli ta 'arkitettura ta' Rinaxximent fil-belt huma l-familja merkantili tad-dar ta 'Baryczko (1562), bini msejjaħ "in-negro" (seklu 17 kmieni) u l-fond ta' Salwator (1632). L-iktar eżempji interessanti ta 'arkitettura ta' manjerista huma l-Kastell Irjali (1596-1619) u l-Knisja tal-Ġiżwiti (1609-1626) fil-Belt il-Qadima. Fost l-ewwel strutturi tal-Barokk bikri l-iktar importanti huma l-Knisja ta ’San Ġjaċint (1603-1639) u l-kolonna ta’ Sigismund (1644).</v>
      </c>
    </row>
    <row r="1173" ht="15.75" customHeight="1">
      <c r="A1173" s="2" t="s">
        <v>1173</v>
      </c>
      <c r="B1173" s="2" t="str">
        <f>IFERROR(__xludf.DUMMYFUNCTION("GOOGLETRANSLATE(A1173,""en"", ""mt"")"),"biex tipproteġi l-art tar-re fil-wied ta 'Ohio mill-Ingliżi")</f>
        <v>biex tipproteġi l-art tar-re fil-wied ta 'Ohio mill-Ingliżi</v>
      </c>
    </row>
    <row r="1174" ht="15.75" customHeight="1">
      <c r="A1174" s="2" t="s">
        <v>1174</v>
      </c>
      <c r="B1174" s="2" t="str">
        <f>IFERROR(__xludf.DUMMYFUNCTION("GOOGLETRANSLATE(A1174,""en"", ""mt"")"),"L-ebda wieħed mit-trattati oriġinali li jistabbilixxu l-Unjoni Ewropea ma jissemma l-protezzjoni għad-drittijiet fundamentali. Ma kienx previst għal miżuri tal-Unjoni Ewropea, li huma azzjonijiet leġiżlattivi u amministrattivi mill-istituzzjonijiet tal-Un"&amp;"joni Ewropea, li jkunu soġġetti għad-drittijiet tal-bniedem. Dak iż-żmien l-uniku tħassib kien li l-Istati Membri għandhom jiġu evitati milli jiksru d-drittijiet tal-bniedem, u għalhekk it-twaqqif tal-Konvenzjoni Ewropea dwar id-Drittijiet tal-Bniedem fl-"&amp;"1950 u l-istabbiliment tal-Qorti Ewropea tad-Drittijiet tal-Bniedem. Il-Qorti Ewropea tal-Ġustizzja għarfet id-drittijiet fundamentali bħala prinċipju ġenerali tal-liġi tal-Unjoni Ewropea bħala l-ħtieġa li jiġi żgurat li l-miżuri tal-Unjoni Ewropea jkunu "&amp;"kompatibbli mad-drittijiet tal-bniedem minquxa fil-kostituzzjoni tal-Istati Membri saru dejjem aktar evidenti. Fl-1999 il-Kunsill Ewropew waqqaf korp inkarigat bl-abbozzar ta 'Karta Ewropea tad-Drittijiet tal-Bniedem, li jista' jifforma l-bażi kostituzzjo"&amp;"nali għall-Unjoni Ewropea u bħala tali mfassal speċifikament biex japplika għall-Unjoni Ewropea u l-istituzzjonijiet tagħha. Il-Karta tad-Drittijiet Fundamentali tal-Unjoni Ewropea tiġbed lista ta ’drittijiet fundamentali mill-Konvenzjoni Ewropea dwar id-"&amp;"Drittijiet tal-Bniedem u l-Libertajiet Fundamentali, id-Dikjarazzjoni dwar id-Drittijiet Fundamentali prodotti mill-Parlament Ewropew fl-1989 u t-Trattati tal-Unjoni Ewropea.")</f>
        <v>L-ebda wieħed mit-trattati oriġinali li jistabbilixxu l-Unjoni Ewropea ma jissemma l-protezzjoni għad-drittijiet fundamentali. Ma kienx previst għal miżuri tal-Unjoni Ewropea, li huma azzjonijiet leġiżlattivi u amministrattivi mill-istituzzjonijiet tal-Unjoni Ewropea, li jkunu soġġetti għad-drittijiet tal-bniedem. Dak iż-żmien l-uniku tħassib kien li l-Istati Membri għandhom jiġu evitati milli jiksru d-drittijiet tal-bniedem, u għalhekk it-twaqqif tal-Konvenzjoni Ewropea dwar id-Drittijiet tal-Bniedem fl-1950 u l-istabbiliment tal-Qorti Ewropea tad-Drittijiet tal-Bniedem. Il-Qorti Ewropea tal-Ġustizzja għarfet id-drittijiet fundamentali bħala prinċipju ġenerali tal-liġi tal-Unjoni Ewropea bħala l-ħtieġa li jiġi żgurat li l-miżuri tal-Unjoni Ewropea jkunu kompatibbli mad-drittijiet tal-bniedem minquxa fil-kostituzzjoni tal-Istati Membri saru dejjem aktar evidenti. Fl-1999 il-Kunsill Ewropew waqqaf korp inkarigat bl-abbozzar ta 'Karta Ewropea tad-Drittijiet tal-Bniedem, li jista' jifforma l-bażi kostituzzjonali għall-Unjoni Ewropea u bħala tali mfassal speċifikament biex japplika għall-Unjoni Ewropea u l-istituzzjonijiet tagħha. Il-Karta tad-Drittijiet Fundamentali tal-Unjoni Ewropea tiġbed lista ta ’drittijiet fundamentali mill-Konvenzjoni Ewropea dwar id-Drittijiet tal-Bniedem u l-Libertajiet Fundamentali, id-Dikjarazzjoni dwar id-Drittijiet Fundamentali prodotti mill-Parlament Ewropew fl-1989 u t-Trattati tal-Unjoni Ewropea.</v>
      </c>
    </row>
    <row r="1175" ht="15.75" customHeight="1">
      <c r="A1175" s="2" t="s">
        <v>1175</v>
      </c>
      <c r="B1175" s="2" t="str">
        <f>IFERROR(__xludf.DUMMYFUNCTION("GOOGLETRANSLATE(A1175,""en"", ""mt"")"),"Fruntiera tal-Istati Uniti tal-Messiku")</f>
        <v>Fruntiera tal-Istati Uniti tal-Messiku</v>
      </c>
    </row>
    <row r="1176" ht="15.75" customHeight="1">
      <c r="A1176" s="2" t="s">
        <v>1176</v>
      </c>
      <c r="B1176" s="2" t="str">
        <f>IFERROR(__xludf.DUMMYFUNCTION("GOOGLETRANSLATE(A1176,""en"", ""mt"")"),"struttura estiża")</f>
        <v>struttura estiża</v>
      </c>
    </row>
    <row r="1177" ht="15.75" customHeight="1">
      <c r="A1177" s="2" t="s">
        <v>1177</v>
      </c>
      <c r="B1177" s="2" t="str">
        <f>IFERROR(__xludf.DUMMYFUNCTION("GOOGLETRANSLATE(A1177,""en"", ""mt"")"),"Sal-aħħar tas-seklu 19 ix-xjenzati rrealizzaw li l-arja tista 'tkun likwifikata, u l-komponenti tagħha iżolati, billi jikkompressaw u jkessħuha. Bl-użu ta 'metodu tal-kaskata, l-ispiżjar Żvizzeru u l-fiżiċista Raoul Pierre Pictet evapora dijossidu tal-kub"&amp;"rit likwidu sabiex jinxtegħel id-dijossidu tal-karbonju, li mbagħad ġie evaporat biex ikessaħ il-gass tal-ossiġnu biżżejjed biex likwifikah. Huwa bagħat telegramma fit-22 ta 'Diċembru, 1877 lill-Akkademja Franċiża tax-Xjenzi f'Pariġi li ħabbar l-iskoperta"&amp;" tiegħu ta' ossiġnu likwidu. Jumejn biss wara, il-fiżiċista Franċiż Louis Paul Cailletet ħabbar il-metodu tiegħu stess ta 'likwidazzjoni molekulari ossiġenu. Ftit qtar tal-likwidu biss ġew prodotti fl-ebda każ u għalhekk ma tista 'titwettaq analiżi sinifi"&amp;"kanti. L-ossiġnu kien likwifikat fi stat stabbli għall-ewwel darba fid-29 ta 'Marzu, 1883 minn xjenzati Pollakki mill-Università Jagiellonian, Zygmunt Wróblewski u Karol Olszewski.")</f>
        <v>Sal-aħħar tas-seklu 19 ix-xjenzati rrealizzaw li l-arja tista 'tkun likwifikata, u l-komponenti tagħha iżolati, billi jikkompressaw u jkessħuha. Bl-użu ta 'metodu tal-kaskata, l-ispiżjar Żvizzeru u l-fiżiċista Raoul Pierre Pictet evapora dijossidu tal-kubrit likwidu sabiex jinxtegħel id-dijossidu tal-karbonju, li mbagħad ġie evaporat biex ikessaħ il-gass tal-ossiġnu biżżejjed biex likwifikah. Huwa bagħat telegramma fit-22 ta 'Diċembru, 1877 lill-Akkademja Franċiża tax-Xjenzi f'Pariġi li ħabbar l-iskoperta tiegħu ta' ossiġnu likwidu. Jumejn biss wara, il-fiżiċista Franċiż Louis Paul Cailletet ħabbar il-metodu tiegħu stess ta 'likwidazzjoni molekulari ossiġenu. Ftit qtar tal-likwidu biss ġew prodotti fl-ebda każ u għalhekk ma tista 'titwettaq analiżi sinifikanti. L-ossiġnu kien likwifikat fi stat stabbli għall-ewwel darba fid-29 ta 'Marzu, 1883 minn xjenzati Pollakki mill-Università Jagiellonian, Zygmunt Wróblewski u Karol Olszewski.</v>
      </c>
    </row>
    <row r="1178" ht="15.75" customHeight="1">
      <c r="A1178" s="2" t="s">
        <v>1178</v>
      </c>
      <c r="B1178" s="2" t="str">
        <f>IFERROR(__xludf.DUMMYFUNCTION("GOOGLETRANSLATE(A1178,""en"", ""mt"")"),"Harvard jopera diversi mużewijiet tal-arti, kulturali u xjentifiċi. Il-mużewijiet tal-arti ta ’Harvard jinkludu tliet mużewijiet. Il-Mużew Arthur M. Sackler jinkludi kollezzjonijiet ta ’arti antika, Asjatika, Iżlamika u aktar tard, il-Mużew Busch-Reisinge"&amp;"r, li qabel kien il-Mużew Ġermaniku, ikopri l-Art Ċentrali u tat-Tramuntana tal-Ewropa, u l-Mużew Fogg tal-Art, ikopri arti tal-Punent min-nofs Etajiet sal-preżent li jenfasizzaw it-Taljan Rinaxximent Bikri, il-pre-Raphaelite Ingliża, u l-arti Franċiża ta"&amp;"s-seklu 19. Il-Mużew ta 'l-Istorja Naturali ta' Harvard jinkludi l-Mużew Mineralogiku ta 'Harvard, Harvard University Herbaria li fih il-Blaschka Glass Flowers, u l-Mużew taż-Żooloġija Komparattiva. Mużewijiet oħra jinkludu ċ-Ċentru tal-Karpenter għall-Ar"&amp;"ti Viżwali, iddisinjat minn Le Corbusier, li jospita l-arkivju tal-films, il-Mużew Peabody tal-Arkeoloġija u l-Etnoloġija, li jispeċjalizza fl-istorja kulturali u ċ-ċiviltajiet tal-Emisferu tal-Punent, u l-Mużew Semitiku li fih artifatti minn skavi il-Lva"&amp;"nt Nofsani.")</f>
        <v>Harvard jopera diversi mużewijiet tal-arti, kulturali u xjentifiċi. Il-mużewijiet tal-arti ta ’Harvard jinkludu tliet mużewijiet. Il-Mużew Arthur M. Sackler jinkludi kollezzjonijiet ta ’arti antika, Asjatika, Iżlamika u aktar tard, il-Mużew Busch-Reisinger, li qabel kien il-Mużew Ġermaniku, ikopri l-Art Ċentrali u tat-Tramuntana tal-Ewropa, u l-Mużew Fogg tal-Art, ikopri arti tal-Punent min-nofs Etajiet sal-preżent li jenfasizzaw it-Taljan Rinaxximent Bikri, il-pre-Raphaelite Ingliża, u l-arti Franċiża tas-seklu 19. Il-Mużew ta 'l-Istorja Naturali ta' Harvard jinkludi l-Mużew Mineralogiku ta 'Harvard, Harvard University Herbaria li fih il-Blaschka Glass Flowers, u l-Mużew taż-Żooloġija Komparattiva. Mużewijiet oħra jinkludu ċ-Ċentru tal-Karpenter għall-Arti Viżwali, iddisinjat minn Le Corbusier, li jospita l-arkivju tal-films, il-Mużew Peabody tal-Arkeoloġija u l-Etnoloġija, li jispeċjalizza fl-istorja kulturali u ċ-ċiviltajiet tal-Emisferu tal-Punent, u l-Mużew Semitiku li fih artifatti minn skavi il-Lvant Nofsani.</v>
      </c>
    </row>
    <row r="1179" ht="15.75" customHeight="1">
      <c r="A1179" s="2" t="s">
        <v>1179</v>
      </c>
      <c r="B1179" s="2" t="str">
        <f>IFERROR(__xludf.DUMMYFUNCTION("GOOGLETRANSLATE(A1179,""en"", ""mt"")"),"X'inhuma żewġ eżempji ta 'kejl huma marbuta fl-algoritmi biex jistabbilixxu klassijiet ta' kumplessità?")</f>
        <v>X'inhuma żewġ eżempji ta 'kejl huma marbuta fl-algoritmi biex jistabbilixxu klassijiet ta' kumplessità?</v>
      </c>
    </row>
    <row r="1180" ht="15.75" customHeight="1">
      <c r="A1180" s="2" t="s">
        <v>1180</v>
      </c>
      <c r="B1180" s="2" t="str">
        <f>IFERROR(__xludf.DUMMYFUNCTION("GOOGLETRANSLATE(A1180,""en"", ""mt"")"),"Revoluzzjoni industrijali")</f>
        <v>Revoluzzjoni industrijali</v>
      </c>
    </row>
    <row r="1181" ht="15.75" customHeight="1">
      <c r="A1181" s="2" t="s">
        <v>1181</v>
      </c>
      <c r="B1181" s="2" t="str">
        <f>IFERROR(__xludf.DUMMYFUNCTION("GOOGLETRANSLATE(A1181,""en"", ""mt"")"),"Dak li hu inkluż ma 'kull tikketta tal-pakkett")</f>
        <v>Dak li hu inkluż ma 'kull tikketta tal-pakkett</v>
      </c>
    </row>
    <row r="1182" ht="15.75" customHeight="1">
      <c r="A1182" s="2" t="s">
        <v>1182</v>
      </c>
      <c r="B1182" s="2" t="str">
        <f>IFERROR(__xludf.DUMMYFUNCTION("GOOGLETRANSLATE(A1182,""en"", ""mt"")"),"Liema uċuħ ġew introdotti jew popolarizzati fil-wan?")</f>
        <v>Liema uċuħ ġew introdotti jew popolarizzati fil-wan?</v>
      </c>
    </row>
    <row r="1183" ht="15.75" customHeight="1">
      <c r="A1183" s="2" t="s">
        <v>1183</v>
      </c>
      <c r="B1183" s="2" t="str">
        <f>IFERROR(__xludf.DUMMYFUNCTION("GOOGLETRANSLATE(A1183,""en"", ""mt"")"),"Ma 'xiex tmur l-inugwaljanza għolja?")</f>
        <v>Ma 'xiex tmur l-inugwaljanza għolja?</v>
      </c>
    </row>
    <row r="1184" ht="15.75" customHeight="1">
      <c r="A1184" s="2" t="s">
        <v>1184</v>
      </c>
      <c r="B1184" s="2" t="str">
        <f>IFERROR(__xludf.DUMMYFUNCTION("GOOGLETRANSLATE(A1184,""en"", ""mt"")"),"Kemm iċ-ċelloli B kif ukoll iċ-ċelloli T iġorru molekuli tar-riċetturi li jirrikonoxxu miri speċifiċi. Iċ-ċelloli T jirrikonoxxu mira ""mhux self"", bħal patoġen, biss wara li l-antiġeni (frammenti żgħar tal-patoġen) ġew ipproċessati u ppreżentati flimkie"&amp;"n ma 'riċettur ""awto"" msejjaħ molekula ta' kumpless ta 'istokompatibilità maġġuri (MHC). Hemm żewġ sottotipi ewlenin ta 'ċelloli T: iċ-ċellula T qattiel u ċ-ċellula T helper. Barra minn hekk hemm ċelloli T regolatorji li għandhom rwol fil-modulazzjoni t"&amp;"ar-rispons immuni. Iċ-ċelloli T qattiel jirrikonoxxu biss antiġeni akkoppjati mal-molekuli MHC tal-klassi I, filwaqt li ċelloli T helper u ċelloli T regolatorji jirrikonoxxu biss antiġeni akkoppjati mal-molekuli tal-klassi II MHC. Dawn iż-żewġ mekkaniżmi "&amp;"ta 'preżentazzjoni ta' l-antiġen jirriflettu r-rwoli differenti taż-żewġ tipi ta 'ċelluli T. Terz, sottotip minuri huma ċ-ċelloli T γδ li jirrikonoxxu antiġeni intatti li mhumiex marbuta mar-riċetturi MHC.")</f>
        <v>Kemm iċ-ċelloli B kif ukoll iċ-ċelloli T iġorru molekuli tar-riċetturi li jirrikonoxxu miri speċifiċi. Iċ-ċelloli T jirrikonoxxu mira "mhux self", bħal patoġen, biss wara li l-antiġeni (frammenti żgħar tal-patoġen) ġew ipproċessati u ppreżentati flimkien ma 'riċettur "awto" msejjaħ molekula ta' kumpless ta 'istokompatibilità maġġuri (MHC). Hemm żewġ sottotipi ewlenin ta 'ċelloli T: iċ-ċellula T qattiel u ċ-ċellula T helper. Barra minn hekk hemm ċelloli T regolatorji li għandhom rwol fil-modulazzjoni tar-rispons immuni. Iċ-ċelloli T qattiel jirrikonoxxu biss antiġeni akkoppjati mal-molekuli MHC tal-klassi I, filwaqt li ċelloli T helper u ċelloli T regolatorji jirrikonoxxu biss antiġeni akkoppjati mal-molekuli tal-klassi II MHC. Dawn iż-żewġ mekkaniżmi ta 'preżentazzjoni ta' l-antiġen jirriflettu r-rwoli differenti taż-żewġ tipi ta 'ċelluli T. Terz, sottotip minuri huma ċ-ċelloli T γδ li jirrikonoxxu antiġeni intatti li mhumiex marbuta mar-riċetturi MHC.</v>
      </c>
    </row>
    <row r="1185" ht="15.75" customHeight="1">
      <c r="A1185" s="2" t="s">
        <v>1185</v>
      </c>
      <c r="B1185" s="2" t="str">
        <f>IFERROR(__xludf.DUMMYFUNCTION("GOOGLETRANSLATE(A1185,""en"", ""mt"")"),"Kieku kellek tieħu ferrovija lejn il-punent jew in-nofsinhar barra mill-belt ta 'Fresno, liema ferrovija tieħu?")</f>
        <v>Kieku kellek tieħu ferrovija lejn il-punent jew in-nofsinhar barra mill-belt ta 'Fresno, liema ferrovija tieħu?</v>
      </c>
    </row>
    <row r="1186" ht="15.75" customHeight="1">
      <c r="A1186" s="2" t="s">
        <v>1186</v>
      </c>
      <c r="B1186" s="2" t="str">
        <f>IFERROR(__xludf.DUMMYFUNCTION("GOOGLETRANSLATE(A1186,""en"", ""mt"")"),"Kemm X.25 kif ukoll Frame Relay jipprovdu operazzjonijiet orjentati lejn il-konnessjoni. Imma X.25 jagħmel dan fis-saff tan-netwerk tal-mudell OSI. Frame Relay jagħmel dan fil-livell tnejn, is-saff tal-link tad-dejta. Differenza ewlenija oħra bejn X.25 u "&amp;"Frame Relay hija li X.25 jirrikjedi handshake bejn il-partijiet li jikkomunikaw qabel ma jiġu trasmessi xi pakketti tal-utent. Frame Relay ma jiddefinixxi l-ebda handshakes bħal dawn. X.25 ma jiddefinixxi l-ebda operazzjoni ġewwa n-netwerk tal-pakketti. J"&amp;"opera biss fl-interface tal-utent-netwerk (UNI). Għalhekk, il-fornitur tan-netwerk huwa liberu li juża kwalunkwe proċedura li jixtieq fin-netwerk. X.25 jispeċifika xi proċeduri limitati ta 'trasmissjoni mill-ġdid fl-UNI, u l-protokoll tas-saff tal-link ti"&amp;"egħu (LAPB) jipprovdi proċeduri konvenzjonali ta' ġestjoni tat-tip HDLC. Frame Relay hija verżjoni modifikata tas-saff tal-ISDN Two Protocol, LAPD u LAPB. Bħala tali, l-operazzjonijiet ta 'integrità tagħha għandhom x'jaqsmu biss bejn l-għoqiedi fuq link, "&amp;"mhux end-to-end. Kull trażmissjonijiet għandhom jitwettqu minn protokolli ta 'saff ogħla. Il-protokoll X.25 UNI huwa parti mis-suite tal-protokoll X.25, li tikkonsisti fit-tliet saffi l-aktar baxxi tal-mudell OSI. Intuża ħafna fl-UNI għal netwerks ta 'qli"&amp;"b tal-pakketti matul is-snin 1980 u l-bidu tas-snin disgħin, biex jipprovdu interface standardizzata f'netwerks ta' pakketti u barra. Xi implimentazzjonijiet użaw X.25 fin-netwerk ukoll, iżda l-karatteristiċi orjentati lejn il-konnessjoni għamlu din is-se"&amp;"tup ingombranti u ineffiċjenti. Frame Relay jaħdem prinċipalment fis-saff tnejn tal-mudell OSI. Madankollu, il-qasam tal-indirizz tiegħu (l-ID tal-konnessjoni tal-link tad-dejta, jew DLCI) jista 'jintuża fis-saff tan-netwerk OSI, b'sett minimu ta' proċedu"&amp;"ri. Għalhekk, hija teħles lilha nnifisha minn ħafna x.25 saff 3 ta 'obbligu, iżda għad għandha d-DLCI bħala ID lil hinn minn saff ta' node-to-node b'żewġ protokoll ta 'rabta. Is-sempliċità tar-relay tal-qafas tagħmilha aktar mgħaġġla u aktar effiċjenti mi"&amp;"nn X.25. Minħabba li l-qafas tar-rilej huwa protokoll tas-saff tal-link tad-dejta, bħal x.25 ma jiddefinixxix operazzjonijiet ta 'rotta interna tan-netwerk. Għal x.25 l-IDs tal-pakketti tiegħu --- iċ-ċirkwit virtwali u n-numri tal-kanali virtwali għandhom"&amp;" ikunu korrelati mal-indirizzi tan-netwerk. L-istess jgħodd għar-rilejs tal-qafas DLCI. Kif dan isir huwa f'idejn il-fornitur tan-netwerk. Relay tal-qafas, bis-saħħa li ma jkollux proċeduri ta 'saff tan-netwerk huwa orjentat lejn il-konnessjoni fis-saff t"&amp;"nejn, billi tuża l-mod HDLC / LAPD / LAPB issettja l-mod asinkroniku bilanċjat (SABM). Il-konnessjonijiet X.25 huma tipikament stabbiliti għal kull sessjoni ta 'komunikazzjoni, iżda għandu karatteristika li tippermetti ammont limitat ta' traffiku li jiġi "&amp;"mgħoddi mill-UNI mingħajr il-handshake orjentat lejn il-konnessjoni. Għal ftit żmien, Frame Relay intuża biex jgħaqqad LANs ma 'netwerks ta' żona wiesgħa. Madankollu, X.25 u kif ukoll ir-relay tal-qafas ġew sostitwiti mill-Protokoll tal-Internet (IP) fis-"&amp;"saff tan-netwerk, u l-mod ta 'trasferiment mhux sinkroniku (ATM) u jew verżjonijiet ta' qlib tat-tikketta b'ħafna protokol (MPLS) fis-saff tnejn. Konfigurazzjoni tipika hija li tmexxi IP fuq ATM jew verżjoni ta 'MPLS. &lt;Uyless Black, X.25 u Protokolli Rela"&amp;"tati, IEEE Computer Society, 1991&gt; &lt;uyless Black, Frame Relay Networks, McGraw-Hill, 1998&gt; &lt;Uyless Black, MPLS u Networks ta 'Qlib tat-Tikketta, Prentice Hall, 2001&gt; &lt;Uyless Black, ATM, Volum I, Prentice Hall, 1995&gt;")</f>
        <v>Kemm X.25 kif ukoll Frame Relay jipprovdu operazzjonijiet orjentati lejn il-konnessjoni. Imma X.25 jagħmel dan fis-saff tan-netwerk tal-mudell OSI. Frame Relay jagħmel dan fil-livell tnejn, is-saff tal-link tad-dejta. Differenza ewlenija oħra bejn X.25 u Frame Relay hija li X.25 jirrikjedi handshake bejn il-partijiet li jikkomunikaw qabel ma jiġu trasmessi xi pakketti tal-utent. Frame Relay ma jiddefinixxi l-ebda handshakes bħal dawn. X.25 ma jiddefinixxi l-ebda operazzjoni ġewwa n-netwerk tal-pakketti. Jopera biss fl-interface tal-utent-netwerk (UNI). Għalhekk, il-fornitur tan-netwerk huwa liberu li juża kwalunkwe proċedura li jixtieq fin-netwerk. X.25 jispeċifika xi proċeduri limitati ta 'trasmissjoni mill-ġdid fl-UNI, u l-protokoll tas-saff tal-link tiegħu (LAPB) jipprovdi proċeduri konvenzjonali ta' ġestjoni tat-tip HDLC. Frame Relay hija verżjoni modifikata tas-saff tal-ISDN Two Protocol, LAPD u LAPB. Bħala tali, l-operazzjonijiet ta 'integrità tagħha għandhom x'jaqsmu biss bejn l-għoqiedi fuq link, mhux end-to-end. Kull trażmissjonijiet għandhom jitwettqu minn protokolli ta 'saff ogħla. Il-protokoll X.25 UNI huwa parti mis-suite tal-protokoll X.25, li tikkonsisti fit-tliet saffi l-aktar baxxi tal-mudell OSI. Intuża ħafna fl-UNI għal netwerks ta 'qlib tal-pakketti matul is-snin 1980 u l-bidu tas-snin disgħin, biex jipprovdu interface standardizzata f'netwerks ta' pakketti u barra. Xi implimentazzjonijiet użaw X.25 fin-netwerk ukoll, iżda l-karatteristiċi orjentati lejn il-konnessjoni għamlu din is-setup ingombranti u ineffiċjenti. Frame Relay jaħdem prinċipalment fis-saff tnejn tal-mudell OSI. Madankollu, il-qasam tal-indirizz tiegħu (l-ID tal-konnessjoni tal-link tad-dejta, jew DLCI) jista 'jintuża fis-saff tan-netwerk OSI, b'sett minimu ta' proċeduri. Għalhekk, hija teħles lilha nnifisha minn ħafna x.25 saff 3 ta 'obbligu, iżda għad għandha d-DLCI bħala ID lil hinn minn saff ta' node-to-node b'żewġ protokoll ta 'rabta. Is-sempliċità tar-relay tal-qafas tagħmilha aktar mgħaġġla u aktar effiċjenti minn X.25. Minħabba li l-qafas tar-rilej huwa protokoll tas-saff tal-link tad-dejta, bħal x.25 ma jiddefinixxix operazzjonijiet ta 'rotta interna tan-netwerk. Għal x.25 l-IDs tal-pakketti tiegħu --- iċ-ċirkwit virtwali u n-numri tal-kanali virtwali għandhom ikunu korrelati mal-indirizzi tan-netwerk. L-istess jgħodd għar-rilejs tal-qafas DLCI. Kif dan isir huwa f'idejn il-fornitur tan-netwerk. Relay tal-qafas, bis-saħħa li ma jkollux proċeduri ta 'saff tan-netwerk huwa orjentat lejn il-konnessjoni fis-saff tnejn, billi tuża l-mod HDLC / LAPD / LAPB issettja l-mod asinkroniku bilanċjat (SABM). Il-konnessjonijiet X.25 huma tipikament stabbiliti għal kull sessjoni ta 'komunikazzjoni, iżda għandu karatteristika li tippermetti ammont limitat ta' traffiku li jiġi mgħoddi mill-UNI mingħajr il-handshake orjentat lejn il-konnessjoni. Għal ftit żmien, Frame Relay intuża biex jgħaqqad LANs ma 'netwerks ta' żona wiesgħa. Madankollu, X.25 u kif ukoll ir-relay tal-qafas ġew sostitwiti mill-Protokoll tal-Internet (IP) fis-saff tan-netwerk, u l-mod ta 'trasferiment mhux sinkroniku (ATM) u jew verżjonijiet ta' qlib tat-tikketta b'ħafna protokol (MPLS) fis-saff tnejn. Konfigurazzjoni tipika hija li tmexxi IP fuq ATM jew verżjoni ta 'MPLS. &lt;Uyless Black, X.25 u Protokolli Relatati, IEEE Computer Society, 1991&gt; &lt;uyless Black, Frame Relay Networks, McGraw-Hill, 1998&gt; &lt;Uyless Black, MPLS u Networks ta 'Qlib tat-Tikketta, Prentice Hall, 2001&gt; &lt;Uyless Black, ATM, Volum I, Prentice Hall, 1995&gt;</v>
      </c>
    </row>
    <row r="1187" ht="15.75" customHeight="1">
      <c r="A1187" s="2" t="s">
        <v>1187</v>
      </c>
      <c r="B1187" s="2" t="str">
        <f>IFERROR(__xludf.DUMMYFUNCTION("GOOGLETRANSLATE(A1187,""en"", ""mt"")"),"pixxini kbar ta 'kumpens")</f>
        <v>pixxini kbar ta 'kumpens</v>
      </c>
    </row>
    <row r="1188" ht="15.75" customHeight="1">
      <c r="A1188" s="2" t="s">
        <v>1188</v>
      </c>
      <c r="B1188" s="2" t="str">
        <f>IFERROR(__xludf.DUMMYFUNCTION("GOOGLETRANSLATE(A1188,""en"", ""mt"")"),"Irkupra s-sħana moħbija tal-vaporizzazzjoni")</f>
        <v>Irkupra s-sħana moħbija tal-vaporizzazzjoni</v>
      </c>
    </row>
    <row r="1189" ht="15.75" customHeight="1">
      <c r="A1189" s="2" t="s">
        <v>1189</v>
      </c>
      <c r="B1189" s="2" t="str">
        <f>IFERROR(__xludf.DUMMYFUNCTION("GOOGLETRANSLATE(A1189,""en"", ""mt"")"),"Packet_switching")</f>
        <v>Packet_switching</v>
      </c>
    </row>
    <row r="1190" ht="15.75" customHeight="1">
      <c r="A1190" s="2" t="s">
        <v>1190</v>
      </c>
      <c r="B1190" s="2" t="str">
        <f>IFERROR(__xludf.DUMMYFUNCTION("GOOGLETRANSLATE(A1190,""en"", ""mt"")"),"X'qed tieħu l-partit fuq l-istorja Musulmana?")</f>
        <v>X'qed tieħu l-partit fuq l-istorja Musulmana?</v>
      </c>
    </row>
    <row r="1191" ht="15.75" customHeight="1">
      <c r="A1191" s="2" t="s">
        <v>1191</v>
      </c>
      <c r="B1191" s="2" t="str">
        <f>IFERROR(__xludf.DUMMYFUNCTION("GOOGLETRANSLATE(A1191,""en"", ""mt"")"),"Battleships Dreadnought")</f>
        <v>Battleships Dreadnought</v>
      </c>
    </row>
    <row r="1192" ht="15.75" customHeight="1">
      <c r="A1192" s="2" t="s">
        <v>1192</v>
      </c>
      <c r="B1192" s="2" t="str">
        <f>IFERROR(__xludf.DUMMYFUNCTION("GOOGLETRANSLATE(A1192,""en"", ""mt"")"),"Dan ippermetta n-netwerks taż-żona lokali jiġu stabbiliti ad hoc mingħajr il-ħtieġa għal router ċentralizzat jew server")</f>
        <v>Dan ippermetta n-netwerks taż-żona lokali jiġu stabbiliti ad hoc mingħajr il-ħtieġa għal router ċentralizzat jew server</v>
      </c>
    </row>
    <row r="1193" ht="15.75" customHeight="1">
      <c r="A1193" s="2" t="s">
        <v>1193</v>
      </c>
      <c r="B1193" s="2" t="str">
        <f>IFERROR(__xludf.DUMMYFUNCTION("GOOGLETRANSLATE(A1193,""en"", ""mt"")"),"korp ta 'trattati u leġislazzjoni")</f>
        <v>korp ta 'trattati u leġislazzjoni</v>
      </c>
    </row>
    <row r="1194" ht="15.75" customHeight="1">
      <c r="A1194" s="2" t="s">
        <v>1194</v>
      </c>
      <c r="B1194" s="2" t="str">
        <f>IFERROR(__xludf.DUMMYFUNCTION("GOOGLETRANSLATE(A1194,""en"", ""mt"")"),"X’kienu saru talbiet lill-Ingliżi?")</f>
        <v>X’kienu saru talbiet lill-Ingliżi?</v>
      </c>
    </row>
    <row r="1195" ht="15.75" customHeight="1">
      <c r="A1195" s="2" t="s">
        <v>1195</v>
      </c>
      <c r="B1195" s="2" t="str">
        <f>IFERROR(__xludf.DUMMYFUNCTION("GOOGLETRANSLATE(A1195,""en"", ""mt"")"),"Kathmandu")</f>
        <v>Kathmandu</v>
      </c>
    </row>
    <row r="1196" ht="15.75" customHeight="1">
      <c r="A1196" s="2" t="s">
        <v>1196</v>
      </c>
      <c r="B1196" s="2" t="str">
        <f>IFERROR(__xludf.DUMMYFUNCTION("GOOGLETRANSLATE(A1196,""en"", ""mt"")"),"Fejn kienet id-dar temporanja tal-Parlament waqt li kien qed jinbena l-bini permanenti?")</f>
        <v>Fejn kienet id-dar temporanja tal-Parlament waqt li kien qed jinbena l-bini permanenti?</v>
      </c>
    </row>
    <row r="1197" ht="15.75" customHeight="1">
      <c r="A1197" s="2" t="s">
        <v>1197</v>
      </c>
      <c r="B1197" s="2" t="str">
        <f>IFERROR(__xludf.DUMMYFUNCTION("GOOGLETRANSLATE(A1197,""en"", ""mt"")"),"Fil-bidu tas-seklu 20, avvanz importanti fix-xjenza ġeoloġika ġie ffaċilitat mill-abbiltà li jinkisbu dati assoluti preċiżi għal avvenimenti ġeoloġiċi bl-użu ta 'iżotopi radjuattivi u metodi oħra. Dan biddel il-fehim tal-ħin ġeoloġiku. Preċedentement, il-"&amp;"ġeoloġi jistgħu jużaw biss fossili u korrelazzjoni stratigrafika sal-lum sezzjonijiet tal-blat relattivi għal xulxin. Bid-dati iżotopiċi, sar possibbli li jiġu assenjati etajiet assoluti lil unitajiet tal-blat, u dawn id-dati assoluti jistgħu jiġu applika"&amp;"ti għal sekwenzi fossili li fihom kien hemm materjal li jista 'jkun, li jikkonverti l-etajiet relattivi qodma f'età assoluta ġodda.")</f>
        <v>Fil-bidu tas-seklu 20, avvanz importanti fix-xjenza ġeoloġika ġie ffaċilitat mill-abbiltà li jinkisbu dati assoluti preċiżi għal avvenimenti ġeoloġiċi bl-użu ta 'iżotopi radjuattivi u metodi oħra. Dan biddel il-fehim tal-ħin ġeoloġiku. Preċedentement, il-ġeoloġi jistgħu jużaw biss fossili u korrelazzjoni stratigrafika sal-lum sezzjonijiet tal-blat relattivi għal xulxin. Bid-dati iżotopiċi, sar possibbli li jiġu assenjati etajiet assoluti lil unitajiet tal-blat, u dawn id-dati assoluti jistgħu jiġu applikati għal sekwenzi fossili li fihom kien hemm materjal li jista 'jkun, li jikkonverti l-etajiet relattivi qodma f'età assoluta ġodda.</v>
      </c>
    </row>
    <row r="1198" ht="15.75" customHeight="1">
      <c r="A1198" s="2" t="s">
        <v>1198</v>
      </c>
      <c r="B1198" s="2" t="str">
        <f>IFERROR(__xludf.DUMMYFUNCTION("GOOGLETRANSLATE(A1198,""en"", ""mt"")"),"Il-pakketti jistgħu jitwasslu skont skema ta 'aċċess multipli")</f>
        <v>Il-pakketti jistgħu jitwasslu skont skema ta 'aċċess multipli</v>
      </c>
    </row>
    <row r="1199" ht="15.75" customHeight="1">
      <c r="A1199" s="2" t="s">
        <v>1199</v>
      </c>
      <c r="B1199" s="2" t="str">
        <f>IFERROR(__xludf.DUMMYFUNCTION("GOOGLETRANSLATE(A1199,""en"", ""mt"")"),"X'qed issostitwixxa ħaddiema b'ħiliet aktar baxxi fl-Istati Uniti?")</f>
        <v>X'qed issostitwixxa ħaddiema b'ħiliet aktar baxxi fl-Istati Uniti?</v>
      </c>
    </row>
    <row r="1200" ht="15.75" customHeight="1">
      <c r="A1200" s="2" t="s">
        <v>1200</v>
      </c>
      <c r="B1200" s="2" t="str">
        <f>IFERROR(__xludf.DUMMYFUNCTION("GOOGLETRANSLATE(A1200,""en"", ""mt"")"),"bagħat numru żgħir ta 'kolonizzaturi lill-kolonji tiegħu,")</f>
        <v>bagħat numru żgħir ta 'kolonizzaturi lill-kolonji tiegħu,</v>
      </c>
    </row>
    <row r="1201" ht="15.75" customHeight="1">
      <c r="A1201" s="2" t="s">
        <v>1201</v>
      </c>
      <c r="B1201" s="2" t="str">
        <f>IFERROR(__xludf.DUMMYFUNCTION("GOOGLETRANSLATE(A1201,""en"", ""mt"")"),"1970")</f>
        <v>1970</v>
      </c>
    </row>
    <row r="1202" ht="15.75" customHeight="1">
      <c r="A1202" s="2" t="s">
        <v>1202</v>
      </c>
      <c r="B1202" s="2" t="str">
        <f>IFERROR(__xludf.DUMMYFUNCTION("GOOGLETRANSLATE(A1202,""en"", ""mt"")"),"Biex iddur bilanċ")</f>
        <v>Biex iddur bilanċ</v>
      </c>
    </row>
    <row r="1203" ht="15.75" customHeight="1">
      <c r="A1203" s="2" t="s">
        <v>1203</v>
      </c>
      <c r="B1203" s="2" t="str">
        <f>IFERROR(__xludf.DUMMYFUNCTION("GOOGLETRANSLATE(A1203,""en"", ""mt"")"),"Iddikjara l-liġi marzjali u bagħtet lill-milizja tal-istat biex iżżomm l-ordni")</f>
        <v>Iddikjara l-liġi marzjali u bagħtet lill-milizja tal-istat biex iżżomm l-ordni</v>
      </c>
    </row>
    <row r="1204" ht="15.75" customHeight="1">
      <c r="A1204" s="2" t="s">
        <v>1204</v>
      </c>
      <c r="B1204" s="2" t="str">
        <f>IFERROR(__xludf.DUMMYFUNCTION("GOOGLETRANSLATE(A1204,""en"", ""mt"")"),"Interazzjonijiet potenzjali tal-mediċina, reazzjonijiet avversi għall-mediċina, u tevalwa l-allerġiji tal-mediċina tal-pazjent")</f>
        <v>Interazzjonijiet potenzjali tal-mediċina, reazzjonijiet avversi għall-mediċina, u tevalwa l-allerġiji tal-mediċina tal-pazjent</v>
      </c>
    </row>
    <row r="1205" ht="15.75" customHeight="1">
      <c r="A1205" s="2" t="s">
        <v>1205</v>
      </c>
      <c r="B1205" s="2" t="str">
        <f>IFERROR(__xludf.DUMMYFUNCTION("GOOGLETRANSLATE(A1205,""en"", ""mt"")"),"mekkaniżmu li bih Y. pestis ġeneralment kien trasmess")</f>
        <v>mekkaniżmu li bih Y. pestis ġeneralment kien trasmess</v>
      </c>
    </row>
    <row r="1206" ht="15.75" customHeight="1">
      <c r="A1206" s="2" t="s">
        <v>1206</v>
      </c>
      <c r="B1206" s="2" t="str">
        <f>IFERROR(__xludf.DUMMYFUNCTION("GOOGLETRANSLATE(A1206,""en"", ""mt"")"),"11–13 seklu")</f>
        <v>11–13 seklu</v>
      </c>
    </row>
    <row r="1207" ht="15.75" customHeight="1">
      <c r="A1207" s="2" t="s">
        <v>1207</v>
      </c>
      <c r="B1207" s="2" t="str">
        <f>IFERROR(__xludf.DUMMYFUNCTION("GOOGLETRANSLATE(A1207,""en"", ""mt"")"),"Jekk Q = 9 u A = 3,6 jew 9, kemm primes ikunu fil-progressjoni?")</f>
        <v>Jekk Q = 9 u A = 3,6 jew 9, kemm primes ikunu fil-progressjoni?</v>
      </c>
    </row>
    <row r="1208" ht="15.75" customHeight="1">
      <c r="A1208" s="2" t="s">
        <v>1208</v>
      </c>
      <c r="B1208" s="2" t="str">
        <f>IFERROR(__xludf.DUMMYFUNCTION("GOOGLETRANSLATE(A1208,""en"", ""mt"")"),"X'tip ta 'numri huma dejjem multipli ta' 2?")</f>
        <v>X'tip ta 'numri huma dejjem multipli ta' 2?</v>
      </c>
    </row>
    <row r="1209" ht="15.75" customHeight="1">
      <c r="A1209" s="2" t="s">
        <v>1209</v>
      </c>
      <c r="B1209" s="2" t="str">
        <f>IFERROR(__xludf.DUMMYFUNCTION("GOOGLETRANSLATE(A1209,""en"", ""mt"")"),"X'tip ta 'spazju f'Varsavja huma l-Ġnien Botaniku u l-Ġnien tal-Librerija tal-Università?")</f>
        <v>X'tip ta 'spazju f'Varsavja huma l-Ġnien Botaniku u l-Ġnien tal-Librerija tal-Università?</v>
      </c>
    </row>
    <row r="1210" ht="15.75" customHeight="1">
      <c r="A1210" s="2" t="s">
        <v>1210</v>
      </c>
      <c r="B1210" s="2" t="str">
        <f>IFERROR(__xludf.DUMMYFUNCTION("GOOGLETRANSLATE(A1210,""en"", ""mt"")"),"Videoguard UK")</f>
        <v>Videoguard UK</v>
      </c>
    </row>
    <row r="1211" ht="15.75" customHeight="1">
      <c r="A1211" s="2" t="s">
        <v>1211</v>
      </c>
      <c r="B1211" s="2" t="str">
        <f>IFERROR(__xludf.DUMMYFUNCTION("GOOGLETRANSLATE(A1211,""en"", ""mt"")"),"Min kien ir-rivali ewlieni ta 'Louis XIV?")</f>
        <v>Min kien ir-rivali ewlieni ta 'Louis XIV?</v>
      </c>
    </row>
    <row r="1212" ht="15.75" customHeight="1">
      <c r="A1212" s="2" t="s">
        <v>1212</v>
      </c>
      <c r="B1212" s="2" t="str">
        <f>IFERROR(__xludf.DUMMYFUNCTION("GOOGLETRANSLATE(A1212,""en"", ""mt"")"),"37 ° 9 '58.23 """)</f>
        <v>37 ° 9 '58.23 "</v>
      </c>
    </row>
    <row r="1213" ht="15.75" customHeight="1">
      <c r="A1213" s="2" t="s">
        <v>1213</v>
      </c>
      <c r="B1213" s="2" t="str">
        <f>IFERROR(__xludf.DUMMYFUNCTION("GOOGLETRANSLATE(A1213,""en"", ""mt"")"),"Kompjuter imqassam")</f>
        <v>Kompjuter imqassam</v>
      </c>
    </row>
    <row r="1214" ht="15.75" customHeight="1">
      <c r="A1214" s="2" t="s">
        <v>1214</v>
      </c>
      <c r="B1214" s="2" t="str">
        <f>IFERROR(__xludf.DUMMYFUNCTION("GOOGLETRANSLATE(A1214,""en"", ""mt"")"),"ir-repulsjoni ta 'piżijiet simili taħt l-influwenza tal-forza elettromanjetika")</f>
        <v>ir-repulsjoni ta 'piżijiet simili taħt l-influwenza tal-forza elettromanjetika</v>
      </c>
    </row>
    <row r="1215" ht="15.75" customHeight="1">
      <c r="A1215" s="2" t="s">
        <v>1215</v>
      </c>
      <c r="B1215" s="2" t="str">
        <f>IFERROR(__xludf.DUMMYFUNCTION("GOOGLETRANSLATE(A1215,""en"", ""mt"")"),"Kif huma spazjati l-pettnijiet?")</f>
        <v>Kif huma spazjati l-pettnijiet?</v>
      </c>
    </row>
    <row r="1216" ht="15.75" customHeight="1">
      <c r="A1216" s="2" t="s">
        <v>1216</v>
      </c>
      <c r="B1216" s="2" t="str">
        <f>IFERROR(__xludf.DUMMYFUNCTION("GOOGLETRANSLATE(A1216,""en"", ""mt"")"),"Skejjel affiljati u denominazzjonali reliġjużament jiffurmaw subkategorija ta 'skejjel privati. Xi skejjel bħal dawn jgħallmu l-edukazzjoni reliġjuża, flimkien mas-suġġetti akkademiċi tas-soltu biex jimpressjonaw it-twemmin u t-tradizzjonijiet tal-fidi pa"&amp;"rtikolari tagħhom fl-istudenti li jattendu. Oħrajn jużaw id-denominazzjoni bħala aktar ta 'tikketta ġenerali biex jiddeskrivu fuq dak li l-fundaturi bbażaw it-twemmin tagħhom, filwaqt li għadhom iżommu distinzjoni fina bejn l-akkademiċi u r-reliġjon. Dawn"&amp;" jinkludu skejjel parrokkjali, terminu li ħafna drabi jintuża biex jindika skejjel Kattoliċi Rumani. Gruppi reliġjużi oħra rappreżentati fis-settur tal-edukazzjoni privata tal-K-12 jinkludu Protestanti, Lhud, Musulmani u l-Insara Ortodossi.")</f>
        <v>Skejjel affiljati u denominazzjonali reliġjużament jiffurmaw subkategorija ta 'skejjel privati. Xi skejjel bħal dawn jgħallmu l-edukazzjoni reliġjuża, flimkien mas-suġġetti akkademiċi tas-soltu biex jimpressjonaw it-twemmin u t-tradizzjonijiet tal-fidi partikolari tagħhom fl-istudenti li jattendu. Oħrajn jużaw id-denominazzjoni bħala aktar ta 'tikketta ġenerali biex jiddeskrivu fuq dak li l-fundaturi bbażaw it-twemmin tagħhom, filwaqt li għadhom iżommu distinzjoni fina bejn l-akkademiċi u r-reliġjon. Dawn jinkludu skejjel parrokkjali, terminu li ħafna drabi jintuża biex jindika skejjel Kattoliċi Rumani. Gruppi reliġjużi oħra rappreżentati fis-settur tal-edukazzjoni privata tal-K-12 jinkludu Protestanti, Lhud, Musulmani u l-Insara Ortodossi.</v>
      </c>
    </row>
    <row r="1217" ht="15.75" customHeight="1">
      <c r="A1217" s="2" t="s">
        <v>1217</v>
      </c>
      <c r="B1217" s="2" t="str">
        <f>IFERROR(__xludf.DUMMYFUNCTION("GOOGLETRANSLATE(A1217,""en"", ""mt"")"),"Battalji f'Lagos u Quiberon Bay")</f>
        <v>Battalji f'Lagos u Quiberon Bay</v>
      </c>
    </row>
    <row r="1218" ht="15.75" customHeight="1">
      <c r="A1218" s="2" t="s">
        <v>1218</v>
      </c>
      <c r="B1218" s="2" t="str">
        <f>IFERROR(__xludf.DUMMYFUNCTION("GOOGLETRANSLATE(A1218,""en"", ""mt"")"),"NP-Hard")</f>
        <v>NP-Hard</v>
      </c>
    </row>
    <row r="1219" ht="15.75" customHeight="1">
      <c r="A1219" s="2" t="s">
        <v>1219</v>
      </c>
      <c r="B1219" s="2" t="str">
        <f>IFERROR(__xludf.DUMMYFUNCTION("GOOGLETRANSLATE(A1219,""en"", ""mt"")"),"Għat-tliet mitt sena li ġejjin, l-Iskozja kienet direttament regolata mill-Parlament tal-Gran Brittanja u l-Parlament Sussegwenti tar-Renju Unit, it-tnejn bilqiegħda f'Westminster, u n-nuqqas ta 'Parlament ta' l-Iskozja baqa 'element importanti fl-identit"&amp;"à nazzjonali Skoċċiża. Suġġerimenti għal parlament 'devolut' saru qabel l-1914, iżda ġew imkabbra minħabba t-tifqigħa tal-Ewwel Gwerra Dinjija. Żieda qawwija fin-nazzjonaliżmu fl-Iskozja matul l-aħħar tas-snin 1960 xprunat it-talbiet għal xi forma ta 'reg"&amp;"ola tad-dar jew indipendenza sħiħa, u fl-1969 wasslet lill-gvern Laburista eżistenti ta' Harold Wilson biex iwaqqaf il-Kummissjoni Kilbrandon biex tikkunsidra l-Kostituzzjoni Ingliża. Wieħed mill-għanijiet ewlenin tal-Kummissjoni kien li jeżamina modi kif"&amp;" tippermetti aktar awto-gvern għall-Iskozja, fl-istat unitarju tar-Renju Unit. Kilbrandon ippubblika r-rapport tiegħu fl-1973 li rrakkomanda t-twaqqif ta 'assemblea Skoċċiża eletta direttament biex tilleġiżla għall-maġġoranza tal-affarijiet Skoċċiżi domes"&amp;"tiċi.")</f>
        <v>Għat-tliet mitt sena li ġejjin, l-Iskozja kienet direttament regolata mill-Parlament tal-Gran Brittanja u l-Parlament Sussegwenti tar-Renju Unit, it-tnejn bilqiegħda f'Westminster, u n-nuqqas ta 'Parlament ta' l-Iskozja baqa 'element importanti fl-identità nazzjonali Skoċċiża. Suġġerimenti għal parlament 'devolut' saru qabel l-1914, iżda ġew imkabbra minħabba t-tifqigħa tal-Ewwel Gwerra Dinjija. Żieda qawwija fin-nazzjonaliżmu fl-Iskozja matul l-aħħar tas-snin 1960 xprunat it-talbiet għal xi forma ta 'regola tad-dar jew indipendenza sħiħa, u fl-1969 wasslet lill-gvern Laburista eżistenti ta' Harold Wilson biex iwaqqaf il-Kummissjoni Kilbrandon biex tikkunsidra l-Kostituzzjoni Ingliża. Wieħed mill-għanijiet ewlenin tal-Kummissjoni kien li jeżamina modi kif tippermetti aktar awto-gvern għall-Iskozja, fl-istat unitarju tar-Renju Unit. Kilbrandon ippubblika r-rapport tiegħu fl-1973 li rrakkomanda t-twaqqif ta 'assemblea Skoċċiża eletta direttament biex tilleġiżla għall-maġġoranza tal-affarijiet Skoċċiżi domestiċi.</v>
      </c>
    </row>
    <row r="1220" ht="15.75" customHeight="1">
      <c r="A1220" s="2" t="s">
        <v>1220</v>
      </c>
      <c r="B1220" s="2" t="str">
        <f>IFERROR(__xludf.DUMMYFUNCTION("GOOGLETRANSLATE(A1220,""en"", ""mt"")"),"AKS Test Primalità")</f>
        <v>AKS Test Primalità</v>
      </c>
    </row>
    <row r="1221" ht="15.75" customHeight="1">
      <c r="A1221" s="2" t="s">
        <v>1221</v>
      </c>
      <c r="B1221" s="2" t="str">
        <f>IFERROR(__xludf.DUMMYFUNCTION("GOOGLETRANSLATE(A1221,""en"", ""mt"")"),"Luteran u Riformat")</f>
        <v>Luteran u Riformat</v>
      </c>
    </row>
    <row r="1222" ht="15.75" customHeight="1">
      <c r="A1222" s="2" t="s">
        <v>1222</v>
      </c>
      <c r="B1222" s="2" t="str">
        <f>IFERROR(__xludf.DUMMYFUNCTION("GOOGLETRANSLATE(A1222,""en"", ""mt"")"),"kemm l-armata kif ukoll il-popolazzjoni")</f>
        <v>kemm l-armata kif ukoll il-popolazzjoni</v>
      </c>
    </row>
    <row r="1223" ht="15.75" customHeight="1">
      <c r="A1223" s="2" t="s">
        <v>1223</v>
      </c>
      <c r="B1223" s="2" t="str">
        <f>IFERROR(__xludf.DUMMYFUNCTION("GOOGLETRANSLATE(A1223,""en"", ""mt"")"),"Xi jfisser ir-rapport tas-Sommarju tal-WG I għal dawk li jfasslu l-politika jgħidu li l-attivitajiet tal-bniedem qed jagħmlu lill-gassijiet b'effett ta 'serra?")</f>
        <v>Xi jfisser ir-rapport tas-Sommarju tal-WG I għal dawk li jfasslu l-politika jgħidu li l-attivitajiet tal-bniedem qed jagħmlu lill-gassijiet b'effett ta 'serra?</v>
      </c>
    </row>
    <row r="1224" ht="15.75" customHeight="1">
      <c r="A1224" s="2" t="s">
        <v>1224</v>
      </c>
      <c r="B1224" s="2" t="str">
        <f>IFERROR(__xludf.DUMMYFUNCTION("GOOGLETRANSLATE(A1224,""en"", ""mt"")"),"huma ewlenin għal kwalunkwe numru naturali n. Hawnhekk jirrappreżenta l-funzjoni tal-paviment, i.e., l-akbar numru sħiħ mhux akbar min-numru in kwistjoni. Din l-aħħar formula tista 'tintwera bl-użu tal-postulat ta' Bertrand (ippruvat l-ewwel minn Chebyshe"&amp;"v), li jiddikjara li dejjem jeżisti mill-inqas numru ewlieni p b'n &lt;p &lt;2n - 2, għal kwalunkwe numru naturali n&gt; 3. Madankollu, il-komputazzjoni a jew μ teħtieġ l-għarfien ta 'ħafna primes infinitament biex tibda. Formula oħra hija bbażata fuq it-teorema t"&amp;"a 'Wilson u tiġġenera n-numru 2 ħafna drabi u l-primes l-oħra kollha eżattament darba.")</f>
        <v>huma ewlenin għal kwalunkwe numru naturali n. Hawnhekk jirrappreżenta l-funzjoni tal-paviment, i.e., l-akbar numru sħiħ mhux akbar min-numru in kwistjoni. Din l-aħħar formula tista 'tintwera bl-użu tal-postulat ta' Bertrand (ippruvat l-ewwel minn Chebyshev), li jiddikjara li dejjem jeżisti mill-inqas numru ewlieni p b'n &lt;p &lt;2n - 2, għal kwalunkwe numru naturali n&gt; 3. Madankollu, il-komputazzjoni a jew μ teħtieġ l-għarfien ta 'ħafna primes infinitament biex tibda. Formula oħra hija bbażata fuq it-teorema ta 'Wilson u tiġġenera n-numru 2 ħafna drabi u l-primes l-oħra kollha eżattament darba.</v>
      </c>
    </row>
    <row r="1225" ht="15.75" customHeight="1">
      <c r="A1225" s="2" t="s">
        <v>1225</v>
      </c>
      <c r="B1225" s="2" t="str">
        <f>IFERROR(__xludf.DUMMYFUNCTION("GOOGLETRANSLATE(A1225,""en"", ""mt"")"),"Ir-Rhine t'isfel tgħaddi minn North Rhine-Westphalia. Il-banek tagħha huma ġeneralment popolati ħafna u industrijalizzati, b'mod partikolari l-agglomerazzjonijiet Cologne, Düsseldorf u ż-żona ta 'Ruhr. Hawnhekk ir-Rhine joħroġ mill-ikbar konurbazzjoni fil"&amp;"-Ġermanja, ir-reġjun tar-Rhine-Ruhr. Waħda mill-iktar bliet importanti f'dan ir-reġjun hija Duisburg bl-akbar port tax-xmajjar fl-Ewropa (Duisport). Ir-reġjun 'l isfel ta' Duisburg huwa aktar agrikolu. F'Wesel, 30 km 'l isfel minn Duisburg, jinsab it-tarf"&amp;" tal-punent tat-tieni rotta tat-tbaħħir tal-Lvant-Punent, il-Kanal Wesel-Datteln, li jimxi parallel mal-lippe. Bejn Emmerich u Cleves il-Pont ta 'Emmerich Rhine, l-itwal pont ta' sospensjoni fil-Ġermanja, jaqsam ix-xmara wiesgħa ta '400 m. Ħdejn Krefeld, "&amp;"ix-xmara taqsam il-linja Uerdingen, il-linja li tifred iż-żoni fejn jitkellmu Ġermaniż baxx u għoli Ġermaniż.")</f>
        <v>Ir-Rhine t'isfel tgħaddi minn North Rhine-Westphalia. Il-banek tagħha huma ġeneralment popolati ħafna u industrijalizzati, b'mod partikolari l-agglomerazzjonijiet Cologne, Düsseldorf u ż-żona ta 'Ruhr. Hawnhekk ir-Rhine joħroġ mill-ikbar konurbazzjoni fil-Ġermanja, ir-reġjun tar-Rhine-Ruhr. Waħda mill-iktar bliet importanti f'dan ir-reġjun hija Duisburg bl-akbar port tax-xmajjar fl-Ewropa (Duisport). Ir-reġjun 'l isfel ta' Duisburg huwa aktar agrikolu. F'Wesel, 30 km 'l isfel minn Duisburg, jinsab it-tarf tal-punent tat-tieni rotta tat-tbaħħir tal-Lvant-Punent, il-Kanal Wesel-Datteln, li jimxi parallel mal-lippe. Bejn Emmerich u Cleves il-Pont ta 'Emmerich Rhine, l-itwal pont ta' sospensjoni fil-Ġermanja, jaqsam ix-xmara wiesgħa ta '400 m. Ħdejn Krefeld, ix-xmara taqsam il-linja Uerdingen, il-linja li tifred iż-żoni fejn jitkellmu Ġermaniż baxx u għoli Ġermaniż.</v>
      </c>
    </row>
    <row r="1226" ht="15.75" customHeight="1">
      <c r="A1226" s="2" t="s">
        <v>1226</v>
      </c>
      <c r="B1226" s="2" t="str">
        <f>IFERROR(__xludf.DUMMYFUNCTION("GOOGLETRANSLATE(A1226,""en"", ""mt"")"),"Inerzja")</f>
        <v>Inerzja</v>
      </c>
    </row>
    <row r="1227" ht="15.75" customHeight="1">
      <c r="A1227" s="2" t="s">
        <v>1227</v>
      </c>
      <c r="B1227" s="2" t="str">
        <f>IFERROR(__xludf.DUMMYFUNCTION("GOOGLETRANSLATE(A1227,""en"", ""mt"")"),"X'inhuma l-komponenti tat-terapija bil-mediċina?")</f>
        <v>X'inhuma l-komponenti tat-terapija bil-mediċina?</v>
      </c>
    </row>
    <row r="1228" ht="15.75" customHeight="1">
      <c r="A1228" s="2" t="s">
        <v>1228</v>
      </c>
      <c r="B1228" s="2" t="str">
        <f>IFERROR(__xludf.DUMMYFUNCTION("GOOGLETRANSLATE(A1228,""en"", ""mt"")"),"X'inhu l-isem ta 'algoritmu ieħor utli għall-ittestjar b'mod konvenjenti tal-primalità ta' numri kbar?")</f>
        <v>X'inhu l-isem ta 'algoritmu ieħor utli għall-ittestjar b'mod konvenjenti tal-primalità ta' numri kbar?</v>
      </c>
    </row>
    <row r="1229" ht="15.75" customHeight="1">
      <c r="A1229" s="2" t="s">
        <v>1229</v>
      </c>
      <c r="B1229" s="2" t="str">
        <f>IFERROR(__xludf.DUMMYFUNCTION("GOOGLETRANSLATE(A1229,""en"", ""mt"")"),"indaqs")</f>
        <v>indaqs</v>
      </c>
    </row>
    <row r="1230" ht="15.75" customHeight="1">
      <c r="A1230" s="2" t="s">
        <v>1230</v>
      </c>
      <c r="B1230" s="2" t="str">
        <f>IFERROR(__xludf.DUMMYFUNCTION("GOOGLETRANSLATE(A1230,""en"", ""mt"")"),"Qalba ta 'barra u qalba ta' ġewwa")</f>
        <v>Qalba ta 'barra u qalba ta' ġewwa</v>
      </c>
    </row>
    <row r="1231" ht="15.75" customHeight="1">
      <c r="A1231" s="2" t="s">
        <v>1231</v>
      </c>
      <c r="B1231" s="2" t="str">
        <f>IFERROR(__xludf.DUMMYFUNCTION("GOOGLETRANSLATE(A1231,""en"", ""mt"")"),"Liema status kiseb il-fratellanza fid-dinja Iżlamika?")</f>
        <v>Liema status kiseb il-fratellanza fid-dinja Iżlamika?</v>
      </c>
    </row>
    <row r="1232" ht="15.75" customHeight="1">
      <c r="A1232" s="2" t="s">
        <v>1232</v>
      </c>
      <c r="B1232" s="2" t="str">
        <f>IFERROR(__xludf.DUMMYFUNCTION("GOOGLETRANSLATE(A1232,""en"", ""mt"")"),"Liema teorema tista 'tiġi ssimplifikata mat-teorema ta' Lasker-Noether?")</f>
        <v>Liema teorema tista 'tiġi ssimplifikata mat-teorema ta' Lasker-Noether?</v>
      </c>
    </row>
    <row r="1233" ht="15.75" customHeight="1">
      <c r="A1233" s="2" t="s">
        <v>1233</v>
      </c>
      <c r="B1233" s="2" t="str">
        <f>IFERROR(__xludf.DUMMYFUNCTION("GOOGLETRANSLATE(A1233,""en"", ""mt"")"),"Uffiċċju taċ-Ċensiment tal-Istati Uniti")</f>
        <v>Uffiċċju taċ-Ċensiment tal-Istati Uniti</v>
      </c>
    </row>
    <row r="1234" ht="15.75" customHeight="1">
      <c r="A1234" s="2" t="s">
        <v>1234</v>
      </c>
      <c r="B1234" s="2" t="str">
        <f>IFERROR(__xludf.DUMMYFUNCTION("GOOGLETRANSLATE(A1234,""en"", ""mt"")"),"X'inhu l-uniku distrett fis-CBD li ma jkollux ""downtown"" f'isem tiegħu?")</f>
        <v>X'inhu l-uniku distrett fis-CBD li ma jkollux "downtown" f'isem tiegħu?</v>
      </c>
    </row>
    <row r="1235" ht="15.75" customHeight="1">
      <c r="A1235" s="2" t="s">
        <v>1235</v>
      </c>
      <c r="B1235" s="2" t="str">
        <f>IFERROR(__xludf.DUMMYFUNCTION("GOOGLETRANSLATE(A1235,""en"", ""mt"")"),"Poteri Imperjali")</f>
        <v>Poteri Imperjali</v>
      </c>
    </row>
    <row r="1236" ht="15.75" customHeight="1">
      <c r="A1236" s="2" t="s">
        <v>1236</v>
      </c>
      <c r="B1236" s="2" t="str">
        <f>IFERROR(__xludf.DUMMYFUNCTION("GOOGLETRANSLATE(A1236,""en"", ""mt"")"),"tagħti lil ħuha Polynices difna xierqa")</f>
        <v>tagħti lil ħuha Polynices difna xierqa</v>
      </c>
    </row>
    <row r="1237" ht="15.75" customHeight="1">
      <c r="A1237" s="2" t="s">
        <v>1237</v>
      </c>
      <c r="B1237" s="2" t="str">
        <f>IFERROR(__xludf.DUMMYFUNCTION("GOOGLETRANSLATE(A1237,""en"", ""mt"")"),"Bob Gallion")</f>
        <v>Bob Gallion</v>
      </c>
    </row>
    <row r="1238" ht="15.75" customHeight="1">
      <c r="A1238" s="2" t="s">
        <v>1238</v>
      </c>
      <c r="B1238" s="2" t="str">
        <f>IFERROR(__xludf.DUMMYFUNCTION("GOOGLETRANSLATE(A1238,""en"", ""mt"")"),"iżotermali")</f>
        <v>iżotermali</v>
      </c>
    </row>
    <row r="1239" ht="15.75" customHeight="1">
      <c r="A1239" s="2" t="s">
        <v>1239</v>
      </c>
      <c r="B1239" s="2" t="str">
        <f>IFERROR(__xludf.DUMMYFUNCTION("GOOGLETRANSLATE(A1239,""en"", ""mt"")"),"F’ħafna pajjiżi foqra u li qed jiżviluppaw ħafna art u akkomodazzjoni tinżamm barra s-sistema ta ’reġistrazzjoni formali jew legali tal-proprjetà. Ħafna proprjetà mhux reġistrata tinżamm f'forma informali permezz ta 'diversi assoċjazzjonijiet u arranġamen"&amp;"ti oħra. Ir-raġunijiet għas-sjieda extra-legali jinkludu burokrazija eċċessiva biex tixtri propjetà u bini, f'xi pajjiżi tista 'tieħu aktar minn 200 passi u sa 14-il sena biex tibni fuq art tal-gvern. Kawżi oħra ta 'proprjetà extra-legali huma fallimenti "&amp;"li jinnotifikaw id-dokumenti ta' tranżazzjoni jew li jkollhom dokumenti notarili iżda ma jirnexxilhomx jiġu rreġistrati mal-aġenzija uffiċjali.")</f>
        <v>F’ħafna pajjiżi foqra u li qed jiżviluppaw ħafna art u akkomodazzjoni tinżamm barra s-sistema ta ’reġistrazzjoni formali jew legali tal-proprjetà. Ħafna proprjetà mhux reġistrata tinżamm f'forma informali permezz ta 'diversi assoċjazzjonijiet u arranġamenti oħra. Ir-raġunijiet għas-sjieda extra-legali jinkludu burokrazija eċċessiva biex tixtri propjetà u bini, f'xi pajjiżi tista 'tieħu aktar minn 200 passi u sa 14-il sena biex tibni fuq art tal-gvern. Kawżi oħra ta 'proprjetà extra-legali huma fallimenti li jinnotifikaw id-dokumenti ta' tranżazzjoni jew li jkollhom dokumenti notarili iżda ma jirnexxilhomx jiġu rreġistrati mal-aġenzija uffiċjali.</v>
      </c>
    </row>
    <row r="1240" ht="15.75" customHeight="1">
      <c r="A1240" s="2" t="s">
        <v>1240</v>
      </c>
      <c r="B1240" s="2" t="str">
        <f>IFERROR(__xludf.DUMMYFUNCTION("GOOGLETRANSLATE(A1240,""en"", ""mt"")"),"Ħalli l-awtrija ta 'l-Istati Uniti ta' 'New World'")</f>
        <v>Ħalli l-awtrija ta 'l-Istati Uniti ta' 'New World'</v>
      </c>
    </row>
    <row r="1241" ht="15.75" customHeight="1">
      <c r="A1241" s="2" t="s">
        <v>1241</v>
      </c>
      <c r="B1241" s="2" t="str">
        <f>IFERROR(__xludf.DUMMYFUNCTION("GOOGLETRANSLATE(A1241,""en"", ""mt"")"),"ħafna poteri imperjali")</f>
        <v>ħafna poteri imperjali</v>
      </c>
    </row>
    <row r="1242" ht="15.75" customHeight="1">
      <c r="A1242" s="2" t="s">
        <v>1242</v>
      </c>
      <c r="B1242" s="2" t="str">
        <f>IFERROR(__xludf.DUMMYFUNCTION("GOOGLETRANSLATE(A1242,""en"", ""mt"")"),"Djar tal-istorja")</f>
        <v>Djar tal-istorja</v>
      </c>
    </row>
    <row r="1243" ht="15.75" customHeight="1">
      <c r="A1243" s="2" t="s">
        <v>1243</v>
      </c>
      <c r="B1243" s="2" t="str">
        <f>IFERROR(__xludf.DUMMYFUNCTION("GOOGLETRANSLATE(A1243,""en"", ""mt"")"),"rwol prinċipali")</f>
        <v>rwol prinċipali</v>
      </c>
    </row>
    <row r="1244" ht="15.75" customHeight="1">
      <c r="A1244" s="2" t="s">
        <v>1244</v>
      </c>
      <c r="B1244" s="2" t="str">
        <f>IFERROR(__xludf.DUMMYFUNCTION("GOOGLETRANSLATE(A1244,""en"", ""mt"")"),"Dixxiplini varji tal-ispiżerija")</f>
        <v>Dixxiplini varji tal-ispiżerija</v>
      </c>
    </row>
    <row r="1245" ht="15.75" customHeight="1">
      <c r="A1245" s="2" t="s">
        <v>1245</v>
      </c>
      <c r="B1245" s="2" t="str">
        <f>IFERROR(__xludf.DUMMYFUNCTION("GOOGLETRANSLATE(A1245,""en"", ""mt"")"),"Ir-Renu l-ewwel ifforma fruntiera bejn Gaul u x'iktar?")</f>
        <v>Ir-Renu l-ewwel ifforma fruntiera bejn Gaul u x'iktar?</v>
      </c>
    </row>
    <row r="1246" ht="15.75" customHeight="1">
      <c r="A1246" s="2" t="s">
        <v>1246</v>
      </c>
      <c r="B1246" s="2" t="str">
        <f>IFERROR(__xludf.DUMMYFUNCTION("GOOGLETRANSLATE(A1246,""en"", ""mt"")"),"Kif qabbel ir-rapport tal-IPCC tal-2001 mar-realtà għall-2001-2006?")</f>
        <v>Kif qabbel ir-rapport tal-IPCC tal-2001 mar-realtà għall-2001-2006?</v>
      </c>
    </row>
    <row r="1247" ht="15.75" customHeight="1">
      <c r="A1247" s="2" t="s">
        <v>1247</v>
      </c>
      <c r="B1247" s="2" t="str">
        <f>IFERROR(__xludf.DUMMYFUNCTION("GOOGLETRANSLATE(A1247,""en"", ""mt"")"),"Kurva Kuznets")</f>
        <v>Kurva Kuznets</v>
      </c>
    </row>
    <row r="1248" ht="15.75" customHeight="1">
      <c r="A1248" s="2" t="s">
        <v>1248</v>
      </c>
      <c r="B1248" s="2" t="str">
        <f>IFERROR(__xludf.DUMMYFUNCTION("GOOGLETRANSLATE(A1248,""en"", ""mt"")"),"it-tmiem innifsu")</f>
        <v>it-tmiem innifsu</v>
      </c>
    </row>
    <row r="1249" ht="15.75" customHeight="1">
      <c r="A1249" s="2" t="s">
        <v>1249</v>
      </c>
      <c r="B1249" s="2" t="str">
        <f>IFERROR(__xludf.DUMMYFUNCTION("GOOGLETRANSLATE(A1249,""en"", ""mt"")"),"Ersatzschulen huma skejjel primarji jew sekondarji ordinarji, li huma mmexxija minn individwi privati, organizzazzjonijiet privati ​​jew gruppi reliġjużi. Dawn l-iskejjel joffru l-istess tipi ta ’diplomi bħall-iskejjel pubbliċi. Ersatzschulen m'għandux il"&amp;"-libertà li jopera kompletament barra mir-regolament tal-gvern. L-għalliema fl-Ersatzschulen irid ikollhom mill-inqas l-istess edukazzjoni u għall-inqas l-istess pagi bħall-għalliema fl-iskejjel pubbliċi, ersatzschule għandu jkollhom mill-inqas l-istess s"&amp;"tandards akkademiċi bħal skola pubblika u l-Artikolu 7, paragrafu 4 tal-Grundgesetz, jipprojbixxi wkoll is-segregazzjoni ta ' studenti skont il-mezzi tal-ġenituri tagħhom (l-hekk imsejħa Sonderungsverbot). Għalhekk, il-biċċa l-kbira tal-ersatzschulen għan"&amp;"dhom ħlasijiet ta 'tagħlim baxxi ħafna u / jew joffru boroż ta' studju, meta mqabbla ma 'ħafna pajjiżi oħra tal-Ewropa tal-Punent. Madankollu, mhuwiex possibbli li dawn l-iskejjel jiffinanzjaw bi ħlasijiet ta 'tagħlim daqshekk baxxi, u huwa għalhekk li l-"&amp;"ersatzschulen Ġermaniż kollu huwa ffinanzjat ukoll b'fondi pubbliċi. Il-perċentwali tal-flus pubbliċi jistgħu jilħqu 100% tan-nefqiet tal-persunal. Madankollu, l-iskejjel privati ​​saru insolventi fil-passat fil-Ġermanja.")</f>
        <v>Ersatzschulen huma skejjel primarji jew sekondarji ordinarji, li huma mmexxija minn individwi privati, organizzazzjonijiet privati ​​jew gruppi reliġjużi. Dawn l-iskejjel joffru l-istess tipi ta ’diplomi bħall-iskejjel pubbliċi. Ersatzschulen m'għandux il-libertà li jopera kompletament barra mir-regolament tal-gvern. L-għalliema fl-Ersatzschulen irid ikollhom mill-inqas l-istess edukazzjoni u għall-inqas l-istess pagi bħall-għalliema fl-iskejjel pubbliċi, ersatzschule għandu jkollhom mill-inqas l-istess standards akkademiċi bħal skola pubblika u l-Artikolu 7, paragrafu 4 tal-Grundgesetz, jipprojbixxi wkoll is-segregazzjoni ta ' studenti skont il-mezzi tal-ġenituri tagħhom (l-hekk imsejħa Sonderungsverbot). Għalhekk, il-biċċa l-kbira tal-ersatzschulen għandhom ħlasijiet ta 'tagħlim baxxi ħafna u / jew joffru boroż ta' studju, meta mqabbla ma 'ħafna pajjiżi oħra tal-Ewropa tal-Punent. Madankollu, mhuwiex possibbli li dawn l-iskejjel jiffinanzjaw bi ħlasijiet ta 'tagħlim daqshekk baxxi, u huwa għalhekk li l-ersatzschulen Ġermaniż kollu huwa ffinanzjat ukoll b'fondi pubbliċi. Il-perċentwali tal-flus pubbliċi jistgħu jilħqu 100% tan-nefqiet tal-persunal. Madankollu, l-iskejjel privati ​​saru insolventi fil-passat fil-Ġermanja.</v>
      </c>
    </row>
    <row r="1250" ht="15.75" customHeight="1">
      <c r="A1250" s="2" t="s">
        <v>1250</v>
      </c>
      <c r="B1250" s="2" t="str">
        <f>IFERROR(__xludf.DUMMYFUNCTION("GOOGLETRANSLATE(A1250,""en"", ""mt"")"),"Liema ġnien kien formalment biss għar-royalties?")</f>
        <v>Liema ġnien kien formalment biss għar-royalties?</v>
      </c>
    </row>
    <row r="1251" ht="15.75" customHeight="1">
      <c r="A1251" s="2" t="s">
        <v>1251</v>
      </c>
      <c r="B1251" s="2" t="str">
        <f>IFERROR(__xludf.DUMMYFUNCTION("GOOGLETRANSLATE(A1251,""en"", ""mt"")"),"Liema denominazzjoni topera l-Kulleġġ ta 'San Ġużepp?")</f>
        <v>Liema denominazzjoni topera l-Kulleġġ ta 'San Ġużepp?</v>
      </c>
    </row>
    <row r="1252" ht="15.75" customHeight="1">
      <c r="A1252" s="2" t="s">
        <v>1252</v>
      </c>
      <c r="B1252" s="2" t="str">
        <f>IFERROR(__xludf.DUMMYFUNCTION("GOOGLETRANSLATE(A1252,""en"", ""mt"")"),"X'tip ta 'sistema ta' infezzjoni tinvolvi li tiddaħħal tubu vojt f'ċellula ospitanti?")</f>
        <v>X'tip ta 'sistema ta' infezzjoni tinvolvi li tiddaħħal tubu vojt f'ċellula ospitanti?</v>
      </c>
    </row>
    <row r="1253" ht="15.75" customHeight="1">
      <c r="A1253" s="2" t="s">
        <v>1253</v>
      </c>
      <c r="B1253" s="2" t="str">
        <f>IFERROR(__xludf.DUMMYFUNCTION("GOOGLETRANSLATE(A1253,""en"", ""mt"")"),"Xi klassijiet ta 'kumplessità")</f>
        <v>Xi klassijiet ta 'kumplessità</v>
      </c>
    </row>
    <row r="1254" ht="15.75" customHeight="1">
      <c r="A1254" s="2" t="s">
        <v>1254</v>
      </c>
      <c r="B1254" s="2" t="str">
        <f>IFERROR(__xludf.DUMMYFUNCTION("GOOGLETRANSLATE(A1254,""en"", ""mt"")"),"ftit hafna")</f>
        <v>ftit hafna</v>
      </c>
    </row>
    <row r="1255" ht="15.75" customHeight="1">
      <c r="A1255" s="2" t="s">
        <v>1255</v>
      </c>
      <c r="B1255" s="2" t="str">
        <f>IFERROR(__xludf.DUMMYFUNCTION("GOOGLETRANSLATE(A1255,""en"", ""mt"")"),"X’tolqot il-mekkanika ta ’Newton?")</f>
        <v>X’tolqot il-mekkanika ta ’Newton?</v>
      </c>
    </row>
    <row r="1256" ht="15.75" customHeight="1">
      <c r="A1256" s="2" t="s">
        <v>1256</v>
      </c>
      <c r="B1256" s="2" t="str">
        <f>IFERROR(__xludf.DUMMYFUNCTION("GOOGLETRANSLATE(A1256,""en"", ""mt"")"),"Liema belt fi stat ta ’New York ġiet solvuta minn Huguenots?")</f>
        <v>Liema belt fi stat ta ’New York ġiet solvuta minn Huguenots?</v>
      </c>
    </row>
    <row r="1257" ht="15.75" customHeight="1">
      <c r="A1257" s="2" t="s">
        <v>1257</v>
      </c>
      <c r="B1257" s="2" t="str">
        <f>IFERROR(__xludf.DUMMYFUNCTION("GOOGLETRANSLATE(A1257,""en"", ""mt"")"),"Parti ewlenija tas-sinsla tal-internet")</f>
        <v>Parti ewlenija tas-sinsla tal-internet</v>
      </c>
    </row>
    <row r="1258" ht="15.75" customHeight="1">
      <c r="A1258" s="2" t="s">
        <v>1258</v>
      </c>
      <c r="B1258" s="2" t="str">
        <f>IFERROR(__xludf.DUMMYFUNCTION("GOOGLETRANSLATE(A1258,""en"", ""mt"")"),"Tagħna")</f>
        <v>Tagħna</v>
      </c>
    </row>
    <row r="1259" ht="15.75" customHeight="1">
      <c r="A1259" s="2" t="s">
        <v>1259</v>
      </c>
      <c r="B1259" s="2" t="str">
        <f>IFERROR(__xludf.DUMMYFUNCTION("GOOGLETRANSLATE(A1259,""en"", ""mt"")"),"Li esperjenzaw l-età tad-deheb AA fl-1100 u l-1200s")</f>
        <v>Li esperjenzaw l-età tad-deheb AA fl-1100 u l-1200s</v>
      </c>
    </row>
    <row r="1260" ht="15.75" customHeight="1">
      <c r="A1260" s="2" t="s">
        <v>1260</v>
      </c>
      <c r="B1260" s="2" t="str">
        <f>IFERROR(__xludf.DUMMYFUNCTION("GOOGLETRANSLATE(A1260,""en"", ""mt"")"),"Il-fergħa ġudizzjarja tal-UE kellha rwol importanti fl-iżvilupp tal-liġi tal-UE, billi assumiet il-kompitu li tinterpreta t-trattati, u taċċellera l-integrazzjoni ekonomika u politika. Illum il-Qorti tal-Ġustizzja tal-Unjoni Ewropea (CJEU) hija l-korp ġud"&amp;"izzjarju ewlieni, li fih hemm Qorti tal-Ġustizzja Ewropea ogħla (komunement imqassra bħala ECJ) li tittratta każijiet li fihom aktar importanza pubblika, u qorti ġenerali li tittratta bi kwistjonijiet ta 'dettall iżda mingħajr importanza ġenerali. Hemm uk"&amp;"oll tribunal tas-servizz ċivili biex jittratta kwistjonijiet tal-persunal tal-UE, u mbagħad qorti separata tal-awdituri. Taħt it-Trattat dwar l-Artikolu 19 tal-Unjoni Ewropea (2) hemm imħallef wieħed minn kull Stat Membru, 28 fil-preżent, li suppost għand"&amp;"u ""jkollu l-kwalifiki meħtieġa għall-ħatra fl-ogħla uffiċċji ġudizzjarji"" (jew għall-Qorti Ġenerali, il- """" "" abbiltà meħtieġa għall-ħatra għal uffiċċju ġudizzjarju għoli ""). President huwa elett mill-imħallfin għal tliet snin. Taħt it-TEU l-Artikol"&amp;"u 19 (3) għandu jkun il-qorti aħħarija li tinterpreta mistoqsijiet tal-liġi tal-UE. Fil-fatt, il-biċċa l-kbira tal-liġi tal-UE hija applikata mill-qrati tal-Istat Membru (il-Qorti tal-Appell Ingliż, il-Bundesgerichtshof Ġermaniż, il-Cour Du Travail Belġja"&amp;"n, eċċ.) Iżda jistgħu jirreferu mistoqsijiet lill-qorti tal-UE għal deċiżjoni preliminari. Id-dmir tas-CJEU huwa li ""jiżgura li fl-interpretazzjoni u l-applikazzjoni tat-trattati tkun osservata l-liġi"", għalkemm realistikament għandha l-abbiltà li tespa"&amp;"ndi u tiżviluppa l-liġi skond il-prinċipji li tqis li huma xierqa. B’mod raġonevoli dan sar permezz ta ’sentenzi seminali u kontroversjali, inklużi Van Gend En Loos, Mangold v Helm, u l-Kummissjoni Kadi V.")</f>
        <v>Il-fergħa ġudizzjarja tal-UE kellha rwol importanti fl-iżvilupp tal-liġi tal-UE, billi assumiet il-kompitu li tinterpreta t-trattati, u taċċellera l-integrazzjoni ekonomika u politika. Illum il-Qorti tal-Ġustizzja tal-Unjoni Ewropea (CJEU) hija l-korp ġudizzjarju ewlieni, li fih hemm Qorti tal-Ġustizzja Ewropea ogħla (komunement imqassra bħala ECJ) li tittratta każijiet li fihom aktar importanza pubblika, u qorti ġenerali li tittratta bi kwistjonijiet ta 'dettall iżda mingħajr importanza ġenerali. Hemm ukoll tribunal tas-servizz ċivili biex jittratta kwistjonijiet tal-persunal tal-UE, u mbagħad qorti separata tal-awdituri. Taħt it-Trattat dwar l-Artikolu 19 tal-Unjoni Ewropea (2) hemm imħallef wieħed minn kull Stat Membru, 28 fil-preżent, li suppost għandu "jkollu l-kwalifiki meħtieġa għall-ħatra fl-ogħla uffiċċji ġudizzjarji" (jew għall-Qorti Ġenerali, il- "" " abbiltà meħtieġa għall-ħatra għal uffiċċju ġudizzjarju għoli "). President huwa elett mill-imħallfin għal tliet snin. Taħt it-TEU l-Artikolu 19 (3) għandu jkun il-qorti aħħarija li tinterpreta mistoqsijiet tal-liġi tal-UE. Fil-fatt, il-biċċa l-kbira tal-liġi tal-UE hija applikata mill-qrati tal-Istat Membru (il-Qorti tal-Appell Ingliż, il-Bundesgerichtshof Ġermaniż, il-Cour Du Travail Belġjan, eċċ.) Iżda jistgħu jirreferu mistoqsijiet lill-qorti tal-UE għal deċiżjoni preliminari. Id-dmir tas-CJEU huwa li "jiżgura li fl-interpretazzjoni u l-applikazzjoni tat-trattati tkun osservata l-liġi", għalkemm realistikament għandha l-abbiltà li tespandi u tiżviluppa l-liġi skond il-prinċipji li tqis li huma xierqa. B’mod raġonevoli dan sar permezz ta ’sentenzi seminali u kontroversjali, inklużi Van Gend En Loos, Mangold v Helm, u l-Kummissjoni Kadi V.</v>
      </c>
    </row>
    <row r="1261" ht="15.75" customHeight="1">
      <c r="A1261" s="2" t="s">
        <v>1261</v>
      </c>
      <c r="B1261" s="2" t="str">
        <f>IFERROR(__xludf.DUMMYFUNCTION("GOOGLETRANSLATE(A1261,""en"", ""mt"")"),"tagħmilha diffiċli ħafna għall-predaturi li jevolvu li jistgħu jispeċjalizzaw bħala predaturi")</f>
        <v>tagħmilha diffiċli ħafna għall-predaturi li jevolvu li jistgħu jispeċjalizzaw bħala predaturi</v>
      </c>
    </row>
    <row r="1262" ht="15.75" customHeight="1">
      <c r="A1262" s="2" t="s">
        <v>1262</v>
      </c>
      <c r="B1262" s="2" t="str">
        <f>IFERROR(__xludf.DUMMYFUNCTION("GOOGLETRANSLATE(A1262,""en"", ""mt"")"),"żieda fl-għargħar u sedimentazzjoni")</f>
        <v>żieda fl-għargħar u sedimentazzjoni</v>
      </c>
    </row>
    <row r="1263" ht="15.75" customHeight="1">
      <c r="A1263" s="2" t="s">
        <v>1263</v>
      </c>
      <c r="B1263" s="2" t="str">
        <f>IFERROR(__xludf.DUMMYFUNCTION("GOOGLETRANSLATE(A1263,""en"", ""mt"")"),"Liema klabb rebaħ 118 tournaments u 15-il kampjonat nazzjonali?")</f>
        <v>Liema klabb rebaħ 118 tournaments u 15-il kampjonat nazzjonali?</v>
      </c>
    </row>
    <row r="1264" ht="15.75" customHeight="1">
      <c r="A1264" s="2" t="s">
        <v>1264</v>
      </c>
      <c r="B1264" s="2" t="str">
        <f>IFERROR(__xludf.DUMMYFUNCTION("GOOGLETRANSLATE(A1264,""en"", ""mt"")"),"1973_oil_crisis")</f>
        <v>1973_oil_crisis</v>
      </c>
    </row>
    <row r="1265" ht="15.75" customHeight="1">
      <c r="A1265" s="2" t="s">
        <v>1265</v>
      </c>
      <c r="B1265" s="2" t="str">
        <f>IFERROR(__xludf.DUMMYFUNCTION("GOOGLETRANSLATE(A1265,""en"", ""mt"")"),"X'inhu l-arranġament ta 'bilqiegħda tal-kamra tad-dibattitu?")</f>
        <v>X'inhu l-arranġament ta 'bilqiegħda tal-kamra tad-dibattitu?</v>
      </c>
    </row>
    <row r="1266" ht="15.75" customHeight="1">
      <c r="A1266" s="2" t="s">
        <v>1266</v>
      </c>
      <c r="B1266" s="2" t="str">
        <f>IFERROR(__xludf.DUMMYFUNCTION("GOOGLETRANSLATE(A1266,""en"", ""mt"")"),"Spiżjar tal-Kura Ambulatorja Ċertifikata tal-Bord")</f>
        <v>Spiżjar tal-Kura Ambulatorja Ċertifikata tal-Bord</v>
      </c>
    </row>
    <row r="1267" ht="15.75" customHeight="1">
      <c r="A1267" s="2" t="s">
        <v>1267</v>
      </c>
      <c r="B1267" s="2" t="str">
        <f>IFERROR(__xludf.DUMMYFUNCTION("GOOGLETRANSLATE(A1267,""en"", ""mt"")"),"Kif kienu l-mexxejja lura fl-Ewropa jħossu dwar aħbarijiet minn Celeron Expedition?")</f>
        <v>Kif kienu l-mexxejja lura fl-Ewropa jħossu dwar aħbarijiet minn Celeron Expedition?</v>
      </c>
    </row>
    <row r="1268" ht="15.75" customHeight="1">
      <c r="A1268" s="2" t="s">
        <v>1268</v>
      </c>
      <c r="B1268" s="2" t="str">
        <f>IFERROR(__xludf.DUMMYFUNCTION("GOOGLETRANSLATE(A1268,""en"", ""mt"")"),"Bankier ta 'l-Ipoteki")</f>
        <v>Bankier ta 'l-Ipoteki</v>
      </c>
    </row>
    <row r="1269" ht="15.75" customHeight="1">
      <c r="A1269" s="2" t="s">
        <v>1269</v>
      </c>
      <c r="B1269" s="2" t="str">
        <f>IFERROR(__xludf.DUMMYFUNCTION("GOOGLETRANSLATE(A1269,""en"", ""mt"")"),"Il-kontijiet tat-TV Sky tat-Talbiet")</f>
        <v>Il-kontijiet tat-TV Sky tat-Talbiet</v>
      </c>
    </row>
    <row r="1270" ht="15.75" customHeight="1">
      <c r="A1270" s="2" t="s">
        <v>1270</v>
      </c>
      <c r="B1270" s="2" t="str">
        <f>IFERROR(__xludf.DUMMYFUNCTION("GOOGLETRANSLATE(A1270,""en"", ""mt"")"),"Liema bliet oħra tal-Ewropa tat-Tramuntana kellhom kongregazzjonijiet Huguenot?")</f>
        <v>Liema bliet oħra tal-Ewropa tat-Tramuntana kellhom kongregazzjonijiet Huguenot?</v>
      </c>
    </row>
    <row r="1271" ht="15.75" customHeight="1">
      <c r="A1271" s="2" t="s">
        <v>1271</v>
      </c>
      <c r="B1271" s="2" t="str">
        <f>IFERROR(__xludf.DUMMYFUNCTION("GOOGLETRANSLATE(A1271,""en"", ""mt"")"),"X'inhuma wħud mill-argumenti tax-xjenzati?")</f>
        <v>X'inhuma wħud mill-argumenti tax-xjenzati?</v>
      </c>
    </row>
    <row r="1272" ht="15.75" customHeight="1">
      <c r="A1272" s="2" t="s">
        <v>1272</v>
      </c>
      <c r="B1272" s="2" t="str">
        <f>IFERROR(__xludf.DUMMYFUNCTION("GOOGLETRANSLATE(A1272,""en"", ""mt"")"),"Harvard hija università kbira u residenzjali ħafna. L-ispiża nominali ta 'attendenza hija għolja, iżda d-dotazzjoni kbira tal-università tippermettilha toffri pakketti ta' għajnuna finanzjarja ġenerużi. Jopera diversi mużewijiet tal-arti, kulturali u xjen"&amp;"tifiċi, flimkien mal-Librerija Harvard, li hija l-ikbar sistema akkademika u privata tad-dinja, li tinkludi 79 libreriji individwali b'aktar minn 18-il miljun volum. L-alumni ta 'Harvard jinkludu tmien presidenti ta' l-Istati Uniti, diversi kapijiet ta 's"&amp;"tat barranin, 62 biljunarji ħajjin, 335 Scholars Rhodes, u 242 Scholars Marshall. Sal-lum, madwar 150 Laureates Nobel, 18-il medalista tal-qasam u 13-il rebbieħa tal-Premju Turing ġew affiljati bħala studenti, fakultà, jew persunal.")</f>
        <v>Harvard hija università kbira u residenzjali ħafna. L-ispiża nominali ta 'attendenza hija għolja, iżda d-dotazzjoni kbira tal-università tippermettilha toffri pakketti ta' għajnuna finanzjarja ġenerużi. Jopera diversi mużewijiet tal-arti, kulturali u xjentifiċi, flimkien mal-Librerija Harvard, li hija l-ikbar sistema akkademika u privata tad-dinja, li tinkludi 79 libreriji individwali b'aktar minn 18-il miljun volum. L-alumni ta 'Harvard jinkludu tmien presidenti ta' l-Istati Uniti, diversi kapijiet ta 'stat barranin, 62 biljunarji ħajjin, 335 Scholars Rhodes, u 242 Scholars Marshall. Sal-lum, madwar 150 Laureates Nobel, 18-il medalista tal-qasam u 13-il rebbieħa tal-Premju Turing ġew affiljati bħala studenti, fakultà, jew persunal.</v>
      </c>
    </row>
    <row r="1273" ht="15.75" customHeight="1">
      <c r="A1273" s="2" t="s">
        <v>1273</v>
      </c>
      <c r="B1273" s="2" t="str">
        <f>IFERROR(__xludf.DUMMYFUNCTION("GOOGLETRANSLATE(A1273,""en"", ""mt"")"),"Il-lawreakers kuxjenzjużi għandhom jiġu kkastigati")</f>
        <v>Il-lawreakers kuxjenzjużi għandhom jiġu kkastigati</v>
      </c>
    </row>
    <row r="1274" ht="15.75" customHeight="1">
      <c r="A1274" s="2" t="s">
        <v>1274</v>
      </c>
      <c r="B1274" s="2" t="str">
        <f>IFERROR(__xludf.DUMMYFUNCTION("GOOGLETRANSLATE(A1274,""en"", ""mt"")"),"Il-foresta tropikali tnaqqset għal refugia żgħira u iżolata separata minn foresta miftuħa u ħaxix")</f>
        <v>Il-foresta tropikali tnaqqset għal refugia żgħira u iżolata separata minn foresta miftuħa u ħaxix</v>
      </c>
    </row>
    <row r="1275" ht="15.75" customHeight="1">
      <c r="A1275" s="2" t="s">
        <v>1275</v>
      </c>
      <c r="B1275" s="2" t="str">
        <f>IFERROR(__xludf.DUMMYFUNCTION("GOOGLETRANSLATE(A1275,""en"", ""mt"")"),"Metodu Slash and Burn")</f>
        <v>Metodu Slash and Burn</v>
      </c>
    </row>
    <row r="1276" ht="15.75" customHeight="1">
      <c r="A1276" s="2" t="s">
        <v>1276</v>
      </c>
      <c r="B1276" s="2" t="str">
        <f>IFERROR(__xludf.DUMMYFUNCTION("GOOGLETRANSLATE(A1276,""en"", ""mt"")"),"Liema kunċett ġie żviluppat minn Baran waqt ir-riċerka fuq Rand")</f>
        <v>Liema kunċett ġie żviluppat minn Baran waqt ir-riċerka fuq Rand</v>
      </c>
    </row>
    <row r="1277" ht="15.75" customHeight="1">
      <c r="A1277" s="2" t="s">
        <v>1277</v>
      </c>
      <c r="B1277" s="2" t="str">
        <f>IFERROR(__xludf.DUMMYFUNCTION("GOOGLETRANSLATE(A1277,""en"", ""mt"")"),"maħsub li żvantaġġja l-applikanti tal-minoranza bi dħul baxx u mhux rappreżentati")</f>
        <v>maħsub li żvantaġġja l-applikanti tal-minoranza bi dħul baxx u mhux rappreżentati</v>
      </c>
    </row>
    <row r="1278" ht="15.75" customHeight="1">
      <c r="A1278" s="2" t="s">
        <v>1278</v>
      </c>
      <c r="B1278" s="2" t="str">
        <f>IFERROR(__xludf.DUMMYFUNCTION("GOOGLETRANSLATE(A1278,""en"", ""mt"")"),"Liema studjużi legali prestiġjużi huma membri tal-fakultà f'Harvard?")</f>
        <v>Liema studjużi legali prestiġjużi huma membri tal-fakultà f'Harvard?</v>
      </c>
    </row>
    <row r="1279" ht="15.75" customHeight="1">
      <c r="A1279" s="2" t="s">
        <v>1279</v>
      </c>
      <c r="B1279" s="2" t="str">
        <f>IFERROR(__xludf.DUMMYFUNCTION("GOOGLETRANSLATE(A1279,""en"", ""mt"")"),"Meta ivaün Temür miet f'Shangdu fl-1328, Tugh Temür ġie mfakkar lil Khanbaliq mill-kmandant tal-Qipchaq El Temür. Huwa ġie installat bħala l-Imperatur (l-Imperatur Wenzong) f'Khanbaliq, filwaqt li t-tifel ta 'Yesün Temür Ragibagh irnexxielu fit-tron f'Sha"&amp;"ngdu bl-appoġġ ta' Yesün Temür's Favorit Retainer Dawlat Shah. Meta kiseb appoġġ minn prinċpijiet u uffiċjali fit-tramuntana taċ-Ċina u xi partijiet oħra tad-dinastija, Tugh Temür ibbażat fuq Khanbaliq eventwalment rebaħ il-gwerra ċivili kontra Ragibagh m"&amp;"agħrufa bħala l-gwerra taż-żewġ kapitali. Wara, Tugh Temür abdika favur lil ħuh Kusala, li kien appoġġjat minn Chagatai Khan Eljigidey, u ħabbar l-intenzjoni ta 'Khanbaliq li jilqa'h. Madankollu, Kusala miet f'daqqa erbat ijiem biss wara banquet ma 'Tugh "&amp;"Temür. Huwa allegatament inqatel bil-velenu minn El Temür, u Tugh Temür imbagħad ressaq it-tron. Tugh Temür irnexxielu wkoll jibgħat delegati lill-Khanates tal-Mongolja tal-Punent bħal Golden Horde u Ilkhanate biex jiġu aċċettati bħala s-suzerain tad-dinj"&amp;"a tal-Mongolja. Madankollu, huwa kien prinċipalment pupazz tal-uffiċjal qawwi El Temür matul ir-renju tal-aħħar tliet snin tiegħu. El Temür xejjen uffiċjali pro-Kusala u ġabu l-poter lill-kmandanti tal-gwerra, li l-ħakma despotika tagħha mmarkat b'mod ċar"&amp;" it-tnaqqis tad-dinastija.")</f>
        <v>Meta ivaün Temür miet f'Shangdu fl-1328, Tugh Temür ġie mfakkar lil Khanbaliq mill-kmandant tal-Qipchaq El Temür. Huwa ġie installat bħala l-Imperatur (l-Imperatur Wenzong) f'Khanbaliq, filwaqt li t-tifel ta 'Yesün Temür Ragibagh irnexxielu fit-tron f'Shangdu bl-appoġġ ta' Yesün Temür's Favorit Retainer Dawlat Shah. Meta kiseb appoġġ minn prinċpijiet u uffiċjali fit-tramuntana taċ-Ċina u xi partijiet oħra tad-dinastija, Tugh Temür ibbażat fuq Khanbaliq eventwalment rebaħ il-gwerra ċivili kontra Ragibagh magħrufa bħala l-gwerra taż-żewġ kapitali. Wara, Tugh Temür abdika favur lil ħuh Kusala, li kien appoġġjat minn Chagatai Khan Eljigidey, u ħabbar l-intenzjoni ta 'Khanbaliq li jilqa'h. Madankollu, Kusala miet f'daqqa erbat ijiem biss wara banquet ma 'Tugh Temür. Huwa allegatament inqatel bil-velenu minn El Temür, u Tugh Temür imbagħad ressaq it-tron. Tugh Temür irnexxielu wkoll jibgħat delegati lill-Khanates tal-Mongolja tal-Punent bħal Golden Horde u Ilkhanate biex jiġu aċċettati bħala s-suzerain tad-dinja tal-Mongolja. Madankollu, huwa kien prinċipalment pupazz tal-uffiċjal qawwi El Temür matul ir-renju tal-aħħar tliet snin tiegħu. El Temür xejjen uffiċjali pro-Kusala u ġabu l-poter lill-kmandanti tal-gwerra, li l-ħakma despotika tagħha mmarkat b'mod ċar it-tnaqqis tad-dinastija.</v>
      </c>
    </row>
    <row r="1280" ht="15.75" customHeight="1">
      <c r="A1280" s="2" t="s">
        <v>1280</v>
      </c>
      <c r="B1280" s="2" t="str">
        <f>IFERROR(__xludf.DUMMYFUNCTION("GOOGLETRANSLATE(A1280,""en"", ""mt"")"),"Public Pad Service Telepad")</f>
        <v>Public Pad Service Telepad</v>
      </c>
    </row>
    <row r="1281" ht="15.75" customHeight="1">
      <c r="A1281" s="2" t="s">
        <v>1281</v>
      </c>
      <c r="B1281" s="2" t="str">
        <f>IFERROR(__xludf.DUMMYFUNCTION("GOOGLETRANSLATE(A1281,""en"", ""mt"")"),"It-tradizzjoni medika Ċiniża tal-wan kellha ""erba 'skejjel kbar"" li l-wan wirt mid-dinastija Jin. L-erba 'skejjel kienu bbażati fuq l-istess fondazzjoni intellettwali, iżda favur l-approċċi teoretiċi differenti lejn il-mediċina. Taħt il-Mongoli, il-prat"&amp;"tika tal-mediċina Ċiniża nfirxet għal partijiet oħra tal-imperu. It-tobba Ċiniżi nġabru flimkien ma ’kampanji militari mill-Mongoli hekk kif espandew lejn il-Punent. Tekniki mediċi Ċiniżi bħal acupuncture, moxibustion, dijanjosi tal-polz, u diversi mediċi"&amp;"ni tal-ħxejjex u elixirs ġew trasmessi lejn il-punent lejn il-Lvant Nofsani u l-bqija tal-imperu. Saru diversi avvanzi mediċi fil-perjodu tal-wan. It-tabib Wei Yilin (1277-1347) ivvinta metodu ta 'sospensjoni għat-tnaqqis tal-ġonot diżlokati, li huwa wett"&amp;"aq bl-użu ta' anestetiċi. It-tabib Mongoljan Hu Sihui ddeskriva l-importanza ta 'dieta tajba fi trattat mediku 1330.")</f>
        <v>It-tradizzjoni medika Ċiniża tal-wan kellha "erba 'skejjel kbar" li l-wan wirt mid-dinastija Jin. L-erba 'skejjel kienu bbażati fuq l-istess fondazzjoni intellettwali, iżda favur l-approċċi teoretiċi differenti lejn il-mediċina. Taħt il-Mongoli, il-prattika tal-mediċina Ċiniża nfirxet għal partijiet oħra tal-imperu. It-tobba Ċiniżi nġabru flimkien ma ’kampanji militari mill-Mongoli hekk kif espandew lejn il-Punent. Tekniki mediċi Ċiniżi bħal acupuncture, moxibustion, dijanjosi tal-polz, u diversi mediċini tal-ħxejjex u elixirs ġew trasmessi lejn il-punent lejn il-Lvant Nofsani u l-bqija tal-imperu. Saru diversi avvanzi mediċi fil-perjodu tal-wan. It-tabib Wei Yilin (1277-1347) ivvinta metodu ta 'sospensjoni għat-tnaqqis tal-ġonot diżlokati, li huwa wettaq bl-użu ta' anestetiċi. It-tabib Mongoljan Hu Sihui ddeskriva l-importanza ta 'dieta tajba fi trattat mediku 1330.</v>
      </c>
    </row>
    <row r="1282" ht="15.75" customHeight="1">
      <c r="A1282" s="2" t="s">
        <v>1282</v>
      </c>
      <c r="B1282" s="2" t="str">
        <f>IFERROR(__xludf.DUMMYFUNCTION("GOOGLETRANSLATE(A1282,""en"", ""mt"")"),"vaċċinazzjoni")</f>
        <v>vaċċinazzjoni</v>
      </c>
    </row>
    <row r="1283" ht="15.75" customHeight="1">
      <c r="A1283" s="2" t="s">
        <v>1283</v>
      </c>
      <c r="B1283" s="2" t="str">
        <f>IFERROR(__xludf.DUMMYFUNCTION("GOOGLETRANSLATE(A1283,""en"", ""mt"")"),"X'kien Warner Sinback")</f>
        <v>X'kien Warner Sinback</v>
      </c>
    </row>
    <row r="1284" ht="15.75" customHeight="1">
      <c r="A1284" s="2" t="s">
        <v>1284</v>
      </c>
      <c r="B1284" s="2" t="str">
        <f>IFERROR(__xludf.DUMMYFUNCTION("GOOGLETRANSLATE(A1284,""en"", ""mt"")"),"Adattat malajr u spiss miżżewweġ barra l-komunitajiet Franċiżi immedjati tagħhom")</f>
        <v>Adattat malajr u spiss miżżewweġ barra l-komunitajiet Franċiżi immedjati tagħhom</v>
      </c>
    </row>
    <row r="1285" ht="15.75" customHeight="1">
      <c r="A1285" s="2" t="s">
        <v>1285</v>
      </c>
      <c r="B1285" s="2" t="str">
        <f>IFERROR(__xludf.DUMMYFUNCTION("GOOGLETRANSLATE(A1285,""en"", ""mt"")"),"T li tirrendi ċerti liġijiet ineffettivi, biex tikkawża r-revoka tagħhom, jew li tagħmel pressjoni biex tikseb ix-xewqat politiċi ta 'wieħed fuq xi kwistjoni oħra")</f>
        <v>T li tirrendi ċerti liġijiet ineffettivi, biex tikkawża r-revoka tagħhom, jew li tagħmel pressjoni biex tikseb ix-xewqat politiċi ta 'wieħed fuq xi kwistjoni oħra</v>
      </c>
    </row>
    <row r="1286" ht="15.75" customHeight="1">
      <c r="A1286" s="2" t="s">
        <v>1286</v>
      </c>
      <c r="B1286" s="2" t="str">
        <f>IFERROR(__xludf.DUMMYFUNCTION("GOOGLETRANSLATE(A1286,""en"", ""mt"")"),"ir-rip")</f>
        <v>ir-rip</v>
      </c>
    </row>
    <row r="1287" ht="15.75" customHeight="1">
      <c r="A1287" s="2" t="s">
        <v>1287</v>
      </c>
      <c r="B1287" s="2" t="str">
        <f>IFERROR(__xludf.DUMMYFUNCTION("GOOGLETRANSLATE(A1287,""en"", ""mt"")"),"il-qalba ta 'barra u l-qalba ta' ġewwa")</f>
        <v>il-qalba ta 'barra u l-qalba ta' ġewwa</v>
      </c>
    </row>
    <row r="1288" ht="15.75" customHeight="1">
      <c r="A1288" s="2" t="s">
        <v>1288</v>
      </c>
      <c r="B1288" s="2" t="str">
        <f>IFERROR(__xludf.DUMMYFUNCTION("GOOGLETRANSLATE(A1288,""en"", ""mt"")"),"It-tabib għandu interess finanzjarju fih innifsu fid- ""dijanjosi"" kemm jista 'jkun kundizzjonijiet")</f>
        <v>It-tabib għandu interess finanzjarju fih innifsu fid- "dijanjosi" kemm jista 'jkun kundizzjonijiet</v>
      </c>
    </row>
    <row r="1289" ht="15.75" customHeight="1">
      <c r="A1289" s="2" t="s">
        <v>1289</v>
      </c>
      <c r="B1289" s="2" t="str">
        <f>IFERROR(__xludf.DUMMYFUNCTION("GOOGLETRANSLATE(A1289,""en"", ""mt"")"),"tillimita d-domanda aggregata")</f>
        <v>tillimita d-domanda aggregata</v>
      </c>
    </row>
    <row r="1290" ht="15.75" customHeight="1">
      <c r="A1290" s="2" t="s">
        <v>1290</v>
      </c>
      <c r="B1290" s="2" t="str">
        <f>IFERROR(__xludf.DUMMYFUNCTION("GOOGLETRANSLATE(A1290,""en"", ""mt"")"),"Lega ta ’Augsburg")</f>
        <v>Lega ta ’Augsburg</v>
      </c>
    </row>
    <row r="1291" ht="15.75" customHeight="1">
      <c r="A1291" s="2" t="s">
        <v>1291</v>
      </c>
      <c r="B1291" s="2" t="str">
        <f>IFERROR(__xludf.DUMMYFUNCTION("GOOGLETRANSLATE(A1291,""en"", ""mt"")"),"Kejl tad-domanda bijokimika tal-ilma bijokimiku")</f>
        <v>Kejl tad-domanda bijokimika tal-ilma bijokimiku</v>
      </c>
    </row>
    <row r="1292" ht="15.75" customHeight="1">
      <c r="A1292" s="2" t="s">
        <v>1292</v>
      </c>
      <c r="B1292" s="2" t="str">
        <f>IFERROR(__xludf.DUMMYFUNCTION("GOOGLETRANSLATE(A1292,""en"", ""mt"")"),"Il-kriżi tal-enerġija wasslet għal interess akbar fl-enerġija rinnovabbli, l-enerġija nukleari u l-fjuwils fossili domestiċi. Hemm kritika li l-politiki tal-enerġija Amerikani mill-kriżi ġew iddominati mill-ħsieb tal-mentalità tal-kriżi, li jippromwovu so"&amp;"luzzjonijiet ta 'malajr għaljin u soluzzjonijiet ta' sparatura waħda li jinjoraw ir-realtajiet tas-suq u tat-teknoloġija. Minflok ma jipprovdu regoli stabbli li jappoġġjaw riċerka bażika filwaqt li jħallu ħafna ambitu għall-intraprenditorija u l-innovazzj"&amp;"oni, il-kungressi u l-presidenti appoġġjaw ripetutament politiki li jwiegħdu soluzzjonijiet li huma politikament spedjenti, iżda li l-prospetti tagħhom huma dubjużi.")</f>
        <v>Il-kriżi tal-enerġija wasslet għal interess akbar fl-enerġija rinnovabbli, l-enerġija nukleari u l-fjuwils fossili domestiċi. Hemm kritika li l-politiki tal-enerġija Amerikani mill-kriżi ġew iddominati mill-ħsieb tal-mentalità tal-kriżi, li jippromwovu soluzzjonijiet ta 'malajr għaljin u soluzzjonijiet ta' sparatura waħda li jinjoraw ir-realtajiet tas-suq u tat-teknoloġija. Minflok ma jipprovdu regoli stabbli li jappoġġjaw riċerka bażika filwaqt li jħallu ħafna ambitu għall-intraprenditorija u l-innovazzjoni, il-kungressi u l-presidenti appoġġjaw ripetutament politiki li jwiegħdu soluzzjonijiet li huma politikament spedjenti, iżda li l-prospetti tagħhom huma dubjużi.</v>
      </c>
    </row>
    <row r="1293" ht="15.75" customHeight="1">
      <c r="A1293" s="2" t="s">
        <v>1293</v>
      </c>
      <c r="B1293" s="2" t="str">
        <f>IFERROR(__xludf.DUMMYFUNCTION("GOOGLETRANSLATE(A1293,""en"", ""mt"")"),"X'se jkunu jistgħu jbassru l-Maidens billi jżommu l-programmi tagħhom fil-Vistula")</f>
        <v>X'se jkunu jistgħu jbassru l-Maidens billi jżommu l-programmi tagħhom fil-Vistula</v>
      </c>
    </row>
    <row r="1294" ht="15.75" customHeight="1">
      <c r="A1294" s="2" t="s">
        <v>1294</v>
      </c>
      <c r="B1294" s="2" t="str">
        <f>IFERROR(__xludf.DUMMYFUNCTION("GOOGLETRANSLATE(A1294,""en"", ""mt"")"),"Minbarra l-Konfucjaniżmu, il-Buddiżmu, u l-Iżlam, liema reliġjonijiet ġew ittollerati matul il-wan?")</f>
        <v>Minbarra l-Konfucjaniżmu, il-Buddiżmu, u l-Iżlam, liema reliġjonijiet ġew ittollerati matul il-wan?</v>
      </c>
    </row>
    <row r="1295" ht="15.75" customHeight="1">
      <c r="A1295" s="2" t="s">
        <v>1295</v>
      </c>
      <c r="B1295" s="2" t="str">
        <f>IFERROR(__xludf.DUMMYFUNCTION("GOOGLETRANSLATE(A1295,""en"", ""mt"")"),"Minn Settembru 2004, id-dar uffiċjali tal-Parlament Skoċċiż kienet bini ġdid tal-Parlament Skoċċiż, fiż-żona ta 'Holyrood ta' Edinburgh. Il-bini tal-Parlament Skoċċiż kien iddisinjat mill-perit Spanjol Enric Miralles bi sħab mad-ditta lokali ta ’arkitettu"&amp;"ra ta’ Edinburgh RMJM li kienet immexxija mill-prinċipal tad-disinn Tony Kettle. Uħud mill-karatteristiċi ewlenin tal-kumpless jinkludu bini b'forma ta 'weraq, fergħa msaqqda bil-ħaxix li tgħaqqad f'parkland li jmissu magħhom u ħitan tal-gabion iffurmati "&amp;"mill-ġebel ta' bini preċedenti. Matul il-bini hemm ħafna motivi ripetuti, bħal forom ibbażati fuq il-ministru tal-iskejjel ta 'Raeburn. Gables imxerrda bil-crow u t-tamboċċi tad-dgħajsa mdawra tal-lobby tal-ġnien, itemmu l-arkitettura unika. Ir-Reġina Eli"&amp;"żabetta II fetħet il-bini l-ġdid fid-9 ta ’Ottubru 2004.")</f>
        <v>Minn Settembru 2004, id-dar uffiċjali tal-Parlament Skoċċiż kienet bini ġdid tal-Parlament Skoċċiż, fiż-żona ta 'Holyrood ta' Edinburgh. Il-bini tal-Parlament Skoċċiż kien iddisinjat mill-perit Spanjol Enric Miralles bi sħab mad-ditta lokali ta ’arkitettura ta’ Edinburgh RMJM li kienet immexxija mill-prinċipal tad-disinn Tony Kettle. Uħud mill-karatteristiċi ewlenin tal-kumpless jinkludu bini b'forma ta 'weraq, fergħa msaqqda bil-ħaxix li tgħaqqad f'parkland li jmissu magħhom u ħitan tal-gabion iffurmati mill-ġebel ta' bini preċedenti. Matul il-bini hemm ħafna motivi ripetuti, bħal forom ibbażati fuq il-ministru tal-iskejjel ta 'Raeburn. Gables imxerrda bil-crow u t-tamboċċi tad-dgħajsa mdawra tal-lobby tal-ġnien, itemmu l-arkitettura unika. Ir-Reġina Eliżabetta II fetħet il-bini l-ġdid fid-9 ta ’Ottubru 2004.</v>
      </c>
    </row>
    <row r="1296" ht="15.75" customHeight="1">
      <c r="A1296" s="2" t="s">
        <v>1296</v>
      </c>
      <c r="B1296" s="2" t="str">
        <f>IFERROR(__xludf.DUMMYFUNCTION("GOOGLETRANSLATE(A1296,""en"", ""mt"")"),"Fejn ivvjaġġaw in-nassaba tal-pil Franċiżi?")</f>
        <v>Fejn ivvjaġġaw in-nassaba tal-pil Franċiżi?</v>
      </c>
    </row>
    <row r="1297" ht="15.75" customHeight="1">
      <c r="A1297" s="2" t="s">
        <v>1297</v>
      </c>
      <c r="B1297" s="2" t="str">
        <f>IFERROR(__xludf.DUMMYFUNCTION("GOOGLETRANSLATE(A1297,""en"", ""mt"")"),"Battalja ta 'Marzu ta' Fort Bull")</f>
        <v>Battalja ta 'Marzu ta' Fort Bull</v>
      </c>
    </row>
    <row r="1298" ht="15.75" customHeight="1">
      <c r="A1298" s="2" t="s">
        <v>1298</v>
      </c>
      <c r="B1298" s="2" t="str">
        <f>IFERROR(__xludf.DUMMYFUNCTION("GOOGLETRANSLATE(A1298,""en"", ""mt"")"),"Liema titlu nominali kellhom l-imperaturi Yuan?")</f>
        <v>Liema titlu nominali kellhom l-imperaturi Yuan?</v>
      </c>
    </row>
    <row r="1299" ht="15.75" customHeight="1">
      <c r="A1299" s="2" t="s">
        <v>1299</v>
      </c>
      <c r="B1299" s="2" t="str">
        <f>IFERROR(__xludf.DUMMYFUNCTION("GOOGLETRANSLATE(A1299,""en"", ""mt"")"),"L-ewwel Ewropew li jivvjaġġa t-tul tax-Xmara Amazon kien Francisco de Orellana fl-1542. L-istoriji mhux naturali tal-BBC jippreżentaw evidenza li Orellana, aktar milli teżaġera t-talbiet tiegħu kif kien maħsub qabel, kienet korretta fl-osservazzjonijiet t"&amp;"iegħu li ċiviltà kumplessa kienet qed tiffjorixxi tul l-Amażonja fl-1540s. Huwa maħsub li ċ-ċiviltà aktar tard kienet ħerba mit-tixrid tal-mard mill-Ewropa, bħal ġidri. Mis-snin sebgħin, ġew skoperti bosta ġeoglyphs fuq art deforestata li tmur bejn AD 0-1"&amp;"250, li tkompli t-talbiet dwar ċiviltajiet pre-Kolumbjani. OnDemar Dias huwa akkreditat li l-ewwel jiskopri l-ġeoglyphs fl-1977 u l-Alceu Ranzi billi tkompli l-iskoperta tagħhom wara li ttajjar fuq l-acre. L-istoriji mhux naturali tal-BBC ippreżentaw evid"&amp;"enza li l-foresta tropikali tal-Amażonja, aktar milli tkun deżert verġni, ġiet iffurmata mill-bniedem għal mill-inqas 11,000 sena permezz ta 'prattiki bħall-ġardinaġġ tal-foresti u terra preta.")</f>
        <v>L-ewwel Ewropew li jivvjaġġa t-tul tax-Xmara Amazon kien Francisco de Orellana fl-1542. L-istoriji mhux naturali tal-BBC jippreżentaw evidenza li Orellana, aktar milli teżaġera t-talbiet tiegħu kif kien maħsub qabel, kienet korretta fl-osservazzjonijiet tiegħu li ċiviltà kumplessa kienet qed tiffjorixxi tul l-Amażonja fl-1540s. Huwa maħsub li ċ-ċiviltà aktar tard kienet ħerba mit-tixrid tal-mard mill-Ewropa, bħal ġidri. Mis-snin sebgħin, ġew skoperti bosta ġeoglyphs fuq art deforestata li tmur bejn AD 0-1250, li tkompli t-talbiet dwar ċiviltajiet pre-Kolumbjani. OnDemar Dias huwa akkreditat li l-ewwel jiskopri l-ġeoglyphs fl-1977 u l-Alceu Ranzi billi tkompli l-iskoperta tagħhom wara li ttajjar fuq l-acre. L-istoriji mhux naturali tal-BBC ippreżentaw evidenza li l-foresta tropikali tal-Amażonja, aktar milli tkun deżert verġni, ġiet iffurmata mill-bniedem għal mill-inqas 11,000 sena permezz ta 'prattiki bħall-ġardinaġġ tal-foresti u terra preta.</v>
      </c>
    </row>
    <row r="1300" ht="15.75" customHeight="1">
      <c r="A1300" s="2" t="s">
        <v>1300</v>
      </c>
      <c r="B1300" s="2" t="str">
        <f>IFERROR(__xludf.DUMMYFUNCTION("GOOGLETRANSLATE(A1300,""en"", ""mt"")"),"Telnet inbiegħ lil")</f>
        <v>Telnet inbiegħ lil</v>
      </c>
    </row>
    <row r="1301" ht="15.75" customHeight="1">
      <c r="A1301" s="2" t="s">
        <v>1301</v>
      </c>
      <c r="B1301" s="2" t="str">
        <f>IFERROR(__xludf.DUMMYFUNCTION("GOOGLETRANSLATE(A1301,""en"", ""mt"")"),"L-aħjar kumplessità tal-każ, l-agħar u medja tirreferi għal tliet modi differenti ta 'kejl tal-kumplessità tal-ħin (jew kwalunkwe miżura ta' kumplessità oħra) ta 'inputs differenti ta' l-istess daqs. Peress li xi inputs ta 'daqs n jistgħu jkunu aktar mgħa"&amp;"ġġla biex isolvu minn oħrajn, aħna niddefinixxu l-kumplessitajiet li ġejjin:")</f>
        <v>L-aħjar kumplessità tal-każ, l-agħar u medja tirreferi għal tliet modi differenti ta 'kejl tal-kumplessità tal-ħin (jew kwalunkwe miżura ta' kumplessità oħra) ta 'inputs differenti ta' l-istess daqs. Peress li xi inputs ta 'daqs n jistgħu jkunu aktar mgħaġġla biex isolvu minn oħrajn, aħna niddefinixxu l-kumplessitajiet li ġejjin:</v>
      </c>
    </row>
    <row r="1302" ht="15.75" customHeight="1">
      <c r="A1302" s="2" t="s">
        <v>1302</v>
      </c>
      <c r="B1302" s="2" t="str">
        <f>IFERROR(__xludf.DUMMYFUNCTION("GOOGLETRANSLATE(A1302,""en"", ""mt"")"),"Il-kolonisti Ingliżi ma jkunux siguri sakemm il-Franċiżi kienu preżenti")</f>
        <v>Il-kolonisti Ingliżi ma jkunux siguri sakemm il-Franċiżi kienu preżenti</v>
      </c>
    </row>
    <row r="1303" ht="15.75" customHeight="1">
      <c r="A1303" s="2" t="s">
        <v>1303</v>
      </c>
      <c r="B1303" s="2" t="str">
        <f>IFERROR(__xludf.DUMMYFUNCTION("GOOGLETRANSLATE(A1303,""en"", ""mt"")"),"Skoċċiż, Galliku, jew kwalunkwe lingwa oħra bil-ftehim tal-uffiċjal li jippresiedi")</f>
        <v>Skoċċiż, Galliku, jew kwalunkwe lingwa oħra bil-ftehim tal-uffiċjal li jippresiedi</v>
      </c>
    </row>
    <row r="1304" ht="15.75" customHeight="1">
      <c r="A1304" s="2" t="s">
        <v>1304</v>
      </c>
      <c r="B1304" s="2" t="str">
        <f>IFERROR(__xludf.DUMMYFUNCTION("GOOGLETRANSLATE(A1304,""en"", ""mt"")"),"Il-Lega Musulmana kollha tal-Indja")</f>
        <v>Il-Lega Musulmana kollha tal-Indja</v>
      </c>
    </row>
    <row r="1305" ht="15.75" customHeight="1">
      <c r="A1305" s="2" t="s">
        <v>1305</v>
      </c>
      <c r="B1305" s="2" t="str">
        <f>IFERROR(__xludf.DUMMYFUNCTION("GOOGLETRANSLATE(A1305,""en"", ""mt"")"),"Kemm flussi ewlenin huma ramifikati mill-Nederrijn?")</f>
        <v>Kemm flussi ewlenin huma ramifikati mill-Nederrijn?</v>
      </c>
    </row>
    <row r="1306" ht="15.75" customHeight="1">
      <c r="A1306" s="2" t="s">
        <v>1306</v>
      </c>
      <c r="B1306" s="2" t="str">
        <f>IFERROR(__xludf.DUMMYFUNCTION("GOOGLETRANSLATE(A1306,""en"", ""mt"")"),"Il-kunċett distribwit blokka ta 'messaġġi ta' swiċċjar")</f>
        <v>Il-kunċett distribwit blokka ta 'messaġġi ta' swiċċjar</v>
      </c>
    </row>
    <row r="1307" ht="15.75" customHeight="1">
      <c r="A1307" s="2" t="s">
        <v>1307</v>
      </c>
      <c r="B1307" s="2" t="str">
        <f>IFERROR(__xludf.DUMMYFUNCTION("GOOGLETRANSLATE(A1307,""en"", ""mt"")"),"L-4 Bejgħ u Ċentri tas-Servizz huma meqjusa bħala")</f>
        <v>L-4 Bejgħ u Ċentri tas-Servizz huma meqjusa bħala</v>
      </c>
    </row>
    <row r="1308" ht="15.75" customHeight="1">
      <c r="A1308" s="2" t="s">
        <v>1308</v>
      </c>
      <c r="B1308" s="2" t="str">
        <f>IFERROR(__xludf.DUMMYFUNCTION("GOOGLETRANSLATE(A1308,""en"", ""mt"")"),"ukoll zkuk")</f>
        <v>ukoll zkuk</v>
      </c>
    </row>
    <row r="1309" ht="15.75" customHeight="1">
      <c r="A1309" s="2" t="s">
        <v>1309</v>
      </c>
      <c r="B1309" s="2" t="str">
        <f>IFERROR(__xludf.DUMMYFUNCTION("GOOGLETRANSLATE(A1309,""en"", ""mt"")"),"ippermetta l-agrikoltura u s-silvikultura")</f>
        <v>ippermetta l-agrikoltura u s-silvikultura</v>
      </c>
    </row>
    <row r="1310" ht="15.75" customHeight="1">
      <c r="A1310" s="2" t="s">
        <v>1310</v>
      </c>
      <c r="B1310" s="2" t="str">
        <f>IFERROR(__xludf.DUMMYFUNCTION("GOOGLETRANSLATE(A1310,""en"", ""mt"")"),"Skond Politifact l-aqwa 400 Amerikani l-aktar sinjuri ""għandhom aktar ġid minn nofs l-Amerikani kollha magħquda."" Skond in-New York Times fit-22 ta 'Lulju, 2014, l- ""1 fil-mija l-aktar sinjur fl-Istati Uniti issa għandhom aktar ġid mill-qiegħ 90 fil-mi"&amp;"ja"". Il-ġid li jintiret jista 'jgħin biex jispjega għaliex ħafna Amerikani li saru sinjuri setgħu kellhom ""bidu sostanzjali"". F'Settembru 2012, skont l-Istitut għall-Istudji tal-Politika, ""aktar minn 60 fil-mija"" tal-Forbes l-aktar sinjur 400 Amerika"&amp;"n ""kiber bi privileġġ sostanzjali"".")</f>
        <v>Skond Politifact l-aqwa 400 Amerikani l-aktar sinjuri "għandhom aktar ġid minn nofs l-Amerikani kollha magħquda." Skond in-New York Times fit-22 ta 'Lulju, 2014, l- "1 fil-mija l-aktar sinjur fl-Istati Uniti issa għandhom aktar ġid mill-qiegħ 90 fil-mija". Il-ġid li jintiret jista 'jgħin biex jispjega għaliex ħafna Amerikani li saru sinjuri setgħu kellhom "bidu sostanzjali". F'Settembru 2012, skont l-Istitut għall-Istudji tal-Politika, "aktar minn 60 fil-mija" tal-Forbes l-aktar sinjur 400 Amerikan "kiber bi privileġġ sostanzjali".</v>
      </c>
    </row>
    <row r="1311" ht="15.75" customHeight="1">
      <c r="A1311" s="2" t="s">
        <v>1311</v>
      </c>
      <c r="B1311" s="2" t="str">
        <f>IFERROR(__xludf.DUMMYFUNCTION("GOOGLETRANSLATE(A1311,""en"", ""mt"")"),"Ir-reġjun ta 'fuq tar-Renu nbidel b'mod sinifikanti minn programm ta' rilaxx tar-Renu fis-seklu 19. Ir-rata tal-fluss żdiedet u l-livell tal-ilma ta ’taħt l-art naqas b’mod sinifikanti. Fergħat mejta nixfu u l-ammont ta 'foresti fuq il-pjanuri ta' l-għarg"&amp;"ħar naqas sew. Min-naħa Franċiża, il-Grand Canal D'Alsace kien imħaffer, li jġorr parti sinifikanti mill-ilma tax-xmara, u t-traffiku kollu. F’xi postijiet, hemm pixxini kbar ta ’kumpens, pereżempju l-Bassin de Compensation de Plobsheim enormi fl-Alsace.")</f>
        <v>Ir-reġjun ta 'fuq tar-Renu nbidel b'mod sinifikanti minn programm ta' rilaxx tar-Renu fis-seklu 19. Ir-rata tal-fluss żdiedet u l-livell tal-ilma ta ’taħt l-art naqas b’mod sinifikanti. Fergħat mejta nixfu u l-ammont ta 'foresti fuq il-pjanuri ta' l-għargħar naqas sew. Min-naħa Franċiża, il-Grand Canal D'Alsace kien imħaffer, li jġorr parti sinifikanti mill-ilma tax-xmara, u t-traffiku kollu. F’xi postijiet, hemm pixxini kbar ta ’kumpens, pereżempju l-Bassin de Compensation de Plobsheim enormi fl-Alsace.</v>
      </c>
    </row>
    <row r="1312" ht="15.75" customHeight="1">
      <c r="A1312" s="2" t="s">
        <v>1312</v>
      </c>
      <c r="B1312" s="2" t="str">
        <f>IFERROR(__xludf.DUMMYFUNCTION("GOOGLETRANSLATE(A1312,""en"", ""mt"")"),"Jaqa '")</f>
        <v>Jaqa '</v>
      </c>
    </row>
    <row r="1313" ht="15.75" customHeight="1">
      <c r="A1313" s="2" t="s">
        <v>1313</v>
      </c>
      <c r="B1313" s="2" t="str">
        <f>IFERROR(__xludf.DUMMYFUNCTION("GOOGLETRANSLATE(A1313,""en"", ""mt"")"),"Kotba antiki bir-riċetta u drogi antiki")</f>
        <v>Kotba antiki bir-riċetta u drogi antiki</v>
      </c>
    </row>
    <row r="1314" ht="15.75" customHeight="1">
      <c r="A1314" s="2" t="s">
        <v>1314</v>
      </c>
      <c r="B1314" s="2" t="str">
        <f>IFERROR(__xludf.DUMMYFUNCTION("GOOGLETRANSLATE(A1314,""en"", ""mt"")"),"It-teorema fundamentali tal-aritmetika tkompli żżomm f'oqsma uniċi ta 'fatturizzazzjoni. Eżempju ta 'dominju bħal dan huwa l-Integers Gaussjani Z [i], jiġifieri, is-sett ta' numri kumplessi tal-forma A + Bi fejn nindika l-unità immaġinarja u A u B huma nu"&amp;"mri interi arbitrarji. L-elementi ewlenin tagħha huma magħrufa bħala primes Gaussjani. Mhux kull prim (f'Z) huwa prim Gaussjan: fiċ-ċirku ikbar z [i], 2 fatturi fil-prodott taż-żewġ primes Gaussjani (1 + I) u (1 - i). Primes razzjonali (i.e. elementi ewle"&amp;"nin f'Z) tal-Formola 4K + 3 huma primes Gaussjani, filwaqt li l-primes razzjonali tal-Formola 4K + 1 mhumiex.")</f>
        <v>It-teorema fundamentali tal-aritmetika tkompli żżomm f'oqsma uniċi ta 'fatturizzazzjoni. Eżempju ta 'dominju bħal dan huwa l-Integers Gaussjani Z [i], jiġifieri, is-sett ta' numri kumplessi tal-forma A + Bi fejn nindika l-unità immaġinarja u A u B huma numri interi arbitrarji. L-elementi ewlenin tagħha huma magħrufa bħala primes Gaussjani. Mhux kull prim (f'Z) huwa prim Gaussjan: fiċ-ċirku ikbar z [i], 2 fatturi fil-prodott taż-żewġ primes Gaussjani (1 + I) u (1 - i). Primes razzjonali (i.e. elementi ewlenin f'Z) tal-Formola 4K + 3 huma primes Gaussjani, filwaqt li l-primes razzjonali tal-Formola 4K + 1 mhumiex.</v>
      </c>
    </row>
    <row r="1315" ht="15.75" customHeight="1">
      <c r="A1315" s="2" t="s">
        <v>1315</v>
      </c>
      <c r="B1315" s="2" t="str">
        <f>IFERROR(__xludf.DUMMYFUNCTION("GOOGLETRANSLATE(A1315,""en"", ""mt"")"),"TCP / IP")</f>
        <v>TCP / IP</v>
      </c>
    </row>
    <row r="1316" ht="15.75" customHeight="1">
      <c r="A1316" s="2" t="s">
        <v>1316</v>
      </c>
      <c r="B1316" s="2" t="str">
        <f>IFERROR(__xludf.DUMMYFUNCTION("GOOGLETRANSLATE(A1316,""en"", ""mt"")"),"Biex tnaqqas l-ispejjeż u timmassimizza l-profitti")</f>
        <v>Biex tnaqqas l-ispejjeż u timmassimizza l-profitti</v>
      </c>
    </row>
    <row r="1317" ht="15.75" customHeight="1">
      <c r="A1317" s="2" t="s">
        <v>1317</v>
      </c>
      <c r="B1317" s="2" t="str">
        <f>IFERROR(__xludf.DUMMYFUNCTION("GOOGLETRANSLATE(A1317,""en"", ""mt"")"),"X'se jkollu impatt dirett ta 'inugwaljanza f'sistema li tuża taxxa progressiva?")</f>
        <v>X'se jkollu impatt dirett ta 'inugwaljanza f'sistema li tuża taxxa progressiva?</v>
      </c>
    </row>
    <row r="1318" ht="15.75" customHeight="1">
      <c r="A1318" s="2" t="s">
        <v>1318</v>
      </c>
      <c r="B1318" s="2" t="str">
        <f>IFERROR(__xludf.DUMMYFUNCTION("GOOGLETRANSLATE(A1318,""en"", ""mt"")"),"pajjiżi ifqar")</f>
        <v>pajjiżi ifqar</v>
      </c>
    </row>
    <row r="1319" ht="15.75" customHeight="1">
      <c r="A1319" s="2" t="s">
        <v>1319</v>
      </c>
      <c r="B1319" s="2" t="str">
        <f>IFERROR(__xludf.DUMMYFUNCTION("GOOGLETRANSLATE(A1319,""en"", ""mt"")"),"Liema organizzazzjoni bassret li l-forza tal-Amazon tista 'tibqa' ħajja ta 'aktar minn tliet snin ta' nixfa")</f>
        <v>Liema organizzazzjoni bassret li l-forza tal-Amazon tista 'tibqa' ħajja ta 'aktar minn tliet snin ta' nixfa</v>
      </c>
    </row>
    <row r="1320" ht="15.75" customHeight="1">
      <c r="A1320" s="2" t="s">
        <v>1320</v>
      </c>
      <c r="B1320" s="2" t="str">
        <f>IFERROR(__xludf.DUMMYFUNCTION("GOOGLETRANSLATE(A1320,""en"", ""mt"")"),"L-espansjoni tal-Ewropa fl-imperjalizmu territorjali kienet fil-biċċa l-kbira ffokata fuq it-tkabbir ekonomiku billi tiġbor riżorsi mill-kolonji, flimkien ma 'jekk wieħed jassumi l-kontroll politiku permezz ta' mezzi militari u politiċi. Il-kolonizzazzjon"&amp;"i ta 'l-Indja f'nofs is-seklu 18 toffri eżempju ta' dan il-fokus: hemm, ""l-Ingliżi sfruttaw id-dgħjufija politika ta 'l-istat ta' Mughal, u, filwaqt li l-attività militari kienet importanti f'diversi żminijiet, l-inkorporazzjoni ekonomika u amministratti"&amp;"va ta 'l-elite lokali kien ukoll ta 'sinifikat kruċjali ""għall-istabbiliment ta' kontroll fuq ir-riżorsi, is-swieq u l-ħaddiema tas-sottokontinent. Għalkemm numru sostanzjali ta 'kolonji ġew iddisinjati biex jipprovdu profitt ekonomiku u biex jibgħatu ri"&amp;"żorsi lejn portijiet tad-dar fis-sekli sbatax u tmintax, Fieldhouse jissuġġerixxi li fis-sekli dsatax u għoxrin f'postijiet bħall-Afrika u l-Asja, din l-idea mhix neċessarjament valida ::")</f>
        <v>L-espansjoni tal-Ewropa fl-imperjalizmu territorjali kienet fil-biċċa l-kbira ffokata fuq it-tkabbir ekonomiku billi tiġbor riżorsi mill-kolonji, flimkien ma 'jekk wieħed jassumi l-kontroll politiku permezz ta' mezzi militari u politiċi. Il-kolonizzazzjoni ta 'l-Indja f'nofs is-seklu 18 toffri eżempju ta' dan il-fokus: hemm, "l-Ingliżi sfruttaw id-dgħjufija politika ta 'l-istat ta' Mughal, u, filwaqt li l-attività militari kienet importanti f'diversi żminijiet, l-inkorporazzjoni ekonomika u amministrattiva ta 'l-elite lokali kien ukoll ta 'sinifikat kruċjali "għall-istabbiliment ta' kontroll fuq ir-riżorsi, is-swieq u l-ħaddiema tas-sottokontinent. Għalkemm numru sostanzjali ta 'kolonji ġew iddisinjati biex jipprovdu profitt ekonomiku u biex jibgħatu riżorsi lejn portijiet tad-dar fis-sekli sbatax u tmintax, Fieldhouse jissuġġerixxi li fis-sekli dsatax u għoxrin f'postijiet bħall-Afrika u l-Asja, din l-idea mhix neċessarjament valida ::</v>
      </c>
    </row>
    <row r="1321" ht="15.75" customHeight="1">
      <c r="A1321" s="2" t="s">
        <v>1321</v>
      </c>
      <c r="B1321" s="2" t="str">
        <f>IFERROR(__xludf.DUMMYFUNCTION("GOOGLETRANSLATE(A1321,""en"", ""mt"")"),"X'inhu ffurmat meta fagożoma tgħaqqad ma 'lisosoma?")</f>
        <v>X'inhu ffurmat meta fagożoma tgħaqqad ma 'lisosoma?</v>
      </c>
    </row>
    <row r="1322" ht="15.75" customHeight="1">
      <c r="A1322" s="2" t="s">
        <v>1322</v>
      </c>
      <c r="B1322" s="2" t="str">
        <f>IFERROR(__xludf.DUMMYFUNCTION("GOOGLETRANSLATE(A1322,""en"", ""mt"")"),"jekk hux se jagħmel iktar ħsara milli ġid.")</f>
        <v>jekk hux se jagħmel iktar ħsara milli ġid.</v>
      </c>
    </row>
    <row r="1323" ht="15.75" customHeight="1">
      <c r="A1323" s="2" t="s">
        <v>1323</v>
      </c>
      <c r="B1323" s="2" t="str">
        <f>IFERROR(__xludf.DUMMYFUNCTION("GOOGLETRANSLATE(A1323,""en"", ""mt"")"),"Fresno huwa mmarkat minn klima semi-arida (Köppen BSH), bi xtiewi ħfief u niedja u sjuf sħan u niexfa, u b'hekk juru karatteristiċi tal-Mediterran. Diċembru u Jannar huma l-iktar xhur kesħin, u medja ta 'madwar 46.5 ° F (8.1 ° C), u hemm 14-il lejl b'live"&amp;"lli ffriżati kull sena, bil-lejl l-iktar kiesaħ tas-sena tipikament tiffoka taħt it-30 ° F (−1.1 ° C) Jonqos Lulju huwa l-iktar xahar sħun, b'medja ta '83 .0 ° F (28.3 ° C); Normalment, hemm 32 jum ta '100 ° F (37.8 ° C) + għoljin u 106 ijiem ta' 90 ° F ("&amp;"32.2 ° C) + għoljin, u f'Lulju u Awwissu, hemm biss tlieta jew erbat ijiem fejn jilħqu 90 ° F (32.2 ° C). Is-Summers jipprovdu xemx konsiderevoli, b'Lulju jilħaq il-livell ta '97 fil-mija tas-sigħat totali possibbli tax-xemx; Bil-maqlub, Jannar huwa l-inq"&amp;"as b'46 fil-mija biss tal-ħin tax-xemx minħabba ċ-ċpar oħxon. Madankollu, is-sena medja ta '81% tax-xemx possibbli, għal total ta '3550 siegħa. Il-preċipitazzjoni medja annwali hija ta 'madwar 11.5 pulzier (292.1 mm), li, bid-definizzjoni, tikklassifika ż"&amp;"-żona bħala semidesert. Il-biċċa l-kbira tal-ġrajjiet tad-direzzjoni tal-warda tar-riħ joħorġu mill-majjistral, hekk kif irjieħ huma mmexxija 'l isfel tul l-assi tal-Wied Ċentrali ta' Kalifornja; F'Diċembru, Jannar u Frar hemm preżenza akbar ta 'direzzjon"&amp;"ijiet tar-riħ tax-xlokk fl-istatistiċi tar-riħ. Il-meteoroloġija Fresno ġiet magħżula fi studju nazzjonali tal-Aġenzija għall-Protezzjoni Ambjentali tal-Istati Uniti għall-analiżi tat-temperatura tal-ekwilibriju għall-użu ta 'dejta meteoroloġika ta' għaxa"&amp;"r snin biex tirrappreżenta locale sħuna u niexfa tal-Punent tal-Istati Uniti.")</f>
        <v>Fresno huwa mmarkat minn klima semi-arida (Köppen BSH), bi xtiewi ħfief u niedja u sjuf sħan u niexfa, u b'hekk juru karatteristiċi tal-Mediterran. Diċembru u Jannar huma l-iktar xhur kesħin, u medja ta 'madwar 46.5 ° F (8.1 ° C), u hemm 14-il lejl b'livelli ffriżati kull sena, bil-lejl l-iktar kiesaħ tas-sena tipikament tiffoka taħt it-30 ° F (−1.1 ° C) Jonqos Lulju huwa l-iktar xahar sħun, b'medja ta '83 .0 ° F (28.3 ° C); Normalment, hemm 32 jum ta '100 ° F (37.8 ° C) + għoljin u 106 ijiem ta' 90 ° F (32.2 ° C) + għoljin, u f'Lulju u Awwissu, hemm biss tlieta jew erbat ijiem fejn jilħqu 90 ° F (32.2 ° C). Is-Summers jipprovdu xemx konsiderevoli, b'Lulju jilħaq il-livell ta '97 fil-mija tas-sigħat totali possibbli tax-xemx; Bil-maqlub, Jannar huwa l-inqas b'46 fil-mija biss tal-ħin tax-xemx minħabba ċ-ċpar oħxon. Madankollu, is-sena medja ta '81% tax-xemx possibbli, għal total ta '3550 siegħa. Il-preċipitazzjoni medja annwali hija ta 'madwar 11.5 pulzier (292.1 mm), li, bid-definizzjoni, tikklassifika ż-żona bħala semidesert. Il-biċċa l-kbira tal-ġrajjiet tad-direzzjoni tal-warda tar-riħ joħorġu mill-majjistral, hekk kif irjieħ huma mmexxija 'l isfel tul l-assi tal-Wied Ċentrali ta' Kalifornja; F'Diċembru, Jannar u Frar hemm preżenza akbar ta 'direzzjonijiet tar-riħ tax-xlokk fl-istatistiċi tar-riħ. Il-meteoroloġija Fresno ġiet magħżula fi studju nazzjonali tal-Aġenzija għall-Protezzjoni Ambjentali tal-Istati Uniti għall-analiżi tat-temperatura tal-ekwilibriju għall-użu ta 'dejta meteoroloġika ta' għaxar snin biex tirrappreżenta locale sħuna u niexfa tal-Punent tal-Istati Uniti.</v>
      </c>
    </row>
    <row r="1324" ht="15.75" customHeight="1">
      <c r="A1324" s="2" t="s">
        <v>1324</v>
      </c>
      <c r="B1324" s="2" t="str">
        <f>IFERROR(__xludf.DUMMYFUNCTION("GOOGLETRANSLATE(A1324,""en"", ""mt"")"),"Il-liġijiet ta 'Newton u l-mekkanika Newtonjana b'mod ġenerali ġew żviluppati l-ewwel biex jiddeskrivu kif il-forzi jaffettwaw partiċelli ta' punt idealizzati aktar milli oġġetti tridimensjonali. Madankollu, fil-ħajja reali, il-materja estendiet l-istrutt"&amp;"ura u l-forzi li jaġixxu fuq parti waħda ta 'oġġett jistgħu jaffettwaw partijiet oħra ta' oġġett. Għal sitwazzjonijiet fejn il-kannizzata li żżomm flimkien l-atomi f'oġġett tkun kapaċi tiċċirkola, tikkuntratta, jew tibdel b'xi mod ieħor il-forma, it-teori"&amp;"ji tal-mekkanika kontinwa jiddeskrivu l-mod kif il-forzi jaffettwaw il-materjal. Pereżempju, fi fluwidi estiżi, id-differenzi fil-pressjoni jirriżultaw fil-forzi li jkunu diretti tul il-gradjenti tal-pressjoni kif ġej:")</f>
        <v>Il-liġijiet ta 'Newton u l-mekkanika Newtonjana b'mod ġenerali ġew żviluppati l-ewwel biex jiddeskrivu kif il-forzi jaffettwaw partiċelli ta' punt idealizzati aktar milli oġġetti tridimensjonali. Madankollu, fil-ħajja reali, il-materja estendiet l-istruttura u l-forzi li jaġixxu fuq parti waħda ta 'oġġett jistgħu jaffettwaw partijiet oħra ta' oġġett. Għal sitwazzjonijiet fejn il-kannizzata li żżomm flimkien l-atomi f'oġġett tkun kapaċi tiċċirkola, tikkuntratta, jew tibdel b'xi mod ieħor il-forma, it-teoriji tal-mekkanika kontinwa jiddeskrivu l-mod kif il-forzi jaffettwaw il-materjal. Pereżempju, fi fluwidi estiżi, id-differenzi fil-pressjoni jirriżultaw fil-forzi li jkunu diretti tul il-gradjenti tal-pressjoni kif ġej:</v>
      </c>
    </row>
    <row r="1325" ht="15.75" customHeight="1">
      <c r="A1325" s="2" t="s">
        <v>1325</v>
      </c>
      <c r="B1325" s="2" t="str">
        <f>IFERROR(__xludf.DUMMYFUNCTION("GOOGLETRANSLATE(A1325,""en"", ""mt"")"),"Bħala mezz biex tgħin l-iżvilupp edukattiv u ekonomiku tal-istat")</f>
        <v>Bħala mezz biex tgħin l-iżvilupp edukattiv u ekonomiku tal-istat</v>
      </c>
    </row>
    <row r="1326" ht="15.75" customHeight="1">
      <c r="A1326" s="2" t="s">
        <v>1326</v>
      </c>
      <c r="B1326" s="2" t="str">
        <f>IFERROR(__xludf.DUMMYFUNCTION("GOOGLETRANSLATE(A1326,""en"", ""mt"")"),"Khan kbir")</f>
        <v>Khan kbir</v>
      </c>
    </row>
    <row r="1327" ht="15.75" customHeight="1">
      <c r="A1327" s="2" t="s">
        <v>1327</v>
      </c>
      <c r="B1327" s="2" t="str">
        <f>IFERROR(__xludf.DUMMYFUNCTION("GOOGLETRANSLATE(A1327,""en"", ""mt"")"),"Wahhabi / salafi jihadist extremist militant group")</f>
        <v>Wahhabi / salafi jihadist extremist militant group</v>
      </c>
    </row>
    <row r="1328" ht="15.75" customHeight="1">
      <c r="A1328" s="2" t="s">
        <v>1328</v>
      </c>
      <c r="B1328" s="2" t="str">
        <f>IFERROR(__xludf.DUMMYFUNCTION("GOOGLETRANSLATE(A1328,""en"", ""mt"")"),"Ċaħda tal-kapaċità")</f>
        <v>Ċaħda tal-kapaċità</v>
      </c>
    </row>
    <row r="1329" ht="15.75" customHeight="1">
      <c r="A1329" s="2" t="s">
        <v>1329</v>
      </c>
      <c r="B1329" s="2" t="str">
        <f>IFERROR(__xludf.DUMMYFUNCTION("GOOGLETRANSLATE(A1329,""en"", ""mt"")"),"L-adozzjoni tat-taħlit kienet komuni għal unitajiet industrijali, għal magni tat-toroq u kważi universali għall-magni tal-baħar wara l-1880; Ma kienx popolari universalment fil-lokomottivi tal-ferrovija fejn spiss kien ikkunsidrat bħala kkumplikat. Dan hu"&amp;"wa parzjalment dovut għall-ambjent operattiv tal-ferrovija ħarxa u l-ispazju limitat mogħti mill-gauge tat-tagħbija (partikolarment fil-Gran Brittanja, fejn it-taħlit qatt ma kien komuni u mhux impjegat wara l-1930). Madankollu, għalkemm qatt fil-maġġoran"&amp;"za, kien popolari f'ħafna pajjiżi oħra.")</f>
        <v>L-adozzjoni tat-taħlit kienet komuni għal unitajiet industrijali, għal magni tat-toroq u kważi universali għall-magni tal-baħar wara l-1880; Ma kienx popolari universalment fil-lokomottivi tal-ferrovija fejn spiss kien ikkunsidrat bħala kkumplikat. Dan huwa parzjalment dovut għall-ambjent operattiv tal-ferrovija ħarxa u l-ispazju limitat mogħti mill-gauge tat-tagħbija (partikolarment fil-Gran Brittanja, fejn it-taħlit qatt ma kien komuni u mhux impjegat wara l-1930). Madankollu, għalkemm qatt fil-maġġoranza, kien popolari f'ħafna pajjiżi oħra.</v>
      </c>
    </row>
    <row r="1330" ht="15.75" customHeight="1">
      <c r="A1330" s="2" t="s">
        <v>1330</v>
      </c>
      <c r="B1330" s="2" t="str">
        <f>IFERROR(__xludf.DUMMYFUNCTION("GOOGLETRANSLATE(A1330,""en"", ""mt"")"),"Xi tfisser 'Pax Mongolica'?")</f>
        <v>Xi tfisser 'Pax Mongolica'?</v>
      </c>
    </row>
    <row r="1331" ht="15.75" customHeight="1">
      <c r="A1331" s="2" t="s">
        <v>1331</v>
      </c>
      <c r="B1331" s="2" t="str">
        <f>IFERROR(__xludf.DUMMYFUNCTION("GOOGLETRANSLATE(A1331,""en"", ""mt"")"),"ippeżat invers għad-daqs tal-istat membru")</f>
        <v>ippeżat invers għad-daqs tal-istat membru</v>
      </c>
    </row>
    <row r="1332" ht="15.75" customHeight="1">
      <c r="A1332" s="2" t="s">
        <v>1332</v>
      </c>
      <c r="B1332" s="2" t="str">
        <f>IFERROR(__xludf.DUMMYFUNCTION("GOOGLETRANSLATE(A1332,""en"", ""mt"")"),"1950s")</f>
        <v>1950s</v>
      </c>
    </row>
    <row r="1333" ht="15.75" customHeight="1">
      <c r="A1333" s="2" t="s">
        <v>1333</v>
      </c>
      <c r="B1333" s="2" t="str">
        <f>IFERROR(__xludf.DUMMYFUNCTION("GOOGLETRANSLATE(A1333,""en"", ""mt"")"),"Netwerk ta 'dejta bbażat fuq dan in-netwerk tal-vuċi tat-telefown kien iddisinjat biex jgħaqqad l-erba' Ċentri ta 'Bejgħ u Servizz tal-Kompjuter ta' GE")</f>
        <v>Netwerk ta 'dejta bbażat fuq dan in-netwerk tal-vuċi tat-telefown kien iddisinjat biex jgħaqqad l-erba' Ċentri ta 'Bejgħ u Servizz tal-Kompjuter ta' GE</v>
      </c>
    </row>
    <row r="1334" ht="15.75" customHeight="1">
      <c r="A1334" s="2" t="s">
        <v>1334</v>
      </c>
      <c r="B1334" s="2" t="str">
        <f>IFERROR(__xludf.DUMMYFUNCTION("GOOGLETRANSLATE(A1334,""en"", ""mt"")"),"Liema test huwa partikolarment utli għan-numri tal-Formola 2P - 1?")</f>
        <v>Liema test huwa partikolarment utli għan-numri tal-Formola 2P - 1?</v>
      </c>
    </row>
    <row r="1335" ht="15.75" customHeight="1">
      <c r="A1335" s="2" t="s">
        <v>1335</v>
      </c>
      <c r="B1335" s="2" t="str">
        <f>IFERROR(__xludf.DUMMYFUNCTION("GOOGLETRANSLATE(A1335,""en"", ""mt"")"),"L-Assoċjazzjoni tal-Karozzi tal-Istat ta ’Kalifornja")</f>
        <v>L-Assoċjazzjoni tal-Karozzi tal-Istat ta ’Kalifornja</v>
      </c>
    </row>
    <row r="1336" ht="15.75" customHeight="1">
      <c r="A1336" s="2" t="s">
        <v>1336</v>
      </c>
      <c r="B1336" s="2" t="str">
        <f>IFERROR(__xludf.DUMMYFUNCTION("GOOGLETRANSLATE(A1336,""en"", ""mt"")"),"It-tobba tal-Qorti tal-Yuan ġew minn kulturi differenti. Il-fejqan kienu maqsuma fi tobba mhux Mongoljati msejħa Otachi u Shamans tradizzjonali tal-Mongolja. Il-Mongoli kkaratterizzaw tobba Otachi bl-użu tagħhom ta 'rimedji tal-ħxejjex, li kienet distinta"&amp;" mill-kuri spiritwali tax-xamaniżmu Mongoljan. It-tobba rċivew appoġġ uffiċjali mill-gvern tal-Yuan u ngħataw privileġġi legali speċjali. Kublai ħoloq l-Akkademja Imperjali tal-Mediċina biex jimmaniġġja t-trattati mediċi u l-edukazzjoni ta 'tobba ġodda. L"&amp;"-istudjużi Confucian ġew attirati mill-professjoni medika minħabba li żgura dħul għoli u l-etika medika kienet kompatibbli mal-virtujiet Confucian.")</f>
        <v>It-tobba tal-Qorti tal-Yuan ġew minn kulturi differenti. Il-fejqan kienu maqsuma fi tobba mhux Mongoljati msejħa Otachi u Shamans tradizzjonali tal-Mongolja. Il-Mongoli kkaratterizzaw tobba Otachi bl-użu tagħhom ta 'rimedji tal-ħxejjex, li kienet distinta mill-kuri spiritwali tax-xamaniżmu Mongoljan. It-tobba rċivew appoġġ uffiċjali mill-gvern tal-Yuan u ngħataw privileġġi legali speċjali. Kublai ħoloq l-Akkademja Imperjali tal-Mediċina biex jimmaniġġja t-trattati mediċi u l-edukazzjoni ta 'tobba ġodda. L-istudjużi Confucian ġew attirati mill-professjoni medika minħabba li żgura dħul għoli u l-etika medika kienet kompatibbli mal-virtujiet Confucian.</v>
      </c>
    </row>
    <row r="1337" ht="15.75" customHeight="1">
      <c r="A1337" s="2" t="s">
        <v>1337</v>
      </c>
      <c r="B1337" s="2" t="str">
        <f>IFERROR(__xludf.DUMMYFUNCTION("GOOGLETRANSLATE(A1337,""en"", ""mt"")"),"Ma 'liema innovazzjoni teknoloġika u awtomazzjoni ssostitwiet impjiegi b'ħiliet baxxi?")</f>
        <v>Ma 'liema innovazzjoni teknoloġika u awtomazzjoni ssostitwiet impjiegi b'ħiliet baxxi?</v>
      </c>
    </row>
    <row r="1338" ht="15.75" customHeight="1">
      <c r="A1338" s="2" t="s">
        <v>1338</v>
      </c>
      <c r="B1338" s="2" t="str">
        <f>IFERROR(__xludf.DUMMYFUNCTION("GOOGLETRANSLATE(A1338,""en"", ""mt"")"),"Kif huwa kkaratterizzat il-bidla tal-pakketti")</f>
        <v>Kif huwa kkaratterizzat il-bidla tal-pakketti</v>
      </c>
    </row>
    <row r="1339" ht="15.75" customHeight="1">
      <c r="A1339" s="2" t="s">
        <v>1339</v>
      </c>
      <c r="B1339" s="2" t="str">
        <f>IFERROR(__xludf.DUMMYFUNCTION("GOOGLETRANSLATE(A1339,""en"", ""mt"")"),"L-Università ta ’Aberdeen")</f>
        <v>L-Università ta ’Aberdeen</v>
      </c>
    </row>
    <row r="1340" ht="15.75" customHeight="1">
      <c r="A1340" s="2" t="s">
        <v>1340</v>
      </c>
      <c r="B1340" s="2" t="str">
        <f>IFERROR(__xludf.DUMMYFUNCTION("GOOGLETRANSLATE(A1340,""en"", ""mt"")"),"korp ta 'trattati u leġislazzjoni, bħal regolamenti u direttivi, li għandhom effett dirett jew effett indirett fuq il-liġijiet tal-Istati Membri tal-Unjoni Ewropea")</f>
        <v>korp ta 'trattati u leġislazzjoni, bħal regolamenti u direttivi, li għandhom effett dirett jew effett indirett fuq il-liġijiet tal-Istati Membri tal-Unjoni Ewropea</v>
      </c>
    </row>
    <row r="1341" ht="15.75" customHeight="1">
      <c r="A1341" s="2" t="s">
        <v>1341</v>
      </c>
      <c r="B1341" s="2" t="str">
        <f>IFERROR(__xludf.DUMMYFUNCTION("GOOGLETRANSLATE(A1341,""en"", ""mt"")"),"Dak li jagħmel il-metodu tad-diviżjoni tal-prova aktar effiċjenti?")</f>
        <v>Dak li jagħmel il-metodu tad-diviżjoni tal-prova aktar effiċjenti?</v>
      </c>
    </row>
    <row r="1342" ht="15.75" customHeight="1">
      <c r="A1342" s="2" t="s">
        <v>1342</v>
      </c>
      <c r="B1342" s="2" t="str">
        <f>IFERROR(__xludf.DUMMYFUNCTION("GOOGLETRANSLATE(A1342,""en"", ""mt"")"),"Ir-re attwali ta 'Thebes, li qed jipprova jwaqqafha milli tagħti lil ħuha Polynices dfin xieraq")</f>
        <v>Ir-re attwali ta 'Thebes, li qed jipprova jwaqqafha milli tagħti lil ħuha Polynices dfin xieraq</v>
      </c>
    </row>
    <row r="1343" ht="15.75" customHeight="1">
      <c r="A1343" s="2" t="s">
        <v>1343</v>
      </c>
      <c r="B1343" s="2" t="str">
        <f>IFERROR(__xludf.DUMMYFUNCTION("GOOGLETRANSLATE(A1343,""en"", ""mt"")"),"Kwalità ta 'istituzzjonijiet ta' pajjiż")</f>
        <v>Kwalità ta 'istituzzjonijiet ta' pajjiż</v>
      </c>
    </row>
    <row r="1344" ht="15.75" customHeight="1">
      <c r="A1344" s="2" t="s">
        <v>1344</v>
      </c>
      <c r="B1344" s="2" t="str">
        <f>IFERROR(__xludf.DUMMYFUNCTION("GOOGLETRANSLATE(A1344,""en"", ""mt"")"),"Informatika tal-ispiżerija hija l-kombinazzjoni ta 'xjenza tal-prattika tal-ispiżerija u xjenza ta' informazzjoni applikata. L-informatiċi tal-ispiżerija jaħdmu f'ħafna oqsma ta 'prattika tal-ispiżerija, madankollu, jistgħu jaħdmu wkoll fid-dipartimenti t"&amp;"at-teknoloġija tal-informazzjoni jew għal kumpaniji tal-bejjiegħ tat-teknoloġija tal-informazzjoni dwar il-kura tas-saħħa. Bħala qasam ta 'prattika u dominju speċjalizzat, l-informatika tal-ispiżerija qed tikber malajr biex tissodisfa l-bżonnijiet ta' pro"&amp;"ġetti ta 'informazzjoni nazzjonali u internazzjonali ewlenin u għanijiet ta' interoperabilità tas-sistema tas-saħħa. L-ispiżjara f'dan il-qasam huma mħarrġa biex jipparteċipaw fl-iżvilupp, l-iskjerament u l-ottimizzazzjoni tas-sistema tal-ġestjoni tal-med"&amp;"ikazzjoni.")</f>
        <v>Informatika tal-ispiżerija hija l-kombinazzjoni ta 'xjenza tal-prattika tal-ispiżerija u xjenza ta' informazzjoni applikata. L-informatiċi tal-ispiżerija jaħdmu f'ħafna oqsma ta 'prattika tal-ispiżerija, madankollu, jistgħu jaħdmu wkoll fid-dipartimenti tat-teknoloġija tal-informazzjoni jew għal kumpaniji tal-bejjiegħ tat-teknoloġija tal-informazzjoni dwar il-kura tas-saħħa. Bħala qasam ta 'prattika u dominju speċjalizzat, l-informatika tal-ispiżerija qed tikber malajr biex tissodisfa l-bżonnijiet ta' proġetti ta 'informazzjoni nazzjonali u internazzjonali ewlenin u għanijiet ta' interoperabilità tas-sistema tas-saħħa. L-ispiżjara f'dan il-qasam huma mħarrġa biex jipparteċipaw fl-iżvilupp, l-iskjerament u l-ottimizzazzjoni tas-sistema tal-ġestjoni tal-medikazzjoni.</v>
      </c>
    </row>
    <row r="1345" ht="15.75" customHeight="1">
      <c r="A1345" s="2" t="s">
        <v>1345</v>
      </c>
      <c r="B1345" s="2" t="str">
        <f>IFERROR(__xludf.DUMMYFUNCTION("GOOGLETRANSLATE(A1345,""en"", ""mt"")"),"Harvard_Università")</f>
        <v>Harvard_Università</v>
      </c>
    </row>
    <row r="1346" ht="15.75" customHeight="1">
      <c r="A1346" s="2" t="s">
        <v>1346</v>
      </c>
      <c r="B1346" s="2" t="str">
        <f>IFERROR(__xludf.DUMMYFUNCTION("GOOGLETRANSLATE(A1346,""en"", ""mt"")"),"X'kienet Ban Ki-moon is-Segretarju Ġenerali ta '?")</f>
        <v>X'kienet Ban Ki-moon is-Segretarju Ġenerali ta '?</v>
      </c>
    </row>
    <row r="1347" ht="15.75" customHeight="1">
      <c r="A1347" s="2" t="s">
        <v>1347</v>
      </c>
      <c r="B1347" s="2" t="str">
        <f>IFERROR(__xludf.DUMMYFUNCTION("GOOGLETRANSLATE(A1347,""en"", ""mt"")"),"mitluba mill-gvernijiet")</f>
        <v>mitluba mill-gvernijiet</v>
      </c>
    </row>
    <row r="1348" ht="15.75" customHeight="1">
      <c r="A1348" s="2" t="s">
        <v>1348</v>
      </c>
      <c r="B1348" s="2" t="str">
        <f>IFERROR(__xludf.DUMMYFUNCTION("GOOGLETRANSLATE(A1348,""en"", ""mt"")"),"Semmi żejjed li ġie miżjud mal-produzzjoni tal-kumpatti.")</f>
        <v>Semmi żejjed li ġie miżjud mal-produzzjoni tal-kumpatti.</v>
      </c>
    </row>
    <row r="1349" ht="15.75" customHeight="1">
      <c r="A1349" s="2" t="s">
        <v>1349</v>
      </c>
      <c r="B1349" s="2" t="str">
        <f>IFERROR(__xludf.DUMMYFUNCTION("GOOGLETRANSLATE(A1349,""en"", ""mt"")"),"fażi ta 'setup f'kull nodu involut qabel ma jiġi trasferit kwalunkwe pakkett biex jistabbilixxi l-parametri tal-komunikazzjoni")</f>
        <v>fażi ta 'setup f'kull nodu involut qabel ma jiġi trasferit kwalunkwe pakkett biex jistabbilixxi l-parametri tal-komunikazzjoni</v>
      </c>
    </row>
    <row r="1350" ht="15.75" customHeight="1">
      <c r="A1350" s="2" t="s">
        <v>1350</v>
      </c>
      <c r="B1350" s="2" t="str">
        <f>IFERROR(__xludf.DUMMYFUNCTION("GOOGLETRANSLATE(A1350,""en"", ""mt"")"),"F'liema forma huma l-iktar mediċini fl-isptar?")</f>
        <v>F'liema forma huma l-iktar mediċini fl-isptar?</v>
      </c>
    </row>
    <row r="1351" ht="15.75" customHeight="1">
      <c r="A1351" s="2" t="s">
        <v>1351</v>
      </c>
      <c r="B1351" s="2" t="str">
        <f>IFERROR(__xludf.DUMMYFUNCTION("GOOGLETRANSLATE(A1351,""en"", ""mt"")"),"NP-Complete Knapsack")</f>
        <v>NP-Complete Knapsack</v>
      </c>
    </row>
    <row r="1352" ht="15.75" customHeight="1">
      <c r="A1352" s="2" t="s">
        <v>1352</v>
      </c>
      <c r="B1352" s="2" t="str">
        <f>IFERROR(__xludf.DUMMYFUNCTION("GOOGLETRANSLATE(A1352,""en"", ""mt"")"),"Kienu ċ-ċentri ta 'profitt")</f>
        <v>Kienu ċ-ċentri ta 'profitt</v>
      </c>
    </row>
    <row r="1353" ht="15.75" customHeight="1">
      <c r="A1353" s="2" t="s">
        <v>1353</v>
      </c>
      <c r="B1353" s="2" t="str">
        <f>IFERROR(__xludf.DUMMYFUNCTION("GOOGLETRANSLATE(A1353,""en"", ""mt"")"),"X'tip ta 'ekonomija bdiet tikber fit-Tramuntana ta' California fis-snin 2000?")</f>
        <v>X'tip ta 'ekonomija bdiet tikber fit-Tramuntana ta' California fis-snin 2000?</v>
      </c>
    </row>
    <row r="1354" ht="15.75" customHeight="1">
      <c r="A1354" s="2" t="s">
        <v>1354</v>
      </c>
      <c r="B1354" s="2" t="str">
        <f>IFERROR(__xludf.DUMMYFUNCTION("GOOGLETRANSLATE(A1354,""en"", ""mt"")"),"il-kummentarji dwar il-klassika tal-bidliet")</f>
        <v>il-kummentarji dwar il-klassika tal-bidliet</v>
      </c>
    </row>
    <row r="1355" ht="15.75" customHeight="1">
      <c r="A1355" s="2" t="s">
        <v>1355</v>
      </c>
      <c r="B1355" s="2" t="str">
        <f>IFERROR(__xludf.DUMMYFUNCTION("GOOGLETRANSLATE(A1355,""en"", ""mt"")"),"X'tip ta 'nies jattendu l-laqgħat tal-IPCC?")</f>
        <v>X'tip ta 'nies jattendu l-laqgħat tal-IPCC?</v>
      </c>
    </row>
    <row r="1356" ht="15.75" customHeight="1">
      <c r="A1356" s="2" t="s">
        <v>1356</v>
      </c>
      <c r="B1356" s="2" t="str">
        <f>IFERROR(__xludf.DUMMYFUNCTION("GOOGLETRANSLATE(A1356,""en"", ""mt"")"),"jirrendu ċerti liġijiet ineffettivi, biex jikkawżaw ir-revoka tagħhom")</f>
        <v>jirrendu ċerti liġijiet ineffettivi, biex jikkawżaw ir-revoka tagħhom</v>
      </c>
    </row>
    <row r="1357" ht="15.75" customHeight="1">
      <c r="A1357" s="2" t="s">
        <v>1357</v>
      </c>
      <c r="B1357" s="2" t="str">
        <f>IFERROR(__xludf.DUMMYFUNCTION("GOOGLETRANSLATE(A1357,""en"", ""mt"")"),"Il-klima aktar mxarrba setgħet ippermettiet li l-foresta tropikali tinfirex madwar il-kontinent.")</f>
        <v>Il-klima aktar mxarrba setgħet ippermettiet li l-foresta tropikali tinfirex madwar il-kontinent.</v>
      </c>
    </row>
    <row r="1358" ht="15.75" customHeight="1">
      <c r="A1358" s="2" t="s">
        <v>1358</v>
      </c>
      <c r="B1358" s="2" t="str">
        <f>IFERROR(__xludf.DUMMYFUNCTION("GOOGLETRANSLATE(A1358,""en"", ""mt"")"),"Jibqgħu d-dar biex itaffu r-rata għolja ta 'qgħad fost irġiel żgħażagħ Alġerini")</f>
        <v>Jibqgħu d-dar biex itaffu r-rata għolja ta 'qgħad fost irġiel żgħażagħ Alġerini</v>
      </c>
    </row>
    <row r="1359" ht="15.75" customHeight="1">
      <c r="A1359" s="2" t="s">
        <v>1359</v>
      </c>
      <c r="B1359" s="2" t="str">
        <f>IFERROR(__xludf.DUMMYFUNCTION("GOOGLETRANSLATE(A1359,""en"", ""mt"")"),"Iffoka fuq dak li hu biex itejjeb il-ħafna problemi li jinħolqu mill-prattiki ta 'spiss kompetittivi u kontradittorji fl-industrija tal-kostruzzjoni.")</f>
        <v>Iffoka fuq dak li hu biex itejjeb il-ħafna problemi li jinħolqu mill-prattiki ta 'spiss kompetittivi u kontradittorji fl-industrija tal-kostruzzjoni.</v>
      </c>
    </row>
    <row r="1360" ht="15.75" customHeight="1">
      <c r="A1360" s="2" t="s">
        <v>1360</v>
      </c>
      <c r="B1360" s="2" t="str">
        <f>IFERROR(__xludf.DUMMYFUNCTION("GOOGLETRANSLATE(A1360,""en"", ""mt"")"),"fqir")</f>
        <v>fqir</v>
      </c>
    </row>
    <row r="1361" ht="15.75" customHeight="1">
      <c r="A1361" s="2" t="s">
        <v>1361</v>
      </c>
      <c r="B1361" s="2" t="str">
        <f>IFERROR(__xludf.DUMMYFUNCTION("GOOGLETRANSLATE(A1361,""en"", ""mt"")"),"il-forza tal-gravità")</f>
        <v>il-forza tal-gravità</v>
      </c>
    </row>
    <row r="1362" ht="15.75" customHeight="1">
      <c r="A1362" s="2" t="s">
        <v>1362</v>
      </c>
      <c r="B1362" s="2" t="str">
        <f>IFERROR(__xludf.DUMMYFUNCTION("GOOGLETRANSLATE(A1362,""en"", ""mt"")"),"Liema kunflitti naqset il-mitigazzjoni tal-ożonu?")</f>
        <v>Liema kunflitti naqset il-mitigazzjoni tal-ożonu?</v>
      </c>
    </row>
    <row r="1363" ht="15.75" customHeight="1">
      <c r="A1363" s="2" t="s">
        <v>1363</v>
      </c>
      <c r="B1363" s="2" t="str">
        <f>IFERROR(__xludf.DUMMYFUNCTION("GOOGLETRANSLATE(A1363,""en"", ""mt"")"),"SCOTTISH_PARLIAMENT")</f>
        <v>SCOTTISH_PARLIAMENT</v>
      </c>
    </row>
    <row r="1364" ht="15.75" customHeight="1">
      <c r="A1364" s="2" t="s">
        <v>1364</v>
      </c>
      <c r="B1364" s="2" t="str">
        <f>IFERROR(__xludf.DUMMYFUNCTION("GOOGLETRANSLATE(A1364,""en"", ""mt"")"),"Normalment huwa rikonoxxut li t-tfassil tal-liġi, jekk ma jsirx pubblikament, għall-inqas irid jitħabbar pubblikament sabiex jikkostitwixxi diżubbidjenza ċivili. Iżda Stephen Eilmann jargumenta li jekk huwa meħtieġ li ma jobdux ir-regoli ta 'dak il-morali"&amp;"tà, nistgħu nistaqsu għaliex id-diżubbidjenza għandha tieħu l-forma ta' diżubbidjenza ċivili pubblika aktar milli sempliċement tkompli l-liġi. Jekk avukat jixtieq jgħin lil klijent jegħleb l-ostakli legali biex jiżgura d-drittijiet naturali tiegħu jew tie"&amp;"għu, huwa jista ', pereżempju, isib li l-assistenza fil-fabbrikazzjoni ta' evidenza jew li tikkommetti sperġur ​​hija aktar effettiva minn diżubbidjenza miftuħa. Dan jassumi li l-moralità komuni m'għandhiex projbizzjoni fuq l-ingann f'sitwazzjonijiet bħal"&amp;" dawn. Il-pubblikazzjoni tal-assoċjazzjoni tal-ġurija infurmata bis-sħiħ ""A Primer For Prospettivi"" tinnota, ""aħseb dwar id-dilemma li tiffaċċja ċittadini Ġermaniżi meta l-pulizija sigrieta ta 'Hitler talbet biex tkun taf jekk kinux qed jaħbu Lhudi fid"&amp;"-dar tagħhom."" Permezz ta 'din id-definizzjoni, id-diżubbidjenza ċivili tista' tiġi rintraċċata għall-Ktieb ta 'l-Eżodu, fejn Shiphrah u Puah irrifjutaw ordni diretta tal-Fargħun iżda rrappreżentaw ħażin kif għamlu dan. (Eżodu 1: 15-19)")</f>
        <v>Normalment huwa rikonoxxut li t-tfassil tal-liġi, jekk ma jsirx pubblikament, għall-inqas irid jitħabbar pubblikament sabiex jikkostitwixxi diżubbidjenza ċivili. Iżda Stephen Eilmann jargumenta li jekk huwa meħtieġ li ma jobdux ir-regoli ta 'dak il-moralità, nistgħu nistaqsu għaliex id-diżubbidjenza għandha tieħu l-forma ta' diżubbidjenza ċivili pubblika aktar milli sempliċement tkompli l-liġi. Jekk avukat jixtieq jgħin lil klijent jegħleb l-ostakli legali biex jiżgura d-drittijiet naturali tiegħu jew tiegħu, huwa jista ', pereżempju, isib li l-assistenza fil-fabbrikazzjoni ta' evidenza jew li tikkommetti sperġur ​​hija aktar effettiva minn diżubbidjenza miftuħa. Dan jassumi li l-moralità komuni m'għandhiex projbizzjoni fuq l-ingann f'sitwazzjonijiet bħal dawn. Il-pubblikazzjoni tal-assoċjazzjoni tal-ġurija infurmata bis-sħiħ "A Primer For Prospettivi" tinnota, "aħseb dwar id-dilemma li tiffaċċja ċittadini Ġermaniżi meta l-pulizija sigrieta ta 'Hitler talbet biex tkun taf jekk kinux qed jaħbu Lhudi fid-dar tagħhom." Permezz ta 'din id-definizzjoni, id-diżubbidjenza ċivili tista' tiġi rintraċċata għall-Ktieb ta 'l-Eżodu, fejn Shiphrah u Puah irrifjutaw ordni diretta tal-Fargħun iżda rrappreżentaw ħażin kif għamlu dan. (Eżodu 1: 15-19)</v>
      </c>
    </row>
    <row r="1365" ht="15.75" customHeight="1">
      <c r="A1365" s="2" t="s">
        <v>1365</v>
      </c>
      <c r="B1365" s="2" t="str">
        <f>IFERROR(__xludf.DUMMYFUNCTION("GOOGLETRANSLATE(A1365,""en"", ""mt"")"),"Mikroorganiżmi")</f>
        <v>Mikroorganiżmi</v>
      </c>
    </row>
    <row r="1366" ht="15.75" customHeight="1">
      <c r="A1366" s="2" t="s">
        <v>1366</v>
      </c>
      <c r="B1366" s="2" t="str">
        <f>IFERROR(__xludf.DUMMYFUNCTION("GOOGLETRANSLATE(A1366,""en"", ""mt"")"),"Għaliex xi ħadd m'għandux jikkommetti reat meta jkun qed jipprotesta?")</f>
        <v>Għaliex xi ħadd m'għandux jikkommetti reat meta jkun qed jipprotesta?</v>
      </c>
    </row>
    <row r="1367" ht="15.75" customHeight="1">
      <c r="A1367" s="2" t="s">
        <v>1367</v>
      </c>
      <c r="B1367" s="2" t="str">
        <f>IFERROR(__xludf.DUMMYFUNCTION("GOOGLETRANSLATE(A1367,""en"", ""mt"")"),"Qlib ta 'blokka ta' messaġġi adattivi distribwiti")</f>
        <v>Qlib ta 'blokka ta' messaġġi adattivi distribwiti</v>
      </c>
    </row>
    <row r="1368" ht="15.75" customHeight="1">
      <c r="A1368" s="2" t="s">
        <v>1368</v>
      </c>
      <c r="B1368" s="2" t="str">
        <f>IFERROR(__xludf.DUMMYFUNCTION("GOOGLETRANSLATE(A1368,""en"", ""mt"")"),"tagħti tfittxija ta 'kunsens")</f>
        <v>tagħti tfittxija ta 'kunsens</v>
      </c>
    </row>
    <row r="1369" ht="15.75" customHeight="1">
      <c r="A1369" s="2" t="s">
        <v>1369</v>
      </c>
      <c r="B1369" s="2" t="str">
        <f>IFERROR(__xludf.DUMMYFUNCTION("GOOGLETRANSLATE(A1369,""en"", ""mt"")"),"Kieku ġie arrestat, x'jiġri mill-fuljetti li ngħataw minn Carter Wentworth fil-qorti")</f>
        <v>Kieku ġie arrestat, x'jiġri mill-fuljetti li ngħataw minn Carter Wentworth fil-qorti</v>
      </c>
    </row>
    <row r="1370" ht="15.75" customHeight="1">
      <c r="A1370" s="2" t="s">
        <v>1370</v>
      </c>
      <c r="B1370" s="2" t="str">
        <f>IFERROR(__xludf.DUMMYFUNCTION("GOOGLETRANSLATE(A1370,""en"", ""mt"")"),"Liema kulturi kienu parti mill-amministrazzjoni ta 'Kublai?")</f>
        <v>Liema kulturi kienu parti mill-amministrazzjoni ta 'Kublai?</v>
      </c>
    </row>
    <row r="1371" ht="15.75" customHeight="1">
      <c r="A1371" s="2" t="s">
        <v>1371</v>
      </c>
      <c r="B1371" s="2" t="str">
        <f>IFERROR(__xludf.DUMMYFUNCTION("GOOGLETRANSLATE(A1371,""en"", ""mt"")"),"Ipotesi ta 'Hugues")</f>
        <v>Ipotesi ta 'Hugues</v>
      </c>
    </row>
    <row r="1372" ht="15.75" customHeight="1">
      <c r="A1372" s="2" t="s">
        <v>1372</v>
      </c>
      <c r="B1372" s="2" t="str">
        <f>IFERROR(__xludf.DUMMYFUNCTION("GOOGLETRANSLATE(A1372,""en"", ""mt"")"),"Sekwenzi tal-Fossili")</f>
        <v>Sekwenzi tal-Fossili</v>
      </c>
    </row>
    <row r="1373" ht="15.75" customHeight="1">
      <c r="A1373" s="2" t="s">
        <v>1373</v>
      </c>
      <c r="B1373" s="2" t="str">
        <f>IFERROR(__xludf.DUMMYFUNCTION("GOOGLETRANSLATE(A1373,""en"", ""mt"")"),"Konservazzjoni bbażata fil-Komunità")</f>
        <v>Konservazzjoni bbażata fil-Komunità</v>
      </c>
    </row>
    <row r="1374" ht="15.75" customHeight="1">
      <c r="A1374" s="2" t="s">
        <v>1374</v>
      </c>
      <c r="B1374" s="2" t="str">
        <f>IFERROR(__xludf.DUMMYFUNCTION("GOOGLETRANSLATE(A1374,""en"", ""mt"")"),"""Huwa ż-żejt tal-Iskozja""")</f>
        <v>"Huwa ż-żejt tal-Iskozja"</v>
      </c>
    </row>
    <row r="1375" ht="15.75" customHeight="1">
      <c r="A1375" s="2" t="s">
        <v>1375</v>
      </c>
      <c r="B1375" s="2" t="str">
        <f>IFERROR(__xludf.DUMMYFUNCTION("GOOGLETRANSLATE(A1375,""en"", ""mt"")"),"ID tal-Konnessjoni")</f>
        <v>ID tal-Konnessjoni</v>
      </c>
    </row>
    <row r="1376" ht="15.75" customHeight="1">
      <c r="A1376" s="2" t="s">
        <v>1376</v>
      </c>
      <c r="B1376" s="2" t="str">
        <f>IFERROR(__xludf.DUMMYFUNCTION("GOOGLETRANSLATE(A1376,""en"", ""mt"")"),"It-tielet l-iktar abbundanti")</f>
        <v>It-tielet l-iktar abbundanti</v>
      </c>
    </row>
    <row r="1377" ht="15.75" customHeight="1">
      <c r="A1377" s="2" t="s">
        <v>1377</v>
      </c>
      <c r="B1377" s="2" t="str">
        <f>IFERROR(__xludf.DUMMYFUNCTION("GOOGLETRANSLATE(A1377,""en"", ""mt"")"),"Liema direzzjoni jgħumu Ctenophore?")</f>
        <v>Liema direzzjoni jgħumu Ctenophore?</v>
      </c>
    </row>
    <row r="1378" ht="15.75" customHeight="1">
      <c r="A1378" s="2" t="s">
        <v>1378</v>
      </c>
      <c r="B1378" s="2" t="str">
        <f>IFERROR(__xludf.DUMMYFUNCTION("GOOGLETRANSLATE(A1378,""en"", ""mt"")"),"X'jagħmlu dawk fil-qasam biex jiżguraw riżultat pożittiv?")</f>
        <v>X'jagħmlu dawk fil-qasam biex jiżguraw riżultat pożittiv?</v>
      </c>
    </row>
    <row r="1379" ht="15.75" customHeight="1">
      <c r="A1379" s="2" t="s">
        <v>1379</v>
      </c>
      <c r="B1379" s="2" t="str">
        <f>IFERROR(__xludf.DUMMYFUNCTION("GOOGLETRANSLATE(A1379,""en"", ""mt"")"),"Problema tal-komputazzjoni tista 'titqies bħala ġabra infinita ta' każijiet flimkien ma 'soluzzjoni għal kull istanza. Is-sekwenza tal-input għal problema tal-komputazzjoni hija msejħa bħala problema ta 'problema, u m'għandhiex titħawwad mal-problema nnif"&amp;"isha. Fit-teorija tal-kumplessità tal-komputazzjoni, problema tirreferi għall-kwistjoni astratta li trid tissolva. B'kuntrast, eżempju ta 'din il-problema huwa kelma pjuttost konkreta, li tista' sservi bħala l-kontribut għal problema ta 'deċiżjoni. Pereże"&amp;"mpju, ikkunsidra l-problema tal-ittestjar tal-primalità. L-istanza hija numru (eż. 15) u s-soluzzjoni hija ""iva"" jekk in-numru huwa prim u ""le"" mod ieħor (f'dan il-każ ""le""). Iddikjarat mod ieħor, l-istanza hija input partikolari għall-problema, u s"&amp;"-soluzzjoni hija l-output li jikkorrispondi għall-input mogħti.")</f>
        <v>Problema tal-komputazzjoni tista 'titqies bħala ġabra infinita ta' każijiet flimkien ma 'soluzzjoni għal kull istanza. Is-sekwenza tal-input għal problema tal-komputazzjoni hija msejħa bħala problema ta 'problema, u m'għandhiex titħawwad mal-problema nnifisha. Fit-teorija tal-kumplessità tal-komputazzjoni, problema tirreferi għall-kwistjoni astratta li trid tissolva. B'kuntrast, eżempju ta 'din il-problema huwa kelma pjuttost konkreta, li tista' sservi bħala l-kontribut għal problema ta 'deċiżjoni. Pereżempju, ikkunsidra l-problema tal-ittestjar tal-primalità. L-istanza hija numru (eż. 15) u s-soluzzjoni hija "iva" jekk in-numru huwa prim u "le" mod ieħor (f'dan il-każ "le"). Iddikjarat mod ieħor, l-istanza hija input partikolari għall-problema, u s-soluzzjoni hija l-output li jikkorrispondi għall-input mogħti.</v>
      </c>
    </row>
    <row r="1380" ht="15.75" customHeight="1">
      <c r="A1380" s="2" t="s">
        <v>1380</v>
      </c>
      <c r="B1380" s="2" t="str">
        <f>IFERROR(__xludf.DUMMYFUNCTION("GOOGLETRANSLATE(A1380,""en"", ""mt"")"),"Manifatturi u negozjanti Ċiniżi privati ​​tan-Nofsinhar")</f>
        <v>Manifatturi u negozjanti Ċiniżi privati ​​tan-Nofsinhar</v>
      </c>
    </row>
    <row r="1381" ht="15.75" customHeight="1">
      <c r="A1381" s="2" t="s">
        <v>1381</v>
      </c>
      <c r="B1381" s="2" t="str">
        <f>IFERROR(__xludf.DUMMYFUNCTION("GOOGLETRANSLATE(A1381,""en"", ""mt"")"),"Il-fallimenti Ingliżi fl-Amerika ta ’Fuq, flimkien ma’ fallimenti oħra fit-Teatru Ewropew, wasslu għall-waqgħa mill-poter ta ’Newcastle u l-konsulent militari prinċipali tiegħu, id-Duka ta’ Cumberland. Newcastle u Pitt ingħaqdu f'koalizzjoni inkwiet li fi"&amp;"ha Pitt iddomina l-ippjanar militari. Huwa beda pjan għall-kampanja tal-1758 li kienet fil-biċċa l-kbira żviluppata minn Loudoun. Huwa kien ġie sostitwit minn Abercrombie bħala kmandant kap wara l-fallimenti tal-1757. Il-pjan ta 'Pitt talab għal tliet azz"&amp;"jonijiet offensivi kbar li jinvolvu numru kbir ta' truppi regolari, appoġġjati mill-milizji provinċjali, immirati biex jaqbdu l-qalb ta 'Franza l-ġdida. Tnejn mill-ispedizzjonijiet kellhom suċċess, bil-Fort Duquesne u Louisbourg jaqgħu għall-forzi Ingliżi"&amp;" mdaqqsa.")</f>
        <v>Il-fallimenti Ingliżi fl-Amerika ta ’Fuq, flimkien ma’ fallimenti oħra fit-Teatru Ewropew, wasslu għall-waqgħa mill-poter ta ’Newcastle u l-konsulent militari prinċipali tiegħu, id-Duka ta’ Cumberland. Newcastle u Pitt ingħaqdu f'koalizzjoni inkwiet li fiha Pitt iddomina l-ippjanar militari. Huwa beda pjan għall-kampanja tal-1758 li kienet fil-biċċa l-kbira żviluppata minn Loudoun. Huwa kien ġie sostitwit minn Abercrombie bħala kmandant kap wara l-fallimenti tal-1757. Il-pjan ta 'Pitt talab għal tliet azzjonijiet offensivi kbar li jinvolvu numru kbir ta' truppi regolari, appoġġjati mill-milizji provinċjali, immirati biex jaqbdu l-qalb ta 'Franza l-ġdida. Tnejn mill-ispedizzjonijiet kellhom suċċess, bil-Fort Duquesne u Louisbourg jaqgħu għall-forzi Ingliżi mdaqqsa.</v>
      </c>
    </row>
    <row r="1382" ht="15.75" customHeight="1">
      <c r="A1382" s="2" t="s">
        <v>1382</v>
      </c>
      <c r="B1382" s="2" t="str">
        <f>IFERROR(__xludf.DUMMYFUNCTION("GOOGLETRANSLATE(A1382,""en"", ""mt"")"),"Sistema ta 'qsim ta' ħin, ibbażata fuq ix-xogħol ta 'Kemney f'Dartmouth - li uża kompjuter b'self minn GE - jista' jkun ta 'profitt")</f>
        <v>Sistema ta 'qsim ta' ħin, ibbażata fuq ix-xogħol ta 'Kemney f'Dartmouth - li uża kompjuter b'self minn GE - jista' jkun ta 'profitt</v>
      </c>
    </row>
    <row r="1383" ht="15.75" customHeight="1">
      <c r="A1383" s="2" t="s">
        <v>1383</v>
      </c>
      <c r="B1383" s="2" t="str">
        <f>IFERROR(__xludf.DUMMYFUNCTION("GOOGLETRANSLATE(A1383,""en"", ""mt"")"),"Tappoġġja attivament u tadotta kultura Ċiniża mainstream")</f>
        <v>Tappoġġja attivament u tadotta kultura Ċiniża mainstream</v>
      </c>
    </row>
    <row r="1384" ht="15.75" customHeight="1">
      <c r="A1384" s="2" t="s">
        <v>1384</v>
      </c>
      <c r="B1384" s="2" t="str">
        <f>IFERROR(__xludf.DUMMYFUNCTION("GOOGLETRANSLATE(A1384,""en"", ""mt"")"),"miżmuma jegħleb sekulari jew li kienu introduċew jew ippromwovu ideat u prattiki tal-Punent / barranin fis-soċjetajiet Iżlamiċi")</f>
        <v>miżmuma jegħleb sekulari jew li kienu introduċew jew ippromwovu ideat u prattiki tal-Punent / barranin fis-soċjetajiet Iżlamiċi</v>
      </c>
    </row>
    <row r="1385" ht="15.75" customHeight="1">
      <c r="A1385" s="2" t="s">
        <v>1385</v>
      </c>
      <c r="B1385" s="2" t="str">
        <f>IFERROR(__xludf.DUMMYFUNCTION("GOOGLETRANSLATE(A1385,""en"", ""mt"")"),"X'tip ta 'grupp huwa l-Istat Iżlamiku?")</f>
        <v>X'tip ta 'grupp huwa l-Istat Iżlamiku?</v>
      </c>
    </row>
    <row r="1386" ht="15.75" customHeight="1">
      <c r="A1386" s="2" t="s">
        <v>1386</v>
      </c>
      <c r="B1386" s="2" t="str">
        <f>IFERROR(__xludf.DUMMYFUNCTION("GOOGLETRANSLATE(A1386,""en"", ""mt"")"),"Reyners vs il-Belġju")</f>
        <v>Reyners vs il-Belġju</v>
      </c>
    </row>
    <row r="1387" ht="15.75" customHeight="1">
      <c r="A1387" s="2" t="s">
        <v>1387</v>
      </c>
      <c r="B1387" s="2" t="str">
        <f>IFERROR(__xludf.DUMMYFUNCTION("GOOGLETRANSLATE(A1387,""en"", ""mt"")"),"Mudelli molekulari marbuta mal-patoġeni jew PAMPs")</f>
        <v>Mudelli molekulari marbuta mal-patoġeni jew PAMPs</v>
      </c>
    </row>
    <row r="1388" ht="15.75" customHeight="1">
      <c r="A1388" s="2" t="s">
        <v>1388</v>
      </c>
      <c r="B1388" s="2" t="str">
        <f>IFERROR(__xludf.DUMMYFUNCTION("GOOGLETRANSLATE(A1388,""en"", ""mt"")"),"0.5–1.4 m")</f>
        <v>0.5–1.4 m</v>
      </c>
    </row>
    <row r="1389" ht="15.75" customHeight="1">
      <c r="A1389" s="2" t="s">
        <v>1389</v>
      </c>
      <c r="B1389" s="2" t="str">
        <f>IFERROR(__xludf.DUMMYFUNCTION("GOOGLETRANSLATE(A1389,""en"", ""mt"")"),"Flora commensali")</f>
        <v>Flora commensali</v>
      </c>
    </row>
    <row r="1390" ht="15.75" customHeight="1">
      <c r="A1390" s="2" t="s">
        <v>1390</v>
      </c>
      <c r="B1390" s="2" t="str">
        <f>IFERROR(__xludf.DUMMYFUNCTION("GOOGLETRANSLATE(A1390,""en"", ""mt"")"),"mill-inqas 90%")</f>
        <v>mill-inqas 90%</v>
      </c>
    </row>
    <row r="1391" ht="15.75" customHeight="1">
      <c r="A1391" s="2" t="s">
        <v>1391</v>
      </c>
      <c r="B1391" s="2" t="str">
        <f>IFERROR(__xludf.DUMMYFUNCTION("GOOGLETRANSLATE(A1391,""en"", ""mt"")"),"Presbiterjan")</f>
        <v>Presbiterjan</v>
      </c>
    </row>
    <row r="1392" ht="15.75" customHeight="1">
      <c r="A1392" s="2" t="s">
        <v>1392</v>
      </c>
      <c r="B1392" s="2" t="str">
        <f>IFERROR(__xludf.DUMMYFUNCTION("GOOGLETRANSLATE(A1392,""en"", ""mt"")"),"In-Norveġja")</f>
        <v>In-Norveġja</v>
      </c>
    </row>
    <row r="1393" ht="15.75" customHeight="1">
      <c r="A1393" s="2" t="s">
        <v>1393</v>
      </c>
      <c r="B1393" s="2" t="str">
        <f>IFERROR(__xludf.DUMMYFUNCTION("GOOGLETRANSLATE(A1393,""en"", ""mt"")"),"Il- ""Grafika tal-Hockey Stick""")</f>
        <v>Il- "Grafika tal-Hockey Stick"</v>
      </c>
    </row>
    <row r="1394" ht="15.75" customHeight="1">
      <c r="A1394" s="2" t="s">
        <v>1394</v>
      </c>
      <c r="B1394" s="2" t="str">
        <f>IFERROR(__xludf.DUMMYFUNCTION("GOOGLETRANSLATE(A1394,""en"", ""mt"")"),"Iż-żieda fit-temperatura kienet qrib it-tarf ta 'fuq tal-firxa mogħtija")</f>
        <v>Iż-żieda fit-temperatura kienet qrib it-tarf ta 'fuq tal-firxa mogħtija</v>
      </c>
    </row>
    <row r="1395" ht="15.75" customHeight="1">
      <c r="A1395" s="2" t="s">
        <v>1395</v>
      </c>
      <c r="B1395" s="2" t="str">
        <f>IFERROR(__xludf.DUMMYFUNCTION("GOOGLETRANSLATE(A1395,""en"", ""mt"")"),"F'liema rwol fl-ekonomija l-università kellha sehem ewlieni?")</f>
        <v>F'liema rwol fl-ekonomija l-università kellha sehem ewlieni?</v>
      </c>
    </row>
    <row r="1396" ht="15.75" customHeight="1">
      <c r="A1396" s="2" t="s">
        <v>1396</v>
      </c>
      <c r="B1396" s="2" t="str">
        <f>IFERROR(__xludf.DUMMYFUNCTION("GOOGLETRANSLATE(A1396,""en"", ""mt"")"),"Proporzjon baxx ta 'materja organika għal melħ u ilma")</f>
        <v>Proporzjon baxx ta 'materja organika għal melħ u ilma</v>
      </c>
    </row>
    <row r="1397" ht="15.75" customHeight="1">
      <c r="A1397" s="2" t="s">
        <v>1397</v>
      </c>
      <c r="B1397" s="2" t="str">
        <f>IFERROR(__xludf.DUMMYFUNCTION("GOOGLETRANSLATE(A1397,""en"", ""mt"")"),"Liema ritwali segwew Kublai biex jgħinu l-immaġni tiegħu?")</f>
        <v>Liema ritwali segwew Kublai biex jgħinu l-immaġni tiegħu?</v>
      </c>
    </row>
    <row r="1398" ht="15.75" customHeight="1">
      <c r="A1398" s="2" t="s">
        <v>1398</v>
      </c>
      <c r="B1398" s="2" t="str">
        <f>IFERROR(__xludf.DUMMYFUNCTION("GOOGLETRANSLATE(A1398,""en"", ""mt"")"),"Fejn kienet il-popolazzjoni Huguenot ta 'Franza fil-biċċa l-kbira ċċentrata?")</f>
        <v>Fejn kienet il-popolazzjoni Huguenot ta 'Franza fil-biċċa l-kbira ċċentrata?</v>
      </c>
    </row>
    <row r="1399" ht="15.75" customHeight="1">
      <c r="A1399" s="2" t="s">
        <v>1399</v>
      </c>
      <c r="B1399" s="2" t="str">
        <f>IFERROR(__xludf.DUMMYFUNCTION("GOOGLETRANSLATE(A1399,""en"", ""mt"")"),"Taħriġ speċjali biex jiżgura li s-sorsi tat-tqabbid jiġu mminimizzati")</f>
        <v>Taħriġ speċjali biex jiżgura li s-sorsi tat-tqabbid jiġu mminimizzati</v>
      </c>
    </row>
    <row r="1400" ht="15.75" customHeight="1">
      <c r="A1400" s="2" t="s">
        <v>1400</v>
      </c>
      <c r="B1400" s="2" t="str">
        <f>IFERROR(__xludf.DUMMYFUNCTION("GOOGLETRANSLATE(A1400,""en"", ""mt"")"),"X’waqqaf Paul-Louis Simond fl-1898?")</f>
        <v>X’waqqaf Paul-Louis Simond fl-1898?</v>
      </c>
    </row>
    <row r="1401" ht="15.75" customHeight="1">
      <c r="A1401" s="2" t="s">
        <v>1401</v>
      </c>
      <c r="B1401" s="2" t="str">
        <f>IFERROR(__xludf.DUMMYFUNCTION("GOOGLETRANSLATE(A1401,""en"", ""mt"")"),"X'kien il-Mall pedonali msejjaħ?")</f>
        <v>X'kien il-Mall pedonali msejjaħ?</v>
      </c>
    </row>
    <row r="1402" ht="15.75" customHeight="1">
      <c r="A1402" s="2" t="s">
        <v>1402</v>
      </c>
      <c r="B1402" s="2" t="str">
        <f>IFERROR(__xludf.DUMMYFUNCTION("GOOGLETRANSLATE(A1402,""en"", ""mt"")"),"Storikament, ir-Rabat kienet il-bażi għall-impjanti tal-manifattura tal-marki tal-karozzi ewlenin Ford, Toyota u Holden; Madankollu, avviżi ta 'għeluq mit-tliet kumpaniji kollha fis-seklu 21 se jfissru li l-Awstralja ma tibqax bażi għall-industrija tal-ka"&amp;"rozzi globali, bid-dikjarazzjoni ta' Toyota fi Frar 2014 li tiddeskrivi sena ta 'għeluq ta' l-2017. L-aħbar ta 'Holden seħħet f'Mejju 2013, segwita minn Id-deċiżjoni ta 'Ford f'Diċembru tal-istess sena (il-pjanti Vittorjani ta' Ford - fil-Broadmeadows u G"&amp;"eelong - se jagħlqu f'Ottubru 2016).")</f>
        <v>Storikament, ir-Rabat kienet il-bażi għall-impjanti tal-manifattura tal-marki tal-karozzi ewlenin Ford, Toyota u Holden; Madankollu, avviżi ta 'għeluq mit-tliet kumpaniji kollha fis-seklu 21 se jfissru li l-Awstralja ma tibqax bażi għall-industrija tal-karozzi globali, bid-dikjarazzjoni ta' Toyota fi Frar 2014 li tiddeskrivi sena ta 'għeluq ta' l-2017. L-aħbar ta 'Holden seħħet f'Mejju 2013, segwita minn Id-deċiżjoni ta 'Ford f'Diċembru tal-istess sena (il-pjanti Vittorjani ta' Ford - fil-Broadmeadows u Geelong - se jagħlqu f'Ottubru 2016).</v>
      </c>
    </row>
    <row r="1403" ht="15.75" customHeight="1">
      <c r="A1403" s="2" t="s">
        <v>1403</v>
      </c>
      <c r="B1403" s="2" t="str">
        <f>IFERROR(__xludf.DUMMYFUNCTION("GOOGLETRANSLATE(A1403,""en"", ""mt"")"),"konsum tal-fjuwil, produzzjoni industrijali u l-bqija")</f>
        <v>konsum tal-fjuwil, produzzjoni industrijali u l-bqija</v>
      </c>
    </row>
    <row r="1404" ht="15.75" customHeight="1">
      <c r="A1404" s="2" t="s">
        <v>1404</v>
      </c>
      <c r="B1404" s="2" t="str">
        <f>IFERROR(__xludf.DUMMYFUNCTION("GOOGLETRANSLATE(A1404,""en"", ""mt"")"),"Numru ta 'bibien f'ċirkwit")</f>
        <v>Numru ta 'bibien f'ċirkwit</v>
      </c>
    </row>
    <row r="1405" ht="15.75" customHeight="1">
      <c r="A1405" s="2" t="s">
        <v>1405</v>
      </c>
      <c r="B1405" s="2" t="str">
        <f>IFERROR(__xludf.DUMMYFUNCTION("GOOGLETRANSLATE(A1405,""en"", ""mt"")"),"OneDrive għan-Negozju")</f>
        <v>OneDrive għan-Negozju</v>
      </c>
    </row>
    <row r="1406" ht="15.75" customHeight="1">
      <c r="A1406" s="2" t="s">
        <v>1406</v>
      </c>
      <c r="B1406" s="2" t="str">
        <f>IFERROR(__xludf.DUMMYFUNCTION("GOOGLETRANSLATE(A1406,""en"", ""mt"")"),"Amazon_rainforest")</f>
        <v>Amazon_rainforest</v>
      </c>
    </row>
    <row r="1407" ht="15.75" customHeight="1">
      <c r="A1407" s="2" t="s">
        <v>1407</v>
      </c>
      <c r="B1407" s="2" t="str">
        <f>IFERROR(__xludf.DUMMYFUNCTION("GOOGLETRANSLATE(A1407,""en"", ""mt"")"),"magħluqin l-iskejjel Huguenot u eskludewhom minn professjonijiet favoriti")</f>
        <v>magħluqin l-iskejjel Huguenot u eskludewhom minn professjonijiet favoriti</v>
      </c>
    </row>
    <row r="1408" ht="15.75" customHeight="1">
      <c r="A1408" s="2" t="s">
        <v>1408</v>
      </c>
      <c r="B1408" s="2" t="str">
        <f>IFERROR(__xludf.DUMMYFUNCTION("GOOGLETRANSLATE(A1408,""en"", ""mt"")"),"Użu ta 'netwerk deċentralizzat b'ħafna mogħdijiet bejn kwalunkwe żewġ punti, billi taqsam il-messaġġi tal-utent fi blokki ta' messaġġi")</f>
        <v>Użu ta 'netwerk deċentralizzat b'ħafna mogħdijiet bejn kwalunkwe żewġ punti, billi taqsam il-messaġġi tal-utent fi blokki ta' messaġġi</v>
      </c>
    </row>
    <row r="1409" ht="15.75" customHeight="1">
      <c r="A1409" s="2" t="s">
        <v>1409</v>
      </c>
      <c r="B1409" s="2" t="str">
        <f>IFERROR(__xludf.DUMMYFUNCTION("GOOGLETRANSLATE(A1409,""en"", ""mt"")"),"X'jista 'jagħmel Hermaphrodite simultanju?")</f>
        <v>X'jista 'jagħmel Hermaphrodite simultanju?</v>
      </c>
    </row>
    <row r="1410" ht="15.75" customHeight="1">
      <c r="A1410" s="2" t="s">
        <v>1410</v>
      </c>
      <c r="B1410" s="2" t="str">
        <f>IFERROR(__xludf.DUMMYFUNCTION("GOOGLETRANSLATE(A1410,""en"", ""mt"")"),"B'liema korp għandu jirreġistra tekniku tal-ispiżerija?")</f>
        <v>B'liema korp għandu jirreġistra tekniku tal-ispiżerija?</v>
      </c>
    </row>
    <row r="1411" ht="15.75" customHeight="1">
      <c r="A1411" s="2" t="s">
        <v>1411</v>
      </c>
      <c r="B1411" s="2" t="str">
        <f>IFERROR(__xludf.DUMMYFUNCTION("GOOGLETRANSLATE(A1411,""en"", ""mt"")"),"Mekkaniżmi ta 'tqassim mill-ġdid bħal programmi ta' benesseri soċjali")</f>
        <v>Mekkaniżmi ta 'tqassim mill-ġdid bħal programmi ta' benesseri soċjali</v>
      </c>
    </row>
    <row r="1412" ht="15.75" customHeight="1">
      <c r="A1412" s="2" t="s">
        <v>1412</v>
      </c>
      <c r="B1412" s="2" t="str">
        <f>IFERROR(__xludf.DUMMYFUNCTION("GOOGLETRANSLATE(A1412,""en"", ""mt"")"),"Kontej oranġjo")</f>
        <v>Kontej oranġjo</v>
      </c>
    </row>
    <row r="1413" ht="15.75" customHeight="1">
      <c r="A1413" s="2" t="s">
        <v>1413</v>
      </c>
      <c r="B1413" s="2" t="str">
        <f>IFERROR(__xludf.DUMMYFUNCTION("GOOGLETRANSLATE(A1413,""en"", ""mt"")"),"Pereżempju, waqt li tkun qed tivvjaġġa f'vettura li tiċċaqlaq b'veloċità kostanti, il-liġijiet tal-fiżika ma jinbidlux mill-mistrieħ. Persuna tista 'titfa' ballun dritta 'l fuq fl-arja u taqbadha hekk kif taqa' mingħajr ma tinkwieta dwar l-applikazzjoni t"&amp;"a 'forza fid-direzzjoni li l-vettura tkun miexja. Dan huwa minnu minkejja li persuna oħra li qed tosserva l-vettura li tiċċaqlaq billi tosserva wkoll il-ballun issegwi triq parabolika mgħawġa fl-istess direzzjoni bħall-moviment tal-vettura. Hija l-inerzja"&amp;" tal-ballun assoċjata mal-veloċità kostanti tagħha fid-direzzjoni tal-moviment tal-vettura li tiżgura li l-ballun ikompli jimxi 'l quddiem anki meta jintefa' u jaqa 'lura. Mill-perspettiva tal-persuna fil-karozza, il-vettura u dak kollu li hemm fil-mistri"&amp;"eħ tagħha: hija d-dinja ta 'barra li miexja b'veloċità kostanti fid-direzzjoni opposta. Peress li m'hemm l-ebda esperiment li jista 'jiddistingwi jekk hijiex il-vettura li tinsab fil-mistrieħ jew id-dinja ta' barra li tinsab fil-mistrieħ, iż-żewġ sitwazzj"&amp;"onijiet huma meqjusa li huma fiżikament indistingwibbli. L-inerzja għalhekk tapplika daqstant tajjeb għal mozzjoni ta 'veloċità kostanti kif tagħmel għall-mistrieħ.")</f>
        <v>Pereżempju, waqt li tkun qed tivvjaġġa f'vettura li tiċċaqlaq b'veloċità kostanti, il-liġijiet tal-fiżika ma jinbidlux mill-mistrieħ. Persuna tista 'titfa' ballun dritta 'l fuq fl-arja u taqbadha hekk kif taqa' mingħajr ma tinkwieta dwar l-applikazzjoni ta 'forza fid-direzzjoni li l-vettura tkun miexja. Dan huwa minnu minkejja li persuna oħra li qed tosserva l-vettura li tiċċaqlaq billi tosserva wkoll il-ballun issegwi triq parabolika mgħawġa fl-istess direzzjoni bħall-moviment tal-vettura. Hija l-inerzja tal-ballun assoċjata mal-veloċità kostanti tagħha fid-direzzjoni tal-moviment tal-vettura li tiżgura li l-ballun ikompli jimxi 'l quddiem anki meta jintefa' u jaqa 'lura. Mill-perspettiva tal-persuna fil-karozza, il-vettura u dak kollu li hemm fil-mistrieħ tagħha: hija d-dinja ta 'barra li miexja b'veloċità kostanti fid-direzzjoni opposta. Peress li m'hemm l-ebda esperiment li jista 'jiddistingwi jekk hijiex il-vettura li tinsab fil-mistrieħ jew id-dinja ta' barra li tinsab fil-mistrieħ, iż-żewġ sitwazzjonijiet huma meqjusa li huma fiżikament indistingwibbli. L-inerzja għalhekk tapplika daqstant tajjeb għal mozzjoni ta 'veloċità kostanti kif tagħmel għall-mistrieħ.</v>
      </c>
    </row>
    <row r="1414" ht="15.75" customHeight="1">
      <c r="A1414" s="2" t="s">
        <v>1414</v>
      </c>
      <c r="B1414" s="2" t="str">
        <f>IFERROR(__xludf.DUMMYFUNCTION("GOOGLETRANSLATE(A1414,""en"", ""mt"")"),"Il-President Mahmoud Ahmadinejad")</f>
        <v>Il-President Mahmoud Ahmadinejad</v>
      </c>
    </row>
    <row r="1415" ht="15.75" customHeight="1">
      <c r="A1415" s="2" t="s">
        <v>1415</v>
      </c>
      <c r="B1415" s="2" t="str">
        <f>IFERROR(__xludf.DUMMYFUNCTION("GOOGLETRANSLATE(A1415,""en"", ""mt"")"),"Liema ktieb iddiskuta t-teorija dwar popolazzjonijiet baxxi fil-foresta tropikali tal-Amażonja?")</f>
        <v>Liema ktieb iddiskuta t-teorija dwar popolazzjonijiet baxxi fil-foresta tropikali tal-Amażonja?</v>
      </c>
    </row>
    <row r="1416" ht="15.75" customHeight="1">
      <c r="A1416" s="2" t="s">
        <v>1416</v>
      </c>
      <c r="B1416" s="2" t="str">
        <f>IFERROR(__xludf.DUMMYFUNCTION("GOOGLETRANSLATE(A1416,""en"", ""mt"")"),"Xi jaħseb li jagħmel id-9 +3 ta 'cilia?")</f>
        <v>Xi jaħseb li jagħmel id-9 +3 ta 'cilia?</v>
      </c>
    </row>
    <row r="1417" ht="15.75" customHeight="1">
      <c r="A1417" s="2" t="s">
        <v>1417</v>
      </c>
      <c r="B1417" s="2" t="str">
        <f>IFERROR(__xludf.DUMMYFUNCTION("GOOGLETRANSLATE(A1417,""en"", ""mt"")"),"Austpac kien netwerk pubbliku Awstraljan X.25 imħaddem minn Telstra")</f>
        <v>Austpac kien netwerk pubbliku Awstraljan X.25 imħaddem minn Telstra</v>
      </c>
    </row>
    <row r="1418" ht="15.75" customHeight="1">
      <c r="A1418" s="2" t="s">
        <v>1418</v>
      </c>
      <c r="B1418" s="2" t="str">
        <f>IFERROR(__xludf.DUMMYFUNCTION("GOOGLETRANSLATE(A1418,""en"", ""mt"")"),"Ippreserva t-tolleranza tas-soċjetà għad-diżubbidjenza ċivili")</f>
        <v>Ippreserva t-tolleranza tas-soċjetà għad-diżubbidjenza ċivili</v>
      </c>
    </row>
    <row r="1419" ht="15.75" customHeight="1">
      <c r="A1419" s="2" t="s">
        <v>1419</v>
      </c>
      <c r="B1419" s="2" t="str">
        <f>IFERROR(__xludf.DUMMYFUNCTION("GOOGLETRANSLATE(A1419,""en"", ""mt"")"),"Steven Barkan jikteb li jekk l-imputati jinvokaw mhux ħatja, ""iridu jiddeċiedu jekk l-għan ewlieni tagħhom hux li jirbħu l-ħelsien u jevitaw ħabs jew multa, jew li jużaw il-proċeduri bħala forum biex jinfurmaw lill-ġurija u lill-pubbliku taċ-ċirkostanzi "&amp;"politiċi Madwar il-każ u r-raġunijiet tagħhom biex tinkiser il-liġi permezz ta 'diżubbidjenza ċivili. "" Difiża teknika tista 'ttejjeb iċ-ċansijiet ta' ħelsien iżda tagħmel aktar proċeduri ta 'dwejjaq u kopertura tal-istampa mnaqqsa. Matul l-era tal-Gwerr"&amp;"a tal-Vjetnam, it-Tmienja ta ’Chicago użaw difiża politika, filwaqt li Benjamin Spock uża difiża teknika. F'pajjiżi bħall-Istati Uniti li l-liġijiet tagħhom jiggarantixxu d-dritt għal proċess ta 'ġurija iżda ma jiskużawx il-liġi għal skopijiet politiċi, x"&amp;"i diżubbidjenti ċivili jfittxu n-nullifikazzjoni tal-ġurija. Matul is-snin, dan sar iktar diffiċli minn deċiżjonijiet tal-qorti bħal Sparf v. L-Istati Uniti, li ddeċidiet li l-imħallef m'għandux għalfejn jinforma lill-ġurati dwar il-prerogattiva tan-nulli"&amp;"fikazzjoni tagħhom, u l-Istati Uniti v. Dougherty, li ddeċidiet li l-imħallef m'għandux għalfejn jippermetti imputati biex ifittxu bil-miftuħ in-nullifikazzjoni tal-ġurija.")</f>
        <v>Steven Barkan jikteb li jekk l-imputati jinvokaw mhux ħatja, "iridu jiddeċiedu jekk l-għan ewlieni tagħhom hux li jirbħu l-ħelsien u jevitaw ħabs jew multa, jew li jużaw il-proċeduri bħala forum biex jinfurmaw lill-ġurija u lill-pubbliku taċ-ċirkostanzi politiċi Madwar il-każ u r-raġunijiet tagħhom biex tinkiser il-liġi permezz ta 'diżubbidjenza ċivili. " Difiża teknika tista 'ttejjeb iċ-ċansijiet ta' ħelsien iżda tagħmel aktar proċeduri ta 'dwejjaq u kopertura tal-istampa mnaqqsa. Matul l-era tal-Gwerra tal-Vjetnam, it-Tmienja ta ’Chicago użaw difiża politika, filwaqt li Benjamin Spock uża difiża teknika. F'pajjiżi bħall-Istati Uniti li l-liġijiet tagħhom jiggarantixxu d-dritt għal proċess ta 'ġurija iżda ma jiskużawx il-liġi għal skopijiet politiċi, xi diżubbidjenti ċivili jfittxu n-nullifikazzjoni tal-ġurija. Matul is-snin, dan sar iktar diffiċli minn deċiżjonijiet tal-qorti bħal Sparf v. L-Istati Uniti, li ddeċidiet li l-imħallef m'għandux għalfejn jinforma lill-ġurati dwar il-prerogattiva tan-nullifikazzjoni tagħhom, u l-Istati Uniti v. Dougherty, li ddeċidiet li l-imħallef m'għandux għalfejn jippermetti imputati biex ifittxu bil-miftuħ in-nullifikazzjoni tal-ġurija.</v>
      </c>
    </row>
    <row r="1420" ht="15.75" customHeight="1">
      <c r="A1420" s="2" t="s">
        <v>1420</v>
      </c>
      <c r="B1420" s="2" t="str">
        <f>IFERROR(__xludf.DUMMYFUNCTION("GOOGLETRANSLATE(A1420,""en"", ""mt"")"),"Pjan ta 'tliet snin")</f>
        <v>Pjan ta 'tliet snin</v>
      </c>
    </row>
    <row r="1421" ht="15.75" customHeight="1">
      <c r="A1421" s="2" t="s">
        <v>1421</v>
      </c>
      <c r="B1421" s="2" t="str">
        <f>IFERROR(__xludf.DUMMYFUNCTION("GOOGLETRANSLATE(A1421,""en"", ""mt"")"),"il-kontribut kulturali tiegħu")</f>
        <v>il-kontribut kulturali tiegħu</v>
      </c>
    </row>
    <row r="1422" ht="15.75" customHeight="1">
      <c r="A1422" s="2" t="s">
        <v>1422</v>
      </c>
      <c r="B1422" s="2" t="str">
        <f>IFERROR(__xludf.DUMMYFUNCTION("GOOGLETRANSLATE(A1422,""en"", ""mt"")"),"Deċiżjoni importanti għal diżubbidjenti ċivili hija jekk hux se jinvoka ħati jew le. Hemm ħafna dibattitu dwar dan il-punt, għax xi wħud jemmnu li huwa d-dmir ta 'diżubbidjenti ċivili li jissottometti l-piena preskritt mil-liġi, filwaqt li oħrajn jemmnu l"&amp;"i d-difiża ta' ruħha fil-qorti se żżid il-possibbiltà li tinbidel il-liġi inġusta. Ġie argumentat ukoll li kwalunkwe għażla hija kompatibbli mal-ispirtu ta 'diżubbidjenza ċivili. Il-manwal tat-taħriġ tad-diżubbidjenza ċivili ta 'ACT-UP jiddikjara li diżub"&amp;"bidjenti ċivili li jinvoka ħati huwa essenzjalment jiddikjara, ""Iva, impenjat l-att li takkuża lili. Jien ma niċħadx; fil-fatt, jien kburi bih. Inħoss Jien għamilt l-aħjar ħaġa billi kiser din il-liġi partikolari; jien ħati bħala akkużat, ""imma li nvolv"&amp;"i li mhux ħati jibgħat messaġġ ta ',"" il-ħtija timplika ħażin. Inħoss li għamilt l-ebda ħażin. Jista' jkolli kiser xi liġijiet speċifiċi , imma jien ħati li ma għamilt l-ebda ħażin. Għalhekk jien inqajjem ħati. "" Motiv ta 'l-ebda konkors huwa xi kultant"&amp;" meqjus bħala kompromess bejn it-tnejn. Wieħed mill-akkużat akkużat li pprotesta illegalment l-enerġija nukleari, meta mitlub jidħol fl-eċċezzjoni tiegħu, iddikjara, ""Jiena nitlob għas-sbuħija li jdawwarna""; Dan huwa magħruf bħala ""motiv kreattiv,"" u "&amp;"ġeneralment ikun interpretat bħala motiv ta 'mhux ħati.")</f>
        <v>Deċiżjoni importanti għal diżubbidjenti ċivili hija jekk hux se jinvoka ħati jew le. Hemm ħafna dibattitu dwar dan il-punt, għax xi wħud jemmnu li huwa d-dmir ta 'diżubbidjenti ċivili li jissottometti l-piena preskritt mil-liġi, filwaqt li oħrajn jemmnu li d-difiża ta' ruħha fil-qorti se żżid il-possibbiltà li tinbidel il-liġi inġusta. Ġie argumentat ukoll li kwalunkwe għażla hija kompatibbli mal-ispirtu ta 'diżubbidjenza ċivili. Il-manwal tat-taħriġ tad-diżubbidjenza ċivili ta 'ACT-UP jiddikjara li diżubbidjenti ċivili li jinvoka ħati huwa essenzjalment jiddikjara, "Iva, impenjat l-att li takkuża lili. Jien ma niċħadx; fil-fatt, jien kburi bih. Inħoss Jien għamilt l-aħjar ħaġa billi kiser din il-liġi partikolari; jien ħati bħala akkużat, "imma li nvolvi li mhux ħati jibgħat messaġġ ta '," il-ħtija timplika ħażin. Inħoss li għamilt l-ebda ħażin. Jista' jkolli kiser xi liġijiet speċifiċi , imma jien ħati li ma għamilt l-ebda ħażin. Għalhekk jien inqajjem ħati. " Motiv ta 'l-ebda konkors huwa xi kultant meqjus bħala kompromess bejn it-tnejn. Wieħed mill-akkużat akkużat li pprotesta illegalment l-enerġija nukleari, meta mitlub jidħol fl-eċċezzjoni tiegħu, iddikjara, "Jiena nitlob għas-sbuħija li jdawwarna"; Dan huwa magħruf bħala "motiv kreattiv," u ġeneralment ikun interpretat bħala motiv ta 'mhux ħati.</v>
      </c>
    </row>
    <row r="1423" ht="15.75" customHeight="1">
      <c r="A1423" s="2" t="s">
        <v>1423</v>
      </c>
      <c r="B1423" s="2" t="str">
        <f>IFERROR(__xludf.DUMMYFUNCTION("GOOGLETRANSLATE(A1423,""en"", ""mt"")"),"Meta Barton u Whitfield jitolbu rekords ta 'riċerka dwar il-klima?")</f>
        <v>Meta Barton u Whitfield jitolbu rekords ta 'riċerka dwar il-klima?</v>
      </c>
    </row>
    <row r="1424" ht="15.75" customHeight="1">
      <c r="A1424" s="2" t="s">
        <v>1424</v>
      </c>
      <c r="B1424" s="2" t="str">
        <f>IFERROR(__xludf.DUMMYFUNCTION("GOOGLETRANSLATE(A1424,""en"", ""mt"")"),"seba 'xhur")</f>
        <v>seba 'xhur</v>
      </c>
    </row>
    <row r="1425" ht="15.75" customHeight="1">
      <c r="A1425" s="2" t="s">
        <v>1425</v>
      </c>
      <c r="B1425" s="2" t="str">
        <f>IFERROR(__xludf.DUMMYFUNCTION("GOOGLETRANSLATE(A1425,""en"", ""mt"")"),"Il-fluss ta 'ilma tal-muntanji kiesaħ u griż ikompli għal ftit distanza fil-lag. L-ilma kiesaħ jiċċirkola ħdejn il-wiċċ u għall-ewwel ma jitħallatx ma 'l-ilmijiet sħan u ħodor tal-lag ta' fuq. Imma mbagħad, fl-hekk imsejħa Rheinbrech, l-ilma tar-Renu jaqa"&amp;" 'ħesrem fil-fond minħabba d-densità akbar ta' ilma kiesaħ. Il-fluss jerġa 'jidher fuq il-wiċċ fix-xatt tat-tramuntana (Ġermaniż) tal-lag, barra l-gżira ta' Lindau. L-ilma mbagħad isegwi x-xatt tat-tramuntana sakemm Hagnau am Bodensee. Frazzjoni żgħira ta"&amp;"l-fluss hija ddevjata 'l barra mill-gżira ta' Mainau fil-Lag überlingen. Il-biċċa l-kbira tal-ilma jiċċirkola permezz tal-Hopper Constance fir-Rheinrinne (""Rhine Gutter"") u Seerhein. Jiddependi fuq il-livell tal-ilma, dan il-fluss ta 'l-ilma tar-Renu hu"&amp;"wa viżibbli b'mod ċar tul it-tul kollu tal-lag.")</f>
        <v>Il-fluss ta 'ilma tal-muntanji kiesaħ u griż ikompli għal ftit distanza fil-lag. L-ilma kiesaħ jiċċirkola ħdejn il-wiċċ u għall-ewwel ma jitħallatx ma 'l-ilmijiet sħan u ħodor tal-lag ta' fuq. Imma mbagħad, fl-hekk imsejħa Rheinbrech, l-ilma tar-Renu jaqa 'ħesrem fil-fond minħabba d-densità akbar ta' ilma kiesaħ. Il-fluss jerġa 'jidher fuq il-wiċċ fix-xatt tat-tramuntana (Ġermaniż) tal-lag, barra l-gżira ta' Lindau. L-ilma mbagħad isegwi x-xatt tat-tramuntana sakemm Hagnau am Bodensee. Frazzjoni żgħira tal-fluss hija ddevjata 'l barra mill-gżira ta' Mainau fil-Lag überlingen. Il-biċċa l-kbira tal-ilma jiċċirkola permezz tal-Hopper Constance fir-Rheinrinne ("Rhine Gutter") u Seerhein. Jiddependi fuq il-livell tal-ilma, dan il-fluss ta 'l-ilma tar-Renu huwa viżibbli b'mod ċar tul it-tul kollu tal-lag.</v>
      </c>
    </row>
    <row r="1426" ht="15.75" customHeight="1">
      <c r="A1426" s="2" t="s">
        <v>1426</v>
      </c>
      <c r="B1426" s="2" t="str">
        <f>IFERROR(__xludf.DUMMYFUNCTION("GOOGLETRANSLATE(A1426,""en"", ""mt"")"),"Liġi Olandiża qalet li nies biss stabbiliti fl-Olanda jistgħu jagħtu pariri legali")</f>
        <v>Liġi Olandiża qalet li nies biss stabbiliti fl-Olanda jistgħu jagħtu pariri legali</v>
      </c>
    </row>
    <row r="1427" ht="15.75" customHeight="1">
      <c r="A1427" s="2" t="s">
        <v>1427</v>
      </c>
      <c r="B1427" s="2" t="str">
        <f>IFERROR(__xludf.DUMMYFUNCTION("GOOGLETRANSLATE(A1427,""en"", ""mt"")"),"X'għandu jiġi evitat meta tkellem lill-awtoritajiet?")</f>
        <v>X'għandu jiġi evitat meta tkellem lill-awtoritajiet?</v>
      </c>
    </row>
    <row r="1428" ht="15.75" customHeight="1">
      <c r="A1428" s="2" t="s">
        <v>1428</v>
      </c>
      <c r="B1428" s="2" t="str">
        <f>IFERROR(__xludf.DUMMYFUNCTION("GOOGLETRANSLATE(A1428,""en"", ""mt"")"),"Bejn il-Franċiżi u l-Ingliżi, liema gruppi kkontrollaw art?")</f>
        <v>Bejn il-Franċiżi u l-Ingliżi, liema gruppi kkontrollaw art?</v>
      </c>
    </row>
    <row r="1429" ht="15.75" customHeight="1">
      <c r="A1429" s="2" t="s">
        <v>1429</v>
      </c>
      <c r="B1429" s="2" t="str">
        <f>IFERROR(__xludf.DUMMYFUNCTION("GOOGLETRANSLATE(A1429,""en"", ""mt"")"),"il-marbut fuq il-kumplessità tat-tnaqqis")</f>
        <v>il-marbut fuq il-kumplessità tat-tnaqqis</v>
      </c>
    </row>
    <row r="1430" ht="15.75" customHeight="1">
      <c r="A1430" s="2" t="s">
        <v>1430</v>
      </c>
      <c r="B1430" s="2" t="str">
        <f>IFERROR(__xludf.DUMMYFUNCTION("GOOGLETRANSLATE(A1430,""en"", ""mt"")"),"Is-sieq tal-arblu")</f>
        <v>Is-sieq tal-arblu</v>
      </c>
    </row>
    <row r="1431" ht="15.75" customHeight="1">
      <c r="A1431" s="2" t="s">
        <v>1431</v>
      </c>
      <c r="B1431" s="2" t="str">
        <f>IFERROR(__xludf.DUMMYFUNCTION("GOOGLETRANSLATE(A1431,""en"", ""mt"")"),"F'liema żona ta 'din il-kolonja Ingliża kienu l-għotjiet ta' l-art Huguenot?")</f>
        <v>F'liema żona ta 'din il-kolonja Ingliża kienu l-għotjiet ta' l-art Huguenot?</v>
      </c>
    </row>
    <row r="1432" ht="15.75" customHeight="1">
      <c r="A1432" s="2" t="s">
        <v>1432</v>
      </c>
      <c r="B1432" s="2" t="str">
        <f>IFERROR(__xludf.DUMMYFUNCTION("GOOGLETRANSLATE(A1432,""en"", ""mt"")"),"Is-Sindku ta ’Varsavja jissejjaħ President. Ġeneralment, fil-Polonja, is-sindki ta 'bliet ikbar huma msejħa presidenti - i.e. bliet bħal dawn, li għandhom aktar minn 100,000 persuna jew dawn, fejn diġà kien president qabel l-1990. L-ewwel president ta' Va"&amp;"rsavja kien Jan Andrzej Menich (1695-1696). Bejn l-1975 u l-1990 il-presidenti ta 'Varsavja kienu fl-istess ħin il-Voivode ta' Varsavja. Mill-1990 il-President ta ’Varsavja kien ġie elett mill-Kunsill tal-Belt. Fis-snin tal-1994–1999 is-sindku tad-distret"&amp;"t taċ-ċentru awtomatikament ġie nominat bħala l-President ta 'Varsavja: is-Sindku ta' Centrum ġie elett mill-Kunsill Distrettwali taċ-Ċentru u l-Kunsill ġie elett biss mir-residenti taċ-Ċentru. Mill-2002 il-President ta ’Varsavja huwa elett miċ-ċittadini "&amp;"kollha ta’ Varsavja.")</f>
        <v>Is-Sindku ta ’Varsavja jissejjaħ President. Ġeneralment, fil-Polonja, is-sindki ta 'bliet ikbar huma msejħa presidenti - i.e. bliet bħal dawn, li għandhom aktar minn 100,000 persuna jew dawn, fejn diġà kien president qabel l-1990. L-ewwel president ta' Varsavja kien Jan Andrzej Menich (1695-1696). Bejn l-1975 u l-1990 il-presidenti ta 'Varsavja kienu fl-istess ħin il-Voivode ta' Varsavja. Mill-1990 il-President ta ’Varsavja kien ġie elett mill-Kunsill tal-Belt. Fis-snin tal-1994–1999 is-sindku tad-distrett taċ-ċentru awtomatikament ġie nominat bħala l-President ta 'Varsavja: is-Sindku ta' Centrum ġie elett mill-Kunsill Distrettwali taċ-Ċentru u l-Kunsill ġie elett biss mir-residenti taċ-Ċentru. Mill-2002 il-President ta ’Varsavja huwa elett miċ-ċittadini kollha ta’ Varsavja.</v>
      </c>
    </row>
    <row r="1433" ht="15.75" customHeight="1">
      <c r="A1433" s="2" t="s">
        <v>1433</v>
      </c>
      <c r="B1433" s="2" t="str">
        <f>IFERROR(__xludf.DUMMYFUNCTION("GOOGLETRANSLATE(A1433,""en"", ""mt"")"),"X'inhu l-Kastell Irjali l-iktar eżempju interessanti ta '?")</f>
        <v>X'inhu l-Kastell Irjali l-iktar eżempju interessanti ta '?</v>
      </c>
    </row>
    <row r="1434" ht="15.75" customHeight="1">
      <c r="A1434" s="2" t="s">
        <v>1434</v>
      </c>
      <c r="B1434" s="2" t="str">
        <f>IFERROR(__xludf.DUMMYFUNCTION("GOOGLETRANSLATE(A1434,""en"", ""mt"")"),"Domanda bijokimika ta 'ossiġnu")</f>
        <v>Domanda bijokimika ta 'ossiġnu</v>
      </c>
    </row>
    <row r="1435" ht="15.75" customHeight="1">
      <c r="A1435" s="2" t="s">
        <v>1435</v>
      </c>
      <c r="B1435" s="2" t="str">
        <f>IFERROR(__xludf.DUMMYFUNCTION("GOOGLETRANSLATE(A1435,""en"", ""mt"")"),"ARPA IPTO Direttur Larry Roberts")</f>
        <v>ARPA IPTO Direttur Larry Roberts</v>
      </c>
    </row>
    <row r="1436" ht="15.75" customHeight="1">
      <c r="A1436" s="2" t="s">
        <v>1436</v>
      </c>
      <c r="B1436" s="2" t="str">
        <f>IFERROR(__xludf.DUMMYFUNCTION("GOOGLETRANSLATE(A1436,""en"", ""mt"")"),"Liema kwistjoni pesta l-letteratura dwar id-diżubbidjenza ċivili?")</f>
        <v>Liema kwistjoni pesta l-letteratura dwar id-diżubbidjenza ċivili?</v>
      </c>
    </row>
    <row r="1437" ht="15.75" customHeight="1">
      <c r="A1437" s="2" t="s">
        <v>1437</v>
      </c>
      <c r="B1437" s="2" t="str">
        <f>IFERROR(__xludf.DUMMYFUNCTION("GOOGLETRANSLATE(A1437,""en"", ""mt"")"),"Guanabara Qrar tal-Fidi")</f>
        <v>Guanabara Qrar tal-Fidi</v>
      </c>
    </row>
    <row r="1438" ht="15.75" customHeight="1">
      <c r="A1438" s="2" t="s">
        <v>1438</v>
      </c>
      <c r="B1438" s="2" t="str">
        <f>IFERROR(__xludf.DUMMYFUNCTION("GOOGLETRANSLATE(A1438,""en"", ""mt"")"),"Dak li hu maħsub li ġara lill-y. Pestis li kkawża l-mewt sewda?")</f>
        <v>Dak li hu maħsub li ġara lill-y. Pestis li kkawża l-mewt sewda?</v>
      </c>
    </row>
    <row r="1439" ht="15.75" customHeight="1">
      <c r="A1439" s="2" t="s">
        <v>1439</v>
      </c>
      <c r="B1439" s="2" t="str">
        <f>IFERROR(__xludf.DUMMYFUNCTION("GOOGLETRANSLATE(A1439,""en"", ""mt"")"),"Edipo")</f>
        <v>Edipo</v>
      </c>
    </row>
    <row r="1440" ht="15.75" customHeight="1">
      <c r="A1440" s="2" t="s">
        <v>1440</v>
      </c>
      <c r="B1440" s="2" t="str">
        <f>IFERROR(__xludf.DUMMYFUNCTION("GOOGLETRANSLATE(A1440,""en"", ""mt"")"),"Xi teoriji żviluppati fis-snin sebgħin stabbilixxew toroq possibbli li permezz tagħhom l-inugwaljanza jista 'jkollha effett pożittiv fuq l-iżvilupp ekonomiku. Skond reviżjoni tal-1955, it-tfaddil mis-sinjur, jekk dawn jiżdiedu bl-inugwaljanza, kienu maħsu"&amp;"ba li jikkumpensaw id-domanda mnaqqsa tal-konsumatur. Rapport tal-2013 dwar in-Niġerja jissuġġerixxi li t-tkabbir żdied b'żieda fl-inugwaljanza fid-dħul. Xi teoriji popolari mill-ħamsinijiet sal-2011 iddikjaraw b'mod żbaljat li l-inugwaljanza kellha effet"&amp;"t pożittiv fuq l-iżvilupp ekonomiku. L-analiżi bbażati fuq it-tqabbil ta 'figuri ta' ugwaljanza annwali ma 'rati ta' tkabbir annwali kienu qarrieqa minħabba li hemm bżonn ta 'bosta snin biex effetti jimmanifestaw bħala bidliet fit-tkabbir ekonomiku. L-eko"&amp;"nomisti tal-FMI sabu assoċjazzjoni qawwija bejn livelli aktar baxxi ta 'inugwaljanza f'pajjiżi li qed jiżviluppaw u perjodi sostnuti ta' tkabbir ekonomiku. Pajjiżi li qed jiżviluppaw b'inugwaljanza għolja ""rnexxielhom jibdew it-tkabbir b'rati għoljin għa"&amp;"l ftit snin"" iżda ""perjodi ta 'tkabbir itwal huma assoċjati b'mod qawwi ma' aktar ugwaljanza fid-distribuzzjoni tad-dħul.""")</f>
        <v>Xi teoriji żviluppati fis-snin sebgħin stabbilixxew toroq possibbli li permezz tagħhom l-inugwaljanza jista 'jkollha effett pożittiv fuq l-iżvilupp ekonomiku. Skond reviżjoni tal-1955, it-tfaddil mis-sinjur, jekk dawn jiżdiedu bl-inugwaljanza, kienu maħsuba li jikkumpensaw id-domanda mnaqqsa tal-konsumatur. Rapport tal-2013 dwar in-Niġerja jissuġġerixxi li t-tkabbir żdied b'żieda fl-inugwaljanza fid-dħul. Xi teoriji popolari mill-ħamsinijiet sal-2011 iddikjaraw b'mod żbaljat li l-inugwaljanza kellha effett pożittiv fuq l-iżvilupp ekonomiku. L-analiżi bbażati fuq it-tqabbil ta 'figuri ta' ugwaljanza annwali ma 'rati ta' tkabbir annwali kienu qarrieqa minħabba li hemm bżonn ta 'bosta snin biex effetti jimmanifestaw bħala bidliet fit-tkabbir ekonomiku. L-ekonomisti tal-FMI sabu assoċjazzjoni qawwija bejn livelli aktar baxxi ta 'inugwaljanza f'pajjiżi li qed jiżviluppaw u perjodi sostnuti ta' tkabbir ekonomiku. Pajjiżi li qed jiżviluppaw b'inugwaljanza għolja "rnexxielhom jibdew it-tkabbir b'rati għoljin għal ftit snin" iżda "perjodi ta 'tkabbir itwal huma assoċjati b'mod qawwi ma' aktar ugwaljanza fid-distribuzzjoni tad-dħul."</v>
      </c>
    </row>
    <row r="1441" ht="15.75" customHeight="1">
      <c r="A1441" s="2" t="s">
        <v>1441</v>
      </c>
      <c r="B1441" s="2" t="str">
        <f>IFERROR(__xludf.DUMMYFUNCTION("GOOGLETRANSLATE(A1441,""en"", ""mt"")"),"Liema etniċità kienet Shi Tianze?")</f>
        <v>Liema etniċità kienet Shi Tianze?</v>
      </c>
    </row>
    <row r="1442" ht="15.75" customHeight="1">
      <c r="A1442" s="2" t="s">
        <v>1442</v>
      </c>
      <c r="B1442" s="2" t="str">
        <f>IFERROR(__xludf.DUMMYFUNCTION("GOOGLETRANSLATE(A1442,""en"", ""mt"")"),"IL-MILIONE")</f>
        <v>IL-MILIONE</v>
      </c>
    </row>
    <row r="1443" ht="15.75" customHeight="1">
      <c r="A1443" s="2" t="s">
        <v>1443</v>
      </c>
      <c r="B1443" s="2" t="str">
        <f>IFERROR(__xludf.DUMMYFUNCTION("GOOGLETRANSLATE(A1443,""en"", ""mt"")"),"X’kien uża l-wan biex jistampa l-flus tiegħu qabel il-pjanċi tal-bronż?")</f>
        <v>X’kien uża l-wan biex jistampa l-flus tiegħu qabel il-pjanċi tal-bronż?</v>
      </c>
    </row>
    <row r="1444" ht="15.75" customHeight="1">
      <c r="A1444" s="2" t="s">
        <v>1444</v>
      </c>
      <c r="B1444" s="2" t="str">
        <f>IFERROR(__xludf.DUMMYFUNCTION("GOOGLETRANSLATE(A1444,""en"", ""mt"")"),"Typhoon inauspicious")</f>
        <v>Typhoon inauspicious</v>
      </c>
    </row>
    <row r="1445" ht="15.75" customHeight="1">
      <c r="A1445" s="2" t="s">
        <v>1445</v>
      </c>
      <c r="B1445" s="2" t="str">
        <f>IFERROR(__xludf.DUMMYFUNCTION("GOOGLETRANSLATE(A1445,""en"", ""mt"")"),"1964 u 1968")</f>
        <v>1964 u 1968</v>
      </c>
    </row>
    <row r="1446" ht="15.75" customHeight="1">
      <c r="A1446" s="2" t="s">
        <v>1446</v>
      </c>
      <c r="B1446" s="2" t="str">
        <f>IFERROR(__xludf.DUMMYFUNCTION("GOOGLETRANSLATE(A1446,""en"", ""mt"")"),"Kemm ir-rapport tat-tielet valutazzjoni tal-IPCC qal li l-livelli tal-baħar se jogħlew mill-1990 sal-2100?")</f>
        <v>Kemm ir-rapport tat-tielet valutazzjoni tal-IPCC qal li l-livelli tal-baħar se jogħlew mill-1990 sal-2100?</v>
      </c>
    </row>
    <row r="1447" ht="15.75" customHeight="1">
      <c r="A1447" s="2" t="s">
        <v>1447</v>
      </c>
      <c r="B1447" s="2" t="str">
        <f>IFERROR(__xludf.DUMMYFUNCTION("GOOGLETRANSLATE(A1447,""en"", ""mt"")"),"Hemm evidenza li kien hemm bidliet sinifikanti fil-veġetazzjoni tal-foresta tropikali tal-Amazon matul dawn l-aħħar 21,000 sena sa l-aħħar massimu glaċjali (LGM) u d-deglakjazzjoni sussegwenti. L-analiżi tad-depożiti tas-sedimenti mill-paleolakes tal-baċi"&amp;"n tal-Amazon u mill-fann tal-Amazon jindikaw li x-xita fil-baċin waqt l-LGM kienet inqas minn dik tal-preżent, u dan kien kważi ċertament assoċjat ma 'kopertura ta' veġetazzjoni tropikali niedja mnaqqsa fil-baċin. Hemm dibattitu, madankollu, dwar kemm kie"&amp;"n estensiv dan it-tnaqqis. Xi xjenzati jargumentaw li l-foresta tropikali tnaqqset għal refugia żgħira u iżolata separata mill-foresta miftuħa u l-ħaxix; Xjentisti oħra jargumentaw li l-foresta tropikali baqgħet fil-biċċa l-kbira intatta iżda estiża inqas"&amp;" lejn it-tramuntana, in-nofsinhar u l-lvant milli tidher illum. Dan id-dibattitu wera diffiċli biex jiġi solvut minħabba li l-limitazzjonijiet prattiċi tal-ħidma fil-foresta tropikali jfissru li l-kampjunar tad-dejta huwa preġudikat 'il bogħod miċ-ċentru "&amp;"tal-baċin tal-Amażonja, u ż-żewġ spjegazzjonijiet huma raġonevolment appoġġjati tajjeb mid-dejta disponibbli.")</f>
        <v>Hemm evidenza li kien hemm bidliet sinifikanti fil-veġetazzjoni tal-foresta tropikali tal-Amazon matul dawn l-aħħar 21,000 sena sa l-aħħar massimu glaċjali (LGM) u d-deglakjazzjoni sussegwenti. L-analiżi tad-depożiti tas-sedimenti mill-paleolakes tal-baċin tal-Amazon u mill-fann tal-Amazon jindikaw li x-xita fil-baċin waqt l-LGM kienet inqas minn dik tal-preżent, u dan kien kważi ċertament assoċjat ma 'kopertura ta' veġetazzjoni tropikali niedja mnaqqsa fil-baċin. Hemm dibattitu, madankollu, dwar kemm kien estensiv dan it-tnaqqis. Xi xjenzati jargumentaw li l-foresta tropikali tnaqqset għal refugia żgħira u iżolata separata mill-foresta miftuħa u l-ħaxix; Xjentisti oħra jargumentaw li l-foresta tropikali baqgħet fil-biċċa l-kbira intatta iżda estiża inqas lejn it-tramuntana, in-nofsinhar u l-lvant milli tidher illum. Dan id-dibattitu wera diffiċli biex jiġi solvut minħabba li l-limitazzjonijiet prattiċi tal-ħidma fil-foresta tropikali jfissru li l-kampjunar tad-dejta huwa preġudikat 'il bogħod miċ-ċentru tal-baċin tal-Amażonja, u ż-żewġ spjegazzjonijiet huma raġonevolment appoġġjati tajjeb mid-dejta disponibbli.</v>
      </c>
    </row>
    <row r="1448" ht="15.75" customHeight="1">
      <c r="A1448" s="2" t="s">
        <v>1448</v>
      </c>
      <c r="B1448" s="2" t="str">
        <f>IFERROR(__xludf.DUMMYFUNCTION("GOOGLETRANSLATE(A1448,""en"", ""mt"")"),"Il-Ħamis")</f>
        <v>Il-Ħamis</v>
      </c>
    </row>
    <row r="1449" ht="15.75" customHeight="1">
      <c r="A1449" s="2" t="s">
        <v>1449</v>
      </c>
      <c r="B1449" s="2" t="str">
        <f>IFERROR(__xludf.DUMMYFUNCTION("GOOGLETRANSLATE(A1449,""en"", ""mt"")"),"Għal xi għexieren ta ’snin qabel l-ewwel Palestina Intifada fl-1987, il-Fratellanza Musulmana fil-Palestina ħadet pożizzjoni"" kwieti ”lejn l-Iżrael, li tiffoka fuq il-predikazzjoni, l-edukazzjoni u s-servizzi soċjali, u tibbenefika minn"" indulġenza ""ta"&amp;"l-Iżrael biex tibni netwerk ta 'moskej u Organizzazzjonijiet ta 'karità. Hekk kif l-ewwel intifada ġabret il-momentum u x-xerrejja Palestinjani għalqu l-ħwienet tagħhom b'appoġġ għar-rewwixta, il-fratellanza ħabbret il-formazzjoni tal-Ħamas (""Zeal""), id"&amp;"dedikata għall-jihad kontra l-Iżrael. Minflok ma kien aktar moderat mill-PLO, il-Karta tal-Hamas tal-1988 ħadet pożizzjoni aktar mingħajr kompromess, li talbet il-qerda ta 'l-Iżrael u t-twaqqif ta' stat Iżlamiku fil-Palestina. Malajr kien qed jikkompeti m"&amp;"a 'u mbagħad qabeż il-PLO għall-kontroll tal-intifada. Il-bażi tal-Fratellanza tal-klassi tan-nofs devota sabet kawża komuni maż-żgħażagħ fqar tal-Intifada fil-konservattiviżmu kulturali tagħhom u l-antipatija għal attivitajiet tal-klassi tan-nofs sekular"&amp;"i bħal tixrob l-alkoħol u għaddejjin mingħajr hijab.")</f>
        <v>Għal xi għexieren ta ’snin qabel l-ewwel Palestina Intifada fl-1987, il-Fratellanza Musulmana fil-Palestina ħadet pożizzjoni" kwieti ”lejn l-Iżrael, li tiffoka fuq il-predikazzjoni, l-edukazzjoni u s-servizzi soċjali, u tibbenefika minn" indulġenza "tal-Iżrael biex tibni netwerk ta 'moskej u Organizzazzjonijiet ta 'karità. Hekk kif l-ewwel intifada ġabret il-momentum u x-xerrejja Palestinjani għalqu l-ħwienet tagħhom b'appoġġ għar-rewwixta, il-fratellanza ħabbret il-formazzjoni tal-Ħamas ("Zeal"), iddedikata għall-jihad kontra l-Iżrael. Minflok ma kien aktar moderat mill-PLO, il-Karta tal-Hamas tal-1988 ħadet pożizzjoni aktar mingħajr kompromess, li talbet il-qerda ta 'l-Iżrael u t-twaqqif ta' stat Iżlamiku fil-Palestina. Malajr kien qed jikkompeti ma 'u mbagħad qabeż il-PLO għall-kontroll tal-intifada. Il-bażi tal-Fratellanza tal-klassi tan-nofs devota sabet kawża komuni maż-żgħażagħ fqar tal-Intifada fil-konservattiviżmu kulturali tagħhom u l-antipatija għal attivitajiet tal-klassi tan-nofs sekulari bħal tixrob l-alkoħol u għaddejjin mingħajr hijab.</v>
      </c>
    </row>
    <row r="1450" ht="15.75" customHeight="1">
      <c r="A1450" s="2" t="s">
        <v>1450</v>
      </c>
      <c r="B1450" s="2" t="str">
        <f>IFERROR(__xludf.DUMMYFUNCTION("GOOGLETRANSLATE(A1450,""en"", ""mt"")"),"Meta persuna tkun ikkunsidrata li qed tiswi l-impass kostituzzjonali?")</f>
        <v>Meta persuna tkun ikkunsidrata li qed tiswi l-impass kostituzzjonali?</v>
      </c>
    </row>
    <row r="1451" ht="15.75" customHeight="1">
      <c r="A1451" s="2" t="s">
        <v>1451</v>
      </c>
      <c r="B1451" s="2" t="str">
        <f>IFERROR(__xludf.DUMMYFUNCTION("GOOGLETRANSLATE(A1451,""en"", ""mt"")"),"bagħat numru żgħir ta 'kolonizzaturi lill-kolonji tiegħu")</f>
        <v>bagħat numru żgħir ta 'kolonizzaturi lill-kolonji tiegħu</v>
      </c>
    </row>
    <row r="1452" ht="15.75" customHeight="1">
      <c r="A1452" s="2" t="s">
        <v>1452</v>
      </c>
      <c r="B1452" s="2" t="str">
        <f>IFERROR(__xludf.DUMMYFUNCTION("GOOGLETRANSLATE(A1452,""en"", ""mt"")"),"Fil-forma tripletta, o
2 molekuli huma paramagnetiċi. Jiġifieri, jagħtu karattru manjetiku lill-ossiġnu meta jkun fil-preżenza ta 'kamp manjetiku, minħabba l-mumenti manjetiċi spin ta' l-elettroni mhux imqabbla fil-molekula, u l-enerġija negattiva tal-isk"&amp;"ambju bejn l-O ġirien
2 molekuli. L-ossiġnu likwidu huwa attirat minn kalamita sa ċertu punt li, f'dimostrazzjonijiet tal-laboratorju, pont ta 'ossiġnu likwidu jista' jkun sostnut kontra l-piż tiegħu stess bejn l-arbli ta 'kalamita qawwija. [C]")</f>
        <v>Fil-forma tripletta, o
2 molekuli huma paramagnetiċi. Jiġifieri, jagħtu karattru manjetiku lill-ossiġnu meta jkun fil-preżenza ta 'kamp manjetiku, minħabba l-mumenti manjetiċi spin ta' l-elettroni mhux imqabbla fil-molekula, u l-enerġija negattiva tal-iskambju bejn l-O ġirien
2 molekuli. L-ossiġnu likwidu huwa attirat minn kalamita sa ċertu punt li, f'dimostrazzjonijiet tal-laboratorju, pont ta 'ossiġnu likwidu jista' jkun sostnut kontra l-piż tiegħu stess bejn l-arbli ta 'kalamita qawwija. [C]</v>
      </c>
    </row>
    <row r="1453" ht="15.75" customHeight="1">
      <c r="A1453" s="2" t="s">
        <v>1453</v>
      </c>
      <c r="B1453" s="2" t="str">
        <f>IFERROR(__xludf.DUMMYFUNCTION("GOOGLETRANSLATE(A1453,""en"", ""mt"")"),"Liema kwistjonijiet jistgħu jipprevjenu lin-nisa milli jaħdmu barra d-dar jew jirċievu edukazzjoni?")</f>
        <v>Liema kwistjonijiet jistgħu jipprevjenu lin-nisa milli jaħdmu barra d-dar jew jirċievu edukazzjoni?</v>
      </c>
    </row>
    <row r="1454" ht="15.75" customHeight="1">
      <c r="A1454" s="2" t="s">
        <v>1454</v>
      </c>
      <c r="B1454" s="2" t="str">
        <f>IFERROR(__xludf.DUMMYFUNCTION("GOOGLETRANSLATE(A1454,""en"", ""mt"")"),"Fuq blat, alka, jew uċuħ tal-ġisem ta 'invertebrati oħra")</f>
        <v>Fuq blat, alka, jew uċuħ tal-ġisem ta 'invertebrati oħra</v>
      </c>
    </row>
    <row r="1455" ht="15.75" customHeight="1">
      <c r="A1455" s="2" t="s">
        <v>1455</v>
      </c>
      <c r="B1455" s="2" t="str">
        <f>IFERROR(__xludf.DUMMYFUNCTION("GOOGLETRANSLATE(A1455,""en"", ""mt"")"),"Fl-1939, c. 1,300,000 persuna għexu f'Varsavja, iżda fl-1945 - 420,000 biss. Matul l-ewwel snin wara l-gwerra, it-tkabbir tal-popolazzjoni kien ċ. 6%, hekk fi żmien qasir il-belt bdiet tbati min-nuqqas ta 'appartamenti u minn żoni għal djar ġodda. L-ewwel"&amp;" miżura ta 'rimedju kienet it-Tkabbir taż-Żona ta' Varsav Biex tikseb ir-reġistrazzjoni, u għalhekk tnaqqas bin-nofs it-tkabbir tal-popolazzjoni fis-snin ta 'wara. Huwa saħħaħ ukoll xi tip ta ’kundanna fost il-Pollakki li Varsovians ħasbu lilhom infushom "&amp;"bħala aħjar biss għax għexu fil-kapitali. Sfortunatament dan it-twemmin għadu jgħix fil-Polonja (għalkemm mhux daqs kemm kien qabel) - minkejja li mill-1990 m'hemmx limitazzjoni għar-reġistrazzjoni tar-residenza.")</f>
        <v>Fl-1939, c. 1,300,000 persuna għexu f'Varsavja, iżda fl-1945 - 420,000 biss. Matul l-ewwel snin wara l-gwerra, it-tkabbir tal-popolazzjoni kien ċ. 6%, hekk fi żmien qasir il-belt bdiet tbati min-nuqqas ta 'appartamenti u minn żoni għal djar ġodda. L-ewwel miżura ta 'rimedju kienet it-Tkabbir taż-Żona ta' Varsav Biex tikseb ir-reġistrazzjoni, u għalhekk tnaqqas bin-nofs it-tkabbir tal-popolazzjoni fis-snin ta 'wara. Huwa saħħaħ ukoll xi tip ta ’kundanna fost il-Pollakki li Varsovians ħasbu lilhom infushom bħala aħjar biss għax għexu fil-kapitali. Sfortunatament dan it-twemmin għadu jgħix fil-Polonja (għalkemm mhux daqs kemm kien qabel) - minkejja li mill-1990 m'hemmx limitazzjoni għar-reġistrazzjoni tar-residenza.</v>
      </c>
    </row>
    <row r="1456" ht="15.75" customHeight="1">
      <c r="A1456" s="2" t="s">
        <v>1456</v>
      </c>
      <c r="B1456" s="2" t="str">
        <f>IFERROR(__xludf.DUMMYFUNCTION("GOOGLETRANSLATE(A1456,""en"", ""mt"")"),"Evidenza oħra tal-wallons u Huguenots f'Canterbury tinkludi blokka ta 'djar f'Turnagain Lane, fejn it-twieqi ta' Weavers jibqgħu ħajjin fis-sular ta 'fuq, peress li ħafna Huguenots ħadmu bħala nisġa. In-Weavers, dar nofs bl-iskeda mix-xmara, kienet is-sit"&amp;" ta 'skola ta' l-insiġ mill-aħħar tas-seklu 16 sal-1830. (Ġie adattat bħala restorant - ara illustrazzjoni hawn fuq. Id-dar toħroġ isimha minn skola ta 'l-insiġ li kien imċaqlaq hemm fl-aħħar snin tas-seklu 19, li reġa ’beda użu preċedenti.) Oħrajn refuġj"&amp;"ati pprattikaw il-varjetà ta’ okkupazzjonijiet meħtieġa biex isostnu l-komunità bħala distinta mill-popolazzjoni indiġena. Din is-separazzjoni ekonomika kienet il-kundizzjoni tal-aċċettazzjoni inizjali tar-refuġjati fil-belt. Huma stabbilixxew ukoll x'imk"&amp;"ien ieħor f'Kent, partikolarment Sandwich, Faversham u Maidstone - it-trobbija li fihom kien hemm knejjes refuġjati.")</f>
        <v>Evidenza oħra tal-wallons u Huguenots f'Canterbury tinkludi blokka ta 'djar f'Turnagain Lane, fejn it-twieqi ta' Weavers jibqgħu ħajjin fis-sular ta 'fuq, peress li ħafna Huguenots ħadmu bħala nisġa. In-Weavers, dar nofs bl-iskeda mix-xmara, kienet is-sit ta 'skola ta' l-insiġ mill-aħħar tas-seklu 16 sal-1830. (Ġie adattat bħala restorant - ara illustrazzjoni hawn fuq. Id-dar toħroġ isimha minn skola ta 'l-insiġ li kien imċaqlaq hemm fl-aħħar snin tas-seklu 19, li reġa ’beda użu preċedenti.) Oħrajn refuġjati pprattikaw il-varjetà ta’ okkupazzjonijiet meħtieġa biex isostnu l-komunità bħala distinta mill-popolazzjoni indiġena. Din is-separazzjoni ekonomika kienet il-kundizzjoni tal-aċċettazzjoni inizjali tar-refuġjati fil-belt. Huma stabbilixxew ukoll x'imkien ieħor f'Kent, partikolarment Sandwich, Faversham u Maidstone - it-trobbija li fihom kien hemm knejjes refuġjati.</v>
      </c>
    </row>
    <row r="1457" ht="15.75" customHeight="1">
      <c r="A1457" s="2" t="s">
        <v>1457</v>
      </c>
      <c r="B1457" s="2" t="str">
        <f>IFERROR(__xludf.DUMMYFUNCTION("GOOGLETRANSLATE(A1457,""en"", ""mt"")"),"X’wassal biex Newcastle jaqa ’mill-poter bħala konsulent militari?")</f>
        <v>X’wassal biex Newcastle jaqa ’mill-poter bħala konsulent militari?</v>
      </c>
    </row>
    <row r="1458" ht="15.75" customHeight="1">
      <c r="A1458" s="2" t="s">
        <v>1458</v>
      </c>
      <c r="B1458" s="2" t="str">
        <f>IFERROR(__xludf.DUMMYFUNCTION("GOOGLETRANSLATE(A1458,""en"", ""mt"")"),"Ċiniż tan-Nofsinhar")</f>
        <v>Ċiniż tan-Nofsinhar</v>
      </c>
    </row>
    <row r="1459" ht="15.75" customHeight="1">
      <c r="A1459" s="2" t="s">
        <v>1459</v>
      </c>
      <c r="B1459" s="2" t="str">
        <f>IFERROR(__xludf.DUMMYFUNCTION("GOOGLETRANSLATE(A1459,""en"", ""mt"")"),"Il-Bord Intergovernattiv dwar it-Tibdil fil-Klima (IPCC) huwa korp intergovernattiv xjentifiku taħt il-patroċinju tan-Nazzjonijiet Uniti, imwaqqaf fuq talba tal-gvernijiet membri. L-ewwel ġie stabbilit fl-1988 minn żewġ organizzazzjonijiet tan-Nazzjonijie"&amp;"t Uniti, l-Organizzazzjoni Meteoroloġika Dinjija (WMO) u l-Programm ta 'l-Ambjent tan-Nazzjonijiet Uniti (UNEP), u aktar tard approvat mill-Assemblea Ġenerali tan-Nazzjonijiet Uniti permezz tar-Riżoluzzjoni 43/53. Is-sħubija fl-IPCC hija miftuħa għall-mem"&amp;"bri kollha tal-WMO u l-UNEP. L-IPCC jipproduċi rapporti li jappoġġjaw il-Konvenzjoni Qafas tan-Nazzjonijiet Uniti dwar it-Tibdil fil-Klima (UNFCCC), li huwa t-Trattat Internazzjonali ewlieni dwar it-Tibdil fil-Klima. L-għan aħħari tal-UNFCCC huwa li ""tis"&amp;"tabbilizza l-konċentrazzjonijiet tal-gass serra fl-atmosfera f'livell li jipprevjeni interferenza antropoġenika perikoluża [i.e., indotta mill-bniedem] fis-sistema klimatika"". Ir-rapporti tal-IPCC ikopru ""l-informazzjoni xjentifika, teknika u soċjo-ekon"&amp;"omika rilevanti biex tifhem il-bażi xjentifika tar-riskju ta 'bidla fil-klima indotta mill-bniedem, l-impatti potenzjali u l-għażliet tagħha għall-adattament u l-mitigazzjoni.""")</f>
        <v>Il-Bord Intergovernattiv dwar it-Tibdil fil-Klima (IPCC) huwa korp intergovernattiv xjentifiku taħt il-patroċinju tan-Nazzjonijiet Uniti, imwaqqaf fuq talba tal-gvernijiet membri. L-ewwel ġie stabbilit fl-1988 minn żewġ organizzazzjonijiet tan-Nazzjonijiet Uniti, l-Organizzazzjoni Meteoroloġika Dinjija (WMO) u l-Programm ta 'l-Ambjent tan-Nazzjonijiet Uniti (UNEP), u aktar tard approvat mill-Assemblea Ġenerali tan-Nazzjonijiet Uniti permezz tar-Riżoluzzjoni 43/53. Is-sħubija fl-IPCC hija miftuħa għall-membri kollha tal-WMO u l-UNEP. L-IPCC jipproduċi rapporti li jappoġġjaw il-Konvenzjoni Qafas tan-Nazzjonijiet Uniti dwar it-Tibdil fil-Klima (UNFCCC), li huwa t-Trattat Internazzjonali ewlieni dwar it-Tibdil fil-Klima. L-għan aħħari tal-UNFCCC huwa li "tistabbilizza l-konċentrazzjonijiet tal-gass serra fl-atmosfera f'livell li jipprevjeni interferenza antropoġenika perikoluża [i.e., indotta mill-bniedem] fis-sistema klimatika". Ir-rapporti tal-IPCC ikopru "l-informazzjoni xjentifika, teknika u soċjo-ekonomika rilevanti biex tifhem il-bażi xjentifika tar-riskju ta 'bidla fil-klima indotta mill-bniedem, l-impatti potenzjali u l-għażliet tagħha għall-adattament u l-mitigazzjoni."</v>
      </c>
    </row>
    <row r="1460" ht="15.75" customHeight="1">
      <c r="A1460" s="2" t="s">
        <v>1460</v>
      </c>
      <c r="B1460" s="2" t="str">
        <f>IFERROR(__xludf.DUMMYFUNCTION("GOOGLETRANSLATE(A1460,""en"", ""mt"")"),"f'pari ta 'reazzjoni ta' azzjoni")</f>
        <v>f'pari ta 'reazzjoni ta' azzjoni</v>
      </c>
    </row>
    <row r="1461" ht="15.75" customHeight="1">
      <c r="A1461" s="2" t="s">
        <v>1461</v>
      </c>
      <c r="B1461" s="2" t="str">
        <f>IFERROR(__xludf.DUMMYFUNCTION("GOOGLETRANSLATE(A1461,""en"", ""mt"")"),"Reżistenza Akkwistata Sistemika (SAR)")</f>
        <v>Reżistenza Akkwistata Sistemika (SAR)</v>
      </c>
    </row>
    <row r="1462" ht="15.75" customHeight="1">
      <c r="A1462" s="2" t="s">
        <v>1462</v>
      </c>
      <c r="B1462" s="2" t="str">
        <f>IFERROR(__xludf.DUMMYFUNCTION("GOOGLETRANSLATE(A1462,""en"", ""mt"")"),"Fejn intwera l-indikatur tal-magna tal-istim Charles Porter?")</f>
        <v>Fejn intwera l-indikatur tal-magna tal-istim Charles Porter?</v>
      </c>
    </row>
    <row r="1463" ht="15.75" customHeight="1">
      <c r="A1463" s="2" t="s">
        <v>1463</v>
      </c>
      <c r="B1463" s="2" t="str">
        <f>IFERROR(__xludf.DUMMYFUNCTION("GOOGLETRANSLATE(A1463,""en"", ""mt"")"),"Ħafna klassijiet ewlenin ta 'molekuli organiċi f'organiżmi ħajjin, bħal proteini, aċidi nuklejiċi, karboidrati, u xaħmijiet, fihom ossiġnu, bħalma jagħmlu l-komposti inorganiċi ewlenin li huma kostitwenti ta' qxur ta 'annimali, snien u għadam. Il-biċċa l-"&amp;"kbira tal-massa ta 'organiżmi ħajjin hija ossiġnu peress li hija parti mill-ilma, il-kostitwent ewlieni tal-forom tal-ħajja. L-ossiġenu jintuża fir-respirazzjoni ċellulari u rilaxxat mill-fotosintesi, li juża l-enerġija tad-dawl tax-xemx biex jipproduċi o"&amp;"ssiġnu mill-ilma. Huwa reattiv kimikament wisq li jibqa 'element ħieles fl-arja mingħajr ma jerġa' jimtela mill-ġdid mill-azzjoni fotosintetika ta 'organiżmi ħajjin. Forma oħra (allotrope) ta 'ossiġnu, ożonu (o
3), tassorbi b'mod qawwi r-radjazzjoni UVB u"&amp;" konsegwentement is-saff ta 'l-ożonu ta' altitudni għolja jgħin biex jipproteġi l-bijosfera mir-radjazzjoni ultravjola, iżda huwa tniġġis viċin il-wiċċ fejn huwa prodott sekondarju ta 'smog. F'altitudnijiet ta 'orbita tad-Dinja baxxa saħansitra ogħla, huw"&amp;"a preżenti ossiġenu atomiku suffiċjenti biex jikkawża erożjoni għall-vettura spazjali.")</f>
        <v>Ħafna klassijiet ewlenin ta 'molekuli organiċi f'organiżmi ħajjin, bħal proteini, aċidi nuklejiċi, karboidrati, u xaħmijiet, fihom ossiġnu, bħalma jagħmlu l-komposti inorganiċi ewlenin li huma kostitwenti ta' qxur ta 'annimali, snien u għadam. Il-biċċa l-kbira tal-massa ta 'organiżmi ħajjin hija ossiġnu peress li hija parti mill-ilma, il-kostitwent ewlieni tal-forom tal-ħajja. L-ossiġenu jintuża fir-respirazzjoni ċellulari u rilaxxat mill-fotosintesi, li juża l-enerġija tad-dawl tax-xemx biex jipproduċi ossiġnu mill-ilma. Huwa reattiv kimikament wisq li jibqa 'element ħieles fl-arja mingħajr ma jerġa' jimtela mill-ġdid mill-azzjoni fotosintetika ta 'organiżmi ħajjin. Forma oħra (allotrope) ta 'ossiġnu, ożonu (o
3), tassorbi b'mod qawwi r-radjazzjoni UVB u konsegwentement is-saff ta 'l-ożonu ta' altitudni għolja jgħin biex jipproteġi l-bijosfera mir-radjazzjoni ultravjola, iżda huwa tniġġis viċin il-wiċċ fejn huwa prodott sekondarju ta 'smog. F'altitudnijiet ta 'orbita tad-Dinja baxxa saħansitra ogħla, huwa preżenti ossiġenu atomiku suffiċjenti biex jikkawża erożjoni għall-vettura spazjali.</v>
      </c>
    </row>
    <row r="1464" ht="15.75" customHeight="1">
      <c r="A1464" s="2" t="s">
        <v>1464</v>
      </c>
      <c r="B1464" s="2" t="str">
        <f>IFERROR(__xludf.DUMMYFUNCTION("GOOGLETRANSLATE(A1464,""en"", ""mt"")"),"tħeġġeġ it-tkabbir")</f>
        <v>tħeġġeġ it-tkabbir</v>
      </c>
    </row>
    <row r="1465" ht="15.75" customHeight="1">
      <c r="A1465" s="2" t="s">
        <v>1465</v>
      </c>
      <c r="B1465" s="2" t="str">
        <f>IFERROR(__xludf.DUMMYFUNCTION("GOOGLETRANSLATE(A1465,""en"", ""mt"")"),"Fl-1979, l-Unjoni Sovjetika skjerat l-40 Armata tagħha fl-Afganistan, u ppruvat trażżan ribelljoni Iżlamika kontra reġim Marxista Alleat fil-Gwerra Ċivili Afgana. Il-kunflitt, li jpoġġi Musulmani fqar indiġeni (mujahideen) kontra superpotenza anti-reliġju"&amp;"ża, galvanizzaw eluf ta 'Musulmani madwar id-dinja biex jibagħtu l-għajnuna u xi kultant imorru huma stess biex jiġġieldu għall-fidi tagħhom. Li tmexxi dan l-isforz pan-Iżlamiku kien Sheikh Palestinjan Abdullah Yusuf Azzam. Filwaqt li l-effikaċja militari"&amp;" ta 'dawn l- ""Għarab Afgani"" kienet marġinali, huwa stmat li 16,000 sa 35,000 voluntier Musulman ġew minn madwar id-dinja ġew biex jiġġieldu fl-Afganistan.")</f>
        <v>Fl-1979, l-Unjoni Sovjetika skjerat l-40 Armata tagħha fl-Afganistan, u ppruvat trażżan ribelljoni Iżlamika kontra reġim Marxista Alleat fil-Gwerra Ċivili Afgana. Il-kunflitt, li jpoġġi Musulmani fqar indiġeni (mujahideen) kontra superpotenza anti-reliġjuża, galvanizzaw eluf ta 'Musulmani madwar id-dinja biex jibagħtu l-għajnuna u xi kultant imorru huma stess biex jiġġieldu għall-fidi tagħhom. Li tmexxi dan l-isforz pan-Iżlamiku kien Sheikh Palestinjan Abdullah Yusuf Azzam. Filwaqt li l-effikaċja militari ta 'dawn l- "Għarab Afgani" kienet marġinali, huwa stmat li 16,000 sa 35,000 voluntier Musulman ġew minn madwar id-dinja ġew biex jiġġieldu fl-Afganistan.</v>
      </c>
    </row>
    <row r="1466" ht="15.75" customHeight="1">
      <c r="A1466" s="2" t="s">
        <v>1466</v>
      </c>
      <c r="B1466" s="2" t="str">
        <f>IFERROR(__xludf.DUMMYFUNCTION("GOOGLETRANSLATE(A1466,""en"", ""mt"")"),"Is-servizz tan-netwerk tas-sinsla b'veloċità għolja ħafna")</f>
        <v>Is-servizz tan-netwerk tas-sinsla b'veloċità għolja ħafna</v>
      </c>
    </row>
    <row r="1467" ht="15.75" customHeight="1">
      <c r="A1467" s="2" t="s">
        <v>1467</v>
      </c>
      <c r="B1467" s="2" t="str">
        <f>IFERROR(__xludf.DUMMYFUNCTION("GOOGLETRANSLATE(A1467,""en"", ""mt"")"),"Battalja tar-Restigouche")</f>
        <v>Battalja tar-Restigouche</v>
      </c>
    </row>
    <row r="1468" ht="15.75" customHeight="1">
      <c r="A1468" s="2" t="s">
        <v>1468</v>
      </c>
      <c r="B1468" s="2" t="str">
        <f>IFERROR(__xludf.DUMMYFUNCTION("GOOGLETRANSLATE(A1468,""en"", ""mt"")"),"Tip ieħor ta 'kumitat huwa normalment imwaqqaf biex jifli l-kontijiet privati ​​sottomessi lill-Parlament Skoċċiż minn partit estern jew promotur li mhux membru tal-Parlament Skoċċiż jew tal-gvern Skoċċiż. Il-kontijiet privati ​​normalment jirrelataw ma '"&amp;"proġetti ta' żvilupp fuq skala kbira bħal proġetti ta 'infrastruttura li jeħtieġu l-użu ta' art jew proprjetà. Ġew stabbiliti kumitati ta 'abbozzi privati ​​biex jikkunsidraw leġiżlazzjoni dwar kwistjonijiet bħall-iżvilupp tan-Netwerk tat-Tram ta' Edinbur"&amp;"gu, il-Link Ferrovjarju tal-Ajruport ta 'Glasgow, il-link tal-ferrovija Airdrie-Bathgate u estensjonijiet għall-Gallerija Nazzjonali tal-Iskozja.")</f>
        <v>Tip ieħor ta 'kumitat huwa normalment imwaqqaf biex jifli l-kontijiet privati ​​sottomessi lill-Parlament Skoċċiż minn partit estern jew promotur li mhux membru tal-Parlament Skoċċiż jew tal-gvern Skoċċiż. Il-kontijiet privati ​​normalment jirrelataw ma 'proġetti ta' żvilupp fuq skala kbira bħal proġetti ta 'infrastruttura li jeħtieġu l-użu ta' art jew proprjetà. Ġew stabbiliti kumitati ta 'abbozzi privati ​​biex jikkunsidraw leġiżlazzjoni dwar kwistjonijiet bħall-iżvilupp tan-Netwerk tat-Tram ta' Edinburgu, il-Link Ferrovjarju tal-Ajruport ta 'Glasgow, il-link tal-ferrovija Airdrie-Bathgate u estensjonijiet għall-Gallerija Nazzjonali tal-Iskozja.</v>
      </c>
    </row>
    <row r="1469" ht="15.75" customHeight="1">
      <c r="A1469" s="2" t="s">
        <v>1469</v>
      </c>
      <c r="B1469" s="2" t="str">
        <f>IFERROR(__xludf.DUMMYFUNCTION("GOOGLETRANSLATE(A1469,""en"", ""mt"")"),"Is-sistema tal-librerija tal-Università ta ’Chicago għandha kemm-il libreriji b’kollox?")</f>
        <v>Is-sistema tal-librerija tal-Università ta ’Chicago għandha kemm-il libreriji b’kollox?</v>
      </c>
    </row>
    <row r="1470" ht="15.75" customHeight="1">
      <c r="A1470" s="2" t="s">
        <v>1470</v>
      </c>
      <c r="B1470" s="2" t="str">
        <f>IFERROR(__xludf.DUMMYFUNCTION("GOOGLETRANSLATE(A1470,""en"", ""mt"")"),"X'inhu l-Kanal f'Wesel?")</f>
        <v>X'inhu l-Kanal f'Wesel?</v>
      </c>
    </row>
    <row r="1471" ht="15.75" customHeight="1">
      <c r="A1471" s="2" t="s">
        <v>1471</v>
      </c>
      <c r="B1471" s="2" t="str">
        <f>IFERROR(__xludf.DUMMYFUNCTION("GOOGLETRANSLATE(A1471,""en"", ""mt"")"),"Anticlines u sinklini")</f>
        <v>Anticlines u sinklini</v>
      </c>
    </row>
    <row r="1472" ht="15.75" customHeight="1">
      <c r="A1472" s="2" t="s">
        <v>1472</v>
      </c>
      <c r="B1472" s="2" t="str">
        <f>IFERROR(__xludf.DUMMYFUNCTION("GOOGLETRANSLATE(A1472,""en"", ""mt"")"),"Wara battalja legali twila mal-Kummissjoni Ewropea, li qieset l-esklussività tad-drittijiet biex tkun kontra l-interessi tal-kompetizzjoni u l-konsumatur, il-monopolju tal-BSKYB wasal fi tmiemu mill-istaġun 2007-208. F’Mejju 2006, ix-xandar Irlandiż Setan"&amp;"ta Sports ingħata tnejn mis-sitt pakketti tal-Premier League li l-FA Ingliża offriet lix-xandara. Sky qabad l-erbgħa li fadal għal £ 1.3bn. Fi Frar 2015, Sky Bid £ 4.2bn għal pakkett ta '120 logħob tal-Premier League fit-tliet staġuni mill-2016. Dan kien "&amp;"jirrappreżenta żieda ta' 70% fuq il-kuntratt preċedenti u intqal li kien £ 1 biljun aktar milli l-kumpanija kienet mistennija tħallas Jonqos Il-mossa ġiet segwita minn tnaqqis fil-persunal, żieda fil-prezzijiet tal-abbonament (inklużi 9% fil-pakkett tal-f"&amp;"amilja ta 'Sky) u t-twaqqigħ tal-kanal 3D.")</f>
        <v>Wara battalja legali twila mal-Kummissjoni Ewropea, li qieset l-esklussività tad-drittijiet biex tkun kontra l-interessi tal-kompetizzjoni u l-konsumatur, il-monopolju tal-BSKYB wasal fi tmiemu mill-istaġun 2007-208. F’Mejju 2006, ix-xandar Irlandiż Setanta Sports ingħata tnejn mis-sitt pakketti tal-Premier League li l-FA Ingliża offriet lix-xandara. Sky qabad l-erbgħa li fadal għal £ 1.3bn. Fi Frar 2015, Sky Bid £ 4.2bn għal pakkett ta '120 logħob tal-Premier League fit-tliet staġuni mill-2016. Dan kien jirrappreżenta żieda ta' 70% fuq il-kuntratt preċedenti u intqal li kien £ 1 biljun aktar milli l-kumpanija kienet mistennija tħallas Jonqos Il-mossa ġiet segwita minn tnaqqis fil-persunal, żieda fil-prezzijiet tal-abbonament (inklużi 9% fil-pakkett tal-familja ta 'Sky) u t-twaqqigħ tal-kanal 3D.</v>
      </c>
    </row>
    <row r="1473" ht="15.75" customHeight="1">
      <c r="A1473" s="2" t="s">
        <v>1473</v>
      </c>
      <c r="B1473" s="2" t="str">
        <f>IFERROR(__xludf.DUMMYFUNCTION("GOOGLETRANSLATE(A1473,""en"", ""mt"")"),"X'jiġri mal-pakkett fid-destinazzjoni")</f>
        <v>X'jiġri mal-pakkett fid-destinazzjoni</v>
      </c>
    </row>
    <row r="1474" ht="15.75" customHeight="1">
      <c r="A1474" s="2" t="s">
        <v>1474</v>
      </c>
      <c r="B1474" s="2" t="str">
        <f>IFERROR(__xludf.DUMMYFUNCTION("GOOGLETRANSLATE(A1474,""en"", ""mt"")"),"Il-libertà li jkomplu jaduraw fit-tradizzjoni Kattolika Rumana tagħhom, komplew is-sjieda tal-propjetà tagħhom,")</f>
        <v>Il-libertà li jkomplu jaduraw fit-tradizzjoni Kattolika Rumana tagħhom, komplew is-sjieda tal-propjetà tagħhom,</v>
      </c>
    </row>
    <row r="1475" ht="15.75" customHeight="1">
      <c r="A1475" s="2" t="s">
        <v>1475</v>
      </c>
      <c r="B1475" s="2" t="str">
        <f>IFERROR(__xludf.DUMMYFUNCTION("GOOGLETRANSLATE(A1475,""en"", ""mt"")"),"Skond l-ekonomisti David Castells-Quintana u Vicente Royuela, l-inugwaljanza dejjem tiżdied tagħmel ħsara lit-tkabbir ekonomiku. Qgħad għoli u persistenti, li fih l-inugwaljanza tiżdied, għandu effett negattiv fuq tkabbir ekonomiku sussegwenti fit-tul. Il"&amp;"-qgħad jista 'jagħmel ħsara lit-tkabbir mhux biss minħabba li huwa ħela ta' riżorsi, iżda wkoll minħabba li jiġġenera pressjonijiet ridistributtivi u distorsjonijiet sussegwenti, imexxi lin-nies għall-faqar, jillimita l-likwidità li tillimita l-mobilità t"&amp;"ax-xogħol, u tnaqqas l-istima personali li tippromwovi d-diżlokazzjoni soċjali, l-inkwiet u l-kunflitt. Il-politiki li jimmiraw biex jikkontrollaw il-qgħad u b'mod partikolari biex inaqqsu l-effetti assoċjati mal-inugwaljanza tiegħu jappoġġjaw it-tkabbir "&amp;"ekonomiku.")</f>
        <v>Skond l-ekonomisti David Castells-Quintana u Vicente Royuela, l-inugwaljanza dejjem tiżdied tagħmel ħsara lit-tkabbir ekonomiku. Qgħad għoli u persistenti, li fih l-inugwaljanza tiżdied, għandu effett negattiv fuq tkabbir ekonomiku sussegwenti fit-tul. Il-qgħad jista 'jagħmel ħsara lit-tkabbir mhux biss minħabba li huwa ħela ta' riżorsi, iżda wkoll minħabba li jiġġenera pressjonijiet ridistributtivi u distorsjonijiet sussegwenti, imexxi lin-nies għall-faqar, jillimita l-likwidità li tillimita l-mobilità tax-xogħol, u tnaqqas l-istima personali li tippromwovi d-diżlokazzjoni soċjali, l-inkwiet u l-kunflitt. Il-politiki li jimmiraw biex jikkontrollaw il-qgħad u b'mod partikolari biex inaqqsu l-effetti assoċjati mal-inugwaljanza tiegħu jappoġġjaw it-tkabbir ekonomiku.</v>
      </c>
    </row>
    <row r="1476" ht="15.75" customHeight="1">
      <c r="A1476" s="2" t="s">
        <v>1476</v>
      </c>
      <c r="B1476" s="2" t="str">
        <f>IFERROR(__xludf.DUMMYFUNCTION("GOOGLETRANSLATE(A1476,""en"", ""mt"")"),"It-territorji indiġeni qed jinqerdu fil-biċċa l-kbira b'żewġ modi?")</f>
        <v>It-territorji indiġeni qed jinqerdu fil-biċċa l-kbira b'żewġ modi?</v>
      </c>
    </row>
    <row r="1477" ht="15.75" customHeight="1">
      <c r="A1477" s="2" t="s">
        <v>1477</v>
      </c>
      <c r="B1477" s="2" t="str">
        <f>IFERROR(__xludf.DUMMYFUNCTION("GOOGLETRANSLATE(A1477,""en"", ""mt"")"),"Dak li kien Isiah Bowman Nick Isem, kif magħruf mill-pubbliku.")</f>
        <v>Dak li kien Isiah Bowman Nick Isem, kif magħruf mill-pubbliku.</v>
      </c>
    </row>
    <row r="1478" ht="15.75" customHeight="1">
      <c r="A1478" s="2" t="s">
        <v>1478</v>
      </c>
      <c r="B1478" s="2" t="str">
        <f>IFERROR(__xludf.DUMMYFUNCTION("GOOGLETRANSLATE(A1478,""en"", ""mt"")"),"Min hu kkreditat bl-isem modern għal din is-sistema")</f>
        <v>Min hu kkreditat bl-isem modern għal din is-sistema</v>
      </c>
    </row>
    <row r="1479" ht="15.75" customHeight="1">
      <c r="A1479" s="2" t="s">
        <v>1479</v>
      </c>
      <c r="B1479" s="2" t="str">
        <f>IFERROR(__xludf.DUMMYFUNCTION("GOOGLETRANSLATE(A1479,""en"", ""mt"")"),"Woodblocks")</f>
        <v>Woodblocks</v>
      </c>
    </row>
    <row r="1480" ht="15.75" customHeight="1">
      <c r="A1480" s="2" t="s">
        <v>1480</v>
      </c>
      <c r="B1480" s="2" t="str">
        <f>IFERROR(__xludf.DUMMYFUNCTION("GOOGLETRANSLATE(A1480,""en"", ""mt"")"),"Liema għan għandhom ħafna minn dawn il-protesti?")</f>
        <v>Liema għan għandhom ħafna minn dawn il-protesti?</v>
      </c>
    </row>
    <row r="1481" ht="15.75" customHeight="1">
      <c r="A1481" s="2" t="s">
        <v>1481</v>
      </c>
      <c r="B1481" s="2" t="str">
        <f>IFERROR(__xludf.DUMMYFUNCTION("GOOGLETRANSLATE(A1481,""en"", ""mt"")"),"Liema artikolu TFEU jiddefinixxi l-proċedura leġiżlattiva ordinarja li tapplika għal maġġoranza ta 'atti ta' l-UE?")</f>
        <v>Liema artikolu TFEU jiddefinixxi l-proċedura leġiżlattiva ordinarja li tapplika għal maġġoranza ta 'atti ta' l-UE?</v>
      </c>
    </row>
    <row r="1482" ht="15.75" customHeight="1">
      <c r="A1482" s="2" t="s">
        <v>1482</v>
      </c>
      <c r="B1482" s="2" t="str">
        <f>IFERROR(__xludf.DUMMYFUNCTION("GOOGLETRANSLATE(A1482,""en"", ""mt"")"),"Klasti")</f>
        <v>Klasti</v>
      </c>
    </row>
    <row r="1483" ht="15.75" customHeight="1">
      <c r="A1483" s="2" t="s">
        <v>1483</v>
      </c>
      <c r="B1483" s="2" t="str">
        <f>IFERROR(__xludf.DUMMYFUNCTION("GOOGLETRANSLATE(A1483,""en"", ""mt"")"),"Teħid qawwi ta 'proprjetà")</f>
        <v>Teħid qawwi ta 'proprjetà</v>
      </c>
    </row>
    <row r="1484" ht="15.75" customHeight="1">
      <c r="A1484" s="2" t="s">
        <v>1484</v>
      </c>
      <c r="B1484" s="2" t="str">
        <f>IFERROR(__xludf.DUMMYFUNCTION("GOOGLETRANSLATE(A1484,""en"", ""mt"")"),"Demografikament, kienet l-iktar belt diversa fil-Polonja, b'numru sinifikanti ta 'abitanti ta' twelid barrani. Minbarra l-maġġoranza Pollakka, kien hemm minoranza Lhudija sinifikanti f'Varsavja. Skond iċ-ċensiment Russu tal-1897, mill-popolazzjoni totali "&amp;"ta '638,000, il-Lhud kienu jikkostitwixxu 219,000 (madwar 34% fil-mija). Il-popolazzjoni Lhudija ta 'Varsavja qabel aktar minn 350,000 kienet tikkostitwixxi madwar 30 fil-mija tal-popolazzjoni totali tal-belt. Fl-1933, minn 1,178,914 abitant 833,500 kienu"&amp;" ta 'lingwa materna Pollakka. It-Tieni Gwerra Dinjija biddlet id-demografija tal-belt, u sal-lum hemm ħafna inqas diversità etnika milli fit-300 sena preċedenti ta 'l-istorja ta' Varsavja. Il-biċċa l-kbira tat-tkabbir tal-popolazzjoni moderna tal-ġurnata "&amp;"huwa bbażat fuq il-migrazzjoni interna u l-urbanizzazzjoni.")</f>
        <v>Demografikament, kienet l-iktar belt diversa fil-Polonja, b'numru sinifikanti ta 'abitanti ta' twelid barrani. Minbarra l-maġġoranza Pollakka, kien hemm minoranza Lhudija sinifikanti f'Varsavja. Skond iċ-ċensiment Russu tal-1897, mill-popolazzjoni totali ta '638,000, il-Lhud kienu jikkostitwixxu 219,000 (madwar 34% fil-mija). Il-popolazzjoni Lhudija ta 'Varsavja qabel aktar minn 350,000 kienet tikkostitwixxi madwar 30 fil-mija tal-popolazzjoni totali tal-belt. Fl-1933, minn 1,178,914 abitant 833,500 kienu ta 'lingwa materna Pollakka. It-Tieni Gwerra Dinjija biddlet id-demografija tal-belt, u sal-lum hemm ħafna inqas diversità etnika milli fit-300 sena preċedenti ta 'l-istorja ta' Varsavja. Il-biċċa l-kbira tat-tkabbir tal-popolazzjoni moderna tal-ġurnata huwa bbażat fuq il-migrazzjoni interna u l-urbanizzazzjoni.</v>
      </c>
    </row>
    <row r="1485" ht="15.75" customHeight="1">
      <c r="A1485" s="2" t="s">
        <v>1485</v>
      </c>
      <c r="B1485" s="2" t="str">
        <f>IFERROR(__xludf.DUMMYFUNCTION("GOOGLETRANSLATE(A1485,""en"", ""mt"")"),"1951")</f>
        <v>1951</v>
      </c>
    </row>
    <row r="1486" ht="15.75" customHeight="1">
      <c r="A1486" s="2" t="s">
        <v>1486</v>
      </c>
      <c r="B1486" s="2" t="str">
        <f>IFERROR(__xludf.DUMMYFUNCTION("GOOGLETRANSLATE(A1486,""en"", ""mt"")"),"Xi drabi l-prosekuzzjoni tipproponi motiv ta 'negozjar għal diżubbidjenti ċivili, bħal fil-każ ta' Camden 28, li fih l-imputati ġew offruti opportunità biex jinvokaw ħatja għal għadd ta 'delitt u ma jirċievu l-ebda ħin ta' ħabs. F’xi sitwazzjonijiet ta ’a"&amp;"rrest tal-massa, l-attivisti jiddeċiedu li jużaw tattiċi ta’ solidarjetà biex jassiguraw l-istess motiv ta ’negozju għal kulħadd. Iżda xi attivisti għażlu li jidħlu motiv għomja, u wieġbu ħatja mingħajr ebda ftehim ta 'motiv fis-seħħ. Mohandas Gandhi wieġ"&amp;"eb ħati u qal lill-qorti, ""Jiena hawn. . """)</f>
        <v>Xi drabi l-prosekuzzjoni tipproponi motiv ta 'negozjar għal diżubbidjenti ċivili, bħal fil-każ ta' Camden 28, li fih l-imputati ġew offruti opportunità biex jinvokaw ħatja għal għadd ta 'delitt u ma jirċievu l-ebda ħin ta' ħabs. F’xi sitwazzjonijiet ta ’arrest tal-massa, l-attivisti jiddeċiedu li jużaw tattiċi ta’ solidarjetà biex jassiguraw l-istess motiv ta ’negozju għal kulħadd. Iżda xi attivisti għażlu li jidħlu motiv għomja, u wieġbu ħatja mingħajr ebda ftehim ta 'motiv fis-seħħ. Mohandas Gandhi wieġeb ħati u qal lill-qorti, "Jiena hawn. . "</v>
      </c>
    </row>
    <row r="1487" ht="15.75" customHeight="1">
      <c r="A1487" s="2" t="s">
        <v>1487</v>
      </c>
      <c r="B1487" s="2" t="str">
        <f>IFERROR(__xludf.DUMMYFUNCTION("GOOGLETRANSLATE(A1487,""en"", ""mt"")"),"Min allegatament haunted il-bieb?")</f>
        <v>Min allegatament haunted il-bieb?</v>
      </c>
    </row>
    <row r="1488" ht="15.75" customHeight="1">
      <c r="A1488" s="2" t="s">
        <v>1488</v>
      </c>
      <c r="B1488" s="2" t="str">
        <f>IFERROR(__xludf.DUMMYFUNCTION("GOOGLETRANSLATE(A1488,""en"", ""mt"")"),"Kif jistgħu jiġu osservati l-effetti tal-gravità b'mod differenti skont Newton?")</f>
        <v>Kif jistgħu jiġu osservati l-effetti tal-gravità b'mod differenti skont Newton?</v>
      </c>
    </row>
    <row r="1489" ht="15.75" customHeight="1">
      <c r="A1489" s="2" t="s">
        <v>1489</v>
      </c>
      <c r="B1489" s="2" t="str">
        <f>IFERROR(__xludf.DUMMYFUNCTION("GOOGLETRANSLATE(A1489,""en"", ""mt"")"),"L-eżodu ta 'Huguenots minn Franza ħoloq fossa tal-moħħ, peress li ħafna Huguenots kienu okkupaw postijiet importanti fis-soċjetà. Ir-renju ma rkuprax għal kollox għal snin twal. Ir-rifjut tal-Kuruna Franċiża li tippermetti li n-non-Kattoliċi joqgħodu fi F"&amp;"ranza l-ġdida jista 'jgħin biex jispjega li r-rata bil-mod ta' tkabbir tal-popolazzjoni tal-kolonja meta mqabbla ma 'dik tal-kolonji Ingliżi ġirien, li fetħu l-ftehim għal dissenters reliġjużi. Saż-żmien tal-Gwerra Franċiża u Indjana (il-front tal-Amerika"&amp;" ta ’Fuq tal-Gwerra tas-Seba’ snin), popolazzjoni mdaqqsa ta ’dixxendenza Huguenot kienet tgħix fil-kolonji Ingliżi, u ħafna pparteċipaw fit-telfa Ingliża ta’ New France fl-1759-60.")</f>
        <v>L-eżodu ta 'Huguenots minn Franza ħoloq fossa tal-moħħ, peress li ħafna Huguenots kienu okkupaw postijiet importanti fis-soċjetà. Ir-renju ma rkuprax għal kollox għal snin twal. Ir-rifjut tal-Kuruna Franċiża li tippermetti li n-non-Kattoliċi joqgħodu fi Franza l-ġdida jista 'jgħin biex jispjega li r-rata bil-mod ta' tkabbir tal-popolazzjoni tal-kolonja meta mqabbla ma 'dik tal-kolonji Ingliżi ġirien, li fetħu l-ftehim għal dissenters reliġjużi. Saż-żmien tal-Gwerra Franċiża u Indjana (il-front tal-Amerika ta ’Fuq tal-Gwerra tas-Seba’ snin), popolazzjoni mdaqqsa ta ’dixxendenza Huguenot kienet tgħix fil-kolonji Ingliżi, u ħafna pparteċipaw fit-telfa Ingliża ta’ New France fl-1759-60.</v>
      </c>
    </row>
    <row r="1490" ht="15.75" customHeight="1">
      <c r="A1490" s="2" t="s">
        <v>1490</v>
      </c>
      <c r="B1490" s="2" t="str">
        <f>IFERROR(__xludf.DUMMYFUNCTION("GOOGLETRANSLATE(A1490,""en"", ""mt"")"),"regoli")</f>
        <v>regoli</v>
      </c>
    </row>
    <row r="1491" ht="15.75" customHeight="1">
      <c r="A1491" s="2" t="s">
        <v>1491</v>
      </c>
      <c r="B1491" s="2" t="str">
        <f>IFERROR(__xludf.DUMMYFUNCTION("GOOGLETRANSLATE(A1491,""en"", ""mt"")"),"Ediacaran Eoandromeda jista 'jitqies li jirrappreżenta x'inhu?")</f>
        <v>Ediacaran Eoandromeda jista 'jitqies li jirrappreżenta x'inhu?</v>
      </c>
    </row>
    <row r="1492" ht="15.75" customHeight="1">
      <c r="A1492" s="2" t="s">
        <v>1492</v>
      </c>
      <c r="B1492" s="2" t="str">
        <f>IFERROR(__xludf.DUMMYFUNCTION("GOOGLETRANSLATE(A1492,""en"", ""mt"")"),"Min kien ikun il-klassi l-iktar baxxa?")</f>
        <v>Min kien ikun il-klassi l-iktar baxxa?</v>
      </c>
    </row>
    <row r="1493" ht="15.75" customHeight="1">
      <c r="A1493" s="2" t="s">
        <v>1493</v>
      </c>
      <c r="B1493" s="2" t="str">
        <f>IFERROR(__xludf.DUMMYFUNCTION("GOOGLETRANSLATE(A1493,""en"", ""mt"")"),"Liema żewġ gruppi għandhom ċelloli marbuta permezz ta 'konnessjonijiet inter-ċelloli u membrani, muskoli, sistema nervuża u organi sensorji?")</f>
        <v>Liema żewġ gruppi għandhom ċelloli marbuta permezz ta 'konnessjonijiet inter-ċelloli u membrani, muskoli, sistema nervuża u organi sensorji?</v>
      </c>
    </row>
    <row r="1494" ht="15.75" customHeight="1">
      <c r="A1494" s="2" t="s">
        <v>1494</v>
      </c>
      <c r="B1494" s="2" t="str">
        <f>IFERROR(__xludf.DUMMYFUNCTION("GOOGLETRANSLATE(A1494,""en"", ""mt"")"),"Mis-sokits tas-snien fl-iskeletri tal-bniedem")</f>
        <v>Mis-sokits tas-snien fl-iskeletri tal-bniedem</v>
      </c>
    </row>
    <row r="1495" ht="15.75" customHeight="1">
      <c r="A1495" s="2" t="s">
        <v>1495</v>
      </c>
      <c r="B1495" s="2" t="str">
        <f>IFERROR(__xludf.DUMMYFUNCTION("GOOGLETRANSLATE(A1495,""en"", ""mt"")"),"Il-blat fil-Grand Canyon ilhom fis-seħħ minn meta?")</f>
        <v>Il-blat fil-Grand Canyon ilhom fis-seħħ minn meta?</v>
      </c>
    </row>
    <row r="1496" ht="15.75" customHeight="1">
      <c r="A1496" s="2" t="s">
        <v>1496</v>
      </c>
      <c r="B1496" s="2" t="str">
        <f>IFERROR(__xludf.DUMMYFUNCTION("GOOGLETRANSLATE(A1496,""en"", ""mt"")"),"Fis-sistema ta 'telefonati virtwali, in-netwerk jiggarantixxi konsenja sekwenzjata ta' data lill-host")</f>
        <v>Fis-sistema ta 'telefonati virtwali, in-netwerk jiggarantixxi konsenja sekwenzjata ta' data lill-host</v>
      </c>
    </row>
    <row r="1497" ht="15.75" customHeight="1">
      <c r="A1497" s="2" t="s">
        <v>1497</v>
      </c>
      <c r="B1497" s="2" t="str">
        <f>IFERROR(__xludf.DUMMYFUNCTION("GOOGLETRANSLATE(A1497,""en"", ""mt"")"),"X'kien it-titlu Ingliż tal-ktieb ta 'Polo?")</f>
        <v>X'kien it-titlu Ingliż tal-ktieb ta 'Polo?</v>
      </c>
    </row>
    <row r="1498" ht="15.75" customHeight="1">
      <c r="A1498" s="2" t="s">
        <v>1498</v>
      </c>
      <c r="B1498" s="2" t="str">
        <f>IFERROR(__xludf.DUMMYFUNCTION("GOOGLETRANSLATE(A1498,""en"", ""mt"")"),"superjuri")</f>
        <v>superjuri</v>
      </c>
    </row>
    <row r="1499" ht="15.75" customHeight="1">
      <c r="A1499" s="2" t="s">
        <v>1499</v>
      </c>
      <c r="B1499" s="2" t="str">
        <f>IFERROR(__xludf.DUMMYFUNCTION("GOOGLETRANSLATE(A1499,""en"", ""mt"")"),"Monatomic")</f>
        <v>Monatomic</v>
      </c>
    </row>
    <row r="1500" ht="15.75" customHeight="1">
      <c r="A1500" s="2" t="s">
        <v>1500</v>
      </c>
      <c r="B1500" s="2" t="str">
        <f>IFERROR(__xludf.DUMMYFUNCTION("GOOGLETRANSLATE(A1500,""en"", ""mt"")"),"Il-bram u l-anemoni tal-baħar jappartjenu għal liema grupp /")</f>
        <v>Il-bram u l-anemoni tal-baħar jappartjenu għal liema grupp /</v>
      </c>
    </row>
    <row r="1501" ht="15.75" customHeight="1">
      <c r="A1501" s="2" t="s">
        <v>1501</v>
      </c>
      <c r="B1501" s="2" t="str">
        <f>IFERROR(__xludf.DUMMYFUNCTION("GOOGLETRANSLATE(A1501,""en"", ""mt"")"),"It-teorema fundamentali tal-aritmetika")</f>
        <v>It-teorema fundamentali tal-aritmetika</v>
      </c>
    </row>
    <row r="1502" ht="15.75" customHeight="1">
      <c r="A1502" s="2" t="s">
        <v>1502</v>
      </c>
      <c r="B1502" s="2" t="str">
        <f>IFERROR(__xludf.DUMMYFUNCTION("GOOGLETRANSLATE(A1502,""en"", ""mt"")"),"Sofokli")</f>
        <v>Sofokli</v>
      </c>
    </row>
    <row r="1503" ht="15.75" customHeight="1">
      <c r="A1503" s="2" t="s">
        <v>1503</v>
      </c>
      <c r="B1503" s="2" t="str">
        <f>IFERROR(__xludf.DUMMYFUNCTION("GOOGLETRANSLATE(A1503,""en"", ""mt"")"),"Limitazzjonijiet prattiċi ta 'ħidma fil-foresta tropikali jfissru li l-kampjunar tad-dejta huwa preġudikat' il bogħod miċ-ċentru tal-baċin tal-Amażonja")</f>
        <v>Limitazzjonijiet prattiċi ta 'ħidma fil-foresta tropikali jfissru li l-kampjunar tad-dejta huwa preġudikat' il bogħod miċ-ċentru tal-baċin tal-Amażonja</v>
      </c>
    </row>
    <row r="1504" ht="15.75" customHeight="1">
      <c r="A1504" s="2" t="s">
        <v>1504</v>
      </c>
      <c r="B1504" s="2" t="str">
        <f>IFERROR(__xludf.DUMMYFUNCTION("GOOGLETRANSLATE(A1504,""en"", ""mt"")"),"Liema reliġjon skoraġġixxa l-wan, biex tappoġġja l-Buddiżmu?")</f>
        <v>Liema reliġjon skoraġġixxa l-wan, biex tappoġġja l-Buddiżmu?</v>
      </c>
    </row>
    <row r="1505" ht="15.75" customHeight="1">
      <c r="A1505" s="2" t="s">
        <v>1505</v>
      </c>
      <c r="B1505" s="2" t="str">
        <f>IFERROR(__xludf.DUMMYFUNCTION("GOOGLETRANSLATE(A1505,""en"", ""mt"")"),"Il-gvern ta 'Kublai ffaċċja diffikultajiet finanzjarji wara 1279. Il-gwerer u l-proġetti ta' kostruzzjoni kienu xorbu t-Teżor tal-Mongolja. L-isforzi biex jinġabru u jinġabru d-dħul mit-taxxa kienu affetwati mill-korruzzjoni u l-iskandli politiċi. L-isped"&amp;"izzjonijiet militari mmaniġġjati ħażin segwew il-problemi finanzjarji. It-tieni invażjoni ta 'Kublai fil-Ġappun fl-1281 falliet minħabba tifun inauspicious. Kublai botched il-kampanji tiegħu kontra Annam, Champa, u Java, iżda rebaħ rebħa pirrika kontra Bu"&amp;"rma. L-ispedizzjonijiet kienu mxekkla mill-marda, klima inospitabbli, u art tropikali mhux xierqa għall-gwerra mmuntata tal-Mongoli. Id-dinastija Tran li ddeċidiet lil Annam (Dai Viet) mgħaffeġ u għelbet lill-Mongoli fil-battalja ta ’Bạch ằng (1288). Ir-r"&amp;"eġjun Ċiniż ta 'Fujian kien id-dar oriġinali tal-klan Tran (Chen) Ċiniż qabel ma emigraw taħt Trần Kinh (陳京, Chén Jīng) lejn Dai Viet u li d-dixxendenti tagħhom stabbilixxew id-dinastija Trần li ddeċidiet il-Vjetnam ạại Việt, u ċerti membri ta' Il-klann x"&amp;"orta jista 'jitkellem Ċiniż bħal meta mibgħut dinastija Yuan kellu laqgħa mal-Prinċep Trần li jitkellmu Ċiniż Trần Quốc Tuấn (aktar tard ir-Re Trần Hưng ạo) fl-1282. Il-Professur Liam Kelley innota li n-nies mid-Dynasty Song Dynasty bħal Zhao Zhong u Xu Z"&amp;"ongdao ħarab lejn it-Tran Dynasty iddeċidiet il-Vjetnam wara l-invażjoni tal-kanzunetta Mongolja u għenu lill-ġlieda kontra t-Tran kontra l-invażjoni tal-Mongolja. Id-dinastija Tran oriġinat mir-reġjun tal-Fujian taċ-Ċina kif għamlet il-kleru Daoist Xu Zo"&amp;"ngdao li rreġistra l-invażjoni tal-Mongolja u rrefera għalihom bħala ""banditi tat-tramuntana"". Annam, Burma, u Champa għarfu l-eġemonija tal-Mongol u stabbilixxew relazzjonijiet tributarji mad-dinastija Yuan.")</f>
        <v>Il-gvern ta 'Kublai ffaċċja diffikultajiet finanzjarji wara 1279. Il-gwerer u l-proġetti ta' kostruzzjoni kienu xorbu t-Teżor tal-Mongolja. L-isforzi biex jinġabru u jinġabru d-dħul mit-taxxa kienu affetwati mill-korruzzjoni u l-iskandli politiċi. L-ispedizzjonijiet militari mmaniġġjati ħażin segwew il-problemi finanzjarji. It-tieni invażjoni ta 'Kublai fil-Ġappun fl-1281 falliet minħabba tifun inauspicious. Kublai botched il-kampanji tiegħu kontra Annam, Champa, u Java, iżda rebaħ rebħa pirrika kontra Burma. L-ispedizzjonijiet kienu mxekkla mill-marda, klima inospitabbli, u art tropikali mhux xierqa għall-gwerra mmuntata tal-Mongoli. Id-dinastija Tran li ddeċidiet lil Annam (Dai Viet) mgħaffeġ u għelbet lill-Mongoli fil-battalja ta ’Bạch ằng (1288). Ir-reġjun Ċiniż ta 'Fujian kien id-dar oriġinali tal-klan Tran (Chen) Ċiniż qabel ma emigraw taħt Trần Kinh (陳京, Chén Jīng) lejn Dai Viet u li d-dixxendenti tagħhom stabbilixxew id-dinastija Trần li ddeċidiet il-Vjetnam ạại Việt, u ċerti membri ta' Il-klann xorta jista 'jitkellem Ċiniż bħal meta mibgħut dinastija Yuan kellu laqgħa mal-Prinċep Trần li jitkellmu Ċiniż Trần Quốc Tuấn (aktar tard ir-Re Trần Hưng ạo) fl-1282. Il-Professur Liam Kelley innota li n-nies mid-Dynasty Song Dynasty bħal Zhao Zhong u Xu Zongdao ħarab lejn it-Tran Dynasty iddeċidiet il-Vjetnam wara l-invażjoni tal-kanzunetta Mongolja u għenu lill-ġlieda kontra t-Tran kontra l-invażjoni tal-Mongolja. Id-dinastija Tran oriġinat mir-reġjun tal-Fujian taċ-Ċina kif għamlet il-kleru Daoist Xu Zongdao li rreġistra l-invażjoni tal-Mongolja u rrefera għalihom bħala "banditi tat-tramuntana". Annam, Burma, u Champa għarfu l-eġemonija tal-Mongol u stabbilixxew relazzjonijiet tributarji mad-dinastija Yuan.</v>
      </c>
    </row>
    <row r="1506" ht="15.75" customHeight="1">
      <c r="A1506" s="2" t="s">
        <v>1506</v>
      </c>
      <c r="B1506" s="2" t="str">
        <f>IFERROR(__xludf.DUMMYFUNCTION("GOOGLETRANSLATE(A1506,""en"", ""mt"")"),"It-teħid ta 'kampjuni tad-dejta huwa preġudikat' il bogħod miċ-ċentru tal-baċin tal-Amazon")</f>
        <v>It-teħid ta 'kampjuni tad-dejta huwa preġudikat' il bogħod miċ-ċentru tal-baċin tal-Amazon</v>
      </c>
    </row>
    <row r="1507" ht="15.75" customHeight="1">
      <c r="A1507" s="2" t="s">
        <v>1507</v>
      </c>
      <c r="B1507" s="2" t="str">
        <f>IFERROR(__xludf.DUMMYFUNCTION("GOOGLETRANSLATE(A1507,""en"", ""mt"")"),"Għal xiex kienu x.25 u relay tal-qafas użat")</f>
        <v>Għal xiex kienu x.25 u relay tal-qafas użat</v>
      </c>
    </row>
    <row r="1508" ht="15.75" customHeight="1">
      <c r="A1508" s="2" t="s">
        <v>1508</v>
      </c>
      <c r="B1508" s="2" t="str">
        <f>IFERROR(__xludf.DUMMYFUNCTION("GOOGLETRANSLATE(A1508,""en"", ""mt"")"),"Liema kundizzjoni x'għandu jkun sodisfatt sabiex 1 / p jiġi espress fil-bażi Q minflok il-bażi 10 u xorta jkollok perjodu ta 'p - 1?")</f>
        <v>Liema kundizzjoni x'għandu jkun sodisfatt sabiex 1 / p jiġi espress fil-bażi Q minflok il-bażi 10 u xorta jkollok perjodu ta 'p - 1?</v>
      </c>
    </row>
    <row r="1509" ht="15.75" customHeight="1">
      <c r="A1509" s="2" t="s">
        <v>1509</v>
      </c>
      <c r="B1509" s="2" t="str">
        <f>IFERROR(__xludf.DUMMYFUNCTION("GOOGLETRANSLATE(A1509,""en"", ""mt"")"),"Netwerk Internet2")</f>
        <v>Netwerk Internet2</v>
      </c>
    </row>
    <row r="1510" ht="15.75" customHeight="1">
      <c r="A1510" s="2" t="s">
        <v>1510</v>
      </c>
      <c r="B1510" s="2" t="str">
        <f>IFERROR(__xludf.DUMMYFUNCTION("GOOGLETRANSLATE(A1510,""en"", ""mt"")"),"Liema teoremi huma responsabbli biex jiddeterminaw mistoqsijiet dwar ir-rekwiżiti tal-ħin u l-ispazju?")</f>
        <v>Liema teoremi huma responsabbli biex jiddeterminaw mistoqsijiet dwar ir-rekwiżiti tal-ħin u l-ispazju?</v>
      </c>
    </row>
    <row r="1511" ht="15.75" customHeight="1">
      <c r="A1511" s="2" t="s">
        <v>1511</v>
      </c>
      <c r="B1511" s="2" t="str">
        <f>IFERROR(__xludf.DUMMYFUNCTION("GOOGLETRANSLATE(A1511,""en"", ""mt"")"),"żgħir")</f>
        <v>żgħir</v>
      </c>
    </row>
    <row r="1512" ht="15.75" customHeight="1">
      <c r="A1512" s="2" t="s">
        <v>1512</v>
      </c>
      <c r="B1512" s="2" t="str">
        <f>IFERROR(__xludf.DUMMYFUNCTION("GOOGLETRANSLATE(A1512,""en"", ""mt"")"),"X'għandhom jirrappreżentaw A u B fl-espressjoni sħiħa Gaussjana?")</f>
        <v>X'għandhom jirrappreżentaw A u B fl-espressjoni sħiħa Gaussjana?</v>
      </c>
    </row>
    <row r="1513" ht="15.75" customHeight="1">
      <c r="A1513" s="2" t="s">
        <v>1513</v>
      </c>
      <c r="B1513" s="2" t="str">
        <f>IFERROR(__xludf.DUMMYFUNCTION("GOOGLETRANSLATE(A1513,""en"", ""mt"")"),"Fejn jinsab id-Depot tal-Ferrovija ta 'Santa Fe?")</f>
        <v>Fejn jinsab id-Depot tal-Ferrovija ta 'Santa Fe?</v>
      </c>
    </row>
    <row r="1514" ht="15.75" customHeight="1">
      <c r="A1514" s="2" t="s">
        <v>1514</v>
      </c>
      <c r="B1514" s="2" t="str">
        <f>IFERROR(__xludf.DUMMYFUNCTION("GOOGLETRANSLATE(A1514,""en"", ""mt"")"),"Tferrix tal-baħar")</f>
        <v>Tferrix tal-baħar</v>
      </c>
    </row>
    <row r="1515" ht="15.75" customHeight="1">
      <c r="A1515" s="2" t="s">
        <v>1515</v>
      </c>
      <c r="B1515" s="2" t="str">
        <f>IFERROR(__xludf.DUMMYFUNCTION("GOOGLETRANSLATE(A1515,""en"", ""mt"")"),"X'tip ta 'magni tal-fwar ipproduċew l-iktar enerġija sal-bidu tas-seklu 20?")</f>
        <v>X'tip ta 'magni tal-fwar ipproduċew l-iktar enerġija sal-bidu tas-seklu 20?</v>
      </c>
    </row>
    <row r="1516" ht="15.75" customHeight="1">
      <c r="A1516" s="2" t="s">
        <v>1516</v>
      </c>
      <c r="B1516" s="2" t="str">
        <f>IFERROR(__xludf.DUMMYFUNCTION("GOOGLETRANSLATE(A1516,""en"", ""mt"")"),"Il-magni joperaw b'mod deterministiku")</f>
        <v>Il-magni joperaw b'mod deterministiku</v>
      </c>
    </row>
    <row r="1517" ht="15.75" customHeight="1">
      <c r="A1517" s="2" t="s">
        <v>1517</v>
      </c>
      <c r="B1517" s="2" t="str">
        <f>IFERROR(__xludf.DUMMYFUNCTION("GOOGLETRANSLATE(A1517,""en"", ""mt"")"),"ħruq ta 'materjali kombustibbli")</f>
        <v>ħruq ta 'materjali kombustibbli</v>
      </c>
    </row>
    <row r="1518" ht="15.75" customHeight="1">
      <c r="A1518" s="2" t="s">
        <v>1518</v>
      </c>
      <c r="B1518" s="2" t="str">
        <f>IFERROR(__xludf.DUMMYFUNCTION("GOOGLETRANSLATE(A1518,""en"", ""mt"")"),"1920s")</f>
        <v>1920s</v>
      </c>
    </row>
    <row r="1519" ht="15.75" customHeight="1">
      <c r="A1519" s="2" t="s">
        <v>1519</v>
      </c>
      <c r="B1519" s="2" t="str">
        <f>IFERROR(__xludf.DUMMYFUNCTION("GOOGLETRANSLATE(A1519,""en"", ""mt"")"),"Ma 'riċevitur għandu jkun mgħammar biex jara l-kontenut kriptat?")</f>
        <v>Ma 'riċevitur għandu jkun mgħammar biex jara l-kontenut kriptat?</v>
      </c>
    </row>
    <row r="1520" ht="15.75" customHeight="1">
      <c r="A1520" s="2" t="s">
        <v>1520</v>
      </c>
      <c r="B1520" s="2" t="str">
        <f>IFERROR(__xludf.DUMMYFUNCTION("GOOGLETRANSLATE(A1520,""en"", ""mt"")"),"F'Novembru 2006, l-elezzjonijiet tal-Kunsill Leġiżlattiv Vittorjan saru taħt sistema ta 'rappreżentanza proporzjonali b'ħafna membri. L-istat tar-Rabat kien maqsum fi tmien elettorati ma 'kull elettorat irrappreżentat minn ħames rappreżentanti eletti b'vo"&amp;"t trasferibbli wieħed. In-numru totali ta 'membri ta' Upper House tnaqqas minn 44 għal 40 u l-mandat tagħhom issa huwa l-istess bħall-membri ta 'l-Isfond tad-Dar - erba' snin. L-elezzjonijiet għall-Parlament Vittorjan issa huma ffissati u jseħħu f'Novembr"&amp;"u kull erba 'snin. Qabel l-elezzjoni tal-2006, il-Kunsill Leġiżlattiv kien jikkonsisti minn 44 membru eletti għal termini ta 'tmien snin minn 22 elettorat ta' żewġ membri.")</f>
        <v>F'Novembru 2006, l-elezzjonijiet tal-Kunsill Leġiżlattiv Vittorjan saru taħt sistema ta 'rappreżentanza proporzjonali b'ħafna membri. L-istat tar-Rabat kien maqsum fi tmien elettorati ma 'kull elettorat irrappreżentat minn ħames rappreżentanti eletti b'vot trasferibbli wieħed. In-numru totali ta 'membri ta' Upper House tnaqqas minn 44 għal 40 u l-mandat tagħhom issa huwa l-istess bħall-membri ta 'l-Isfond tad-Dar - erba' snin. L-elezzjonijiet għall-Parlament Vittorjan issa huma ffissati u jseħħu f'Novembru kull erba 'snin. Qabel l-elezzjoni tal-2006, il-Kunsill Leġiżlattiv kien jikkonsisti minn 44 membru eletti għal termini ta 'tmien snin minn 22 elettorat ta' żewġ membri.</v>
      </c>
    </row>
    <row r="1521" ht="15.75" customHeight="1">
      <c r="A1521" s="2" t="s">
        <v>1521</v>
      </c>
      <c r="B1521" s="2" t="str">
        <f>IFERROR(__xludf.DUMMYFUNCTION("GOOGLETRANSLATE(A1521,""en"", ""mt"")"),"Al-Qaeda u t-Taliban")</f>
        <v>Al-Qaeda u t-Taliban</v>
      </c>
    </row>
    <row r="1522" ht="15.75" customHeight="1">
      <c r="A1522" s="2" t="s">
        <v>1522</v>
      </c>
      <c r="B1522" s="2" t="str">
        <f>IFERROR(__xludf.DUMMYFUNCTION("GOOGLETRANSLATE(A1522,""en"", ""mt"")"),"L-ormoni tas-sess femminili huma immunostimulaturi ta 'liema risponsi immuni?")</f>
        <v>L-ormoni tas-sess femminili huma immunostimulaturi ta 'liema risponsi immuni?</v>
      </c>
    </row>
    <row r="1523" ht="15.75" customHeight="1">
      <c r="A1523" s="2" t="s">
        <v>1523</v>
      </c>
      <c r="B1523" s="2" t="str">
        <f>IFERROR(__xludf.DUMMYFUNCTION("GOOGLETRANSLATE(A1523,""en"", ""mt"")"),"Jiddikjara ħati għal għadd wieħed ta 'delitt u ma jirċievi l-ebda ħin ta' ħabs")</f>
        <v>Jiddikjara ħati għal għadd wieħed ta 'delitt u ma jirċievi l-ebda ħin ta' ħabs</v>
      </c>
    </row>
    <row r="1524" ht="15.75" customHeight="1">
      <c r="A1524" s="2" t="s">
        <v>1524</v>
      </c>
      <c r="B1524" s="2" t="str">
        <f>IFERROR(__xludf.DUMMYFUNCTION("GOOGLETRANSLATE(A1524,""en"", ""mt"")"),"Messiaen jgħid li l-kompożizzjoni bin-numri ewlenin kienet ispirata minn xiex?")</f>
        <v>Messiaen jgħid li l-kompożizzjoni bin-numri ewlenin kienet ispirata minn xiex?</v>
      </c>
    </row>
    <row r="1525" ht="15.75" customHeight="1">
      <c r="A1525" s="2" t="s">
        <v>1525</v>
      </c>
      <c r="B1525" s="2" t="str">
        <f>IFERROR(__xludf.DUMMYFUNCTION("GOOGLETRANSLATE(A1525,""en"", ""mt"")"),"Kull ammont kbir minnu jdgħajjef il-liġi")</f>
        <v>Kull ammont kbir minnu jdgħajjef il-liġi</v>
      </c>
    </row>
    <row r="1526" ht="15.75" customHeight="1">
      <c r="A1526" s="2" t="s">
        <v>1526</v>
      </c>
      <c r="B1526" s="2" t="str">
        <f>IFERROR(__xludf.DUMMYFUNCTION("GOOGLETRANSLATE(A1526,""en"", ""mt"")"),"Il-pesta bubonika kienet mifruxa aktar malajr jew aktar bil-mod mill-pesta bubonika moderna?")</f>
        <v>Il-pesta bubonika kienet mifruxa aktar malajr jew aktar bil-mod mill-pesta bubonika moderna?</v>
      </c>
    </row>
    <row r="1527" ht="15.75" customHeight="1">
      <c r="A1527" s="2" t="s">
        <v>1527</v>
      </c>
      <c r="B1527" s="2" t="str">
        <f>IFERROR(__xludf.DUMMYFUNCTION("GOOGLETRANSLATE(A1527,""en"", ""mt"")"),"Proporzjonalment man-numru ta 'voti riċevuti fit-tieni vot tal-votazzjoni bl-użu tal-metodu D'Hondt")</f>
        <v>Proporzjonalment man-numru ta 'voti riċevuti fit-tieni vot tal-votazzjoni bl-użu tal-metodu D'Hondt</v>
      </c>
    </row>
    <row r="1528" ht="15.75" customHeight="1">
      <c r="A1528" s="2" t="s">
        <v>1528</v>
      </c>
      <c r="B1528" s="2" t="str">
        <f>IFERROR(__xludf.DUMMYFUNCTION("GOOGLETRANSLATE(A1528,""en"", ""mt"")"),"Biex tikkalkula l-aċċellerazzjoni angolari immedjata ta 'korp riġidu x'għandek tuża?")</f>
        <v>Biex tikkalkula l-aċċellerazzjoni angolari immedjata ta 'korp riġidu x'għandek tuża?</v>
      </c>
    </row>
    <row r="1529" ht="15.75" customHeight="1">
      <c r="A1529" s="2" t="s">
        <v>1529</v>
      </c>
      <c r="B1529" s="2" t="str">
        <f>IFERROR(__xludf.DUMMYFUNCTION("GOOGLETRANSLATE(A1529,""en"", ""mt"")"),"Għaqda ta ’Alla")</f>
        <v>Għaqda ta ’Alla</v>
      </c>
    </row>
    <row r="1530" ht="15.75" customHeight="1">
      <c r="A1530" s="2" t="s">
        <v>1530</v>
      </c>
      <c r="B1530" s="2" t="str">
        <f>IFERROR(__xludf.DUMMYFUNCTION("GOOGLETRANSLATE(A1530,""en"", ""mt"")"),"Fejn xi ħaddiema għamlu aktar minn $ 100,000?")</f>
        <v>Fejn xi ħaddiema għamlu aktar minn $ 100,000?</v>
      </c>
    </row>
    <row r="1531" ht="15.75" customHeight="1">
      <c r="A1531" s="2" t="s">
        <v>1531</v>
      </c>
      <c r="B1531" s="2" t="str">
        <f>IFERROR(__xludf.DUMMYFUNCTION("GOOGLETRANSLATE(A1531,""en"", ""mt"")"),"Artikolu 294 TFEU")</f>
        <v>Artikolu 294 TFEU</v>
      </c>
    </row>
    <row r="1532" ht="15.75" customHeight="1">
      <c r="A1532" s="2" t="s">
        <v>1532</v>
      </c>
      <c r="B1532" s="2" t="str">
        <f>IFERROR(__xludf.DUMMYFUNCTION("GOOGLETRANSLATE(A1532,""en"", ""mt"")"),"Taqbad il-lobi tagħhom")</f>
        <v>Taqbad il-lobi tagħhom</v>
      </c>
    </row>
    <row r="1533" ht="15.75" customHeight="1">
      <c r="A1533" s="2" t="s">
        <v>1533</v>
      </c>
      <c r="B1533" s="2" t="str">
        <f>IFERROR(__xludf.DUMMYFUNCTION("GOOGLETRANSLATE(A1533,""en"", ""mt"")"),"Fejn kien jokkupa r-Rhine waqt l-Oloken?")</f>
        <v>Fejn kien jokkupa r-Rhine waqt l-Oloken?</v>
      </c>
    </row>
    <row r="1534" ht="15.75" customHeight="1">
      <c r="A1534" s="2" t="s">
        <v>1534</v>
      </c>
      <c r="B1534" s="2" t="str">
        <f>IFERROR(__xludf.DUMMYFUNCTION("GOOGLETRANSLATE(A1534,""en"", ""mt"")"),"Min kien ir-Re Uighur ta 'Qocho kklassifikat hawn fuq?")</f>
        <v>Min kien ir-Re Uighur ta 'Qocho kklassifikat hawn fuq?</v>
      </c>
    </row>
    <row r="1535" ht="15.75" customHeight="1">
      <c r="A1535" s="2" t="s">
        <v>1535</v>
      </c>
      <c r="B1535" s="2" t="str">
        <f>IFERROR(__xludf.DUMMYFUNCTION("GOOGLETRANSLATE(A1535,""en"", ""mt"")"),"Perjodu Ediacaran")</f>
        <v>Perjodu Ediacaran</v>
      </c>
    </row>
    <row r="1536" ht="15.75" customHeight="1">
      <c r="A1536" s="2" t="s">
        <v>1536</v>
      </c>
      <c r="B1536" s="2" t="str">
        <f>IFERROR(__xludf.DUMMYFUNCTION("GOOGLETRANSLATE(A1536,""en"", ""mt"")"),"Kemm irġiel kienu fl-armata ta 'Robert?")</f>
        <v>Kemm irġiel kienu fl-armata ta 'Robert?</v>
      </c>
    </row>
    <row r="1537" ht="15.75" customHeight="1">
      <c r="A1537" s="2" t="s">
        <v>1537</v>
      </c>
      <c r="B1537" s="2" t="str">
        <f>IFERROR(__xludf.DUMMYFUNCTION("GOOGLETRANSLATE(A1537,""en"", ""mt"")"),"Liema organizzazzjoni hija parti minnha l-IPCC?")</f>
        <v>Liema organizzazzjoni hija parti minnha l-IPCC?</v>
      </c>
    </row>
    <row r="1538" ht="15.75" customHeight="1">
      <c r="A1538" s="2" t="s">
        <v>1538</v>
      </c>
      <c r="B1538" s="2" t="str">
        <f>IFERROR(__xludf.DUMMYFUNCTION("GOOGLETRANSLATE(A1538,""en"", ""mt"")"),"Monitoraġġ tal-laboratorju, konsulenza dwar l-aderenza, u tassisti pazjenti bi strateġiji ta 'kontar ta' spejjeż")</f>
        <v>Monitoraġġ tal-laboratorju, konsulenza dwar l-aderenza, u tassisti pazjenti bi strateġiji ta 'kontar ta' spejjeż</v>
      </c>
    </row>
    <row r="1539" ht="15.75" customHeight="1">
      <c r="A1539" s="2" t="s">
        <v>1539</v>
      </c>
      <c r="B1539" s="2" t="str">
        <f>IFERROR(__xludf.DUMMYFUNCTION("GOOGLETRANSLATE(A1539,""en"", ""mt"")"),"Studenti li għadhom ma ggradwawx huma meħtieġa jieħdu distribuzzjoni ta 'korsijiet biex jissodisfaw il-kurrikulu ewlieni tal-università magħruf bħala l-Qofol Komuni. Fl-2012-2013, il-klassijiet ewlenin f'Chicago kienu limitati għal 17-il student, u ġenera"&amp;"lment huma mmexxija minn professur full-time (għall-kuntrarju ta 'assistent tat-tagħlim). Mis-sena skolastika 2013–2014, 15-il kors u kompetenza murija f'lingwa barranija huma meħtieġa taħt il-qalba. Korsijiet li għadhom ma ggradwawx fl-Università ta ’Chi"&amp;"cago huma magħrufa għall-istandards eżiġenti tagħhom, ammont ta’ xogħol qawwi u diffikultà akkademika; Skond l-UNI fl-Istati Uniti, ""fost il-krema akkademika ta 'universitajiet Amerikani - Harvard, Yale, Princeton, MIT, u l-Università ta' Chicago - huwa "&amp;"Uchicago li jista 'jallega b'mod konvinċenti li jipprovdi l-iktar esperjenza ta' tagħlim intensa.""")</f>
        <v>Studenti li għadhom ma ggradwawx huma meħtieġa jieħdu distribuzzjoni ta 'korsijiet biex jissodisfaw il-kurrikulu ewlieni tal-università magħruf bħala l-Qofol Komuni. Fl-2012-2013, il-klassijiet ewlenin f'Chicago kienu limitati għal 17-il student, u ġeneralment huma mmexxija minn professur full-time (għall-kuntrarju ta 'assistent tat-tagħlim). Mis-sena skolastika 2013–2014, 15-il kors u kompetenza murija f'lingwa barranija huma meħtieġa taħt il-qalba. Korsijiet li għadhom ma ggradwawx fl-Università ta ’Chicago huma magħrufa għall-istandards eżiġenti tagħhom, ammont ta’ xogħol qawwi u diffikultà akkademika; Skond l-UNI fl-Istati Uniti, "fost il-krema akkademika ta 'universitajiet Amerikani - Harvard, Yale, Princeton, MIT, u l-Università ta' Chicago - huwa Uchicago li jista 'jallega b'mod konvinċenti li jipprovdi l-iktar esperjenza ta' tagħlim intensa."</v>
      </c>
    </row>
    <row r="1540" ht="15.75" customHeight="1">
      <c r="A1540" s="2" t="s">
        <v>1540</v>
      </c>
      <c r="B1540" s="2" t="str">
        <f>IFERROR(__xludf.DUMMYFUNCTION("GOOGLETRANSLATE(A1540,""en"", ""mt"")"),"Oriġini lingwistiċi mhux Franċiżi")</f>
        <v>Oriġini lingwistiċi mhux Franċiżi</v>
      </c>
    </row>
    <row r="1541" ht="15.75" customHeight="1">
      <c r="A1541" s="2" t="s">
        <v>1541</v>
      </c>
      <c r="B1541" s="2" t="str">
        <f>IFERROR(__xludf.DUMMYFUNCTION("GOOGLETRANSLATE(A1541,""en"", ""mt"")"),"Il-politiki ta 'kiri ta' kampus barra mill-kampus tal-università")</f>
        <v>Il-politiki ta 'kiri ta' kampus barra mill-kampus tal-università</v>
      </c>
    </row>
    <row r="1542" ht="15.75" customHeight="1">
      <c r="A1542" s="2" t="s">
        <v>1542</v>
      </c>
      <c r="B1542" s="2" t="str">
        <f>IFERROR(__xludf.DUMMYFUNCTION("GOOGLETRANSLATE(A1542,""en"", ""mt"")"),"Kif irreaġixxa Vaudreuil meta Johnson kien meqjus bħala theddida akbar?")</f>
        <v>Kif irreaġixxa Vaudreuil meta Johnson kien meqjus bħala theddida akbar?</v>
      </c>
    </row>
    <row r="1543" ht="15.75" customHeight="1">
      <c r="A1543" s="2" t="s">
        <v>1543</v>
      </c>
      <c r="B1543" s="2" t="str">
        <f>IFERROR(__xludf.DUMMYFUNCTION("GOOGLETRANSLATE(A1543,""en"", ""mt"")"),"Min kien Boleslaw II ta 'Masovia?")</f>
        <v>Min kien Boleslaw II ta 'Masovia?</v>
      </c>
    </row>
    <row r="1544" ht="15.75" customHeight="1">
      <c r="A1544" s="2" t="s">
        <v>1544</v>
      </c>
      <c r="B1544" s="2" t="str">
        <f>IFERROR(__xludf.DUMMYFUNCTION("GOOGLETRANSLATE(A1544,""en"", ""mt"")"),"Minbarra l-liġijiet tal-art, x'iktar ma kinux sodisfatti l-Californios?")</f>
        <v>Minbarra l-liġijiet tal-art, x'iktar ma kinux sodisfatti l-Californios?</v>
      </c>
    </row>
    <row r="1545" ht="15.75" customHeight="1">
      <c r="A1545" s="2" t="s">
        <v>1545</v>
      </c>
      <c r="B1545" s="2" t="str">
        <f>IFERROR(__xludf.DUMMYFUNCTION("GOOGLETRANSLATE(A1545,""en"", ""mt"")"),"L-università tmexxi numru ta 'istituzzjonijiet u programmi akkademiċi apparti mill-iskejjel li għadhom ma ggradwawx u post-universitarji tagħha. Topera l-Iskejjel tal-Laboratorju tal-Università ta ’Chicago (skola ta’ ġurnata privata għall-istudenti tal-K-"&amp;"12 u l-kura ta ’kuljum), l-Iskola Ortogenika ta’ Sonia Shankman (programm ta ’trattament residenzjali għal dawk bi problemi ta’ mġieba u emozzjonali), u erba ’skejjel charter pubbliċi fin-Nofsinhar fin-nofsinhar In-naħa ta 'Chicago amministrata mill-Istit"&amp;"ut tal-Edukazzjoni Urbana tal-Università. Barra minn hekk, l-Iskola Hyde Park Day, skola għal studenti b'diżabilità fit-tagħlim, iżżomm post fil-kampus tal-Università ta 'Chicago. Mill-1983, l-Università ta ’Chicago żammet il-Proġett tal-Matematika tal-Is"&amp;"kola tal-Università ta’ Chicago, programm tal-matematika użat fl-iskejjel primarji u sekondarji urbani. L-università tmexxi programm imsejjaħ il-Kunsill dwar Studji Avvanzati fix-Xjenzi Soċjali u l-Umanistika, li jamministra workshops interdixxiplinarji b"&amp;"iex jipprovdi forum għal studenti gradwati, fakultà, u studjużi li jżuru biex jippreżentaw xogħol akkademiku li għaddej. L-università topera wkoll l-Università ta ’Chicago Press, l-akbar stampa tal-università fl-Istati Uniti.")</f>
        <v>L-università tmexxi numru ta 'istituzzjonijiet u programmi akkademiċi apparti mill-iskejjel li għadhom ma ggradwawx u post-universitarji tagħha. Topera l-Iskejjel tal-Laboratorju tal-Università ta ’Chicago (skola ta’ ġurnata privata għall-istudenti tal-K-12 u l-kura ta ’kuljum), l-Iskola Ortogenika ta’ Sonia Shankman (programm ta ’trattament residenzjali għal dawk bi problemi ta’ mġieba u emozzjonali), u erba ’skejjel charter pubbliċi fin-Nofsinhar fin-nofsinhar In-naħa ta 'Chicago amministrata mill-Istitut tal-Edukazzjoni Urbana tal-Università. Barra minn hekk, l-Iskola Hyde Park Day, skola għal studenti b'diżabilità fit-tagħlim, iżżomm post fil-kampus tal-Università ta 'Chicago. Mill-1983, l-Università ta ’Chicago żammet il-Proġett tal-Matematika tal-Iskola tal-Università ta’ Chicago, programm tal-matematika użat fl-iskejjel primarji u sekondarji urbani. L-università tmexxi programm imsejjaħ il-Kunsill dwar Studji Avvanzati fix-Xjenzi Soċjali u l-Umanistika, li jamministra workshops interdixxiplinarji biex jipprovdi forum għal studenti gradwati, fakultà, u studjużi li jżuru biex jippreżentaw xogħol akkademiku li għaddej. L-università topera wkoll l-Università ta ’Chicago Press, l-akbar stampa tal-università fl-Istati Uniti.</v>
      </c>
    </row>
    <row r="1546" ht="15.75" customHeight="1">
      <c r="A1546" s="2" t="s">
        <v>1546</v>
      </c>
      <c r="B1546" s="2" t="str">
        <f>IFERROR(__xludf.DUMMYFUNCTION("GOOGLETRANSLATE(A1546,""en"", ""mt"")"),"X'tip ta 'teorija tan-numri tuża u tistudja l-ideali ewlenin?")</f>
        <v>X'tip ta 'teorija tan-numri tuża u tistudja l-ideali ewlenin?</v>
      </c>
    </row>
    <row r="1547" ht="15.75" customHeight="1">
      <c r="A1547" s="2" t="s">
        <v>1547</v>
      </c>
      <c r="B1547" s="2" t="str">
        <f>IFERROR(__xludf.DUMMYFUNCTION("GOOGLETRANSLATE(A1547,""en"", ""mt"")"),"X'kienu ż-żewġ forom ta 'determiniżmu ambjentali?")</f>
        <v>X'kienu ż-żewġ forom ta 'determiniżmu ambjentali?</v>
      </c>
    </row>
    <row r="1548" ht="15.75" customHeight="1">
      <c r="A1548" s="2" t="s">
        <v>1548</v>
      </c>
      <c r="B1548" s="2" t="str">
        <f>IFERROR(__xludf.DUMMYFUNCTION("GOOGLETRANSLATE(A1548,""en"", ""mt"")"),"qabdet il-sirena")</f>
        <v>qabdet il-sirena</v>
      </c>
    </row>
    <row r="1549" ht="15.75" customHeight="1">
      <c r="A1549" s="2" t="s">
        <v>1549</v>
      </c>
      <c r="B1549" s="2" t="str">
        <f>IFERROR(__xludf.DUMMYFUNCTION("GOOGLETRANSLATE(A1549,""en"", ""mt"")"),"Il-biċċa l-kbira tal-ispeċi huma ermafroditi - annimal wieħed jista 'jipproduċi kemm bajd kif ukoll sperma, li jfisser li jista' fertilize l-bajd tiegħu stess, u m'għandux bżonn sieħeb. Uħud huma ermafroditi simultanji, li jistgħu jipproduċu kemm bajd kif"&amp;" ukoll sperma fl-istess ħin. Oħrajn huma ermafroditi sekwenzjali, li fihom il-bajd u l-isperma jimmaturaw fi żminijiet differenti. Il-fertilizzazzjoni hija ġeneralment esterna, għalkemm il-bajd tal-platyctenids huma fertilizzati ġewwa ġisimhom u jinżammu "&amp;"hemm sakemm ifaqqsu. Iż-żgħażagħ ġeneralment huma planktoniċi u fil-biċċa l-kbira tal-ispeċi jidhru bħal ċidippidi żgħar, li jinbidlu gradwalment fil-forom adulti tagħhom hekk kif jikbru. L-eċċezzjonijiet huma l-Beroids, li ż-żgħażagħ tagħhom huma beroids"&amp;" minjatura b'ħalq kbir u mingħajr tentakli, u l-platyctenids, li ż-żgħażagħ tagħhom jgħixu bħala plankton bħal Cydippid sakemm jilħqu d-daqs kważi adult, iżda mbagħad jegħrqu sal-qiegħ u malajr metamorfose fl-adult forma. F’mill-inqas xi speċi, il-minoren"&amp;"ni huma kapaċi jirriproduċu qabel ma jilħqu d-daqs u l-għamla tal-adulti. Il-kombinazzjoni ta 'ermafroditiżmu u riproduzzjoni bikrija tippermetti lill-popolazzjonijiet żgħar jikbru b'rata splussiva.")</f>
        <v>Il-biċċa l-kbira tal-ispeċi huma ermafroditi - annimal wieħed jista 'jipproduċi kemm bajd kif ukoll sperma, li jfisser li jista' fertilize l-bajd tiegħu stess, u m'għandux bżonn sieħeb. Uħud huma ermafroditi simultanji, li jistgħu jipproduċu kemm bajd kif ukoll sperma fl-istess ħin. Oħrajn huma ermafroditi sekwenzjali, li fihom il-bajd u l-isperma jimmaturaw fi żminijiet differenti. Il-fertilizzazzjoni hija ġeneralment esterna, għalkemm il-bajd tal-platyctenids huma fertilizzati ġewwa ġisimhom u jinżammu hemm sakemm ifaqqsu. Iż-żgħażagħ ġeneralment huma planktoniċi u fil-biċċa l-kbira tal-ispeċi jidhru bħal ċidippidi żgħar, li jinbidlu gradwalment fil-forom adulti tagħhom hekk kif jikbru. L-eċċezzjonijiet huma l-Beroids, li ż-żgħażagħ tagħhom huma beroids minjatura b'ħalq kbir u mingħajr tentakli, u l-platyctenids, li ż-żgħażagħ tagħhom jgħixu bħala plankton bħal Cydippid sakemm jilħqu d-daqs kważi adult, iżda mbagħad jegħrqu sal-qiegħ u malajr metamorfose fl-adult forma. F’mill-inqas xi speċi, il-minorenni huma kapaċi jirriproduċu qabel ma jilħqu d-daqs u l-għamla tal-adulti. Il-kombinazzjoni ta 'ermafroditiżmu u riproduzzjoni bikrija tippermetti lill-popolazzjonijiet żgħar jikbru b'rata splussiva.</v>
      </c>
    </row>
    <row r="1550" ht="15.75" customHeight="1">
      <c r="A1550" s="2" t="s">
        <v>1550</v>
      </c>
      <c r="B1550" s="2" t="str">
        <f>IFERROR(__xludf.DUMMYFUNCTION("GOOGLETRANSLATE(A1550,""en"", ""mt"")"),"Problema f'C hija iktar diffiċli minn x")</f>
        <v>Problema f'C hija iktar diffiċli minn x</v>
      </c>
    </row>
    <row r="1551" ht="15.75" customHeight="1">
      <c r="A1551" s="2" t="s">
        <v>1551</v>
      </c>
      <c r="B1551" s="2" t="str">
        <f>IFERROR(__xludf.DUMMYFUNCTION("GOOGLETRANSLATE(A1551,""en"", ""mt"")"),"X’għamel dan il-ftehim?")</f>
        <v>X’għamel dan il-ftehim?</v>
      </c>
    </row>
    <row r="1552" ht="15.75" customHeight="1">
      <c r="A1552" s="2" t="s">
        <v>1552</v>
      </c>
      <c r="B1552" s="2" t="str">
        <f>IFERROR(__xludf.DUMMYFUNCTION("GOOGLETRANSLATE(A1552,""en"", ""mt"")"),"X'kienet il-magna tal-fwar komponent importanti?")</f>
        <v>X'kienet il-magna tal-fwar komponent importanti?</v>
      </c>
    </row>
    <row r="1553" ht="15.75" customHeight="1">
      <c r="A1553" s="2" t="s">
        <v>1553</v>
      </c>
      <c r="B1553" s="2" t="str">
        <f>IFERROR(__xludf.DUMMYFUNCTION("GOOGLETRANSLATE(A1553,""en"", ""mt"")"),"Ir-Repubblika Iżlamika żammet ukoll il-poter tagħha fl-Iran minkejja s-sanzjonijiet ekonomiċi tal-Istati Uniti, u ħolqot jew assistiet gruppi terroristiċi Shia li jaħsbuha l-istess fl-Iraq, l-Eġittu, is-Sirja, il-Ġordan (Sciri) u l-Libanu (Hezbollah) (żew"&amp;"ġ pajjiżi Musulmani (żewġ pajjiżi Musulmani (żewġ li għandhom ukoll popolazzjonijiet tax-Xiti kbar). Matul il-kunflitt Iżrael-Libanon tal-2006, il-gvern Iranjan gawda xi ħaġa ta 'qawmien mill-ġdid fil-popolarità fost il-predominantement Sunni ""Triq Għarb"&amp;"ija"", minħabba l-appoġġ tagħha għall-Hezbollah u għall-oppożizzjoni vehement tal-President Mahmoud Ahmadinejad għall-Istati Uniti u s-sejħa tiegħu li l-Iżrael għandu jisparixxi.")</f>
        <v>Ir-Repubblika Iżlamika żammet ukoll il-poter tagħha fl-Iran minkejja s-sanzjonijiet ekonomiċi tal-Istati Uniti, u ħolqot jew assistiet gruppi terroristiċi Shia li jaħsbuha l-istess fl-Iraq, l-Eġittu, is-Sirja, il-Ġordan (Sciri) u l-Libanu (Hezbollah) (żewġ pajjiżi Musulmani (żewġ pajjiżi Musulmani (żewġ li għandhom ukoll popolazzjonijiet tax-Xiti kbar). Matul il-kunflitt Iżrael-Libanon tal-2006, il-gvern Iranjan gawda xi ħaġa ta 'qawmien mill-ġdid fil-popolarità fost il-predominantement Sunni "Triq Għarbija", minħabba l-appoġġ tagħha għall-Hezbollah u għall-oppożizzjoni vehement tal-President Mahmoud Ahmadinejad għall-Istati Uniti u s-sejħa tiegħu li l-Iżrael għandu jisparixxi.</v>
      </c>
    </row>
    <row r="1554" ht="15.75" customHeight="1">
      <c r="A1554" s="2" t="s">
        <v>1554</v>
      </c>
      <c r="B1554" s="2" t="str">
        <f>IFERROR(__xludf.DUMMYFUNCTION("GOOGLETRANSLATE(A1554,""en"", ""mt"")"),"Kien hemm żewġ tipi ta 'netwerks X.25. Uħud bħal Datapac u Transpac")</f>
        <v>Kien hemm żewġ tipi ta 'netwerks X.25. Uħud bħal Datapac u Transpac</v>
      </c>
    </row>
    <row r="1555" ht="15.75" customHeight="1">
      <c r="A1555" s="2" t="s">
        <v>1555</v>
      </c>
      <c r="B1555" s="2" t="str">
        <f>IFERROR(__xludf.DUMMYFUNCTION("GOOGLETRANSLATE(A1555,""en"", ""mt"")"),"X’għamlu l-VBNS")</f>
        <v>X’għamlu l-VBNS</v>
      </c>
    </row>
    <row r="1556" ht="15.75" customHeight="1">
      <c r="A1556" s="2" t="s">
        <v>1556</v>
      </c>
      <c r="B1556" s="2" t="str">
        <f>IFERROR(__xludf.DUMMYFUNCTION("GOOGLETRANSLATE(A1556,""en"", ""mt"")"),"Fit-3 ta 'Mejju, 1901, id-downtown Jacksonville kien maħruq minn nar li beda bħala nar tal-kċina. Moss Spanjol f'fabbrika tas-saqqu fil-viċin ġie maħkum malajr fil-fjammi u jippermetti li n-nar jinfirex malajr. Fi tmien sigħat biss, ħakmu 146 blokka tal-b"&amp;"elt, meqruda aktar minn 2,000 bini, ħallew madwar 10,000 bla dar u qatlu 7 residenti. Il-monument Konfederat fil-Park Hemming kien wieħed mill-uniċi postijiet familjari li jgħix in-nar. Il-Gvernatur Jennings jiddikjara l-liġi marzjali u bagħat lill-milizj"&amp;"a tal-istat biex iżżomm l-ordni. Fis-17 ta 'Mejju reġgħet bdiet l-Awtorità Muniċipali f'Jacksonville. Jingħad li l-glow mill-fjammi jista 'jidher f'Savannah, il-Ġeorġja, u l-plumes tad-duħħan li dehru f'Raleigh, North Carolina. Magħruf bħala ""Nar il-Kbir"&amp;" ta 'l-1901"", kien wieħed mill-agħar diżastri fl-istorja ta' Florida u l-akbar nar urban fix-xlokk ta 'l-Istati Uniti. Il-Perit Henry John Klutho kien figura primarja fir-rikostruzzjoni tal-belt. L-ewwel struttura b'ħafna stejjer mibnija minn Klutho kien"&amp;"et il-bini Dyal-Upchurch fl-1902. Il-bini ta 'St James, mibni fuq is-sit preċedenti tal-lukanda St James li nħaraq, inbena fl-1912 bħala l-kisba ta' Klutho.")</f>
        <v>Fit-3 ta 'Mejju, 1901, id-downtown Jacksonville kien maħruq minn nar li beda bħala nar tal-kċina. Moss Spanjol f'fabbrika tas-saqqu fil-viċin ġie maħkum malajr fil-fjammi u jippermetti li n-nar jinfirex malajr. Fi tmien sigħat biss, ħakmu 146 blokka tal-belt, meqruda aktar minn 2,000 bini, ħallew madwar 10,000 bla dar u qatlu 7 residenti. Il-monument Konfederat fil-Park Hemming kien wieħed mill-uniċi postijiet familjari li jgħix in-nar. Il-Gvernatur Jennings jiddikjara l-liġi marzjali u bagħat lill-milizja tal-istat biex iżżomm l-ordni. Fis-17 ta 'Mejju reġgħet bdiet l-Awtorità Muniċipali f'Jacksonville. Jingħad li l-glow mill-fjammi jista 'jidher f'Savannah, il-Ġeorġja, u l-plumes tad-duħħan li dehru f'Raleigh, North Carolina. Magħruf bħala "Nar il-Kbir ta 'l-1901", kien wieħed mill-agħar diżastri fl-istorja ta' Florida u l-akbar nar urban fix-xlokk ta 'l-Istati Uniti. Il-Perit Henry John Klutho kien figura primarja fir-rikostruzzjoni tal-belt. L-ewwel struttura b'ħafna stejjer mibnija minn Klutho kienet il-bini Dyal-Upchurch fl-1902. Il-bini ta 'St James, mibni fuq is-sit preċedenti tal-lukanda St James li nħaraq, inbena fl-1912 bħala l-kisba ta' Klutho.</v>
      </c>
    </row>
    <row r="1557" ht="15.75" customHeight="1">
      <c r="A1557" s="2" t="s">
        <v>1557</v>
      </c>
      <c r="B1557" s="2" t="str">
        <f>IFERROR(__xludf.DUMMYFUNCTION("GOOGLETRANSLATE(A1557,""en"", ""mt"")"),"Depopolazzjoni serja u bidla permanenti kemm fl-istrutturi ekonomiċi kif ukoll soċjali")</f>
        <v>Depopolazzjoni serja u bidla permanenti kemm fl-istrutturi ekonomiċi kif ukoll soċjali</v>
      </c>
    </row>
    <row r="1558" ht="15.75" customHeight="1">
      <c r="A1558" s="2" t="s">
        <v>1558</v>
      </c>
      <c r="B1558" s="2" t="str">
        <f>IFERROR(__xludf.DUMMYFUNCTION("GOOGLETRANSLATE(A1558,""en"", ""mt"")"),"X'jagħmel xi ħadd li jagħmel diżubbidjenti ċivily fil-qorti?")</f>
        <v>X'jagħmel xi ħadd li jagħmel diżubbidjenti ċivily fil-qorti?</v>
      </c>
    </row>
    <row r="1559" ht="15.75" customHeight="1">
      <c r="A1559" s="2" t="s">
        <v>1559</v>
      </c>
      <c r="B1559" s="2" t="str">
        <f>IFERROR(__xludf.DUMMYFUNCTION("GOOGLETRANSLATE(A1559,""en"", ""mt"")"),"Il-Kastell Royal Ujazdów tas-seklu 17 bħalissa fih iċ-Ċentru għall-Arti Kontemporanja, b'xi wirjiet permanenti u temporanji, kunċerti, wirjiet u workshops kreattivi. Iċ-ċentru bħalissa jirrealizza madwar 500 proġett fis-sena. Zachęta National Gallery of A"&amp;"rt, l-eqdem sit tal-wirja f'Varsavja, bi tradizzjoni li tiġbed lura lejn nofs is-seklu 19 jorganizza esibizzjonijiet ta 'arti moderna minn artisti Pollakki u internazzjonali u tippromwovi l-arti f'ħafna modi oħra. Mill-2011 Weekend tal-Gallerija ta ’Varsa"&amp;"vja sar fil-weekend li għadda ta’ Settembru.")</f>
        <v>Il-Kastell Royal Ujazdów tas-seklu 17 bħalissa fih iċ-Ċentru għall-Arti Kontemporanja, b'xi wirjiet permanenti u temporanji, kunċerti, wirjiet u workshops kreattivi. Iċ-ċentru bħalissa jirrealizza madwar 500 proġett fis-sena. Zachęta National Gallery of Art, l-eqdem sit tal-wirja f'Varsavja, bi tradizzjoni li tiġbed lura lejn nofs is-seklu 19 jorganizza esibizzjonijiet ta 'arti moderna minn artisti Pollakki u internazzjonali u tippromwovi l-arti f'ħafna modi oħra. Mill-2011 Weekend tal-Gallerija ta ’Varsavja sar fil-weekend li għadda ta’ Settembru.</v>
      </c>
    </row>
    <row r="1560" ht="15.75" customHeight="1">
      <c r="A1560" s="2" t="s">
        <v>1560</v>
      </c>
      <c r="B1560" s="2" t="str">
        <f>IFERROR(__xludf.DUMMYFUNCTION("GOOGLETRANSLATE(A1560,""en"", ""mt"")"),"Liema qasam tax-xjenza tal-kompjuter huwa kkonċernat primarjament bid-determinazzjoni tal-probabbiltà ta 'jekk problema tistax tissolva jew le bl-użu ta' algoritmi?")</f>
        <v>Liema qasam tax-xjenza tal-kompjuter huwa kkonċernat primarjament bid-determinazzjoni tal-probabbiltà ta 'jekk problema tistax tissolva jew le bl-użu ta' algoritmi?</v>
      </c>
    </row>
    <row r="1561" ht="15.75" customHeight="1">
      <c r="A1561" s="2" t="s">
        <v>1561</v>
      </c>
      <c r="B1561" s="2" t="str">
        <f>IFERROR(__xludf.DUMMYFUNCTION("GOOGLETRANSLATE(A1561,""en"", ""mt"")"),"Il-kriżi kellha impatt kbir fuq ir-relazzjonijiet internazzjonali u ħolqot qasma fi ħdan in-NATO. Xi nazzjonijiet Ewropej u l-Ġappun fittxew li jassoċjaw ruħhom mill-politika barranija tal-Istati Uniti fil-Lvant Nofsani biex jevitaw li jkunu mmirati mill-"&amp;"bojkott. Il-produtturi taż-żejt Għarbi marbuta ma 'kwalunkwe bidla fil-politika futura fil-paċi bejn il-belligerenti. Biex tindirizza dan, l-amministrazzjoni Nixon bdiet negozjati multilaterali mal-ġellieda. Huma rranġaw biex l-Iżrael jiġbed lura mill-Pen"&amp;"iżola tas-Sinaj u l-Golan Heights. Fit-18 ta 'Jannar, 1974, is-Segretarju tal-Istat Amerikan Henry Kissinger kien innegozja irtirar ta' truppi Iżraeljani minn partijiet tal-Peniżola tas-Sinaj. Il-wegħda ta 'ftehim innegozjat bejn l-Iżrael u s-Sirja kienet"&amp;" biżżejjed biex tikkonvinċi lill-produtturi taż-żejt Għarab biex jerfgħu l-embargo f'Marzu tal-1974.")</f>
        <v>Il-kriżi kellha impatt kbir fuq ir-relazzjonijiet internazzjonali u ħolqot qasma fi ħdan in-NATO. Xi nazzjonijiet Ewropej u l-Ġappun fittxew li jassoċjaw ruħhom mill-politika barranija tal-Istati Uniti fil-Lvant Nofsani biex jevitaw li jkunu mmirati mill-bojkott. Il-produtturi taż-żejt Għarbi marbuta ma 'kwalunkwe bidla fil-politika futura fil-paċi bejn il-belligerenti. Biex tindirizza dan, l-amministrazzjoni Nixon bdiet negozjati multilaterali mal-ġellieda. Huma rranġaw biex l-Iżrael jiġbed lura mill-Peniżola tas-Sinaj u l-Golan Heights. Fit-18 ta 'Jannar, 1974, is-Segretarju tal-Istat Amerikan Henry Kissinger kien innegozja irtirar ta' truppi Iżraeljani minn partijiet tal-Peniżola tas-Sinaj. Il-wegħda ta 'ftehim innegozjat bejn l-Iżrael u s-Sirja kienet biżżejjed biex tikkonvinċi lill-produtturi taż-żejt Għarab biex jerfgħu l-embargo f'Marzu tal-1974.</v>
      </c>
    </row>
    <row r="1562" ht="15.75" customHeight="1">
      <c r="A1562" s="2" t="s">
        <v>1562</v>
      </c>
      <c r="B1562" s="2" t="str">
        <f>IFERROR(__xludf.DUMMYFUNCTION("GOOGLETRANSLATE(A1562,""en"", ""mt"")"),"hemicycle")</f>
        <v>hemicycle</v>
      </c>
    </row>
    <row r="1563" ht="15.75" customHeight="1">
      <c r="A1563" s="2" t="s">
        <v>1563</v>
      </c>
      <c r="B1563" s="2" t="str">
        <f>IFERROR(__xludf.DUMMYFUNCTION("GOOGLETRANSLATE(A1563,""en"", ""mt"")"),"ippubblikat l-ewwel")</f>
        <v>ippubblikat l-ewwel</v>
      </c>
    </row>
    <row r="1564" ht="15.75" customHeight="1">
      <c r="A1564" s="2" t="s">
        <v>1564</v>
      </c>
      <c r="B1564" s="2" t="str">
        <f>IFERROR(__xludf.DUMMYFUNCTION("GOOGLETRANSLATE(A1564,""en"", ""mt"")"),"Netwerk ta 'Qlib tal-Pakketti Cyclades")</f>
        <v>Netwerk ta 'Qlib tal-Pakketti Cyclades</v>
      </c>
    </row>
    <row r="1565" ht="15.75" customHeight="1">
      <c r="A1565" s="2" t="s">
        <v>1565</v>
      </c>
      <c r="B1565" s="2" t="str">
        <f>IFERROR(__xludf.DUMMYFUNCTION("GOOGLETRANSLATE(A1565,""en"", ""mt"")"),"Mediċini li jgħaqqdu / iqassmu")</f>
        <v>Mediċini li jgħaqqdu / iqassmu</v>
      </c>
    </row>
    <row r="1566" ht="15.75" customHeight="1">
      <c r="A1566" s="2" t="s">
        <v>1566</v>
      </c>
      <c r="B1566" s="2" t="str">
        <f>IFERROR(__xludf.DUMMYFUNCTION("GOOGLETRANSLATE(A1566,""en"", ""mt"")"),"ħin u spazju")</f>
        <v>ħin u spazju</v>
      </c>
    </row>
    <row r="1567" ht="15.75" customHeight="1">
      <c r="A1567" s="2" t="s">
        <v>1567</v>
      </c>
      <c r="B1567" s="2" t="str">
        <f>IFERROR(__xludf.DUMMYFUNCTION("GOOGLETRANSLATE(A1567,""en"", ""mt"")"),"Lbiċ ta ’Franza")</f>
        <v>Lbiċ ta ’Franza</v>
      </c>
    </row>
    <row r="1568" ht="15.75" customHeight="1">
      <c r="A1568" s="2" t="s">
        <v>1568</v>
      </c>
      <c r="B1568" s="2" t="str">
        <f>IFERROR(__xludf.DUMMYFUNCTION("GOOGLETRANSLATE(A1568,""en"", ""mt"")"),"jispjegaw l-azzjonijiet tagħhom")</f>
        <v>jispjegaw l-azzjonijiet tagħhom</v>
      </c>
    </row>
    <row r="1569" ht="15.75" customHeight="1">
      <c r="A1569" s="2" t="s">
        <v>1569</v>
      </c>
      <c r="B1569" s="2" t="str">
        <f>IFERROR(__xludf.DUMMYFUNCTION("GOOGLETRANSLATE(A1569,""en"", ""mt"")"),"X’jagħmlu l-Bathocyroe u l-Ocyropsis biex jaħarbu l-periklu?")</f>
        <v>X’jagħmlu l-Bathocyroe u l-Ocyropsis biex jaħarbu l-periklu?</v>
      </c>
    </row>
    <row r="1570" ht="15.75" customHeight="1">
      <c r="A1570" s="2" t="s">
        <v>1570</v>
      </c>
      <c r="B1570" s="2" t="str">
        <f>IFERROR(__xludf.DUMMYFUNCTION("GOOGLETRANSLATE(A1570,""en"", ""mt"")"),"X'kien l-ewwel għal dan in-netwerk")</f>
        <v>X'kien l-ewwel għal dan in-netwerk</v>
      </c>
    </row>
    <row r="1571" ht="15.75" customHeight="1">
      <c r="A1571" s="2" t="s">
        <v>1571</v>
      </c>
      <c r="B1571" s="2" t="str">
        <f>IFERROR(__xludf.DUMMYFUNCTION("GOOGLETRANSLATE(A1571,""en"", ""mt"")"),"Immaniġġja d-dipartiment tal-ispiżerija u żoni speċjalizzati")</f>
        <v>Immaniġġja d-dipartiment tal-ispiżerija u żoni speċjalizzati</v>
      </c>
    </row>
    <row r="1572" ht="15.75" customHeight="1">
      <c r="A1572" s="2" t="s">
        <v>1572</v>
      </c>
      <c r="B1572" s="2" t="str">
        <f>IFERROR(__xludf.DUMMYFUNCTION("GOOGLETRANSLATE(A1572,""en"", ""mt"")"),"Liema belt ingħatat fil-fatt lill-Huguenots mal-wasla?")</f>
        <v>Liema belt ingħatat fil-fatt lill-Huguenots mal-wasla?</v>
      </c>
    </row>
    <row r="1573" ht="15.75" customHeight="1">
      <c r="A1573" s="2" t="s">
        <v>1573</v>
      </c>
      <c r="B1573" s="2" t="str">
        <f>IFERROR(__xludf.DUMMYFUNCTION("GOOGLETRANSLATE(A1573,""en"", ""mt"")"),"Kif inkella jistgħu l-petroloġisti jifhmu l-pressjonijiet li fihom jidhru fażijiet minerali differenti?")</f>
        <v>Kif inkella jistgħu l-petroloġisti jifhmu l-pressjonijiet li fihom jidhru fażijiet minerali differenti?</v>
      </c>
    </row>
    <row r="1574" ht="15.75" customHeight="1">
      <c r="A1574" s="2" t="s">
        <v>1574</v>
      </c>
      <c r="B1574" s="2" t="str">
        <f>IFERROR(__xludf.DUMMYFUNCTION("GOOGLETRANSLATE(A1574,""en"", ""mt"")"),"0.5–1.4 m [50–140 cm]")</f>
        <v>0.5–1.4 m [50–140 cm]</v>
      </c>
    </row>
    <row r="1575" ht="15.75" customHeight="1">
      <c r="A1575" s="2" t="s">
        <v>1575</v>
      </c>
      <c r="B1575" s="2" t="str">
        <f>IFERROR(__xludf.DUMMYFUNCTION("GOOGLETRANSLATE(A1575,""en"", ""mt"")"),"Sabiex tkun immarkata b'mod preċiż il-bijomassa tal-Amażonja u l-emissjonijiet sussegwenti relatati mal-karbonju, il-klassifikazzjoni tal-istadji tat-tkabbir tas-siġar f'partijiet differenti tal-foresta hija kruċjali. Fl-2006 Tatiana Kuplich organizzat is"&amp;"-siġar tal-Amażonja f'erba 'kategoriji: (1) foresta matura, (2) li tirriġenera foresta [inqas minn tliet snin], (3) li tirriġenera foresta [bejn tlieta u ħames snin ta' regrowth], u (4 ) tirriġenera foresta [ħdax sa tmintax-il sena ta 'żvilupp kontinwu]. "&amp;"Ir-riċerkatur uża kombinazzjoni ta 'radar ta' apertura sintetika (SAR) u mapper tematiku (TM) biex ipoġġi b'mod preċiż il-porzjonijiet differenti ta 'l-Amażonja f'waħda mill-erba' klassifikazzjonijiet.")</f>
        <v>Sabiex tkun immarkata b'mod preċiż il-bijomassa tal-Amażonja u l-emissjonijiet sussegwenti relatati mal-karbonju, il-klassifikazzjoni tal-istadji tat-tkabbir tas-siġar f'partijiet differenti tal-foresta hija kruċjali. Fl-2006 Tatiana Kuplich organizzat is-siġar tal-Amażonja f'erba 'kategoriji: (1) foresta matura, (2) li tirriġenera foresta [inqas minn tliet snin], (3) li tirriġenera foresta [bejn tlieta u ħames snin ta' regrowth], u (4 ) tirriġenera foresta [ħdax sa tmintax-il sena ta 'żvilupp kontinwu]. Ir-riċerkatur uża kombinazzjoni ta 'radar ta' apertura sintetika (SAR) u mapper tematiku (TM) biex ipoġġi b'mod preċiż il-porzjonijiet differenti ta 'l-Amażonja f'waħda mill-erba' klassifikazzjonijiet.</v>
      </c>
    </row>
    <row r="1576" ht="15.75" customHeight="1">
      <c r="A1576" s="2" t="s">
        <v>1576</v>
      </c>
      <c r="B1576" s="2" t="str">
        <f>IFERROR(__xludf.DUMMYFUNCTION("GOOGLETRANSLATE(A1576,""en"", ""mt"")"),"X'inhu l-iktar mod elementari biex tittestja l-primalità ta 'xi numru sħiħ?")</f>
        <v>X'inhu l-iktar mod elementari biex tittestja l-primalità ta 'xi numru sħiħ?</v>
      </c>
    </row>
    <row r="1577" ht="15.75" customHeight="1">
      <c r="A1577" s="2" t="s">
        <v>1577</v>
      </c>
      <c r="B1577" s="2" t="str">
        <f>IFERROR(__xludf.DUMMYFUNCTION("GOOGLETRANSLATE(A1577,""en"", ""mt"")"),"jikkawżaw il-ħażniet tal-ħut jiġġarrfu")</f>
        <v>jikkawżaw il-ħażniet tal-ħut jiġġarrfu</v>
      </c>
    </row>
    <row r="1578" ht="15.75" customHeight="1">
      <c r="A1578" s="2" t="s">
        <v>1578</v>
      </c>
      <c r="B1578" s="2" t="str">
        <f>IFERROR(__xludf.DUMMYFUNCTION("GOOGLETRANSLATE(A1578,""en"", ""mt"")"),"Iddgħajjef il-liġi billi tħeġġeġ diżubbidjenza ġenerali")</f>
        <v>Iddgħajjef il-liġi billi tħeġġeġ diżubbidjenza ġenerali</v>
      </c>
    </row>
    <row r="1579" ht="15.75" customHeight="1">
      <c r="A1579" s="2" t="s">
        <v>1579</v>
      </c>
      <c r="B1579" s="2" t="str">
        <f>IFERROR(__xludf.DUMMYFUNCTION("GOOGLETRANSLATE(A1579,""en"", ""mt"")"),"Liema storiċi tad-dinastiji ġew dokumentati uffiċjalment matul ir-renju ta 'Toghun?")</f>
        <v>Liema storiċi tad-dinastiji ġew dokumentati uffiċjalment matul ir-renju ta 'Toghun?</v>
      </c>
    </row>
    <row r="1580" ht="15.75" customHeight="1">
      <c r="A1580" s="2" t="s">
        <v>1580</v>
      </c>
      <c r="B1580" s="2" t="str">
        <f>IFERROR(__xludf.DUMMYFUNCTION("GOOGLETRANSLATE(A1580,""en"", ""mt"")"),"Testijiet moderni ta 'primalità għal numri ġenerali n jistgħu jinqasmu f'żewġ klassijiet ewlenin, probabilistiċi (jew ""Monte Carlo"") u algoritmi deterministiċi. Algoritmi deterministiċi jipprovdu mod kif tgħid żgur jekk numru partikolari huwiex ewlieni "&amp;"jew le. Pereżempju, id-diviżjoni tal-prova hija algoritmu deterministiku għaliex, jekk titwettaq b'mod korrett, dejjem tidentifika numru ewlieni bħala prim u numru kompost bħala kompost. L-algoritmi probabilistiċi huma normalment aktar mgħaġġla, iżda ma j"&amp;"ippruvawx kompletament li numru huwa ewlieni. Dawn it-testijiet jiddependu fuq l-ittestjar ta 'numru partikolari b'mod parzjalment bl-addoċċ. Pereżempju, test partikolari jista 'jgħaddi l-ħin kollu jekk jiġi applikat għal numru ewlieni, imma jgħaddi biss "&amp;"bi probabbiltà P jekk applikat għal numru kompost. Jekk nirrepetu t-test n darbiet u ngħaddu kull darba, allura l-probabbiltà li n-numru tagħna huwa kompost huwa 1 / (1-p) n, li jonqos b'mod esponenzjali man-numru ta 'testijiet, sabiex inkunu nistgħu nkun"&amp;"u żgur kif nixtiequ (għalkemm qatt perfettament ċert) li n-numru huwa ewlieni. Min-naħa l-oħra, jekk it-test dejjem ifalli, allura nafu li n-numru huwa kompost.")</f>
        <v>Testijiet moderni ta 'primalità għal numri ġenerali n jistgħu jinqasmu f'żewġ klassijiet ewlenin, probabilistiċi (jew "Monte Carlo") u algoritmi deterministiċi. Algoritmi deterministiċi jipprovdu mod kif tgħid żgur jekk numru partikolari huwiex ewlieni jew le. Pereżempju, id-diviżjoni tal-prova hija algoritmu deterministiku għaliex, jekk titwettaq b'mod korrett, dejjem tidentifika numru ewlieni bħala prim u numru kompost bħala kompost. L-algoritmi probabilistiċi huma normalment aktar mgħaġġla, iżda ma jippruvawx kompletament li numru huwa ewlieni. Dawn it-testijiet jiddependu fuq l-ittestjar ta 'numru partikolari b'mod parzjalment bl-addoċċ. Pereżempju, test partikolari jista 'jgħaddi l-ħin kollu jekk jiġi applikat għal numru ewlieni, imma jgħaddi biss bi probabbiltà P jekk applikat għal numru kompost. Jekk nirrepetu t-test n darbiet u ngħaddu kull darba, allura l-probabbiltà li n-numru tagħna huwa kompost huwa 1 / (1-p) n, li jonqos b'mod esponenzjali man-numru ta 'testijiet, sabiex inkunu nistgħu nkunu żgur kif nixtiequ (għalkemm qatt perfettament ċert) li n-numru huwa ewlieni. Min-naħa l-oħra, jekk it-test dejjem ifalli, allura nafu li n-numru huwa kompost.</v>
      </c>
    </row>
    <row r="1581" ht="15.75" customHeight="1">
      <c r="A1581" s="2" t="s">
        <v>1581</v>
      </c>
      <c r="B1581" s="2" t="str">
        <f>IFERROR(__xludf.DUMMYFUNCTION("GOOGLETRANSLATE(A1581,""en"", ""mt"")"),"Xi jfisser l-ewwel mużew tal-posters fid-dinja waħda mill-ikbar kollezzjonijiet fid-dinja?")</f>
        <v>Xi jfisser l-ewwel mużew tal-posters fid-dinja waħda mill-ikbar kollezzjonijiet fid-dinja?</v>
      </c>
    </row>
    <row r="1582" ht="15.75" customHeight="1">
      <c r="A1582" s="2" t="s">
        <v>1582</v>
      </c>
      <c r="B1582" s="2" t="str">
        <f>IFERROR(__xludf.DUMMYFUNCTION("GOOGLETRANSLATE(A1582,""en"", ""mt"")"),"Deżert Mojave")</f>
        <v>Deżert Mojave</v>
      </c>
    </row>
    <row r="1583" ht="15.75" customHeight="1">
      <c r="A1583" s="2" t="s">
        <v>1583</v>
      </c>
      <c r="B1583" s="2" t="str">
        <f>IFERROR(__xludf.DUMMYFUNCTION("GOOGLETRANSLATE(A1583,""en"", ""mt"")"),"Trotsky ħaseb dak li ma kienx meħtieġ għal rivoluzzjoni Russa vera.")</f>
        <v>Trotsky ħaseb dak li ma kienx meħtieġ għal rivoluzzjoni Russa vera.</v>
      </c>
    </row>
    <row r="1584" ht="15.75" customHeight="1">
      <c r="A1584" s="2" t="s">
        <v>1584</v>
      </c>
      <c r="B1584" s="2" t="str">
        <f>IFERROR(__xludf.DUMMYFUNCTION("GOOGLETRANSLATE(A1584,""en"", ""mt"")"),"pubbliku")</f>
        <v>pubbliku</v>
      </c>
    </row>
    <row r="1585" ht="15.75" customHeight="1">
      <c r="A1585" s="2" t="s">
        <v>1585</v>
      </c>
      <c r="B1585" s="2" t="str">
        <f>IFERROR(__xludf.DUMMYFUNCTION("GOOGLETRANSLATE(A1585,""en"", ""mt"")"),"X'kienet it-taħlit bħala li qiegħed fl-industrija tal-kostruzzjoni tal-lokomottiva?")</f>
        <v>X'kienet it-taħlit bħala li qiegħed fl-industrija tal-kostruzzjoni tal-lokomottiva?</v>
      </c>
    </row>
    <row r="1586" ht="15.75" customHeight="1">
      <c r="A1586" s="2" t="s">
        <v>1586</v>
      </c>
      <c r="B1586" s="2" t="str">
        <f>IFERROR(__xludf.DUMMYFUNCTION("GOOGLETRANSLATE(A1586,""en"", ""mt"")"),"Il-baqar ingħataw ix-xmara hemmhekk.")</f>
        <v>Il-baqar ingħataw ix-xmara hemmhekk.</v>
      </c>
    </row>
    <row r="1587" ht="15.75" customHeight="1">
      <c r="A1587" s="2" t="s">
        <v>1587</v>
      </c>
      <c r="B1587" s="2" t="str">
        <f>IFERROR(__xludf.DUMMYFUNCTION("GOOGLETRANSLATE(A1587,""en"", ""mt"")"),"Liema unità titkejjel biex tiddetermina l-kumplessità taċ-ċirkwit?")</f>
        <v>Liema unità titkejjel biex tiddetermina l-kumplessità taċ-ċirkwit?</v>
      </c>
    </row>
    <row r="1588" ht="15.75" customHeight="1">
      <c r="A1588" s="2" t="s">
        <v>1588</v>
      </c>
      <c r="B1588" s="2" t="str">
        <f>IFERROR(__xludf.DUMMYFUNCTION("GOOGLETRANSLATE(A1588,""en"", ""mt"")"),"il-movimenti tan-natura")</f>
        <v>il-movimenti tan-natura</v>
      </c>
    </row>
    <row r="1589" ht="15.75" customHeight="1">
      <c r="A1589" s="2" t="s">
        <v>1589</v>
      </c>
      <c r="B1589" s="2" t="str">
        <f>IFERROR(__xludf.DUMMYFUNCTION("GOOGLETRANSLATE(A1589,""en"", ""mt"")"),"Rivoluzzjoni Dinjija.")</f>
        <v>Rivoluzzjoni Dinjija.</v>
      </c>
    </row>
    <row r="1590" ht="15.75" customHeight="1">
      <c r="A1590" s="2" t="s">
        <v>1590</v>
      </c>
      <c r="B1590" s="2" t="str">
        <f>IFERROR(__xludf.DUMMYFUNCTION("GOOGLETRANSLATE(A1590,""en"", ""mt"")"),"L-unitajiet tal-blat isiru eħxen u jitqassru meta jitpoġġew taħt dan it-tip ta 'kompressjoni.")</f>
        <v>L-unitajiet tal-blat isiru eħxen u jitqassru meta jitpoġġew taħt dan it-tip ta 'kompressjoni.</v>
      </c>
    </row>
    <row r="1591" ht="15.75" customHeight="1">
      <c r="A1591" s="2" t="s">
        <v>1591</v>
      </c>
      <c r="B1591" s="2" t="str">
        <f>IFERROR(__xludf.DUMMYFUNCTION("GOOGLETRANSLATE(A1591,""en"", ""mt"")"),"L-ewwel oġġett ta 'negozju nhar ta' Erbgħa normalment huwa l-ħin għar-riflessjoni, li fih kelliem jindirizza lill-membri sa erba 'minuti, jaqsam perspettiva dwar kwistjonijiet ta' fidi. Dan jikkuntrasta mal-istil formali ta '""talb"", li huwa l-ewwel oġġe"&amp;"tt ta' negozju fil-laqgħat tal-House of Commons. Il-kelliema huma meħuda minn madwar l-Iskozja u huma magħżula biex jirrappreżentaw il-bilanċ tat-twemmin reliġjuż skont iċ-ċensiment Skoċċiż. Stediniet biex jindirizzaw il-Parlament b'dan il-mod huma determ"&amp;"inati mill-uffiċjal li jippresiedi dwar il-parir tal-Uffiċċju Parlamentari. Gruppi ta 'fidi jistgħu jagħmlu rappreżentazzjonijiet diretti lill-uffiċjal li jippresiedi biex jinnomina l-kelliema.")</f>
        <v>L-ewwel oġġett ta 'negozju nhar ta' Erbgħa normalment huwa l-ħin għar-riflessjoni, li fih kelliem jindirizza lill-membri sa erba 'minuti, jaqsam perspettiva dwar kwistjonijiet ta' fidi. Dan jikkuntrasta mal-istil formali ta '"talb", li huwa l-ewwel oġġett ta' negozju fil-laqgħat tal-House of Commons. Il-kelliema huma meħuda minn madwar l-Iskozja u huma magħżula biex jirrappreżentaw il-bilanċ tat-twemmin reliġjuż skont iċ-ċensiment Skoċċiż. Stediniet biex jindirizzaw il-Parlament b'dan il-mod huma determinati mill-uffiċjal li jippresiedi dwar il-parir tal-Uffiċċju Parlamentari. Gruppi ta 'fidi jistgħu jagħmlu rappreżentazzjonijiet diretti lill-uffiċjal li jippresiedi biex jinnomina l-kelliema.</v>
      </c>
    </row>
    <row r="1592" ht="15.75" customHeight="1">
      <c r="A1592" s="2" t="s">
        <v>1592</v>
      </c>
      <c r="B1592" s="2" t="str">
        <f>IFERROR(__xludf.DUMMYFUNCTION("GOOGLETRANSLATE(A1592,""en"", ""mt"")"),"Ir-razez tal-ogħla ""effiċjenza soċjali""")</f>
        <v>Ir-razez tal-ogħla "effiċjenza soċjali"</v>
      </c>
    </row>
    <row r="1593" ht="15.75" customHeight="1">
      <c r="A1593" s="2" t="s">
        <v>1593</v>
      </c>
      <c r="B1593" s="2" t="str">
        <f>IFERROR(__xludf.DUMMYFUNCTION("GOOGLETRANSLATE(A1593,""en"", ""mt"")"),"Orjentaliżmu u tropiċità")</f>
        <v>Orjentaliżmu u tropiċità</v>
      </c>
    </row>
    <row r="1594" ht="15.75" customHeight="1">
      <c r="A1594" s="2" t="s">
        <v>1594</v>
      </c>
      <c r="B1594" s="2" t="str">
        <f>IFERROR(__xludf.DUMMYFUNCTION("GOOGLETRANSLATE(A1594,""en"", ""mt"")"),"Huma tilfu l-flus")</f>
        <v>Huma tilfu l-flus</v>
      </c>
    </row>
    <row r="1595" ht="15.75" customHeight="1">
      <c r="A1595" s="2" t="s">
        <v>1595</v>
      </c>
      <c r="B1595" s="2" t="str">
        <f>IFERROR(__xludf.DUMMYFUNCTION("GOOGLETRANSLATE(A1595,""en"", ""mt"")"),"Telf ta 'fertilità tal-ħamrija u invażjoni tal-ħaxix ħażin")</f>
        <v>Telf ta 'fertilità tal-ħamrija u invażjoni tal-ħaxix ħażin</v>
      </c>
    </row>
    <row r="1596" ht="15.75" customHeight="1">
      <c r="A1596" s="2" t="s">
        <v>1596</v>
      </c>
      <c r="B1596" s="2" t="str">
        <f>IFERROR(__xludf.DUMMYFUNCTION("GOOGLETRANSLATE(A1596,""en"", ""mt"")"),"Fejn tinsab Galaxy Public School?")</f>
        <v>Fejn tinsab Galaxy Public School?</v>
      </c>
    </row>
    <row r="1597" ht="15.75" customHeight="1">
      <c r="A1597" s="2" t="s">
        <v>1597</v>
      </c>
      <c r="B1597" s="2" t="str">
        <f>IFERROR(__xludf.DUMMYFUNCTION("GOOGLETRANSLATE(A1597,""en"", ""mt"")"),"Il-baqar ingħataw")</f>
        <v>Il-baqar ingħataw</v>
      </c>
    </row>
    <row r="1598" ht="15.75" customHeight="1">
      <c r="A1598" s="2" t="s">
        <v>1598</v>
      </c>
      <c r="B1598" s="2" t="str">
        <f>IFERROR(__xludf.DUMMYFUNCTION("GOOGLETRANSLATE(A1598,""en"", ""mt"")"),"Kemm Prinċpijiet Rival kienu involuti fl-Assassinanti ta 'Gegeen?")</f>
        <v>Kemm Prinċpijiet Rival kienu involuti fl-Assassinanti ta 'Gegeen?</v>
      </c>
    </row>
    <row r="1599" ht="15.75" customHeight="1">
      <c r="A1599" s="2" t="s">
        <v>1599</v>
      </c>
      <c r="B1599" s="2" t="str">
        <f>IFERROR(__xludf.DUMMYFUNCTION("GOOGLETRANSLATE(A1599,""en"", ""mt"")"),"Upper Rhine")</f>
        <v>Upper Rhine</v>
      </c>
    </row>
    <row r="1600" ht="15.75" customHeight="1">
      <c r="A1600" s="2" t="s">
        <v>1600</v>
      </c>
      <c r="B1600" s="2" t="str">
        <f>IFERROR(__xludf.DUMMYFUNCTION("GOOGLETRANSLATE(A1600,""en"", ""mt"")"),"li jibda fil-bidu ta 'Settembru u jispiċċa f'nofs Mejju")</f>
        <v>li jibda fil-bidu ta 'Settembru u jispiċċa f'nofs Mejju</v>
      </c>
    </row>
    <row r="1601" ht="15.75" customHeight="1">
      <c r="A1601" s="2" t="s">
        <v>1601</v>
      </c>
      <c r="B1601" s="2" t="str">
        <f>IFERROR(__xludf.DUMMYFUNCTION("GOOGLETRANSLATE(A1601,""en"", ""mt"")"),"Il-port ta 'Long Beach jappartjeni għal liema reġjun ta' California?")</f>
        <v>Il-port ta 'Long Beach jappartjeni għal liema reġjun ta' California?</v>
      </c>
    </row>
    <row r="1602" ht="15.75" customHeight="1">
      <c r="A1602" s="2" t="s">
        <v>1602</v>
      </c>
      <c r="B1602" s="2" t="str">
        <f>IFERROR(__xludf.DUMMYFUNCTION("GOOGLETRANSLATE(A1602,""en"", ""mt"")"),"Stanley Steamer")</f>
        <v>Stanley Steamer</v>
      </c>
    </row>
    <row r="1603" ht="15.75" customHeight="1">
      <c r="A1603" s="2" t="s">
        <v>1603</v>
      </c>
      <c r="B1603" s="2" t="str">
        <f>IFERROR(__xludf.DUMMYFUNCTION("GOOGLETRANSLATE(A1603,""en"", ""mt"")"),"Il-mantell tad-dinja")</f>
        <v>Il-mantell tad-dinja</v>
      </c>
    </row>
    <row r="1604" ht="15.75" customHeight="1">
      <c r="A1604" s="2" t="s">
        <v>1604</v>
      </c>
      <c r="B1604" s="2" t="str">
        <f>IFERROR(__xludf.DUMMYFUNCTION("GOOGLETRANSLATE(A1604,""en"", ""mt"")"),"Notazzjoni Big O.")</f>
        <v>Notazzjoni Big O.</v>
      </c>
    </row>
    <row r="1605" ht="15.75" customHeight="1">
      <c r="A1605" s="2" t="s">
        <v>1605</v>
      </c>
      <c r="B1605" s="2" t="str">
        <f>IFERROR(__xludf.DUMMYFUNCTION("GOOGLETRANSLATE(A1605,""en"", ""mt"")"),"Sforzi ta 'konservazzjoni bbażati fil-komunità qed jiġu sostitwiti fejn")</f>
        <v>Sforzi ta 'konservazzjoni bbażati fil-komunità qed jiġu sostitwiti fejn</v>
      </c>
    </row>
    <row r="1606" ht="15.75" customHeight="1">
      <c r="A1606" s="2" t="s">
        <v>1606</v>
      </c>
      <c r="B1606" s="2" t="str">
        <f>IFERROR(__xludf.DUMMYFUNCTION("GOOGLETRANSLATE(A1606,""en"", ""mt"")"),"Min-naħa l-oħra, fl-aħħar tas-snin 1980, il-Punent tal-Atlantiku Ctenophore Mnemiopsis Leidyi ġie introdott aċċidentalment fil-Baħar l-Iswed u l-Baħar ta 'Azov permezz tat-tankijiet tas-saborra tal-vapuri, u ġie akkużat li kkawża qtar qawwi fil-qabdiet ta"&amp;"l-ħut billi tiekol iż-żewġ larva tal-ħut u Krustaċji żgħar li altrimenti jitimgħu l-ħut adult. Mnemiopsis huwa mgħammar tajjeb biex jinvadi territorji ġodda (għalkemm dan ma kienx imbassar sa wara li kkolonizza b'suċċess il-Baħar l-Iswed), peress li jista"&amp;" 'jitrabba malajr ħafna u jittollera firxa wiesgħa ta' temperaturi u salinitajiet tal-ilma. L-impatt żdied permezz ta 'sajd żejjed kroniku, u permezz ta' ewtrofikazzjoni li tat lill-ekosistema kollha spinta għal żmien qasir, li kkawżat il-popolazzjoni ta "&amp;"'mnemiopsis biex tiżdied saħansitra aktar malajr min-normal - u fuq kollox bin-nuqqas ta' predaturi effiċjenti fuq dawn il-ctenophores introdotti. Il-popolazzjonijiet ta 'Mnemiopsis f'dawk iż-żoni eventwalment ingħataw taħt kontroll mill-introduzzjoni aċċ"&amp;"identali tal-mnemiopsis li jieklu l-Amerika ta' Fuq Ctenophore Beroe ovata, u permezz ta 'tkessiħ tal-klima lokali mill-1991 sal-1993, li naqqas b'mod sinifikanti l-metaboliżmu tal-annimal. Madankollu l-abbundanza ta 'plankton fiż-żona jidher li x'aktarx "&amp;"ma tiġix restawrata għal-livelli ta' qabel il-mnemiopsis.")</f>
        <v>Min-naħa l-oħra, fl-aħħar tas-snin 1980, il-Punent tal-Atlantiku Ctenophore Mnemiopsis Leidyi ġie introdott aċċidentalment fil-Baħar l-Iswed u l-Baħar ta 'Azov permezz tat-tankijiet tas-saborra tal-vapuri, u ġie akkużat li kkawża qtar qawwi fil-qabdiet tal-ħut billi tiekol iż-żewġ larva tal-ħut u Krustaċji żgħar li altrimenti jitimgħu l-ħut adult. Mnemiopsis huwa mgħammar tajjeb biex jinvadi territorji ġodda (għalkemm dan ma kienx imbassar sa wara li kkolonizza b'suċċess il-Baħar l-Iswed), peress li jista 'jitrabba malajr ħafna u jittollera firxa wiesgħa ta' temperaturi u salinitajiet tal-ilma. L-impatt żdied permezz ta 'sajd żejjed kroniku, u permezz ta' ewtrofikazzjoni li tat lill-ekosistema kollha spinta għal żmien qasir, li kkawżat il-popolazzjoni ta 'mnemiopsis biex tiżdied saħansitra aktar malajr min-normal - u fuq kollox bin-nuqqas ta' predaturi effiċjenti fuq dawn il-ctenophores introdotti. Il-popolazzjonijiet ta 'Mnemiopsis f'dawk iż-żoni eventwalment ingħataw taħt kontroll mill-introduzzjoni aċċidentali tal-mnemiopsis li jieklu l-Amerika ta' Fuq Ctenophore Beroe ovata, u permezz ta 'tkessiħ tal-klima lokali mill-1991 sal-1993, li naqqas b'mod sinifikanti l-metaboliżmu tal-annimal. Madankollu l-abbundanza ta 'plankton fiż-żona jidher li x'aktarx ma tiġix restawrata għal-livelli ta' qabel il-mnemiopsis.</v>
      </c>
    </row>
    <row r="1607" ht="15.75" customHeight="1">
      <c r="A1607" s="2" t="s">
        <v>1607</v>
      </c>
      <c r="B1607" s="2" t="str">
        <f>IFERROR(__xludf.DUMMYFUNCTION("GOOGLETRANSLATE(A1607,""en"", ""mt"")"),"mhux ugwali")</f>
        <v>mhux ugwali</v>
      </c>
    </row>
    <row r="1608" ht="15.75" customHeight="1">
      <c r="A1608" s="2" t="s">
        <v>1608</v>
      </c>
      <c r="B1608" s="2" t="str">
        <f>IFERROR(__xludf.DUMMYFUNCTION("GOOGLETRANSLATE(A1608,""en"", ""mt"")"),"innifsu u mhux innifsu")</f>
        <v>innifsu u mhux innifsu</v>
      </c>
    </row>
    <row r="1609" ht="15.75" customHeight="1">
      <c r="A1609" s="2" t="s">
        <v>1609</v>
      </c>
      <c r="B1609" s="2" t="str">
        <f>IFERROR(__xludf.DUMMYFUNCTION("GOOGLETRANSLATE(A1609,""en"", ""mt"")"),"Ħu evidenza minn xhieda, twettaq inkjesti u tifli l-leġiżlazzjoni")</f>
        <v>Ħu evidenza minn xhieda, twettaq inkjesti u tifli l-leġiżlazzjoni</v>
      </c>
    </row>
    <row r="1610" ht="15.75" customHeight="1">
      <c r="A1610" s="2" t="s">
        <v>1610</v>
      </c>
      <c r="B1610" s="2" t="str">
        <f>IFERROR(__xludf.DUMMYFUNCTION("GOOGLETRANSLATE(A1610,""en"", ""mt"")"),"Struttura u forzi estiżi li jaġixxu fuq parti waħda ta 'oġġett jistgħu jaffettwaw partijiet oħra ta' oġġett")</f>
        <v>Struttura u forzi estiżi li jaġixxu fuq parti waħda ta 'oġġett jistgħu jaffettwaw partijiet oħra ta' oġġett</v>
      </c>
    </row>
    <row r="1611" ht="15.75" customHeight="1">
      <c r="A1611" s="2" t="s">
        <v>1611</v>
      </c>
      <c r="B1611" s="2" t="str">
        <f>IFERROR(__xludf.DUMMYFUNCTION("GOOGLETRANSLATE(A1611,""en"", ""mt"")"),"Qlib taċ-ċirkwiti")</f>
        <v>Qlib taċ-ċirkwiti</v>
      </c>
    </row>
    <row r="1612" ht="15.75" customHeight="1">
      <c r="A1612" s="2" t="s">
        <v>1612</v>
      </c>
      <c r="B1612" s="2" t="str">
        <f>IFERROR(__xludf.DUMMYFUNCTION("GOOGLETRANSLATE(A1612,""en"", ""mt"")"),"F'Berlin, il-Huguenots ħolqu żewġ kwartieri ġodda: Dorotheenstadt u Friedrichstadt. Sal-1700, wieħed minn kull ħamsa tal-popolazzjoni tal-belt kien jitkellem bil-Franċiż. Il-Berlin Huguenots ippreserva l-lingwa Franċiża fis-servizzi tal-knisja tagħhom għa"&amp;"l kważi seklu. Fl-aħħar iddeċidew li jaqilbu għall-Ġermaniż bi protesta kontra l-okkupazzjoni tal-Prussja minn Napuljun fl-1806-07. Ħafna mid-dixxendenti tagħhom telgħu għal pożizzjonijiet ta ’prominenza. Diversi kongregazzjonijiet twaqqfu, bħal dawk ta '"&amp;"Fredericia (id-Danimarka), Berlin, Stokkolma, Hamburg, Frankfurt, Helsinki, u Emden.")</f>
        <v>F'Berlin, il-Huguenots ħolqu żewġ kwartieri ġodda: Dorotheenstadt u Friedrichstadt. Sal-1700, wieħed minn kull ħamsa tal-popolazzjoni tal-belt kien jitkellem bil-Franċiż. Il-Berlin Huguenots ippreserva l-lingwa Franċiża fis-servizzi tal-knisja tagħhom għal kważi seklu. Fl-aħħar iddeċidew li jaqilbu għall-Ġermaniż bi protesta kontra l-okkupazzjoni tal-Prussja minn Napuljun fl-1806-07. Ħafna mid-dixxendenti tagħhom telgħu għal pożizzjonijiet ta ’prominenza. Diversi kongregazzjonijiet twaqqfu, bħal dawk ta 'Fredericia (id-Danimarka), Berlin, Stokkolma, Hamburg, Frankfurt, Helsinki, u Emden.</v>
      </c>
    </row>
    <row r="1613" ht="15.75" customHeight="1">
      <c r="A1613" s="2" t="s">
        <v>1613</v>
      </c>
      <c r="B1613" s="2" t="str">
        <f>IFERROR(__xludf.DUMMYFUNCTION("GOOGLETRANSLATE(A1613,""en"", ""mt"")"),"X'tip ta 'sanzjonijiet idderieġa l-Istati Uniti lejn l-Iran?")</f>
        <v>X'tip ta 'sanzjonijiet idderieġa l-Istati Uniti lejn l-Iran?</v>
      </c>
    </row>
    <row r="1614" ht="15.75" customHeight="1">
      <c r="A1614" s="2" t="s">
        <v>1614</v>
      </c>
      <c r="B1614" s="2" t="str">
        <f>IFERROR(__xludf.DUMMYFUNCTION("GOOGLETRANSLATE(A1614,""en"", ""mt"")"),"Ilmijiet tal-baħar madwar id-dinja")</f>
        <v>Ilmijiet tal-baħar madwar id-dinja</v>
      </c>
    </row>
    <row r="1615" ht="15.75" customHeight="1">
      <c r="A1615" s="2" t="s">
        <v>1615</v>
      </c>
      <c r="B1615" s="2" t="str">
        <f>IFERROR(__xludf.DUMMYFUNCTION("GOOGLETRANSLATE(A1615,""en"", ""mt"")"),"Gaeliku")</f>
        <v>Gaeliku</v>
      </c>
    </row>
    <row r="1616" ht="15.75" customHeight="1">
      <c r="A1616" s="2" t="s">
        <v>1616</v>
      </c>
      <c r="B1616" s="2" t="str">
        <f>IFERROR(__xludf.DUMMYFUNCTION("GOOGLETRANSLATE(A1616,""en"", ""mt"")"),"Suite proprjetarja ta 'protokolli ta' netwerking żviluppati minn Apple Inc. fl-1985")</f>
        <v>Suite proprjetarja ta 'protokolli ta' netwerking żviluppati minn Apple Inc. fl-1985</v>
      </c>
    </row>
    <row r="1617" ht="15.75" customHeight="1">
      <c r="A1617" s="2" t="s">
        <v>1617</v>
      </c>
      <c r="B1617" s="2" t="str">
        <f>IFERROR(__xludf.DUMMYFUNCTION("GOOGLETRANSLATE(A1617,""en"", ""mt"")"),"Id-diżubbidjenza ċivili hija ġġustifikata biss kontra entitajiet governattivi.")</f>
        <v>Id-diżubbidjenza ċivili hija ġġustifikata biss kontra entitajiet governattivi.</v>
      </c>
    </row>
    <row r="1618" ht="15.75" customHeight="1">
      <c r="A1618" s="2" t="s">
        <v>1618</v>
      </c>
      <c r="B1618" s="2" t="str">
        <f>IFERROR(__xludf.DUMMYFUNCTION("GOOGLETRANSLATE(A1618,""en"", ""mt"")"),"L-ekonomija tan-Nofsinhar ta 'California hija diversa u waħda mill-ikbar fl-Istati Uniti. Huwa ddominat u jiddependi ħafna mill-abbundanza ta 'pitrolju, għall-kuntrarju ta' reġjuni oħra fejn il-karozzi mhumiex daqshekk dominanti, il-maġġoranza l-kbira tat"&amp;"-trasport jimxu fuq dan il-fjuwil. In-Nofsinhar ta ’California huwa famuż għat-Turiżmu u Hollywood (film, televiżjoni, u mużika). Industriji oħra jinkludu softwer, karozzi, portijiet, finanzi, turiżmu, bijomediku, u loġistika reġjonali. Ir-reġjun kien mex"&amp;"xej fil-bużżieqa tad-djar 2001-2007, u ġie milqut ħafna mill-ħabta tad-djar.")</f>
        <v>L-ekonomija tan-Nofsinhar ta 'California hija diversa u waħda mill-ikbar fl-Istati Uniti. Huwa ddominat u jiddependi ħafna mill-abbundanza ta 'pitrolju, għall-kuntrarju ta' reġjuni oħra fejn il-karozzi mhumiex daqshekk dominanti, il-maġġoranza l-kbira tat-trasport jimxu fuq dan il-fjuwil. In-Nofsinhar ta ’California huwa famuż għat-Turiżmu u Hollywood (film, televiżjoni, u mużika). Industriji oħra jinkludu softwer, karozzi, portijiet, finanzi, turiżmu, bijomediku, u loġistika reġjonali. Ir-reġjun kien mexxej fil-bużżieqa tad-djar 2001-2007, u ġie milqut ħafna mill-ħabta tad-djar.</v>
      </c>
    </row>
    <row r="1619" ht="15.75" customHeight="1">
      <c r="A1619" s="2" t="s">
        <v>1619</v>
      </c>
      <c r="B1619" s="2" t="str">
        <f>IFERROR(__xludf.DUMMYFUNCTION("GOOGLETRANSLATE(A1619,""en"", ""mt"")"),"Robert Maynard Hutchins De-enfasizza l-Varsity Athletics")</f>
        <v>Robert Maynard Hutchins De-enfasizza l-Varsity Athletics</v>
      </c>
    </row>
    <row r="1620" ht="15.75" customHeight="1">
      <c r="A1620" s="2" t="s">
        <v>1620</v>
      </c>
      <c r="B1620" s="2" t="str">
        <f>IFERROR(__xludf.DUMMYFUNCTION("GOOGLETRANSLATE(A1620,""en"", ""mt"")"),"Bankiera, accountants u inġiniera tal-ispejjeż ipoteki x'aktarx huma parteċipanti fil-ħolqien ta 'pjan ġenerali għall-ġestjoni finanzjarja tal-proġett tal-kostruzzjoni tal-bini. Il-preżenza tal-bankier tal-ipoteki hija probabbli ħafna, anke fi proġetti re"&amp;"lattivament żgħar peress li l-ekwità tas-sid fil-propjetà hija l-iktar sors ovvju ta 'finanzjament għal proġett ta' bini. Il-kontabilisti jaġixxu biex jistudjaw il-fluss monetarju mistenni matul il-ħajja tal-proġett u jimmonitorja l-ħlasijiet matul il-pro"&amp;"ċess. Inġiniera tal-ispejjeż u estimaturi japplikaw għarfien espert biex jirrelataw ix-xogħol u l-materjali involuti ma 'valutazzjoni xierqa. L-ispejjeż żejda ma 'proġetti tal-gvern seħħew meta l-kuntrattur identifika ordnijiet ta' bidla jew bidliet fil-p"&amp;"roġett li żiedu l-ispejjeż, li mhumiex soġġetti għal kompetizzjoni minn ditti oħra peress li diġà ġew eliminati mill-konsiderazzjoni wara l-offerta inizjali.")</f>
        <v>Bankiera, accountants u inġiniera tal-ispejjeż ipoteki x'aktarx huma parteċipanti fil-ħolqien ta 'pjan ġenerali għall-ġestjoni finanzjarja tal-proġett tal-kostruzzjoni tal-bini. Il-preżenza tal-bankier tal-ipoteki hija probabbli ħafna, anke fi proġetti relattivament żgħar peress li l-ekwità tas-sid fil-propjetà hija l-iktar sors ovvju ta 'finanzjament għal proġett ta' bini. Il-kontabilisti jaġixxu biex jistudjaw il-fluss monetarju mistenni matul il-ħajja tal-proġett u jimmonitorja l-ħlasijiet matul il-proċess. Inġiniera tal-ispejjeż u estimaturi japplikaw għarfien espert biex jirrelataw ix-xogħol u l-materjali involuti ma 'valutazzjoni xierqa. L-ispejjeż żejda ma 'proġetti tal-gvern seħħew meta l-kuntrattur identifika ordnijiet ta' bidla jew bidliet fil-proġett li żiedu l-ispejjeż, li mhumiex soġġetti għal kompetizzjoni minn ditti oħra peress li diġà ġew eliminati mill-konsiderazzjoni wara l-offerta inizjali.</v>
      </c>
    </row>
    <row r="1621" ht="15.75" customHeight="1">
      <c r="A1621" s="2" t="s">
        <v>1621</v>
      </c>
      <c r="B1621" s="2" t="str">
        <f>IFERROR(__xludf.DUMMYFUNCTION("GOOGLETRANSLATE(A1621,""en"", ""mt"")"),"X'inhuma żewġ eżempji ta 'vertebrati primittivi ta' xedaq?")</f>
        <v>X'inhuma żewġ eżempji ta 'vertebrati primittivi ta' xedaq?</v>
      </c>
    </row>
    <row r="1622" ht="15.75" customHeight="1">
      <c r="A1622" s="2" t="s">
        <v>1622</v>
      </c>
      <c r="B1622" s="2" t="str">
        <f>IFERROR(__xludf.DUMMYFUNCTION("GOOGLETRANSLATE(A1622,""en"", ""mt"")"),"X'jagħmlu l-waal u n-Nederrijn-lek li jfasslu t-throguh?")</f>
        <v>X'jagħmlu l-waal u n-Nederrijn-lek li jfasslu t-throguh?</v>
      </c>
    </row>
    <row r="1623" ht="15.75" customHeight="1">
      <c r="A1623" s="2" t="s">
        <v>1623</v>
      </c>
      <c r="B1623" s="2" t="str">
        <f>IFERROR(__xludf.DUMMYFUNCTION("GOOGLETRANSLATE(A1623,""en"", ""mt"")"),"Meuse Estware")</f>
        <v>Meuse Estware</v>
      </c>
    </row>
    <row r="1624" ht="15.75" customHeight="1">
      <c r="A1624" s="2" t="s">
        <v>1624</v>
      </c>
      <c r="B1624" s="2" t="str">
        <f>IFERROR(__xludf.DUMMYFUNCTION("GOOGLETRANSLATE(A1624,""en"", ""mt"")"),"veduta differenti")</f>
        <v>veduta differenti</v>
      </c>
    </row>
    <row r="1625" ht="15.75" customHeight="1">
      <c r="A1625" s="2" t="s">
        <v>1625</v>
      </c>
      <c r="B1625" s="2" t="str">
        <f>IFERROR(__xludf.DUMMYFUNCTION("GOOGLETRANSLATE(A1625,""en"", ""mt"")"),"Projezzjonijiet ġelatinużi mmarkati b'ċili li jipproduċu kurrenti tal-ilma")</f>
        <v>Projezzjonijiet ġelatinużi mmarkati b'ċili li jipproduċu kurrenti tal-ilma</v>
      </c>
    </row>
    <row r="1626" ht="15.75" customHeight="1">
      <c r="A1626" s="2" t="s">
        <v>1626</v>
      </c>
      <c r="B1626" s="2" t="str">
        <f>IFERROR(__xludf.DUMMYFUNCTION("GOOGLETRANSLATE(A1626,""en"", ""mt"")"),"Rock jikkristallizza minn Melt (Magma u / jew Lava)")</f>
        <v>Rock jikkristallizza minn Melt (Magma u / jew Lava)</v>
      </c>
    </row>
    <row r="1627" ht="15.75" customHeight="1">
      <c r="A1627" s="2" t="s">
        <v>1627</v>
      </c>
      <c r="B1627" s="2" t="str">
        <f>IFERROR(__xludf.DUMMYFUNCTION("GOOGLETRANSLATE(A1627,""en"", ""mt"")"),"X'inhu parzjalment responsabbli għar-rispons immuni mdgħajjef f'individwi anzjani?")</f>
        <v>X'inhu parzjalment responsabbli għar-rispons immuni mdgħajjef f'individwi anzjani?</v>
      </c>
    </row>
    <row r="1628" ht="15.75" customHeight="1">
      <c r="A1628" s="2" t="s">
        <v>1628</v>
      </c>
      <c r="B1628" s="2" t="str">
        <f>IFERROR(__xludf.DUMMYFUNCTION("GOOGLETRANSLATE(A1628,""en"", ""mt"")"),"temperatura ta 'għeluq partikolari")</f>
        <v>temperatura ta 'għeluq partikolari</v>
      </c>
    </row>
    <row r="1629" ht="15.75" customHeight="1">
      <c r="A1629" s="2" t="s">
        <v>1629</v>
      </c>
      <c r="B1629" s="2" t="str">
        <f>IFERROR(__xludf.DUMMYFUNCTION("GOOGLETRANSLATE(A1629,""en"", ""mt"")"),"Awtokratiku-burokratiku")</f>
        <v>Awtokratiku-burokratiku</v>
      </c>
    </row>
    <row r="1630" ht="15.75" customHeight="1">
      <c r="A1630" s="2" t="s">
        <v>1630</v>
      </c>
      <c r="B1630" s="2" t="str">
        <f>IFERROR(__xludf.DUMMYFUNCTION("GOOGLETRANSLATE(A1630,""en"", ""mt"")"),"Il-kunċett ta ’ċertezza legali huwa rikonoxxut wieħed mill-prinċipji ġenerali tal-liġi tal-Unjoni Ewropea mill-Qorti Ewropea tal-Ġustizzja mill-1960s. Huwa prinċipju ġenerali importanti tal-liġi internazzjonali u l-liġi pubblika, li qabel il-liġi tal-Unjo"&amp;"ni Ewropea. Bħala prinċipju ġenerali fil-liġi tal-Unjoni Ewropea jfisser li l-liġi għandha tkun ċerta, billi hija ċara u preċiża, u l-implikazzjonijiet legali tagħha prevedibbli, speċjalment meta jiġu applikati għal obbligi finanzjarji. L-adozzjoni ta 'li"&amp;"ġijiet li se jkollhom effett legali fl-Unjoni Ewropea għandu jkollhom bażi legali xierqa. Il-leġislazzjoni fl-Istati Membri li timplimenta l-liġi tal-Unjoni Ewropea għandha tkun miktuba sabiex tkun tinftiehem b'mod ċar minn dawk li huma soġġetti għal-liġi"&amp;". Fil-liġi tal-Unjoni Ewropea, il-prinċipju ġenerali taċ-ċertezza legali jipprojbixxi l-liġijiet ex post facto, i.e. il-liġijiet m'għandhomx jidħlu fis-seħħ qabel ma jiġu ppubblikati. Id-duttrina tal-aspettattiva leġittima, li għandha l-għeruq tagħha fil-"&amp;"prinċipji taċ-ċertezza legali u l-fidi tajba, hija wkoll element ċentrali tal-prinċipju ġenerali taċ-ċertezza legali fil-liġi tal-Unjoni Ewropea. Id-duttrina leġittima ta 'l-istennija żżomm dik u li ""dawk li jaġixxu b'rieda tajba fuq il-bażi tal-liġi kif"&amp;" inhi jew jidher li m'għandhomx ikunu frustrati fl-aspettattivi tagħhom"".")</f>
        <v>Il-kunċett ta ’ċertezza legali huwa rikonoxxut wieħed mill-prinċipji ġenerali tal-liġi tal-Unjoni Ewropea mill-Qorti Ewropea tal-Ġustizzja mill-1960s. Huwa prinċipju ġenerali importanti tal-liġi internazzjonali u l-liġi pubblika, li qabel il-liġi tal-Unjoni Ewropea. Bħala prinċipju ġenerali fil-liġi tal-Unjoni Ewropea jfisser li l-liġi għandha tkun ċerta, billi hija ċara u preċiża, u l-implikazzjonijiet legali tagħha prevedibbli, speċjalment meta jiġu applikati għal obbligi finanzjarji. L-adozzjoni ta 'liġijiet li se jkollhom effett legali fl-Unjoni Ewropea għandu jkollhom bażi legali xierqa. Il-leġislazzjoni fl-Istati Membri li timplimenta l-liġi tal-Unjoni Ewropea għandha tkun miktuba sabiex tkun tinftiehem b'mod ċar minn dawk li huma soġġetti għal-liġi. Fil-liġi tal-Unjoni Ewropea, il-prinċipju ġenerali taċ-ċertezza legali jipprojbixxi l-liġijiet ex post facto, i.e. il-liġijiet m'għandhomx jidħlu fis-seħħ qabel ma jiġu ppubblikati. Id-duttrina tal-aspettattiva leġittima, li għandha l-għeruq tagħha fil-prinċipji taċ-ċertezza legali u l-fidi tajba, hija wkoll element ċentrali tal-prinċipju ġenerali taċ-ċertezza legali fil-liġi tal-Unjoni Ewropea. Id-duttrina leġittima ta 'l-istennija żżomm dik u li "dawk li jaġixxu b'rieda tajba fuq il-bażi tal-liġi kif inhi jew jidher li m'għandhomx ikunu frustrati fl-aspettattivi tagħhom".</v>
      </c>
    </row>
    <row r="1631" ht="15.75" customHeight="1">
      <c r="A1631" s="2" t="s">
        <v>1631</v>
      </c>
      <c r="B1631" s="2" t="str">
        <f>IFERROR(__xludf.DUMMYFUNCTION("GOOGLETRANSLATE(A1631,""en"", ""mt"")"),"Protesti illegali simboliċi")</f>
        <v>Protesti illegali simboliċi</v>
      </c>
    </row>
    <row r="1632" ht="15.75" customHeight="1">
      <c r="A1632" s="2" t="s">
        <v>1632</v>
      </c>
      <c r="B1632" s="2" t="str">
        <f>IFERROR(__xludf.DUMMYFUNCTION("GOOGLETRANSLATE(A1632,""en"", ""mt"")"),"fażi ta 'setup f'kull nodu involut")</f>
        <v>fażi ta 'setup f'kull nodu involut</v>
      </c>
    </row>
    <row r="1633" ht="15.75" customHeight="1">
      <c r="A1633" s="2" t="s">
        <v>1633</v>
      </c>
      <c r="B1633" s="2" t="str">
        <f>IFERROR(__xludf.DUMMYFUNCTION("GOOGLETRANSLATE(A1633,""en"", ""mt"")"),"Is-sistema immunitarja hija sistema ta 'ħafna strutturi u proċessi bijoloġiċi fi ħdan organiżmu li jipproteġi kontra l-mard. Biex tiffunzjona kif suppost, sistema immuni għandha tiskopri varjetà wiesgħa ta 'aġenti, magħrufa bħala patoġeni, minn viruses għ"&amp;"al dud parassitiku, u tiddistingwihom mit-tessut b'saħħtu tal-organiżmu stess. F’ħafna speċi, is-sistema immunitarja tista ’tiġi kklassifikata f’subsistemi, bħas-sistema immuni innata kontra s-sistema immunitarja adattiva, jew l-immunità umoristika kontra"&amp;" l-immunità medjata miċ-ċelloli. Fil-bnedmin, il-barriera tad-demm-moħħ, l-ostaklu tal-fluwidu tad-demm-cerebrospinali, u l-ostakli simili tal-moħħ fluwidu jisseparaw is-sistema immuni periferali mis-sistema newroimmuni li tipproteġi l-moħħ.")</f>
        <v>Is-sistema immunitarja hija sistema ta 'ħafna strutturi u proċessi bijoloġiċi fi ħdan organiżmu li jipproteġi kontra l-mard. Biex tiffunzjona kif suppost, sistema immuni għandha tiskopri varjetà wiesgħa ta 'aġenti, magħrufa bħala patoġeni, minn viruses għal dud parassitiku, u tiddistingwihom mit-tessut b'saħħtu tal-organiżmu stess. F’ħafna speċi, is-sistema immunitarja tista ’tiġi kklassifikata f’subsistemi, bħas-sistema immuni innata kontra s-sistema immunitarja adattiva, jew l-immunità umoristika kontra l-immunità medjata miċ-ċelloli. Fil-bnedmin, il-barriera tad-demm-moħħ, l-ostaklu tal-fluwidu tad-demm-cerebrospinali, u l-ostakli simili tal-moħħ fluwidu jisseparaw is-sistema immuni periferali mis-sistema newroimmuni li tipproteġi l-moħħ.</v>
      </c>
    </row>
    <row r="1634" ht="15.75" customHeight="1">
      <c r="A1634" s="2" t="s">
        <v>1634</v>
      </c>
      <c r="B1634" s="2" t="str">
        <f>IFERROR(__xludf.DUMMYFUNCTION("GOOGLETRANSLATE(A1634,""en"", ""mt"")"),"Din espandiet")</f>
        <v>Din espandiet</v>
      </c>
    </row>
    <row r="1635" ht="15.75" customHeight="1">
      <c r="A1635" s="2" t="s">
        <v>1635</v>
      </c>
      <c r="B1635" s="2" t="str">
        <f>IFERROR(__xludf.DUMMYFUNCTION("GOOGLETRANSLATE(A1635,""en"", ""mt"")"),"X'għamel is-sistema Apple awtomatikament")</f>
        <v>X'għamel is-sistema Apple awtomatikament</v>
      </c>
    </row>
    <row r="1636" ht="15.75" customHeight="1">
      <c r="A1636" s="2" t="s">
        <v>1636</v>
      </c>
      <c r="B1636" s="2" t="str">
        <f>IFERROR(__xludf.DUMMYFUNCTION("GOOGLETRANSLATE(A1636,""en"", ""mt"")"),"Stat ta 'triplet spin")</f>
        <v>Stat ta 'triplet spin</v>
      </c>
    </row>
    <row r="1637" ht="15.75" customHeight="1">
      <c r="A1637" s="2" t="s">
        <v>1637</v>
      </c>
      <c r="B1637" s="2" t="str">
        <f>IFERROR(__xludf.DUMMYFUNCTION("GOOGLETRANSLATE(A1637,""en"", ""mt"")"),"interface ospitanti għal x.25 u l-interface terminali għal x.29")</f>
        <v>interface ospitanti għal x.25 u l-interface terminali għal x.29</v>
      </c>
    </row>
    <row r="1638" ht="15.75" customHeight="1">
      <c r="A1638" s="2" t="s">
        <v>1638</v>
      </c>
      <c r="B1638" s="2" t="str">
        <f>IFERROR(__xludf.DUMMYFUNCTION("GOOGLETRANSLATE(A1638,""en"", ""mt"")"),"Kemm hemm viċi presidenti fuq il-bord tal-istudenti?")</f>
        <v>Kemm hemm viċi presidenti fuq il-bord tal-istudenti?</v>
      </c>
    </row>
    <row r="1639" ht="15.75" customHeight="1">
      <c r="A1639" s="2" t="s">
        <v>1639</v>
      </c>
      <c r="B1639" s="2" t="str">
        <f>IFERROR(__xludf.DUMMYFUNCTION("GOOGLETRANSLATE(A1639,""en"", ""mt"")"),"Ohio Company of Virginia")</f>
        <v>Ohio Company of Virginia</v>
      </c>
    </row>
    <row r="1640" ht="15.75" customHeight="1">
      <c r="A1640" s="2" t="s">
        <v>1640</v>
      </c>
      <c r="B1640" s="2" t="str">
        <f>IFERROR(__xludf.DUMMYFUNCTION("GOOGLETRANSLATE(A1640,""en"", ""mt"")"),"Ħsarat Ingliżi fl-Amerika ta ’Fuq, flimkien ma’ fallimenti oħra fl-Ewropa")</f>
        <v>Ħsarat Ingliżi fl-Amerika ta ’Fuq, flimkien ma’ fallimenti oħra fl-Ewropa</v>
      </c>
    </row>
    <row r="1641" ht="15.75" customHeight="1">
      <c r="A1641" s="2" t="s">
        <v>1641</v>
      </c>
      <c r="B1641" s="2" t="str">
        <f>IFERROR(__xludf.DUMMYFUNCTION("GOOGLETRANSLATE(A1641,""en"", ""mt"")"),"Madwar seba 'u tmienja")</f>
        <v>Madwar seba 'u tmienja</v>
      </c>
    </row>
    <row r="1642" ht="15.75" customHeight="1">
      <c r="A1642" s="2" t="s">
        <v>1642</v>
      </c>
      <c r="B1642" s="2" t="str">
        <f>IFERROR(__xludf.DUMMYFUNCTION("GOOGLETRANSLATE(A1642,""en"", ""mt"")"),"manwalment irażżan in-nar")</f>
        <v>manwalment irażżan in-nar</v>
      </c>
    </row>
    <row r="1643" ht="15.75" customHeight="1">
      <c r="A1643" s="2" t="s">
        <v>1643</v>
      </c>
      <c r="B1643" s="2" t="str">
        <f>IFERROR(__xludf.DUMMYFUNCTION("GOOGLETRANSLATE(A1643,""en"", ""mt"")"),"Qawwa tal-komputazzjoni")</f>
        <v>Qawwa tal-komputazzjoni</v>
      </c>
    </row>
    <row r="1644" ht="15.75" customHeight="1">
      <c r="A1644" s="2" t="s">
        <v>1644</v>
      </c>
      <c r="B1644" s="2" t="str">
        <f>IFERROR(__xludf.DUMMYFUNCTION("GOOGLETRANSLATE(A1644,""en"", ""mt"")"),"Avveniment ewlieni")</f>
        <v>Avveniment ewlieni</v>
      </c>
    </row>
    <row r="1645" ht="15.75" customHeight="1">
      <c r="A1645" s="2" t="s">
        <v>1645</v>
      </c>
      <c r="B1645" s="2" t="str">
        <f>IFERROR(__xludf.DUMMYFUNCTION("GOOGLETRANSLATE(A1645,""en"", ""mt"")"),"Liema membru tal-alumni tal-università kien magħruf għax-xogħol tiegħu fuq it-teorija tal-portafoll?")</f>
        <v>Liema membru tal-alumni tal-università kien magħruf għax-xogħol tiegħu fuq it-teorija tal-portafoll?</v>
      </c>
    </row>
    <row r="1646" ht="15.75" customHeight="1">
      <c r="A1646" s="2" t="s">
        <v>1646</v>
      </c>
      <c r="B1646" s="2" t="str">
        <f>IFERROR(__xludf.DUMMYFUNCTION("GOOGLETRANSLATE(A1646,""en"", ""mt"")"),"l-ogħla 'effiċjenza soċjali'")</f>
        <v>l-ogħla 'effiċjenza soċjali'</v>
      </c>
    </row>
    <row r="1647" ht="15.75" customHeight="1">
      <c r="A1647" s="2" t="s">
        <v>1647</v>
      </c>
      <c r="B1647" s="2" t="str">
        <f>IFERROR(__xludf.DUMMYFUNCTION("GOOGLETRANSLATE(A1647,""en"", ""mt"")"),"Xi jfisser meta serje armonika tvarja?")</f>
        <v>Xi jfisser meta serje armonika tvarja?</v>
      </c>
    </row>
    <row r="1648" ht="15.75" customHeight="1">
      <c r="A1648" s="2" t="s">
        <v>1648</v>
      </c>
      <c r="B1648" s="2" t="str">
        <f>IFERROR(__xludf.DUMMYFUNCTION("GOOGLETRANSLATE(A1648,""en"", ""mt"")"),"Vertebrati primittivi ta 'xedaq għandhom firxa ta' riċetturi msemmija bħala xiex?")</f>
        <v>Vertebrati primittivi ta 'xedaq għandhom firxa ta' riċetturi msemmija bħala xiex?</v>
      </c>
    </row>
    <row r="1649" ht="15.75" customHeight="1">
      <c r="A1649" s="2" t="s">
        <v>1649</v>
      </c>
      <c r="B1649" s="2" t="str">
        <f>IFERROR(__xludf.DUMMYFUNCTION("GOOGLETRANSLATE(A1649,""en"", ""mt"")"),"Liema żewġ nazzjonijiet membri tal-Imperu Ruman Qaddis irċevew refuġjati Huguenot?")</f>
        <v>Liema żewġ nazzjonijiet membri tal-Imperu Ruman Qaddis irċevew refuġjati Huguenot?</v>
      </c>
    </row>
    <row r="1650" ht="15.75" customHeight="1">
      <c r="A1650" s="2" t="s">
        <v>1650</v>
      </c>
      <c r="B1650" s="2" t="str">
        <f>IFERROR(__xludf.DUMMYFUNCTION("GOOGLETRANSLATE(A1650,""en"", ""mt"")"),"Numri żgħar ta 'kolonizzaturi")</f>
        <v>Numri żgħar ta 'kolonizzaturi</v>
      </c>
    </row>
    <row r="1651" ht="15.75" customHeight="1">
      <c r="A1651" s="2" t="s">
        <v>1651</v>
      </c>
      <c r="B1651" s="2" t="str">
        <f>IFERROR(__xludf.DUMMYFUNCTION("GOOGLETRANSLATE(A1651,""en"", ""mt"")"),"Il-kummissarji għandhom diversi privileġġi, bħalma huma eżentati mit-taxxi tal-Istat Membru (iżda mhux it-taxxi tal-UE), u għandhom immunità mill-prosekuzzjoni talli għamlu atti uffiċjali. Xi drabi l-kummissarji nstabu li abbużaw mill-uffiċċji tagħhom, pa"&amp;"rtikolarment peress li l-Kummissjoni Santer ġiet iċċensurata mill-Parlament fl-1999, u eventwalment irriżenjaw minħabba allegazzjonijiet ta 'korruzzjoni. Dan irriżulta f'każ ewlieni wieħed, il-Kummissjoni v Edith Cresson fejn il-Qorti Ewropea tal-Ġustizzj"&amp;"a ddeċidiet li kummissarju li jagħti xogħol lid-dentist tagħha, li għalih kien ċar mhux kwalifikat, fil-fatt ma kiser l-ebda liġi. B'kuntrast mal-approċċ rilassat tal-ECJ, kumitat ta 'esperti indipendenti sab li kultura kienet żviluppat fejn ftit kummissa"&amp;"rji kellhom ""anke l-iċken sens ta' responsabbiltà"". Dan wassal għall-ħolqien tal-uffiċċju Ewropew kontra l-frodi. Fl-2012 hija investigat il-Kummissarju Malti għas-Saħħa, John Dalli, li malajr irriżenja wara allegazzjonijiet li rċieva tixħim ta '€ 60m b"&amp;"'rabta ma' direttiva dwar il-Prodotti tat-Tabakk. Lil hinn mill-Kummissjoni, il-Bank Ċentrali Ewropew għandu awtonomija eżekuttiva relattiva fit-tmexxija tiegħu tal-politika monetarja bl-iskop li timmaniġġja l-euro. Għandu bord ta 'sitt persuni maħtur mil"&amp;"l-Kunsill Ewropew, dwar ir-rakkomandazzjoni tal-Kunsill. Il-President tal-Kunsill u Kummissarju jistgħu joqogħdu fil-laqgħat tal-BĊE, iżda m'għandhomx drittijiet tal-vot.")</f>
        <v>Il-kummissarji għandhom diversi privileġġi, bħalma huma eżentati mit-taxxi tal-Istat Membru (iżda mhux it-taxxi tal-UE), u għandhom immunità mill-prosekuzzjoni talli għamlu atti uffiċjali. Xi drabi l-kummissarji nstabu li abbużaw mill-uffiċċji tagħhom, partikolarment peress li l-Kummissjoni Santer ġiet iċċensurata mill-Parlament fl-1999, u eventwalment irriżenjaw minħabba allegazzjonijiet ta 'korruzzjoni. Dan irriżulta f'każ ewlieni wieħed, il-Kummissjoni v Edith Cresson fejn il-Qorti Ewropea tal-Ġustizzja ddeċidiet li kummissarju li jagħti xogħol lid-dentist tagħha, li għalih kien ċar mhux kwalifikat, fil-fatt ma kiser l-ebda liġi. B'kuntrast mal-approċċ rilassat tal-ECJ, kumitat ta 'esperti indipendenti sab li kultura kienet żviluppat fejn ftit kummissarji kellhom "anke l-iċken sens ta' responsabbiltà". Dan wassal għall-ħolqien tal-uffiċċju Ewropew kontra l-frodi. Fl-2012 hija investigat il-Kummissarju Malti għas-Saħħa, John Dalli, li malajr irriżenja wara allegazzjonijiet li rċieva tixħim ta '€ 60m b'rabta ma' direttiva dwar il-Prodotti tat-Tabakk. Lil hinn mill-Kummissjoni, il-Bank Ċentrali Ewropew għandu awtonomija eżekuttiva relattiva fit-tmexxija tiegħu tal-politika monetarja bl-iskop li timmaniġġja l-euro. Għandu bord ta 'sitt persuni maħtur mill-Kunsill Ewropew, dwar ir-rakkomandazzjoni tal-Kunsill. Il-President tal-Kunsill u Kummissarju jistgħu joqogħdu fil-laqgħat tal-BĊE, iżda m'għandhomx drittijiet tal-vot.</v>
      </c>
    </row>
    <row r="1652" ht="15.75" customHeight="1">
      <c r="A1652" s="2" t="s">
        <v>1652</v>
      </c>
      <c r="B1652" s="2" t="str">
        <f>IFERROR(__xludf.DUMMYFUNCTION("GOOGLETRANSLATE(A1652,""en"", ""mt"")"),"Li beda programm ta ’riforma tal-knisja fl-1100s")</f>
        <v>Li beda programm ta ’riforma tal-knisja fl-1100s</v>
      </c>
    </row>
    <row r="1653" ht="15.75" customHeight="1">
      <c r="A1653" s="2" t="s">
        <v>1653</v>
      </c>
      <c r="B1653" s="2" t="str">
        <f>IFERROR(__xludf.DUMMYFUNCTION("GOOGLETRANSLATE(A1653,""en"", ""mt"")"),"L-arkitettura residenzjali tad-distrett tat-Torri tqabbel jew tikkuntrasta ma 'parti oħra ta' Fresno?")</f>
        <v>L-arkitettura residenzjali tad-distrett tat-Torri tqabbel jew tikkuntrasta ma 'parti oħra ta' Fresno?</v>
      </c>
    </row>
    <row r="1654" ht="15.75" customHeight="1">
      <c r="A1654" s="2" t="s">
        <v>1654</v>
      </c>
      <c r="B1654" s="2" t="str">
        <f>IFERROR(__xludf.DUMMYFUNCTION("GOOGLETRANSLATE(A1654,""en"", ""mt"")"),"temperatura tal-għeluq")</f>
        <v>temperatura tal-għeluq</v>
      </c>
    </row>
    <row r="1655" ht="15.75" customHeight="1">
      <c r="A1655" s="2" t="s">
        <v>1655</v>
      </c>
      <c r="B1655" s="2" t="str">
        <f>IFERROR(__xludf.DUMMYFUNCTION("GOOGLETRANSLATE(A1655,""en"", ""mt"")"),"Li waqqaf Telnet")</f>
        <v>Li waqqaf Telnet</v>
      </c>
    </row>
    <row r="1656" ht="15.75" customHeight="1">
      <c r="A1656" s="2" t="s">
        <v>1656</v>
      </c>
      <c r="B1656" s="2" t="str">
        <f>IFERROR(__xludf.DUMMYFUNCTION("GOOGLETRANSLATE(A1656,""en"", ""mt"")"),"Meta l-unitajiet tal-blat jitpoġġew taħt kompressjoni orizzontali, dawn iqassru u jsiru eħxen. Minħabba li l-unitajiet tal-blat, minbarra t-tajn, ma jinbidlux b'mod sinifikanti fil-volum, dan jitwettaq f'żewġ modi primarji: permezz ta 'difetti u tiwi. Fil"&amp;"-qoxra baxxa, fejn tista 'sseħħ deformazzjoni fraġli, jiffurmaw ħsarat ta' l-ispinta, li jikkawżaw blat aktar fil-fond li jimxi fuq il-parti ta 'fuq tal-blat baxx. Minħabba li l-blat aktar profond huwa ta 'spiss ixjeħ, kif innotat mill-prinċipju tas-super"&amp;"pożizzjoni, dan jista' jirriżulta fi blat anzjani li jiċċaqalqu fuq dawk iżgħar. Il-moviment tul il-ħsarat jista 'jirriżulta fit-tiwi, jew minħabba li l-ħsarat mhumiex ċatti jew minħabba li s-saffi tal-blat huma mkaxkra, u jiffurmaw il-folds tal-ġibda hek"&amp;"k kif iseħħ żlieq matul il-ħsara. Aktar fil-fond fl-art, il-blat iġibu ruħhom plastikament, u jintewa minflok ma jfixklu. Dawn il-folds jistgħu jkunu jew dawk fejn il-materjal fiċ-ċentru tal-bokkli tat-tinja 'l fuq, joħloq ""antiformi"", jew fejn jegħleb'"&amp;" l isfel, u joħloq ""sinformi"". Jekk l-uċuħ tal-unitajiet tal-blat fil-jingħalaq jibqgħu jippuntaw 'il fuq, huma msejħa anticlines u sinklini, rispettivament. Jekk uħud mill-unitajiet fil-tinja qed jiffaċċjaw 'l isfel, l-istruttura tissejjaħ antiklinja j"&amp;"ew sinkronizzazzjoni maqluba, u jekk l-unitajiet kollha tal-blat jinqaleb jew jekk id-direzzjoni korretta mhix magħrufa, huma sempliċement imsejħa bl-iktar termini ġenerali, Antiformi u Sinformi.")</f>
        <v>Meta l-unitajiet tal-blat jitpoġġew taħt kompressjoni orizzontali, dawn iqassru u jsiru eħxen. Minħabba li l-unitajiet tal-blat, minbarra t-tajn, ma jinbidlux b'mod sinifikanti fil-volum, dan jitwettaq f'żewġ modi primarji: permezz ta 'difetti u tiwi. Fil-qoxra baxxa, fejn tista 'sseħħ deformazzjoni fraġli, jiffurmaw ħsarat ta' l-ispinta, li jikkawżaw blat aktar fil-fond li jimxi fuq il-parti ta 'fuq tal-blat baxx. Minħabba li l-blat aktar profond huwa ta 'spiss ixjeħ, kif innotat mill-prinċipju tas-superpożizzjoni, dan jista' jirriżulta fi blat anzjani li jiċċaqalqu fuq dawk iżgħar. Il-moviment tul il-ħsarat jista 'jirriżulta fit-tiwi, jew minħabba li l-ħsarat mhumiex ċatti jew minħabba li s-saffi tal-blat huma mkaxkra, u jiffurmaw il-folds tal-ġibda hekk kif iseħħ żlieq matul il-ħsara. Aktar fil-fond fl-art, il-blat iġibu ruħhom plastikament, u jintewa minflok ma jfixklu. Dawn il-folds jistgħu jkunu jew dawk fejn il-materjal fiċ-ċentru tal-bokkli tat-tinja 'l fuq, joħloq "antiformi", jew fejn jegħleb' l isfel, u joħloq "sinformi". Jekk l-uċuħ tal-unitajiet tal-blat fil-jingħalaq jibqgħu jippuntaw 'il fuq, huma msejħa anticlines u sinklini, rispettivament. Jekk uħud mill-unitajiet fil-tinja qed jiffaċċjaw 'l isfel, l-istruttura tissejjaħ antiklinja jew sinkronizzazzjoni maqluba, u jekk l-unitajiet kollha tal-blat jinqaleb jew jekk id-direzzjoni korretta mhix magħrufa, huma sempliċement imsejħa bl-iktar termini ġenerali, Antiformi u Sinformi.</v>
      </c>
    </row>
    <row r="1657" ht="15.75" customHeight="1">
      <c r="A1657" s="2" t="s">
        <v>1657</v>
      </c>
      <c r="B1657" s="2" t="str">
        <f>IFERROR(__xludf.DUMMYFUNCTION("GOOGLETRANSLATE(A1657,""en"", ""mt"")"),"Battalja ta 'Bạch ằng")</f>
        <v>Battalja ta 'Bạch ằng</v>
      </c>
    </row>
    <row r="1658" ht="15.75" customHeight="1">
      <c r="A1658" s="2" t="s">
        <v>1658</v>
      </c>
      <c r="B1658" s="2" t="str">
        <f>IFERROR(__xludf.DUMMYFUNCTION("GOOGLETRANSLATE(A1658,""en"", ""mt"")"),"Bejn Bingen u Bonn, ir-Renu Nofsani jgħaddi minn ġol-Gorge tar-Rhine, formazzjoni li nħolqot mill-erożjoni. Ir-rata ta 'erożjoni kienet daqs l-uplift fir-reġjun, tali li x-xmara tħalliet madwar il-livell oriġinali tagħha waqt li l-artijiet tal-madwar tqaj"&amp;"mu. Il-gorge huwa pjuttost fil-fond u huwa l-medda tax-xmara li hija magħrufa għall-ħafna kastelli u dwieli tagħha. Huwa Sit ta 'Wirt Dinji tal-UNESCO (2002) u magħruf bħala ""Ir-Renu Romantiku"", b'aktar minn 40 kastell u fortizzi mill-Medju Evu u ħafna "&amp;"villaġġi ta' pajjiż pittoresk u sbieħ.")</f>
        <v>Bejn Bingen u Bonn, ir-Renu Nofsani jgħaddi minn ġol-Gorge tar-Rhine, formazzjoni li nħolqot mill-erożjoni. Ir-rata ta 'erożjoni kienet daqs l-uplift fir-reġjun, tali li x-xmara tħalliet madwar il-livell oriġinali tagħha waqt li l-artijiet tal-madwar tqajmu. Il-gorge huwa pjuttost fil-fond u huwa l-medda tax-xmara li hija magħrufa għall-ħafna kastelli u dwieli tagħha. Huwa Sit ta 'Wirt Dinji tal-UNESCO (2002) u magħruf bħala "Ir-Renu Romantiku", b'aktar minn 40 kastell u fortizzi mill-Medju Evu u ħafna villaġġi ta' pajjiż pittoresk u sbieħ.</v>
      </c>
    </row>
    <row r="1659" ht="15.75" customHeight="1">
      <c r="A1659" s="2" t="s">
        <v>1659</v>
      </c>
      <c r="B1659" s="2" t="str">
        <f>IFERROR(__xludf.DUMMYFUNCTION("GOOGLETRANSLATE(A1659,""en"", ""mt"")"),"""Bricks għal Varsavja""")</f>
        <v>"Bricks għal Varsavja"</v>
      </c>
    </row>
    <row r="1660" ht="15.75" customHeight="1">
      <c r="A1660" s="2" t="s">
        <v>1660</v>
      </c>
      <c r="B1660" s="2" t="str">
        <f>IFERROR(__xludf.DUMMYFUNCTION("GOOGLETRANSLATE(A1660,""en"", ""mt"")"),"Amazonia: Il-bniedem u l-kultura fi ġenna ffalsifikata.")</f>
        <v>Amazonia: Il-bniedem u l-kultura fi ġenna ffalsifikata.</v>
      </c>
    </row>
    <row r="1661" ht="15.75" customHeight="1">
      <c r="A1661" s="2" t="s">
        <v>1661</v>
      </c>
      <c r="B1661" s="2" t="str">
        <f>IFERROR(__xludf.DUMMYFUNCTION("GOOGLETRANSLATE(A1661,""en"", ""mt"")"),"In-Nofsinhar ta ’California hija wkoll id-dar tal-Port ta’ Los Angeles, il-port kummerċjali l-aktar traffikuż tal-Istati Uniti; il-port li jmissu ma 'Long Beach, it-tieni port tal-kontejners tat-tieni l-Istati Uniti; u l-port ta 'San Diego.")</f>
        <v>In-Nofsinhar ta ’California hija wkoll id-dar tal-Port ta’ Los Angeles, il-port kummerċjali l-aktar traffikuż tal-Istati Uniti; il-port li jmissu ma 'Long Beach, it-tieni port tal-kontejners tat-tieni l-Istati Uniti; u l-port ta 'San Diego.</v>
      </c>
    </row>
    <row r="1662" ht="15.75" customHeight="1">
      <c r="A1662" s="2" t="s">
        <v>1662</v>
      </c>
      <c r="B1662" s="2" t="str">
        <f>IFERROR(__xludf.DUMMYFUNCTION("GOOGLETRANSLATE(A1662,""en"", ""mt"")"),"il-problema ta 'l-għaqda np-kompluta")</f>
        <v>il-problema ta 'l-għaqda np-kompluta</v>
      </c>
    </row>
    <row r="1663" ht="15.75" customHeight="1">
      <c r="A1663" s="2" t="s">
        <v>1663</v>
      </c>
      <c r="B1663" s="2" t="str">
        <f>IFERROR(__xludf.DUMMYFUNCTION("GOOGLETRANSLATE(A1663,""en"", ""mt"")"),"tinforma lill-ġurija u lill-pubbliku")</f>
        <v>tinforma lill-ġurija u lill-pubbliku</v>
      </c>
    </row>
    <row r="1664" ht="15.75" customHeight="1">
      <c r="A1664" s="2" t="s">
        <v>1664</v>
      </c>
      <c r="B1664" s="2" t="str">
        <f>IFERROR(__xludf.DUMMYFUNCTION("GOOGLETRANSLATE(A1664,""en"", ""mt"")"),"Liema viċinat jinsab fil-punent tal-41 Freeway?")</f>
        <v>Liema viċinat jinsab fil-punent tal-41 Freeway?</v>
      </c>
    </row>
    <row r="1665" ht="15.75" customHeight="1">
      <c r="A1665" s="2" t="s">
        <v>1665</v>
      </c>
      <c r="B1665" s="2" t="str">
        <f>IFERROR(__xludf.DUMMYFUNCTION("GOOGLETRANSLATE(A1665,""en"", ""mt"")"),"Epte")</f>
        <v>Epte</v>
      </c>
    </row>
    <row r="1666" ht="15.75" customHeight="1">
      <c r="A1666" s="2" t="s">
        <v>1666</v>
      </c>
      <c r="B1666" s="2" t="str">
        <f>IFERROR(__xludf.DUMMYFUNCTION("GOOGLETRANSLATE(A1666,""en"", ""mt"")"),"PTT Telecom Olandiż")</f>
        <v>PTT Telecom Olandiż</v>
      </c>
    </row>
    <row r="1667" ht="15.75" customHeight="1">
      <c r="A1667" s="2" t="s">
        <v>1667</v>
      </c>
      <c r="B1667" s="2" t="str">
        <f>IFERROR(__xludf.DUMMYFUNCTION("GOOGLETRANSLATE(A1667,""en"", ""mt"")"),"X'inhuma l-proteini li l-organiżmi jużaw biex jidentifikaw molekuli assoċjati ma 'patoġeni?")</f>
        <v>X'inhuma l-proteini li l-organiżmi jużaw biex jidentifikaw molekuli assoċjati ma 'patoġeni?</v>
      </c>
    </row>
    <row r="1668" ht="15.75" customHeight="1">
      <c r="A1668" s="2" t="s">
        <v>1668</v>
      </c>
      <c r="B1668" s="2" t="str">
        <f>IFERROR(__xludf.DUMMYFUNCTION("GOOGLETRANSLATE(A1668,""en"", ""mt"")"),"Il-korp akkademiku tal-università huwa magħmul minn kemm hemm skejjel professjonali?")</f>
        <v>Il-korp akkademiku tal-università huwa magħmul minn kemm hemm skejjel professjonali?</v>
      </c>
    </row>
    <row r="1669" ht="15.75" customHeight="1">
      <c r="A1669" s="2" t="s">
        <v>1669</v>
      </c>
      <c r="B1669" s="2" t="str">
        <f>IFERROR(__xludf.DUMMYFUNCTION("GOOGLETRANSLATE(A1669,""en"", ""mt"")"),"Kemm jaħdmu l-deni tal-pesta?")</f>
        <v>Kemm jaħdmu l-deni tal-pesta?</v>
      </c>
    </row>
    <row r="1670" ht="15.75" customHeight="1">
      <c r="A1670" s="2" t="s">
        <v>1670</v>
      </c>
      <c r="B1670" s="2" t="str">
        <f>IFERROR(__xludf.DUMMYFUNCTION("GOOGLETRANSLATE(A1670,""en"", ""mt"")"),"Il-Kulleġġ ta 'l-Università ta' Chicago jagħti Baċellerat fl-Arti u Baċellerat ta 'Gradi tax-Xjenza f'50 maġġuri akkademiċi u 28 minorenni. L-akkademiċi tal-kulleġġ huma maqsuma f'ħames diviżjonijiet: id-Diviżjoni tal-Kolleġġjata tax-Xjenzi Bijoloġiċi, id"&amp;"-Diviżjoni Kolleġġjata tax-Xjenzi Fiżiċi, id-Diviżjoni Kolleġġjata tax-Xjenzi Soċjali, id-Diviżjoni Kolleġġjata tal-Umanistika, u d-Diviżjoni Kolleġġjata l-Ġdida. L-ewwel erbgħa huma sezzjonijiet fi ħdan id-diviżjonijiet tal-gradwati korrispondenti tagħho"&amp;"m, filwaqt li d-diviżjoni kolleġjali l-ġdida tamministra maġġuri interdixxiplinarji u studji li ma jidħlux f'waħda mill-erba 'diviżjonijiet l-oħra.")</f>
        <v>Il-Kulleġġ ta 'l-Università ta' Chicago jagħti Baċellerat fl-Arti u Baċellerat ta 'Gradi tax-Xjenza f'50 maġġuri akkademiċi u 28 minorenni. L-akkademiċi tal-kulleġġ huma maqsuma f'ħames diviżjonijiet: id-Diviżjoni tal-Kolleġġjata tax-Xjenzi Bijoloġiċi, id-Diviżjoni Kolleġġjata tax-Xjenzi Fiżiċi, id-Diviżjoni Kolleġġjata tax-Xjenzi Soċjali, id-Diviżjoni Kolleġġjata tal-Umanistika, u d-Diviżjoni Kolleġġjata l-Ġdida. L-ewwel erbgħa huma sezzjonijiet fi ħdan id-diviżjonijiet tal-gradwati korrispondenti tagħhom, filwaqt li d-diviżjoni kolleġjali l-ġdida tamministra maġġuri interdixxiplinarji u studji li ma jidħlux f'waħda mill-erba 'diviżjonijiet l-oħra.</v>
      </c>
    </row>
    <row r="1671" ht="15.75" customHeight="1">
      <c r="A1671" s="2" t="s">
        <v>1671</v>
      </c>
      <c r="B1671" s="2" t="str">
        <f>IFERROR(__xludf.DUMMYFUNCTION("GOOGLETRANSLATE(A1671,""en"", ""mt"")"),"Minn ~ 3000 yr bp (= snin qabel il-preżent), l-impatt tal-bniedem jidher fid-delta. Bħala riżultat taż-żieda fit-tneħħija tal-art (l-agrikoltura tal-Età tal-Bronż), fiż-żoni tal-art (il-Ġermanja Ċentrali), it-tagħbija tas-sediment tar-Renu żdiedet bil-qaw"&amp;"wa u t-tkabbir tad-delta ħaffef. Dan ikkawża żieda fl-għargħar u s-sedimentazzjoni, li tispiċċa l-formazzjoni tal-pit fid-delta. Iċ-ċaqliq tal-kanali tax-xmajjar għal postijiet ġodda, fuq il-pjan ta 'l-għargħar (imsejjaħ avulżjoni), kien il-proċess ewlien"&amp;"i li jqassam is-sediment madwar id-delta subrekenti. Matul l-aħħar 6000 sena, seħħew madwar 80 avulsjoni. L-impatt dirett tal-bniedem fid-delta beda bil-minjieri tal-pit, għall-melħ u l-fjuwil, minn żminijiet Rumani 'l quddiem. Dan kien segwit minn moll, "&amp;"tad-distributuri ewlenin u d-damming ta 'distributarji minuri, li seħħew fis-seklu 11-13 WK. Wara dan, il-kanali ġew imħaffra, il-liwjiet kienu maqtugħin qosra u nbnew groynes, biex ma jħallux il-kanali tax-xmara milli jemigraw jew jitilqu.")</f>
        <v>Minn ~ 3000 yr bp (= snin qabel il-preżent), l-impatt tal-bniedem jidher fid-delta. Bħala riżultat taż-żieda fit-tneħħija tal-art (l-agrikoltura tal-Età tal-Bronż), fiż-żoni tal-art (il-Ġermanja Ċentrali), it-tagħbija tas-sediment tar-Renu żdiedet bil-qawwa u t-tkabbir tad-delta ħaffef. Dan ikkawża żieda fl-għargħar u s-sedimentazzjoni, li tispiċċa l-formazzjoni tal-pit fid-delta. Iċ-ċaqliq tal-kanali tax-xmajjar għal postijiet ġodda, fuq il-pjan ta 'l-għargħar (imsejjaħ avulżjoni), kien il-proċess ewlieni li jqassam is-sediment madwar id-delta subrekenti. Matul l-aħħar 6000 sena, seħħew madwar 80 avulsjoni. L-impatt dirett tal-bniedem fid-delta beda bil-minjieri tal-pit, għall-melħ u l-fjuwil, minn żminijiet Rumani 'l quddiem. Dan kien segwit minn moll, tad-distributuri ewlenin u d-damming ta 'distributarji minuri, li seħħew fis-seklu 11-13 WK. Wara dan, il-kanali ġew imħaffra, il-liwjiet kienu maqtugħin qosra u nbnew groynes, biex ma jħallux il-kanali tax-xmara milli jemigraw jew jitilqu.</v>
      </c>
    </row>
    <row r="1672" ht="15.75" customHeight="1">
      <c r="A1672" s="2" t="s">
        <v>1672</v>
      </c>
      <c r="B1672" s="2" t="str">
        <f>IFERROR(__xludf.DUMMYFUNCTION("GOOGLETRANSLATE(A1672,""en"", ""mt"")"),"X'kienet il-karta patoġeni PLOS?")</f>
        <v>X'kienet il-karta patoġeni PLOS?</v>
      </c>
    </row>
    <row r="1673" ht="15.75" customHeight="1">
      <c r="A1673" s="2" t="s">
        <v>1673</v>
      </c>
      <c r="B1673" s="2" t="str">
        <f>IFERROR(__xludf.DUMMYFUNCTION("GOOGLETRANSLATE(A1673,""en"", ""mt"")"),"Il-ġeoloġi jużaw numru ta 'metodi ta' immudellar fuq il-post, tal-laboratorju u numeriċi biex jiddeċifraw l-istorja tad-dinja u jifhmu l-proċessi li jseħħu fuq u ġewwa d-Dinja. Fl-investigazzjonijiet ġeoloġiċi tipiċi, il-ġeoloġi jużaw informazzjoni primar"&amp;"ja relatata mal-petroloġija (l-istudju tal-blat), l-istratigrafija (l-istudju tas-saffi sedimentarji), u l-ġeoloġija strutturali (l-istudju tal-pożizzjonijiet tal-unitajiet tal-blat u d-deformazzjoni tagħhom). F’ħafna każijiet, il-ġeoloġi jistudjaw ukoll "&amp;"ħamrija moderna, xmajjar, pajsaġġi, u glaċieri; Investiga l-ħajja tal-passat u attwali u l-mogħdijiet bijokokimiċi, u uża metodi ġeofiżiċi biex tinvestiga l-wiċċ.")</f>
        <v>Il-ġeoloġi jużaw numru ta 'metodi ta' immudellar fuq il-post, tal-laboratorju u numeriċi biex jiddeċifraw l-istorja tad-dinja u jifhmu l-proċessi li jseħħu fuq u ġewwa d-Dinja. Fl-investigazzjonijiet ġeoloġiċi tipiċi, il-ġeoloġi jużaw informazzjoni primarja relatata mal-petroloġija (l-istudju tal-blat), l-istratigrafija (l-istudju tas-saffi sedimentarji), u l-ġeoloġija strutturali (l-istudju tal-pożizzjonijiet tal-unitajiet tal-blat u d-deformazzjoni tagħhom). F’ħafna każijiet, il-ġeoloġi jistudjaw ukoll ħamrija moderna, xmajjar, pajsaġġi, u glaċieri; Investiga l-ħajja tal-passat u attwali u l-mogħdijiet bijokokimiċi, u uża metodi ġeofiżiċi biex tinvestiga l-wiċċ.</v>
      </c>
    </row>
    <row r="1674" ht="15.75" customHeight="1">
      <c r="A1674" s="2" t="s">
        <v>1674</v>
      </c>
      <c r="B1674" s="2" t="str">
        <f>IFERROR(__xludf.DUMMYFUNCTION("GOOGLETRANSLATE(A1674,""en"", ""mt"")"),"Il-President tal-Università Robert Maynard Hutchins De-enfasizza Varsity Athletics")</f>
        <v>Il-President tal-Università Robert Maynard Hutchins De-enfasizza Varsity Athletics</v>
      </c>
    </row>
    <row r="1675" ht="15.75" customHeight="1">
      <c r="A1675" s="2" t="s">
        <v>1675</v>
      </c>
      <c r="B1675" s="2" t="str">
        <f>IFERROR(__xludf.DUMMYFUNCTION("GOOGLETRANSLATE(A1675,""en"", ""mt"")"),"marda")</f>
        <v>marda</v>
      </c>
    </row>
    <row r="1676" ht="15.75" customHeight="1">
      <c r="A1676" s="2" t="s">
        <v>1676</v>
      </c>
      <c r="B1676" s="2" t="str">
        <f>IFERROR(__xludf.DUMMYFUNCTION("GOOGLETRANSLATE(A1676,""en"", ""mt"")"),"Fin-Nofsinhar")</f>
        <v>Fin-Nofsinhar</v>
      </c>
    </row>
    <row r="1677" ht="15.75" customHeight="1">
      <c r="A1677" s="2" t="s">
        <v>1677</v>
      </c>
      <c r="B1677" s="2" t="str">
        <f>IFERROR(__xludf.DUMMYFUNCTION("GOOGLETRANSLATE(A1677,""en"", ""mt"")"),"X’sejjaħ Davies is-sistema tiegħu")</f>
        <v>X’sejjaħ Davies is-sistema tiegħu</v>
      </c>
    </row>
    <row r="1678" ht="15.75" customHeight="1">
      <c r="A1678" s="2" t="s">
        <v>1678</v>
      </c>
      <c r="B1678" s="2" t="str">
        <f>IFERROR(__xludf.DUMMYFUNCTION("GOOGLETRANSLATE(A1678,""en"", ""mt"")"),"Ħafna klassijiet ta 'kumplessità importanti jistgħu jiġu definiti billi tillimita l-ħin jew l-ispazju użat mill-algoritmu. Xi klassijiet ta 'kumplessità importanti ta' problemi ta 'deċiżjoni definiti b'dan il-mod huma dawn li ġejjin:")</f>
        <v>Ħafna klassijiet ta 'kumplessità importanti jistgħu jiġu definiti billi tillimita l-ħin jew l-ispazju użat mill-algoritmu. Xi klassijiet ta 'kumplessità importanti ta' problemi ta 'deċiżjoni definiti b'dan il-mod huma dawn li ġejjin:</v>
      </c>
    </row>
    <row r="1679" ht="15.75" customHeight="1">
      <c r="A1679" s="2" t="s">
        <v>1679</v>
      </c>
      <c r="B1679" s="2" t="str">
        <f>IFERROR(__xludf.DUMMYFUNCTION("GOOGLETRANSLATE(A1679,""en"", ""mt"")"),"Netwerk ta 'Komunikazzjonijiet fuq skala kbira, imqassma, li jista' jibqa 'ħaj")</f>
        <v>Netwerk ta 'Komunikazzjonijiet fuq skala kbira, imqassma, li jista' jibqa 'ħaj</v>
      </c>
    </row>
    <row r="1680" ht="15.75" customHeight="1">
      <c r="A1680" s="2" t="s">
        <v>1680</v>
      </c>
      <c r="B1680" s="2" t="str">
        <f>IFERROR(__xludf.DUMMYFUNCTION("GOOGLETRANSLATE(A1680,""en"", ""mt"")"),"Netwerking avvanzat ta 'riċerka u edukazzjoni")</f>
        <v>Netwerking avvanzat ta 'riċerka u edukazzjoni</v>
      </c>
    </row>
    <row r="1681" ht="15.75" customHeight="1">
      <c r="A1681" s="2" t="s">
        <v>1681</v>
      </c>
      <c r="B1681" s="2" t="str">
        <f>IFERROR(__xludf.DUMMYFUNCTION("GOOGLETRANSLATE(A1681,""en"", ""mt"")"),"Lag George")</f>
        <v>Lag George</v>
      </c>
    </row>
    <row r="1682" ht="15.75" customHeight="1">
      <c r="A1682" s="2" t="s">
        <v>1682</v>
      </c>
      <c r="B1682" s="2" t="str">
        <f>IFERROR(__xludf.DUMMYFUNCTION("GOOGLETRANSLATE(A1682,""en"", ""mt"")"),"Kemm għandu elettorati l-istat ta 'Victoria?")</f>
        <v>Kemm għandu elettorati l-istat ta 'Victoria?</v>
      </c>
    </row>
    <row r="1683" ht="15.75" customHeight="1">
      <c r="A1683" s="2" t="s">
        <v>1683</v>
      </c>
      <c r="B1683" s="2" t="str">
        <f>IFERROR(__xludf.DUMMYFUNCTION("GOOGLETRANSLATE(A1683,""en"", ""mt"")"),"muturi jew mopeds li jiġbdu karrijiet")</f>
        <v>muturi jew mopeds li jiġbdu karrijiet</v>
      </c>
    </row>
    <row r="1684" ht="15.75" customHeight="1">
      <c r="A1684" s="2" t="s">
        <v>1684</v>
      </c>
      <c r="B1684" s="2" t="str">
        <f>IFERROR(__xludf.DUMMYFUNCTION("GOOGLETRANSLATE(A1684,""en"", ""mt"")"),"ma tkunx konness direttament ma 'arpanet")</f>
        <v>ma tkunx konness direttament ma 'arpanet</v>
      </c>
    </row>
    <row r="1685" ht="15.75" customHeight="1">
      <c r="A1685" s="2" t="s">
        <v>1685</v>
      </c>
      <c r="B1685" s="2" t="str">
        <f>IFERROR(__xludf.DUMMYFUNCTION("GOOGLETRANSLATE(A1685,""en"", ""mt"")"),"Gateways ippermettew lill-kumpaniji privati ​​jagħmlu dak")</f>
        <v>Gateways ippermettew lill-kumpaniji privati ​​jagħmlu dak</v>
      </c>
    </row>
    <row r="1686" ht="15.75" customHeight="1">
      <c r="A1686" s="2" t="s">
        <v>1686</v>
      </c>
      <c r="B1686" s="2" t="str">
        <f>IFERROR(__xludf.DUMMYFUNCTION("GOOGLETRANSLATE(A1686,""en"", ""mt"")"),"Liema grupp jista 'jemenda l-Kostituzzjoni Vittorjana?")</f>
        <v>Liema grupp jista 'jemenda l-Kostituzzjoni Vittorjana?</v>
      </c>
    </row>
    <row r="1687" ht="15.75" customHeight="1">
      <c r="A1687" s="2" t="s">
        <v>1687</v>
      </c>
      <c r="B1687" s="2" t="str">
        <f>IFERROR(__xludf.DUMMYFUNCTION("GOOGLETRANSLATE(A1687,""en"", ""mt"")"),"Jikkoinkula l-iswiċċ tal-pakketti tal-isem modern u jispira bosta netwerks tal-iswiċċ tal-pakketti")</f>
        <v>Jikkoinkula l-iswiċċ tal-pakketti tal-isem modern u jispira bosta netwerks tal-iswiċċ tal-pakketti</v>
      </c>
    </row>
    <row r="1688" ht="15.75" customHeight="1">
      <c r="A1688" s="2" t="s">
        <v>1688</v>
      </c>
      <c r="B1688" s="2" t="str">
        <f>IFERROR(__xludf.DUMMYFUNCTION("GOOGLETRANSLATE(A1688,""en"", ""mt"")"),"Dak li jipprojbixxi l-atomi milli jgħaddu minn xulxin?")</f>
        <v>Dak li jipprojbixxi l-atomi milli jgħaddu minn xulxin?</v>
      </c>
    </row>
    <row r="1689" ht="15.75" customHeight="1">
      <c r="A1689" s="2" t="s">
        <v>1689</v>
      </c>
      <c r="B1689" s="2" t="str">
        <f>IFERROR(__xludf.DUMMYFUNCTION("GOOGLETRANSLATE(A1689,""en"", ""mt"")"),"L-eqdem triq fl-Istati Uniti tal-Amerika")</f>
        <v>L-eqdem triq fl-Istati Uniti tal-Amerika</v>
      </c>
    </row>
    <row r="1690" ht="15.75" customHeight="1">
      <c r="A1690" s="2" t="s">
        <v>1690</v>
      </c>
      <c r="B1690" s="2" t="str">
        <f>IFERROR(__xludf.DUMMYFUNCTION("GOOGLETRANSLATE(A1690,""en"", ""mt"")"),"F’liema età British Gas plc ġiegħlu lill-ħaddiema tagħhom jirtiraw?")</f>
        <v>F’liema età British Gas plc ġiegħlu lill-ħaddiema tagħhom jirtiraw?</v>
      </c>
    </row>
    <row r="1691" ht="15.75" customHeight="1">
      <c r="A1691" s="2" t="s">
        <v>1691</v>
      </c>
      <c r="B1691" s="2" t="str">
        <f>IFERROR(__xludf.DUMMYFUNCTION("GOOGLETRANSLATE(A1691,""en"", ""mt"")"),"Ma 'liema sistema Mongoljana għamlet kompromess il-gvern ta' Kublai?")</f>
        <v>Ma 'liema sistema Mongoljana għamlet kompromess il-gvern ta' Kublai?</v>
      </c>
    </row>
    <row r="1692" ht="15.75" customHeight="1">
      <c r="A1692" s="2" t="s">
        <v>1692</v>
      </c>
      <c r="B1692" s="2" t="str">
        <f>IFERROR(__xludf.DUMMYFUNCTION("GOOGLETRANSLATE(A1692,""en"", ""mt"")"),"inaqqsu")</f>
        <v>inaqqsu</v>
      </c>
    </row>
    <row r="1693" ht="15.75" customHeight="1">
      <c r="A1693" s="2" t="s">
        <v>1693</v>
      </c>
      <c r="B1693" s="2" t="str">
        <f>IFERROR(__xludf.DUMMYFUNCTION("GOOGLETRANSLATE(A1693,""en"", ""mt"")"),"X'kien għan fit-tul tal-politika barranija Franċiża tul ir-Renu?")</f>
        <v>X'kien għan fit-tul tal-politika barranija Franċiża tul ir-Renu?</v>
      </c>
    </row>
    <row r="1694" ht="15.75" customHeight="1">
      <c r="A1694" s="2" t="s">
        <v>1694</v>
      </c>
      <c r="B1694" s="2" t="str">
        <f>IFERROR(__xludf.DUMMYFUNCTION("GOOGLETRANSLATE(A1694,""en"", ""mt"")"),"Estinzjoni Kretaċeja-Paleogene")</f>
        <v>Estinzjoni Kretaċeja-Paleogene</v>
      </c>
    </row>
    <row r="1695" ht="15.75" customHeight="1">
      <c r="A1695" s="2" t="s">
        <v>1695</v>
      </c>
      <c r="B1695" s="2" t="str">
        <f>IFERROR(__xludf.DUMMYFUNCTION("GOOGLETRANSLATE(A1695,""en"", ""mt"")"),"Il-gass tal-ossiġnu ħieles kien kważi ma jeżistix fl-atmosfera tad-Dinja qabel ma evolvew archaea fotosintetika u batterji, probabbilment madwar 3.5 biljun sena ilu. L-ossiġnu ħieles deher l-ewwel fi kwantitajiet sinifikanti matul l-EON Paleoproterozoic ("&amp;"bejn 3.0 u 2.3 biljun sena ilu). Għall-ewwel biljun sena, kwalunkwe ossiġnu ħieles prodott minn dawn l-organiżmi flimkien ma 'ħadid maħlul fl-oċeani biex jiffurmaw formazzjonijiet ta' ħadid banded. Meta dawn il-bjar ta 'ossiġnu sar saturat, l-ossiġnu ħiel"&amp;"es beda joħroġ mill-oċeani 3-2,7 biljun sena ilu, u laħaq 10% tal-livell preżenti tiegħu madwar 1.7 biljun sena ilu.")</f>
        <v>Il-gass tal-ossiġnu ħieles kien kważi ma jeżistix fl-atmosfera tad-Dinja qabel ma evolvew archaea fotosintetika u batterji, probabbilment madwar 3.5 biljun sena ilu. L-ossiġnu ħieles deher l-ewwel fi kwantitajiet sinifikanti matul l-EON Paleoproterozoic (bejn 3.0 u 2.3 biljun sena ilu). Għall-ewwel biljun sena, kwalunkwe ossiġnu ħieles prodott minn dawn l-organiżmi flimkien ma 'ħadid maħlul fl-oċeani biex jiffurmaw formazzjonijiet ta' ħadid banded. Meta dawn il-bjar ta 'ossiġnu sar saturat, l-ossiġnu ħieles beda joħroġ mill-oċeani 3-2,7 biljun sena ilu, u laħaq 10% tal-livell preżenti tiegħu madwar 1.7 biljun sena ilu.</v>
      </c>
    </row>
    <row r="1696" ht="15.75" customHeight="1">
      <c r="A1696" s="2" t="s">
        <v>1696</v>
      </c>
      <c r="B1696" s="2" t="str">
        <f>IFERROR(__xludf.DUMMYFUNCTION("GOOGLETRANSLATE(A1696,""en"", ""mt"")"),"Emigrazzjoni pprojbita")</f>
        <v>Emigrazzjoni pprojbita</v>
      </c>
    </row>
    <row r="1697" ht="15.75" customHeight="1">
      <c r="A1697" s="2" t="s">
        <v>1697</v>
      </c>
      <c r="B1697" s="2" t="str">
        <f>IFERROR(__xludf.DUMMYFUNCTION("GOOGLETRANSLATE(A1697,""en"", ""mt"")"),"Liema dinastiji ispiraw l-elementi bħal Ċiniżi tal-gvern ta 'Kublai?")</f>
        <v>Liema dinastiji ispiraw l-elementi bħal Ċiniżi tal-gvern ta 'Kublai?</v>
      </c>
    </row>
    <row r="1698" ht="15.75" customHeight="1">
      <c r="A1698" s="2" t="s">
        <v>1698</v>
      </c>
      <c r="B1698" s="2" t="str">
        <f>IFERROR(__xludf.DUMMYFUNCTION("GOOGLETRANSLATE(A1698,""en"", ""mt"")"),"cuticle tax-xama '")</f>
        <v>cuticle tax-xama '</v>
      </c>
    </row>
    <row r="1699" ht="15.75" customHeight="1">
      <c r="A1699" s="2" t="s">
        <v>1699</v>
      </c>
      <c r="B1699" s="2" t="str">
        <f>IFERROR(__xludf.DUMMYFUNCTION("GOOGLETRANSLATE(A1699,""en"", ""mt"")"),"Metro tal-Kosta tan-Nofsinhar")</f>
        <v>Metro tal-Kosta tan-Nofsinhar</v>
      </c>
    </row>
    <row r="1700" ht="15.75" customHeight="1">
      <c r="A1700" s="2" t="s">
        <v>1700</v>
      </c>
      <c r="B1700" s="2" t="str">
        <f>IFERROR(__xludf.DUMMYFUNCTION("GOOGLETRANSLATE(A1700,""en"", ""mt"")"),"pajjiżi")</f>
        <v>pajjiżi</v>
      </c>
    </row>
    <row r="1701" ht="15.75" customHeight="1">
      <c r="A1701" s="2" t="s">
        <v>1701</v>
      </c>
      <c r="B1701" s="2" t="str">
        <f>IFERROR(__xludf.DUMMYFUNCTION("GOOGLETRANSLATE(A1701,""en"", ""mt"")"),"Biex tnaqqas iċ-ċansijiet ta 'kombustjoni ___ hija meħtieġa biex timmaniġġja b'mod sikur O.")</f>
        <v>Biex tnaqqas iċ-ċansijiet ta 'kombustjoni ___ hija meħtieġa biex timmaniġġja b'mod sikur O.</v>
      </c>
    </row>
    <row r="1702" ht="15.75" customHeight="1">
      <c r="A1702" s="2" t="s">
        <v>1702</v>
      </c>
      <c r="B1702" s="2" t="str">
        <f>IFERROR(__xludf.DUMMYFUNCTION("GOOGLETRANSLATE(A1702,""en"", ""mt"")"),"Kif kien possibbli dan")</f>
        <v>Kif kien possibbli dan</v>
      </c>
    </row>
    <row r="1703" ht="15.75" customHeight="1">
      <c r="A1703" s="2" t="s">
        <v>1703</v>
      </c>
      <c r="B1703" s="2" t="str">
        <f>IFERROR(__xludf.DUMMYFUNCTION("GOOGLETRANSLATE(A1703,""en"", ""mt"")"),"""Iġbed""")</f>
        <v>"Iġbed"</v>
      </c>
    </row>
    <row r="1704" ht="15.75" customHeight="1">
      <c r="A1704" s="2" t="s">
        <v>1704</v>
      </c>
      <c r="B1704" s="2" t="str">
        <f>IFERROR(__xludf.DUMMYFUNCTION("GOOGLETRANSLATE(A1704,""en"", ""mt"")"),"L-anarkisti ma jridux jaċċettaw kastig għal liema raġuni?")</f>
        <v>L-anarkisti ma jridux jaċċettaw kastig għal liema raġuni?</v>
      </c>
    </row>
    <row r="1705" ht="15.75" customHeight="1">
      <c r="A1705" s="2" t="s">
        <v>1705</v>
      </c>
      <c r="B1705" s="2" t="str">
        <f>IFERROR(__xludf.DUMMYFUNCTION("GOOGLETRANSLATE(A1705,""en"", ""mt"")"),"X'inhu l-iktar port kummerċjali traffikuż tal-Istati Uniti?")</f>
        <v>X'inhu l-iktar port kummerċjali traffikuż tal-Istati Uniti?</v>
      </c>
    </row>
    <row r="1706" ht="15.75" customHeight="1">
      <c r="A1706" s="2" t="s">
        <v>1706</v>
      </c>
      <c r="B1706" s="2" t="str">
        <f>IFERROR(__xludf.DUMMYFUNCTION("GOOGLETRANSLATE(A1706,""en"", ""mt"")"),"Villes de sûreté")</f>
        <v>Villes de sûreté</v>
      </c>
    </row>
    <row r="1707" ht="15.75" customHeight="1">
      <c r="A1707" s="2" t="s">
        <v>1707</v>
      </c>
      <c r="B1707" s="2" t="str">
        <f>IFERROR(__xludf.DUMMYFUNCTION("GOOGLETRANSLATE(A1707,""en"",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1708" ht="15.75" customHeight="1">
      <c r="A1708" s="2" t="s">
        <v>1708</v>
      </c>
      <c r="B1708" s="2" t="str">
        <f>IFERROR(__xludf.DUMMYFUNCTION("GOOGLETRANSLATE(A1708,""en"", ""mt"")"),"In- ""naħa tal-punent"" ta 'Fresno, li wkoll tissejjaħ ukoll ""Southwest Fresno"", hija waħda mill-eqdem kwartieri fil-belt. Il-viċinat jinsab fil-Lbiċ tad-99 Freeway (li jaqsamha minn Downtown Fresno), fil-punent tal-Freeway 41 u fin-Nofsinhar ta 'Nielse"&amp;"n Ave (jew il-180 awtostrada li għadha kemm ġiet mibnija), u testendi sal-limiti tal-belt lejn il-punent u fin-nofsinhar. Il-viċinat huwa tradizzjonalment ikkunsidrat bħala ċ-ċentru tal-komunità Afrikana-Amerikana ta 'Fresno. Huwa kulturalment divers u ji"&amp;"nkludi wkoll popolazzjonijiet sinifikanti Messikani-Amerikani u Ażjatiċi (prinċipalment Hmong jew Laotian).")</f>
        <v>In- "naħa tal-punent" ta 'Fresno, li wkoll tissejjaħ ukoll "Southwest Fresno", hija waħda mill-eqdem kwartieri fil-belt. Il-viċinat jinsab fil-Lbiċ tad-99 Freeway (li jaqsamha minn Downtown Fresno), fil-punent tal-Freeway 41 u fin-Nofsinhar ta 'Nielsen Ave (jew il-180 awtostrada li għadha kemm ġiet mibnija), u testendi sal-limiti tal-belt lejn il-punent u fin-nofsinhar. Il-viċinat huwa tradizzjonalment ikkunsidrat bħala ċ-ċentru tal-komunità Afrikana-Amerikana ta 'Fresno. Huwa kulturalment divers u jinkludi wkoll popolazzjonijiet sinifikanti Messikani-Amerikani u Ażjatiċi (prinċipalment Hmong jew Laotian).</v>
      </c>
    </row>
    <row r="1709" ht="15.75" customHeight="1">
      <c r="A1709" s="2" t="s">
        <v>1709</v>
      </c>
      <c r="B1709" s="2" t="str">
        <f>IFERROR(__xludf.DUMMYFUNCTION("GOOGLETRANSLATE(A1709,""en"", ""mt"")"),"F'liema gruppi ta 'żewġ gruppi titnaqqas is-saħħa tas-sistema immunitarja?")</f>
        <v>F'liema gruppi ta 'żewġ gruppi titnaqqas is-saħħa tas-sistema immunitarja?</v>
      </c>
    </row>
    <row r="1710" ht="15.75" customHeight="1">
      <c r="A1710" s="2" t="s">
        <v>1710</v>
      </c>
      <c r="B1710" s="2" t="str">
        <f>IFERROR(__xludf.DUMMYFUNCTION("GOOGLETRANSLATE(A1710,""en"", ""mt"")"),"Il-popolazzjoni tal-far ma kinitx biżżejjed biex tagħti kont ta 'pandemija tal-pesta bubonika")</f>
        <v>Il-popolazzjoni tal-far ma kinitx biżżejjed biex tagħti kont ta 'pandemija tal-pesta bubonika</v>
      </c>
    </row>
    <row r="1711" ht="15.75" customHeight="1">
      <c r="A1711" s="2" t="s">
        <v>1711</v>
      </c>
      <c r="B1711" s="2" t="str">
        <f>IFERROR(__xludf.DUMMYFUNCTION("GOOGLETRANSLATE(A1711,""en"", ""mt"")"),"Is-Sindku W. Haydon Burns '")</f>
        <v>Is-Sindku W. Haydon Burns '</v>
      </c>
    </row>
    <row r="1712" ht="15.75" customHeight="1">
      <c r="A1712" s="2" t="s">
        <v>1712</v>
      </c>
      <c r="B1712" s="2" t="str">
        <f>IFERROR(__xludf.DUMMYFUNCTION("GOOGLETRANSLATE(A1712,""en"", ""mt"")"),"Il- ""libertà li tipprovdi servizzi"" taħt l-Artikolu 56 tat-TFEU japplika għal nies li jagħtu servizzi ""għar-rimunerazzjoni"", speċjalment attività kummerċjali jew professjonali. Pereżempju, fil-Van Binsbergen v Besttuur Van de Bedrijfvereniging Voor de"&amp;" Metaalnijverheid Avukat Olandiż mar il-Belġju filwaqt li ta parir lil klijent f'każ ta 'sigurtà soċjali, u kien qal li ma jistax ikompli minħabba li l-liġi Olandiża qalet li nies biss stabbiliti fl-Olanda jistgħu jagħtu legali parir. Il-Qorti tal-Ġustizz"&amp;"ja ddeċidiet li l-libertà li tipprovdi servizzi applikati, kienet direttament effettiva, u r-regola probabbilment kienet iġġustifikata: li jkollok indirizz fl-Istat Membru jkun biżżejjed biex issegwi l-għan leġittimu ta 'amministrazzjoni tajba tal-ġustizz"&amp;"ja. Il-Qorti tal-Ġustizzja ddeċidiet li l-edukazzjoni sekondarja taqa 'barra mill-ambitu tal-Artikolu 56, għaliex ġeneralment l-istat jiffinanzjah, għalkemm l-edukazzjoni għolja m'għandhiex. Il-kura tas-saħħa ġeneralment tgħodd bħala servizz. Fil-Geraets-"&amp;"Smits v Stichting Ziekenfonds Is-Sinjura Geraets-Smits iddikjarat li għandha tiġi rimborżata mill-assigurazzjoni soċjali Olandiża għall-ispejjeż li tirċievi trattament fil-Ġermanja. L-awtoritajiet tas-saħħa Olandiżi kkunsidraw it-trattament bla bżonn, u g"&amp;"ħalhekk hija argumentat li din il-libertà illimitat (tal-klinika tas-saħħa Ġermaniża) biex tipprovdi servizzi. Bosta gvernijiet issottomettew li s-servizzi tal-isptar m'għandhomx jitqiesu bħala ekonomiċi, u m'għandhomx jaqgħu taħt l-Artikolu 56. Iżda l-Qo"&amp;"rti tal-Ġustizzja li żammet is-saħħa kienet ""servizz"" minkejja li l-gvern (aktar milli r-riċevitur tas-servizz) ħallas għas-servizz. L-awtoritajiet nazzjonali jistgħu jkunu ġġustifikati meta jirrifjutaw li jirrimborżaw pazjenti għal servizzi mediċi barr"&amp;"a l-pajjiż jekk il-kura tas-saħħa rċeviet id-dar kienet mingħajr dewmien żejjed, u segwiet ""xjenza medika internazzjonali"" li fuqha t-trattamenti kienu jingħaddu bħala normali u meħtieġa. Il-qorti tirrikjedi li ċ-ċirkostanzi individwali ta 'pazjent jiġġ"&amp;"ustifikaw listi ta' stennija, u dan huwa minnu wkoll fil-kuntest tas-Servizz Nazzjonali tas-Saħħa tar-Renju Unit. Minbarra s-servizzi pubbliċi, qasam ieħor sensittiv ta 'servizzi huma dawk klassifikati bħala illegali. Josemans v Burgemeester van Maastrich"&amp;"t iddeċieda li r-regolamentazzjoni tal-Olanda tal-konsum tal-kannabis, inklużi l-projbizzjonijiet minn xi muniċipalitajiet fuq turisti (iżda mhux ċittadini Olandiżi) li jmorru fil-ħwienet tal-kafè, waqgħu barra mill-artikolu 56 għal kollox. Il-Qorti tal-Ġ"&amp;"ustizzja rraġunaw li d-drogi narkotiċi kienu kkontrollati fl-istati membri kollha, u għalhekk dan kien differenti minn każijiet oħra fejn il-prostituzzjoni jew attività kważi-legali oħra kienet soġġetta għal restrizzjoni. Jekk attività taqa 'taħt l-Artiko"&amp;"lu 56, restrizzjoni tista' tkun iġġustifikata skond l-Artikolu 52 jew rekwiżiti importanti żviluppati mill-Qorti tal-Ġustizzja. Fl-Alpinal Investments BV v il-Ministru Van Financiën negozju li biegħ il-futures tal-prodotti (ma 'Merrill Lynch u ditti banka"&amp;"rji oħra) ipprova jikkontesta liġi Olandiża li tipprojbixxi lill-klijenti li jsejħu l-kesħa. Il-Qorti tal-Ġustizzja ddeċidiet li l-projbizzjoni Olandiża segwiet għan leġittimu biex tipprevjeni ""żviluppi mhux mixtieqa fil-kummerċ tat-titoli"" inkluż il-ħa"&amp;"rsien tal-konsumatur minn tattiċi ta 'bejgħ aggressivi, u b'hekk iżżomm il-fiduċja fis-swieq Olandiżi. Fil-Omega Spielhallen GmbH v Bonn, in-negozju ta '""Laserdrome"" ġie pprojbit mill-Kunsill ta' Bonn. Xtara servizzi foloz tal-pistoli bil-lejżer minn di"&amp;"tta tar-Renju Unit imsejħa Pulsar Ltd, iżda r-residenti kienu pprotestaw kontra ""jilagħbu fil-qtil"" ta 'divertiment. Il-Qorti tal-Ġustizzja ddeċidiet li l-valur kostituzzjonali Ġermaniż tad-dinjità tal-bniedem, li sostniet il-projbizzjoni, kien jgħodd b"&amp;"ħala restrizzjoni ġustifikata fuq il-libertà li tipprovdi servizzi. Fil-Liga Portuguesa de Futebol vs Santa Ca Casa da Misericórdia de Lisboa, il-Qorti tal-Ġustizzja ddeċidiet ukoll li l-monopolju tal-istat fuq il-logħob tal-ażżard, u piena għal ditta ta "&amp;"’Ġibiltà li kienet biegħet servizzi tal-logħob tal-ażżard tal-internet, kienet iġġustifikata li tipprevjeni l-frodi u l-logħob fejn kienu diverġenti ħafna. Il-projbizzjoni kienet proporzjonata peress li dan kien mod xieraq u meħtieġ biex jiġu indirizzati "&amp;"l-problemi serji ta 'frodi li jinqalgħu fuq l-internet. Fid-Direttiva tas-Servizzi, grupp ta 'ġustifikazzjonijiet ġew ikkodifikati fl-Artikolu 16 li l-ġurisprudenza żviluppat.")</f>
        <v>Il- "libertà li tipprovdi servizzi" taħt l-Artikolu 56 tat-TFEU japplika għal nies li jagħtu servizzi "għar-rimunerazzjoni", speċjalment attività kummerċjali jew professjonali. Pereżempju, fil-Van Binsbergen v Besttuur Van de Bedrijfvereniging Voor de Metaalnijverheid Avukat Olandiż mar il-Belġju filwaqt li ta parir lil klijent f'każ ta 'sigurtà soċjali, u kien qal li ma jistax ikompli minħabba li l-liġi Olandiża qalet li nies biss stabbiliti fl-Olanda jistgħu jagħtu legali parir. Il-Qorti tal-Ġustizzja ddeċidiet li l-libertà li tipprovdi servizzi applikati, kienet direttament effettiva, u r-regola probabbilment kienet iġġustifikata: li jkollok indirizz fl-Istat Membru jkun biżżejjed biex issegwi l-għan leġittimu ta 'amministrazzjoni tajba tal-ġustizzja. Il-Qorti tal-Ġustizzja ddeċidiet li l-edukazzjoni sekondarja taqa 'barra mill-ambitu tal-Artikolu 56, għaliex ġeneralment l-istat jiffinanzjah, għalkemm l-edukazzjoni għolja m'għandhiex. Il-kura tas-saħħa ġeneralment tgħodd bħala servizz. Fil-Geraets-Smits v Stichting Ziekenfonds Is-Sinjura Geraets-Smits iddikjarat li għandha tiġi rimborżata mill-assigurazzjoni soċjali Olandiża għall-ispejjeż li tirċievi trattament fil-Ġermanja. L-awtoritajiet tas-saħħa Olandiżi kkunsidraw it-trattament bla bżonn, u għalhekk hija argumentat li din il-libertà illimitat (tal-klinika tas-saħħa Ġermaniża) biex tipprovdi servizzi. Bosta gvernijiet issottomettew li s-servizzi tal-isptar m'għandhomx jitqiesu bħala ekonomiċi, u m'għandhomx jaqgħu taħt l-Artikolu 56. Iżda l-Qorti tal-Ġustizzja li żammet is-saħħa kienet "servizz" minkejja li l-gvern (aktar milli r-riċevitur tas-servizz) ħallas għas-servizz. L-awtoritajiet nazzjonali jistgħu jkunu ġġustifikati meta jirrifjutaw li jirrimborżaw pazjenti għal servizzi mediċi barra l-pajjiż jekk il-kura tas-saħħa rċeviet id-dar kienet mingħajr dewmien żejjed, u segwiet "xjenza medika internazzjonali" li fuqha t-trattamenti kienu jingħaddu bħala normali u meħtieġa. Il-qorti tirrikjedi li ċ-ċirkostanzi individwali ta 'pazjent jiġġustifikaw listi ta' stennija, u dan huwa minnu wkoll fil-kuntest tas-Servizz Nazzjonali tas-Saħħa tar-Renju Unit. Minbarra s-servizzi pubbliċi, qasam ieħor sensittiv ta 'servizzi huma dawk klassifikati bħala illegali. Josemans v Burgemeester van Maastricht iddeċieda li r-regolamentazzjoni tal-Olanda tal-konsum tal-kannabis, inklużi l-projbizzjonijiet minn xi muniċipalitajiet fuq turisti (iżda mhux ċittadini Olandiżi) li jmorru fil-ħwienet tal-kafè, waqgħu barra mill-artikolu 56 għal kollox. Il-Qorti tal-Ġustizzja rraġunaw li d-drogi narkotiċi kienu kkontrollati fl-istati membri kollha, u għalhekk dan kien differenti minn każijiet oħra fejn il-prostituzzjoni jew attività kważi-legali oħra kienet soġġetta għal restrizzjoni. Jekk attività taqa 'taħt l-Artikolu 56, restrizzjoni tista' tkun iġġustifikata skond l-Artikolu 52 jew rekwiżiti importanti żviluppati mill-Qorti tal-Ġustizzja. Fl-Alpinal Investments BV v il-Ministru Van Financiën negozju li biegħ il-futures tal-prodotti (ma 'Merrill Lynch u ditti bankarji oħra) ipprova jikkontesta liġi Olandiża li tipprojbixxi lill-klijenti li jsejħu l-kesħa. Il-Qorti tal-Ġustizzja ddeċidiet li l-projbizzjoni Olandiża segwiet għan leġittimu biex tipprevjeni "żviluppi mhux mixtieqa fil-kummerċ tat-titoli" inkluż il-ħarsien tal-konsumatur minn tattiċi ta 'bejgħ aggressivi, u b'hekk iżżomm il-fiduċja fis-swieq Olandiżi. Fil-Omega Spielhallen GmbH v Bonn, in-negozju ta '"Laserdrome" ġie pprojbit mill-Kunsill ta' Bonn. Xtara servizzi foloz tal-pistoli bil-lejżer minn ditta tar-Renju Unit imsejħa Pulsar Ltd, iżda r-residenti kienu pprotestaw kontra "jilagħbu fil-qtil" ta 'divertiment. Il-Qorti tal-Ġustizzja ddeċidiet li l-valur kostituzzjonali Ġermaniż tad-dinjità tal-bniedem, li sostniet il-projbizzjoni, kien jgħodd bħala restrizzjoni ġustifikata fuq il-libertà li tipprovdi servizzi. Fil-Liga Portuguesa de Futebol vs Santa Ca Casa da Misericórdia de Lisboa, il-Qorti tal-Ġustizzja ddeċidiet ukoll li l-monopolju tal-istat fuq il-logħob tal-ażżard, u piena għal ditta ta ’Ġibiltà li kienet biegħet servizzi tal-logħob tal-ażżard tal-internet, kienet iġġustifikata li tipprevjeni l-frodi u l-logħob fejn kienu diverġenti ħafna. Il-projbizzjoni kienet proporzjonata peress li dan kien mod xieraq u meħtieġ biex jiġu indirizzati l-problemi serji ta 'frodi li jinqalgħu fuq l-internet. Fid-Direttiva tas-Servizzi, grupp ta 'ġustifikazzjonijiet ġew ikkodifikati fl-Artikolu 16 li l-ġurisprudenza żviluppat.</v>
      </c>
    </row>
    <row r="1713" ht="15.75" customHeight="1">
      <c r="A1713" s="2" t="s">
        <v>1713</v>
      </c>
      <c r="B1713" s="2" t="str">
        <f>IFERROR(__xludf.DUMMYFUNCTION("GOOGLETRANSLATE(A1713,""en"", ""mt"")"),"Dak li huwa ekwivalenti għal numru sħiħ kwadru skont it-tnaqqis tal-ħin polinomjali?")</f>
        <v>Dak li huwa ekwivalenti għal numru sħiħ kwadru skont it-tnaqqis tal-ħin polinomjali?</v>
      </c>
    </row>
    <row r="1714" ht="15.75" customHeight="1">
      <c r="A1714" s="2" t="s">
        <v>1714</v>
      </c>
      <c r="B1714" s="2" t="str">
        <f>IFERROR(__xludf.DUMMYFUNCTION("GOOGLETRANSLATE(A1714,""en"", ""mt"")"),"Organizzazzjonijiet tal-Istudenti Rikonoxxuti (RSOs)")</f>
        <v>Organizzazzjonijiet tal-Istudenti Rikonoxxuti (RSOs)</v>
      </c>
    </row>
    <row r="1715" ht="15.75" customHeight="1">
      <c r="A1715" s="2" t="s">
        <v>1715</v>
      </c>
      <c r="B1715" s="2" t="str">
        <f>IFERROR(__xludf.DUMMYFUNCTION("GOOGLETRANSLATE(A1715,""en"", ""mt"")"),"Kemm kienu jafu l-imperaturi Mongoljani?")</f>
        <v>Kemm kienu jafu l-imperaturi Mongoljani?</v>
      </c>
    </row>
    <row r="1716" ht="15.75" customHeight="1">
      <c r="A1716" s="2" t="s">
        <v>1716</v>
      </c>
      <c r="B1716" s="2" t="str">
        <f>IFERROR(__xludf.DUMMYFUNCTION("GOOGLETRANSLATE(A1716,""en"", ""mt"")"),"X’waqqaf il-Borża ta ’Varsavja?")</f>
        <v>X’waqqaf il-Borża ta ’Varsavja?</v>
      </c>
    </row>
    <row r="1717" ht="15.75" customHeight="1">
      <c r="A1717" s="2" t="s">
        <v>1717</v>
      </c>
      <c r="B1717" s="2" t="str">
        <f>IFERROR(__xludf.DUMMYFUNCTION("GOOGLETRANSLATE(A1717,""en"", ""mt"")"),"Tamara de Lempicka kienet artist famuż imwieled f'Varsavja. Hija twieldet Maria Górska f'Varsavja lil ġenituri sinjuri u fl-1916 iżżewġet avukat Pollakk Tadeusz łempicki. Aħjar minn ħaddieħor hi rrappreżentat l-istil Art Deco fil-pittura u l-arti. Nathan "&amp;"Alterman, il-poeta Iżraeljan, twieled f'Varsavja, kif kien Moshe Vilenski, il-kompożitur, lyricist u pjanista Iżraeljan, li studja l-mużika fil-Konservatorju ta 'Varsavja. Varsavja kienet il-belt maħbuba ta ’Isaac Bashevis Singer, li huwa ddeskriva f’ħafn"&amp;"a mir-rumanzi tiegħu: Varsavja għadha kemm inqerdet. Ħadd qatt mhu se jara l-Varsavja li kont naf. Ħallini nikteb biss dwarha. Ħalli dan il-Varsavja ma tisparixxix għal dejjem, huwa kkummenta.")</f>
        <v>Tamara de Lempicka kienet artist famuż imwieled f'Varsavja. Hija twieldet Maria Górska f'Varsavja lil ġenituri sinjuri u fl-1916 iżżewġet avukat Pollakk Tadeusz łempicki. Aħjar minn ħaddieħor hi rrappreżentat l-istil Art Deco fil-pittura u l-arti. Nathan Alterman, il-poeta Iżraeljan, twieled f'Varsavja, kif kien Moshe Vilenski, il-kompożitur, lyricist u pjanista Iżraeljan, li studja l-mużika fil-Konservatorju ta 'Varsavja. Varsavja kienet il-belt maħbuba ta ’Isaac Bashevis Singer, li huwa ddeskriva f’ħafna mir-rumanzi tiegħu: Varsavja għadha kemm inqerdet. Ħadd qatt mhu se jara l-Varsavja li kont naf. Ħallini nikteb biss dwarha. Ħalli dan il-Varsavja ma tisparixxix għal dejjem, huwa kkummenta.</v>
      </c>
    </row>
    <row r="1718" ht="15.75" customHeight="1">
      <c r="A1718" s="2" t="s">
        <v>1718</v>
      </c>
      <c r="B1718" s="2" t="str">
        <f>IFERROR(__xludf.DUMMYFUNCTION("GOOGLETRANSLATE(A1718,""en"", ""mt"")"),"X'kienu l-karatteristiċi ta 'Apple Talk")</f>
        <v>X'kienu l-karatteristiċi ta 'Apple Talk</v>
      </c>
    </row>
    <row r="1719" ht="15.75" customHeight="1">
      <c r="A1719" s="2" t="s">
        <v>1719</v>
      </c>
      <c r="B1719" s="2" t="str">
        <f>IFERROR(__xludf.DUMMYFUNCTION("GOOGLETRANSLATE(A1719,""en"", ""mt"")"),"Min hu missier Antigone fid-dramm?")</f>
        <v>Min hu missier Antigone fid-dramm?</v>
      </c>
    </row>
    <row r="1720" ht="15.75" customHeight="1">
      <c r="A1720" s="2" t="s">
        <v>1720</v>
      </c>
      <c r="B1720" s="2" t="str">
        <f>IFERROR(__xludf.DUMMYFUNCTION("GOOGLETRANSLATE(A1720,""en"", ""mt"")"),"L-ekonomista Joseph Stiglitz jargumenta li minflok ma jispjega konċentrazzjonijiet ta 'ġid u dħul, il-forzi tas-suq għandhom iservu ta' brejk fuq din il-konċentrazzjoni, li tista 'tkun spjegata aħjar mill-forza mhux tas-suq magħrufa bħala ""tfittxija tal-"&amp;"kera"". Filwaqt li s-suq se joffri kumpens għall-ħiliet rari u mixtieqa biex jippremja l-ħolqien tal-ġid, produttività akbar, eċċ., Huwa jipprevjeni wkoll lill-intraprendituri ta 'suċċess milli jaqilgħu profitti żejda billi jrawmu l-kompetizzjoni biex ina"&amp;"qqsu l-prezzijiet, il-profitti u kumpens kbir. Spjegatur aħjar tal-inugwaljanza dejjem tikber, skond Stiglitz, huwa l-użu tal-poter politiku ġġenerat mill-ġid minn ċerti gruppi biex jiffurmaw politiki tal-gvern ta 'benefiċċju finanzjarju għalihom. Dan il-"&amp;"proċess, magħruf għall-ekonomisti bħala li jfittex il-kera, iġib dħul mhux mill-ħolqien tal-ġid iżda minn ""jaqbad sehem akbar mill-ġid li kieku kien jiġi prodott mingħajr l-isforz tagħhom""")</f>
        <v>L-ekonomista Joseph Stiglitz jargumenta li minflok ma jispjega konċentrazzjonijiet ta 'ġid u dħul, il-forzi tas-suq għandhom iservu ta' brejk fuq din il-konċentrazzjoni, li tista 'tkun spjegata aħjar mill-forza mhux tas-suq magħrufa bħala "tfittxija tal-kera". Filwaqt li s-suq se joffri kumpens għall-ħiliet rari u mixtieqa biex jippremja l-ħolqien tal-ġid, produttività akbar, eċċ., Huwa jipprevjeni wkoll lill-intraprendituri ta 'suċċess milli jaqilgħu profitti żejda billi jrawmu l-kompetizzjoni biex inaqqsu l-prezzijiet, il-profitti u kumpens kbir. Spjegatur aħjar tal-inugwaljanza dejjem tikber, skond Stiglitz, huwa l-użu tal-poter politiku ġġenerat mill-ġid minn ċerti gruppi biex jiffurmaw politiki tal-gvern ta 'benefiċċju finanzjarju għalihom. Dan il-proċess, magħruf għall-ekonomisti bħala li jfittex il-kera, iġib dħul mhux mill-ħolqien tal-ġid iżda minn "jaqbad sehem akbar mill-ġid li kieku kien jiġi prodott mingħajr l-isforz tagħhom"</v>
      </c>
    </row>
    <row r="1721" ht="15.75" customHeight="1">
      <c r="A1721" s="2" t="s">
        <v>1721</v>
      </c>
      <c r="B1721" s="2" t="str">
        <f>IFERROR(__xludf.DUMMYFUNCTION("GOOGLETRANSLATE(A1721,""en"", ""mt"")"),"Huma tilfu l-flus mill-bidu, u Sinback, maniġer tal-kummerċ ta 'livell għoli, ingħata x-xogħol li jdawwar in-negozju")</f>
        <v>Huma tilfu l-flus mill-bidu, u Sinback, maniġer tal-kummerċ ta 'livell għoli, ingħata x-xogħol li jdawwar in-negozju</v>
      </c>
    </row>
    <row r="1722" ht="15.75" customHeight="1">
      <c r="A1722" s="2" t="s">
        <v>1722</v>
      </c>
      <c r="B1722" s="2" t="str">
        <f>IFERROR(__xludf.DUMMYFUNCTION("GOOGLETRANSLATE(A1722,""en"", ""mt"")"),"X’ħeġġeġ l-iskambju kulturali taħt il-wan?")</f>
        <v>X’ħeġġeġ l-iskambju kulturali taħt il-wan?</v>
      </c>
    </row>
    <row r="1723" ht="15.75" customHeight="1">
      <c r="A1723" s="2" t="s">
        <v>1723</v>
      </c>
      <c r="B1723" s="2" t="str">
        <f>IFERROR(__xludf.DUMMYFUNCTION("GOOGLETRANSLATE(A1723,""en"", ""mt"")"),"Fl-Istati Uniti, x'inhi l-veloċità tas-soltu tat-turbina b'60 hertz ta 'poter?")</f>
        <v>Fl-Istati Uniti, x'inhi l-veloċità tas-soltu tat-turbina b'60 hertz ta 'poter?</v>
      </c>
    </row>
    <row r="1724" ht="15.75" customHeight="1">
      <c r="A1724" s="2" t="s">
        <v>1724</v>
      </c>
      <c r="B1724" s="2" t="str">
        <f>IFERROR(__xludf.DUMMYFUNCTION("GOOGLETRANSLATE(A1724,""en"", ""mt"")"),"Tul il-Wied tax-Xmara San Lawrenz")</f>
        <v>Tul il-Wied tax-Xmara San Lawrenz</v>
      </c>
    </row>
    <row r="1725" ht="15.75" customHeight="1">
      <c r="A1725" s="2" t="s">
        <v>1725</v>
      </c>
      <c r="B1725" s="2" t="str">
        <f>IFERROR(__xludf.DUMMYFUNCTION("GOOGLETRANSLATE(A1725,""en"", ""mt"")"),"Nofsinhar ta 'l-Istati Uniti")</f>
        <v>Nofsinhar ta 'l-Istati Uniti</v>
      </c>
    </row>
    <row r="1726" ht="15.75" customHeight="1">
      <c r="A1726" s="2" t="s">
        <v>1726</v>
      </c>
      <c r="B1726" s="2" t="str">
        <f>IFERROR(__xludf.DUMMYFUNCTION("GOOGLETRANSLATE(A1726,""en"", ""mt"")"),"Fejn Franza rebħet gwerra fil-ħamsinijiet")</f>
        <v>Fejn Franza rebħet gwerra fil-ħamsinijiet</v>
      </c>
    </row>
    <row r="1727" ht="15.75" customHeight="1">
      <c r="A1727" s="2" t="s">
        <v>1727</v>
      </c>
      <c r="B1727" s="2" t="str">
        <f>IFERROR(__xludf.DUMMYFUNCTION("GOOGLETRANSLATE(A1727,""en"", ""mt"")"),"kopertura mnaqqsa tal-veġetazzjoni tropikali niedja mnaqqsa")</f>
        <v>kopertura mnaqqsa tal-veġetazzjoni tropikali niedja mnaqqsa</v>
      </c>
    </row>
    <row r="1728" ht="15.75" customHeight="1">
      <c r="A1728" s="2" t="s">
        <v>1728</v>
      </c>
      <c r="B1728" s="2" t="str">
        <f>IFERROR(__xludf.DUMMYFUNCTION("GOOGLETRANSLATE(A1728,""en"", ""mt"")"),"bond doppju kovalenti")</f>
        <v>bond doppju kovalenti</v>
      </c>
    </row>
    <row r="1729" ht="15.75" customHeight="1">
      <c r="A1729" s="2" t="s">
        <v>1729</v>
      </c>
      <c r="B1729" s="2" t="str">
        <f>IFERROR(__xludf.DUMMYFUNCTION("GOOGLETRANSLATE(A1729,""en"", ""mt"")"),"Robert Guiscard, avventur Norman ieħor preċedentement elevat għad-dinjità tal-Konti ta 'Apulia bħala riżultat tas-suċċessi militari tiegħu, fl-aħħar mexxa l-Biżantini barra mill-Italja tan-Nofsinhar. Wara li kiseb il-kunsens tal-Papa Gregorju VII u jaġixx"&amp;"i bħala l-vassall tiegħu, Robert kompla l-kampanja tiegħu billi rbaħ il-Peniżola tal-Balkani bħala l-pedament għall-fewdali feudali tal-Punent u l-Knisja Kattolika. Wara li ngħaqad lilu nnifsu mal-Kroazja u l-ibliet Kattoliċi tad-Dalmatia, fl-1081 huwa me"&amp;"xxa armata ta '30, 000 irġiel fi 300 vapur li jinżlu fuq ix-xtut tan-Nofsinhar ta 'l-Albanija, jaqbdu Valona, ​​Kanina, Jericho (Orikumi), u laħaq Butrint wara bosta pillaġġi. Huma ngħaqdu mal-flotta li qabel kienet ħakmet lil Corfu u attakkaw id-Dyrrachi"&amp;"um mill-art u l-baħar, devastanti kollox tul it-triq. Taħt dawn iċ-ċirkostanzi ħorox, in-nies tal-post aċċettaw is-sejħa tal-Imperatur Alexius I Comnenus biex jingħaqdu mal-Biżantini kontra n-Normanni. Il-forzi Albaniżi ma setgħux jieħdu sehem fil-battalj"&amp;"a li ġejja minħabba li kienet bdiet qabel il-wasla tagħhom. Immedjatament qabel il-battalja, il-flotta Venezjana kienet assigurat rebħa fil-kosta li tdawwar il-belt. Imġiegħel jirtira, Alexius ċeda l-kmand lil uffiċjal Albaniż għoli jismu Comiscortes fis-"&amp;"servizz ta 'Bizanju. Il-garnizon tal-belt irreżista sa Frar 1082, meta d-Dyrrachium ġie ingannat lin-Normanni min-negozjanti Venezjani u Amalfitan li kienu stabbilixxew hemmhekk. In-Normanni issa kienu ħielsa li jippenetraw fil-hinterland; Huma ħadu Ioann"&amp;"ina u xi bliet minuri fil-Lbiċ tal-Maċedonja u Tessalja qabel ma dehru fil-gradi ta 'Tessalonica. Id-dissensjoni fost il-gradi għoljin sfurzat in-Normanni biex jirtiraw lejn l-Italja. Huma tilfu Dyrrachium, Valona, ​​u Butrint fl-1085, wara l-mewt ta 'Rob"&amp;"ert.")</f>
        <v>Robert Guiscard, avventur Norman ieħor preċedentement elevat għad-dinjità tal-Konti ta 'Apulia bħala riżultat tas-suċċessi militari tiegħu, fl-aħħar mexxa l-Biżantini barra mill-Italja tan-Nofsinhar. Wara li kiseb il-kunsens tal-Papa Gregorju VII u jaġixxi bħala l-vassall tiegħu, Robert kompla l-kampanja tiegħu billi rbaħ il-Peniżola tal-Balkani bħala l-pedament għall-fewdali feudali tal-Punent u l-Knisja Kattolika. Wara li ngħaqad lilu nnifsu mal-Kroazja u l-ibliet Kattoliċi tad-Dalmatia, fl-1081 huwa mexxa armata ta '30, 000 irġiel fi 300 vapur li jinżlu fuq ix-xtut tan-Nofsinhar ta 'l-Albanija, jaqbdu Valona, ​​Kanina, Jericho (Orikumi), u laħaq Butrint wara bosta pillaġġi. Huma ngħaqdu mal-flotta li qabel kienet ħakmet lil Corfu u attakkaw id-Dyrrachium mill-art u l-baħar, devastanti kollox tul it-triq. Taħt dawn iċ-ċirkostanzi ħorox, in-nies tal-post aċċettaw is-sejħa tal-Imperatur Alexius I Comnenus biex jingħaqdu mal-Biżantini kontra n-Normanni. Il-forzi Albaniżi ma setgħux jieħdu sehem fil-battalja li ġejja minħabba li kienet bdiet qabel il-wasla tagħhom. Immedjatament qabel il-battalja, il-flotta Venezjana kienet assigurat rebħa fil-kosta li tdawwar il-belt. Imġiegħel jirtira, Alexius ċeda l-kmand lil uffiċjal Albaniż għoli jismu Comiscortes fis-servizz ta 'Bizanju. Il-garnizon tal-belt irreżista sa Frar 1082, meta d-Dyrrachium ġie ingannat lin-Normanni min-negozjanti Venezjani u Amalfitan li kienu stabbilixxew hemmhekk. In-Normanni issa kienu ħielsa li jippenetraw fil-hinterland; Huma ħadu Ioannina u xi bliet minuri fil-Lbiċ tal-Maċedonja u Tessalja qabel ma dehru fil-gradi ta 'Tessalonica. Id-dissensjoni fost il-gradi għoljin sfurzat in-Normanni biex jirtiraw lejn l-Italja. Huma tilfu Dyrrachium, Valona, ​​u Butrint fl-1085, wara l-mewt ta 'Robert.</v>
      </c>
    </row>
    <row r="1730" ht="15.75" customHeight="1">
      <c r="A1730" s="2" t="s">
        <v>1730</v>
      </c>
      <c r="B1730" s="2" t="str">
        <f>IFERROR(__xludf.DUMMYFUNCTION("GOOGLETRANSLATE(A1730,""en"", ""mt"")"),"X'għamlu l-klijenti Bankamericard li ma setgħux jagħmlu bi strumenti finanzjarji preċedenti?")</f>
        <v>X'għamlu l-klijenti Bankamericard li ma setgħux jagħmlu bi strumenti finanzjarji preċedenti?</v>
      </c>
    </row>
    <row r="1731" ht="15.75" customHeight="1">
      <c r="A1731" s="2" t="s">
        <v>1731</v>
      </c>
      <c r="B1731" s="2" t="str">
        <f>IFERROR(__xludf.DUMMYFUNCTION("GOOGLETRANSLATE(A1731,""en"", ""mt"")"),"Bourgeois")</f>
        <v>Bourgeois</v>
      </c>
    </row>
    <row r="1732" ht="15.75" customHeight="1">
      <c r="A1732" s="2" t="s">
        <v>1732</v>
      </c>
      <c r="B1732" s="2" t="str">
        <f>IFERROR(__xludf.DUMMYFUNCTION("GOOGLETRANSLATE(A1732,""en"", ""mt"")"),"Operazzjoni ewlenija waħda")</f>
        <v>Operazzjoni ewlenija waħda</v>
      </c>
    </row>
    <row r="1733" ht="15.75" customHeight="1">
      <c r="A1733" s="2" t="s">
        <v>1733</v>
      </c>
      <c r="B1733" s="2" t="str">
        <f>IFERROR(__xludf.DUMMYFUNCTION("GOOGLETRANSLATE(A1733,""en"", ""mt"")"),"Kunsill Farmaċewtiku Ġenerali (GPHC)")</f>
        <v>Kunsill Farmaċewtiku Ġenerali (GPHC)</v>
      </c>
    </row>
    <row r="1734" ht="15.75" customHeight="1">
      <c r="A1734" s="2" t="s">
        <v>1734</v>
      </c>
      <c r="B1734" s="2" t="str">
        <f>IFERROR(__xludf.DUMMYFUNCTION("GOOGLETRANSLATE(A1734,""en"", ""mt"")"),"ma jikserx id-drittijiet ta 'ħaddieħor")</f>
        <v>ma jikserx id-drittijiet ta 'ħaddieħor</v>
      </c>
    </row>
    <row r="1735" ht="15.75" customHeight="1">
      <c r="A1735" s="2" t="s">
        <v>1735</v>
      </c>
      <c r="B1735" s="2" t="str">
        <f>IFERROR(__xludf.DUMMYFUNCTION("GOOGLETRANSLATE(A1735,""en"", ""mt"")"),"X'tagħmel id-disparità tal-ġid tagħmel l-ekonomija aktar suxxettibbli għal?")</f>
        <v>X'tagħmel id-disparità tal-ġid tagħmel l-ekonomija aktar suxxettibbli għal?</v>
      </c>
    </row>
    <row r="1736" ht="15.75" customHeight="1">
      <c r="A1736" s="2" t="s">
        <v>1736</v>
      </c>
      <c r="B1736" s="2" t="str">
        <f>IFERROR(__xludf.DUMMYFUNCTION("GOOGLETRANSLATE(A1736,""en"", ""mt"")"),"Bħala eżempji interessanti ta 'esponimenti l-iktar notevoli huma: l-ewwel mużew tal-posters tad-dinja li jiftaħar waħda mill-ikbar kollezzjonijiet ta' posters tal-arti fid-dinja, Mużew tal-Kaċċa u l-Irkib u l-Mużew tal-Ferrovija. Minn fost is-60 mużew ta "&amp;"'Varsavja, l-iktar prestiġjużi huma Mużew Nazzjonali b'kollezzjoni ta' xogħlijiet li l-oriġini tagħhom tvarja fil-ħin mill-antikità sal-epoka preżenti kif ukoll waħda mill-aqwa kollezzjonijiet ta 'pitturi fil-pajjiż inklużi xi pitturi mill-kollezzjoni pri"&amp;"vata ta' Adolf Hitler , u l-Mużew tal-Armata Pollakka li s-sett juri l-istorja tal-armi.")</f>
        <v>Bħala eżempji interessanti ta 'esponimenti l-iktar notevoli huma: l-ewwel mużew tal-posters tad-dinja li jiftaħar waħda mill-ikbar kollezzjonijiet ta' posters tal-arti fid-dinja, Mużew tal-Kaċċa u l-Irkib u l-Mużew tal-Ferrovija. Minn fost is-60 mużew ta 'Varsavja, l-iktar prestiġjużi huma Mużew Nazzjonali b'kollezzjoni ta' xogħlijiet li l-oriġini tagħhom tvarja fil-ħin mill-antikità sal-epoka preżenti kif ukoll waħda mill-aqwa kollezzjonijiet ta 'pitturi fil-pajjiż inklużi xi pitturi mill-kollezzjoni privata ta' Adolf Hitler , u l-Mużew tal-Armata Pollakka li s-sett juri l-istorja tal-armi.</v>
      </c>
    </row>
    <row r="1737" ht="15.75" customHeight="1">
      <c r="A1737" s="2" t="s">
        <v>1737</v>
      </c>
      <c r="B1737" s="2" t="str">
        <f>IFERROR(__xludf.DUMMYFUNCTION("GOOGLETRANSLATE(A1737,""en"", ""mt"")"),"Liema tliet affarijiet huma meħtieġa biex isseħħ il-kostruzzjoni?")</f>
        <v>Liema tliet affarijiet huma meħtieġa biex isseħħ il-kostruzzjoni?</v>
      </c>
    </row>
    <row r="1738" ht="15.75" customHeight="1">
      <c r="A1738" s="2" t="s">
        <v>1738</v>
      </c>
      <c r="B1738" s="2" t="str">
        <f>IFERROR(__xludf.DUMMYFUNCTION("GOOGLETRANSLATE(A1738,""en"", ""mt"")"),"Għalkemm mhux imqabbad, liema huma l-aktar attributi attribwiti komunement ta 'L f'relazzjoni ma' p")</f>
        <v>Għalkemm mhux imqabbad, liema huma l-aktar attributi attribwiti komunement ta 'L f'relazzjoni ma' p</v>
      </c>
    </row>
    <row r="1739" ht="15.75" customHeight="1">
      <c r="A1739" s="2" t="s">
        <v>1739</v>
      </c>
      <c r="B1739" s="2" t="str">
        <f>IFERROR(__xludf.DUMMYFUNCTION("GOOGLETRANSLATE(A1739,""en"", ""mt"")"),"Nepaliż")</f>
        <v>Nepaliż</v>
      </c>
    </row>
    <row r="1740" ht="15.75" customHeight="1">
      <c r="A1740" s="2" t="s">
        <v>1740</v>
      </c>
      <c r="B1740" s="2" t="str">
        <f>IFERROR(__xludf.DUMMYFUNCTION("GOOGLETRANSLATE(A1740,""en"", ""mt"")"),"Kemm hemm kmamar tal-piż fiċ-Ċentru Atletiku tal-Malkin")</f>
        <v>Kemm hemm kmamar tal-piż fiċ-Ċentru Atletiku tal-Malkin</v>
      </c>
    </row>
    <row r="1741" ht="15.75" customHeight="1">
      <c r="A1741" s="2" t="s">
        <v>1741</v>
      </c>
      <c r="B1741" s="2" t="str">
        <f>IFERROR(__xludf.DUMMYFUNCTION("GOOGLETRANSLATE(A1741,""en"", ""mt"")"),"Konċentrat o
2 se tippermetti li l-kombustjoni tipproċedi malajr u b'mod enerġetiku. Pajpijiet tal-azzar u bastimenti tal-ħażna użati biex jaħżnu u jittrasmettu kemm ossiġnu gassuż kif ukoll likwidu jaġixxu bħala fjuwil; u għalhekk id-disinn u l-manifattu"&amp;"ra ta 'o
2 sistemi jeħtieġ taħriġ speċjali biex jiżguraw li s-sorsi tat-tqabbid jiġu mminimizzati. In-nar li qatel l-ekwipaġġ ta 'Apollo 1 fit-test tal-pad tal-varar infirex daqshekk malajr minħabba li l-kapsula ġiet taħt pressjoni b'O pur
2 iżda bi ftit "&amp;"iktar mill-pressjoni atmosferika, minflok il-pressjoni normali ta '1⁄3 li kienet tintuża f'missjoni. [K]")</f>
        <v>Konċentrat o
2 se tippermetti li l-kombustjoni tipproċedi malajr u b'mod enerġetiku. Pajpijiet tal-azzar u bastimenti tal-ħażna użati biex jaħżnu u jittrasmettu kemm ossiġnu gassuż kif ukoll likwidu jaġixxu bħala fjuwil; u għalhekk id-disinn u l-manifattura ta 'o
2 sistemi jeħtieġ taħriġ speċjali biex jiżguraw li s-sorsi tat-tqabbid jiġu mminimizzati. In-nar li qatel l-ekwipaġġ ta 'Apollo 1 fit-test tal-pad tal-varar infirex daqshekk malajr minħabba li l-kapsula ġiet taħt pressjoni b'O pur
2 iżda bi ftit iktar mill-pressjoni atmosferika, minflok il-pressjoni normali ta '1⁄3 li kienet tintuża f'missjoni. [K]</v>
      </c>
    </row>
    <row r="1742" ht="15.75" customHeight="1">
      <c r="A1742" s="2" t="s">
        <v>1742</v>
      </c>
      <c r="B1742" s="2" t="str">
        <f>IFERROR(__xludf.DUMMYFUNCTION("GOOGLETRANSLATE(A1742,""en"", ""mt"")"),"Altitudni għolja kif ukoll dak li jikkontribwixxi għan-nuqqas ta 'xogħol ta' mistoqsija dwar it-temp kiesaħ ta 'Jacksonville")</f>
        <v>Altitudni għolja kif ukoll dak li jikkontribwixxi għan-nuqqas ta 'xogħol ta' mistoqsija dwar it-temp kiesaħ ta 'Jacksonville</v>
      </c>
    </row>
    <row r="1743" ht="15.75" customHeight="1">
      <c r="A1743" s="2" t="s">
        <v>1743</v>
      </c>
      <c r="B1743" s="2" t="str">
        <f>IFERROR(__xludf.DUMMYFUNCTION("GOOGLETRANSLATE(A1743,""en"", ""mt"")"),"Antigone kien dramm magħmul minn min?")</f>
        <v>Antigone kien dramm magħmul minn min?</v>
      </c>
    </row>
    <row r="1744" ht="15.75" customHeight="1">
      <c r="A1744" s="2" t="s">
        <v>1744</v>
      </c>
      <c r="B1744" s="2" t="str">
        <f>IFERROR(__xludf.DUMMYFUNCTION("GOOGLETRANSLATE(A1744,""en"", ""mt"")"),"rata ta 'l-aqwa taxxa")</f>
        <v>rata ta 'l-aqwa taxxa</v>
      </c>
    </row>
    <row r="1745" ht="15.75" customHeight="1">
      <c r="A1745" s="2" t="s">
        <v>1745</v>
      </c>
      <c r="B1745" s="2" t="str">
        <f>IFERROR(__xludf.DUMMYFUNCTION("GOOGLETRANSLATE(A1745,""en"", ""mt"")"),"L-ewwel servizz onlajn kummerċjali tad-dinja")</f>
        <v>L-ewwel servizz onlajn kummerċjali tad-dinja</v>
      </c>
    </row>
    <row r="1746" ht="15.75" customHeight="1">
      <c r="A1746" s="2" t="s">
        <v>1746</v>
      </c>
      <c r="B1746" s="2" t="str">
        <f>IFERROR(__xludf.DUMMYFUNCTION("GOOGLETRANSLATE(A1746,""en"", ""mt"")")," Fil-Kummissjoni tal-2009 v l-Italja, il-Każ, il-Qorti tal-Ġustizzja ddeċidiet li baxx Taljan li jipprojbixxi dak li kiser l-Artikolu 34?")</f>
        <v> Fil-Kummissjoni tal-2009 v l-Italja, il-Każ, il-Qorti tal-Ġustizzja ddeċidiet li baxx Taljan li jipprojbixxi dak li kiser l-Artikolu 34?</v>
      </c>
    </row>
    <row r="1747" ht="15.75" customHeight="1">
      <c r="A1747" s="2" t="s">
        <v>1747</v>
      </c>
      <c r="B1747" s="2" t="str">
        <f>IFERROR(__xludf.DUMMYFUNCTION("GOOGLETRANSLATE(A1747,""en"", ""mt"")"),"X'inhu l-isem tal-programm ta 'trattament residenzjali li tmexxi l-università?")</f>
        <v>X'inhu l-isem tal-programm ta 'trattament residenzjali li tmexxi l-università?</v>
      </c>
    </row>
    <row r="1748" ht="15.75" customHeight="1">
      <c r="A1748" s="2" t="s">
        <v>1748</v>
      </c>
      <c r="B1748" s="2" t="str">
        <f>IFERROR(__xludf.DUMMYFUNCTION("GOOGLETRANSLATE(A1748,""en"", ""mt"")"),"pakketti")</f>
        <v>pakketti</v>
      </c>
    </row>
    <row r="1749" ht="15.75" customHeight="1">
      <c r="A1749" s="2" t="s">
        <v>1749</v>
      </c>
      <c r="B1749" s="2" t="str">
        <f>IFERROR(__xludf.DUMMYFUNCTION("GOOGLETRANSLATE(A1749,""en"", ""mt"")"),"Liema prinċipju jenfasizza s-sinifikat tal-primes fit-teorija tan-numri")</f>
        <v>Liema prinċipju jenfasizza s-sinifikat tal-primes fit-teorija tan-numri</v>
      </c>
    </row>
    <row r="1750" ht="15.75" customHeight="1">
      <c r="A1750" s="2" t="s">
        <v>1750</v>
      </c>
      <c r="B1750" s="2" t="str">
        <f>IFERROR(__xludf.DUMMYFUNCTION("GOOGLETRANSLATE(A1750,""en"", ""mt"")"),"Meta fl-aħħar Edward il-konfessur irritorna mir-refuġju ta 'missieru fl-1041, fuq stedina tan-nofs ħuh Harthacnut tiegħu, huwa ġab miegħu moħħ edukat minn Norman. Huwa ġab ukoll bosta konsulenti u ġellieda Norman, li wħud minnhom stabbilixxew forza tal-ka"&amp;"vallerija Ingliża. Dan il-kunċett qatt ma ħa l-għeruq, iżda huwa eżempju tipiku tal-attitudnijiet ta 'Edward. Huwa ħatar lil Robert tal-Arċisqof ta 'Jumièges ta' Canterbury u għamel lil Ralph il-Earl timidu ta 'Hereford. Huwa stieden lil ħuh Eustace II, K"&amp;"onti ta 'Boulogne fil-qorti tiegħu fl-1051, avveniment li rriżulta fl-akbar kunflitti bikrija bejn Sassonu u Norman u fl-aħħar irriżulta fl-eżilju ta' Earl Godwin ta 'Wessex.")</f>
        <v>Meta fl-aħħar Edward il-konfessur irritorna mir-refuġju ta 'missieru fl-1041, fuq stedina tan-nofs ħuh Harthacnut tiegħu, huwa ġab miegħu moħħ edukat minn Norman. Huwa ġab ukoll bosta konsulenti u ġellieda Norman, li wħud minnhom stabbilixxew forza tal-kavallerija Ingliża. Dan il-kunċett qatt ma ħa l-għeruq, iżda huwa eżempju tipiku tal-attitudnijiet ta 'Edward. Huwa ħatar lil Robert tal-Arċisqof ta 'Jumièges ta' Canterbury u għamel lil Ralph il-Earl timidu ta 'Hereford. Huwa stieden lil ħuh Eustace II, Konti ta 'Boulogne fil-qorti tiegħu fl-1051, avveniment li rriżulta fl-akbar kunflitti bikrija bejn Sassonu u Norman u fl-aħħar irriżulta fl-eżilju ta' Earl Godwin ta 'Wessex.</v>
      </c>
    </row>
    <row r="1751" ht="15.75" customHeight="1">
      <c r="A1751" s="2" t="s">
        <v>1751</v>
      </c>
      <c r="B1751" s="2" t="str">
        <f>IFERROR(__xludf.DUMMYFUNCTION("GOOGLETRANSLATE(A1751,""en"", ""mt"")"),"Evita l- ""inkonvenjent"" li żżur tabib")</f>
        <v>Evita l- "inkonvenjent" li żżur tabib</v>
      </c>
    </row>
    <row r="1752" ht="15.75" customHeight="1">
      <c r="A1752" s="2" t="s">
        <v>1752</v>
      </c>
      <c r="B1752" s="2" t="str">
        <f>IFERROR(__xludf.DUMMYFUNCTION("GOOGLETRANSLATE(A1752,""en"", ""mt"")"),"Meta l-kolonji Spanjoli u Portugiżi kisbu l-indipendenza tagħhom.")</f>
        <v>Meta l-kolonji Spanjoli u Portugiżi kisbu l-indipendenza tagħhom.</v>
      </c>
    </row>
    <row r="1753" ht="15.75" customHeight="1">
      <c r="A1753" s="2" t="s">
        <v>1753</v>
      </c>
      <c r="B1753" s="2" t="str">
        <f>IFERROR(__xludf.DUMMYFUNCTION("GOOGLETRANSLATE(A1753,""en"", ""mt"")"),"Singapor, Londra, u l-viċinat taċ-ċentru ta ’Streeterville f’Chicago")</f>
        <v>Singapor, Londra, u l-viċinat taċ-ċentru ta ’Streeterville f’Chicago</v>
      </c>
    </row>
    <row r="1754" ht="15.75" customHeight="1">
      <c r="A1754" s="2" t="s">
        <v>1754</v>
      </c>
      <c r="B1754" s="2" t="str">
        <f>IFERROR(__xludf.DUMMYFUNCTION("GOOGLETRANSLATE(A1754,""en"", ""mt"")"),"Meta kienet qed tispiċċa l-amministrazzjoni ta 'Kublai?")</f>
        <v>Meta kienet qed tispiċċa l-amministrazzjoni ta 'Kublai?</v>
      </c>
    </row>
    <row r="1755" ht="15.75" customHeight="1">
      <c r="A1755" s="2" t="s">
        <v>1755</v>
      </c>
      <c r="B1755" s="2" t="str">
        <f>IFERROR(__xludf.DUMMYFUNCTION("GOOGLETRANSLATE(A1755,""en"", ""mt"")"),"X'jiġġeneraw fortuni akbar?")</f>
        <v>X'jiġġeneraw fortuni akbar?</v>
      </c>
    </row>
    <row r="1756" ht="15.75" customHeight="1">
      <c r="A1756" s="2" t="s">
        <v>1756</v>
      </c>
      <c r="B1756" s="2" t="str">
        <f>IFERROR(__xludf.DUMMYFUNCTION("GOOGLETRANSLATE(A1756,""en"", ""mt"")"),"Iż-żieda fil-livell tal-baħar attwali kienet 'il fuq mill-parti ta' fuq tal-firxa")</f>
        <v>Iż-żieda fil-livell tal-baħar attwali kienet 'il fuq mill-parti ta' fuq tal-firxa</v>
      </c>
    </row>
    <row r="1757" ht="15.75" customHeight="1">
      <c r="A1757" s="2" t="s">
        <v>1757</v>
      </c>
      <c r="B1757" s="2" t="str">
        <f>IFERROR(__xludf.DUMMYFUNCTION("GOOGLETRANSLATE(A1757,""en"", ""mt"")"),"X'tip ta 'qerda tat-terremot tal-1994 ikkawża l-iktar fl-istorja tal-Istati Uniti?")</f>
        <v>X'tip ta 'qerda tat-terremot tal-1994 ikkawża l-iktar fl-istorja tal-Istati Uniti?</v>
      </c>
    </row>
    <row r="1758" ht="15.75" customHeight="1">
      <c r="A1758" s="2" t="s">
        <v>1758</v>
      </c>
      <c r="B1758" s="2" t="str">
        <f>IFERROR(__xludf.DUMMYFUNCTION("GOOGLETRANSLATE(A1758,""en"", ""mt"")"),"Dynasties Ċiniżi indiġeni")</f>
        <v>Dynasties Ċiniżi indiġeni</v>
      </c>
    </row>
    <row r="1759" ht="15.75" customHeight="1">
      <c r="A1759" s="2" t="s">
        <v>1759</v>
      </c>
      <c r="B1759" s="2" t="str">
        <f>IFERROR(__xludf.DUMMYFUNCTION("GOOGLETRANSLATE(A1759,""en"", ""mt"")"),"X’kontradikkejt dan il-kunċett")</f>
        <v>X’kontradikkejt dan il-kunċett</v>
      </c>
    </row>
    <row r="1760" ht="15.75" customHeight="1">
      <c r="A1760" s="2" t="s">
        <v>1760</v>
      </c>
      <c r="B1760" s="2" t="str">
        <f>IFERROR(__xludf.DUMMYFUNCTION("GOOGLETRANSLATE(A1760,""en"", ""mt"")"),"Liema avveniment ġara 66 miljun sena ilu?")</f>
        <v>Liema avveniment ġara 66 miljun sena ilu?</v>
      </c>
    </row>
    <row r="1761" ht="15.75" customHeight="1">
      <c r="A1761" s="2" t="s">
        <v>1761</v>
      </c>
      <c r="B1761" s="2" t="str">
        <f>IFERROR(__xludf.DUMMYFUNCTION("GOOGLETRANSLATE(A1761,""en"", ""mt"")"),"X'inhi t-teorija li l-isem ta 'dan ir-re huwa l-oriġini ta' ""Huguenot"" imsejjaħ?")</f>
        <v>X'inhi t-teorija li l-isem ta 'dan ir-re huwa l-oriġini ta' "Huguenot" imsejjaħ?</v>
      </c>
    </row>
    <row r="1762" ht="15.75" customHeight="1">
      <c r="A1762" s="2" t="s">
        <v>1762</v>
      </c>
      <c r="B1762" s="2" t="str">
        <f>IFERROR(__xludf.DUMMYFUNCTION("GOOGLETRANSLATE(A1762,""en"", ""mt"")"),"Fejn ġie rilokat il-Parlament temporanjament f'Mejju tas-sena 2000?")</f>
        <v>Fejn ġie rilokat il-Parlament temporanjament f'Mejju tas-sena 2000?</v>
      </c>
    </row>
    <row r="1763" ht="15.75" customHeight="1">
      <c r="A1763" s="2" t="s">
        <v>1763</v>
      </c>
      <c r="B1763" s="2" t="str">
        <f>IFERROR(__xludf.DUMMYFUNCTION("GOOGLETRANSLATE(A1763,""en"", ""mt"")"),"tip ta '""avvelenament mid-demm""")</f>
        <v>tip ta '"avvelenament mid-demm"</v>
      </c>
    </row>
    <row r="1764" ht="15.75" customHeight="1">
      <c r="A1764" s="2" t="s">
        <v>1764</v>
      </c>
      <c r="B1764" s="2" t="str">
        <f>IFERROR(__xludf.DUMMYFUNCTION("GOOGLETRANSLATE(A1764,""en"", ""mt"")"),"X'inhi l-istratigrafija?")</f>
        <v>X'inhi l-istratigrafija?</v>
      </c>
    </row>
    <row r="1765" ht="15.75" customHeight="1">
      <c r="A1765" s="2" t="s">
        <v>1765</v>
      </c>
      <c r="B1765" s="2" t="str">
        <f>IFERROR(__xludf.DUMMYFUNCTION("GOOGLETRANSLATE(A1765,""en"", ""mt"")"),"It-Trattat ta ’Ruma 1957 u t-Trattat ta’ Maastricht 1992 (issa: TFEU)")</f>
        <v>It-Trattat ta ’Ruma 1957 u t-Trattat ta’ Maastricht 1992 (issa: TFEU)</v>
      </c>
    </row>
    <row r="1766" ht="15.75" customHeight="1">
      <c r="A1766" s="2" t="s">
        <v>1766</v>
      </c>
      <c r="B1766" s="2" t="str">
        <f>IFERROR(__xludf.DUMMYFUNCTION("GOOGLETRANSLATE(A1766,""en"", ""mt"")"),"Iqbal esprima l-biżgħat li mhux biss is-sekulariżmu u n-nazzjonaliżmu sekulari jdgħajfu l-pedamenti spiritwali tal-Iżlam u tas-soċjetà Musulmana, iżda wkoll li l-popolazzjoni tal-maġġoranza hindu tal-Indja kienet tiffranka l-wirt, il-kultura u l-influwenz"&amp;"a politika Musulmana. Fil-vjaġġi tiegħu lejn l-Eġittu, l-Afganistan, il-Palestina u s-Sirja, huwa ppromwova ideat ta 'kooperazzjoni politika u għaqda Iżlamika akbar, u talab għat-twaqqigħ tad-differenzi nazzjonalisti. Sir Muhammad Iqbal ġie elett presiden"&amp;"t tal-Lega Musulmana fl-1930 fis-sessjoni tiegħu f'Allahabad kif ukoll għas-sessjoni f'Lahore fl-1932. Fl-indirizz ta 'Allahabad tiegħu fid-29 ta' Diċembru 1930, Iqbal iddeskriva viżjoni ta 'stat indipendenti għall-provinċji ta' maġġoranza Musulmana fil-m"&amp;"ajjistral tal-Indja. Dan l-indirizz aktar tard ispirat il-moviment tal-Pakistan.")</f>
        <v>Iqbal esprima l-biżgħat li mhux biss is-sekulariżmu u n-nazzjonaliżmu sekulari jdgħajfu l-pedamenti spiritwali tal-Iżlam u tas-soċjetà Musulmana, iżda wkoll li l-popolazzjoni tal-maġġoranza hindu tal-Indja kienet tiffranka l-wirt, il-kultura u l-influwenza politika Musulmana. Fil-vjaġġi tiegħu lejn l-Eġittu, l-Afganistan, il-Palestina u s-Sirja, huwa ppromwova ideat ta 'kooperazzjoni politika u għaqda Iżlamika akbar, u talab għat-twaqqigħ tad-differenzi nazzjonalisti. Sir Muhammad Iqbal ġie elett president tal-Lega Musulmana fl-1930 fis-sessjoni tiegħu f'Allahabad kif ukoll għas-sessjoni f'Lahore fl-1932. Fl-indirizz ta 'Allahabad tiegħu fid-29 ta' Diċembru 1930, Iqbal iddeskriva viżjoni ta 'stat indipendenti għall-provinċji ta' maġġoranza Musulmana fil-majjistral tal-Indja. Dan l-indirizz aktar tard ispirat il-moviment tal-Pakistan.</v>
      </c>
    </row>
    <row r="1767" ht="15.75" customHeight="1">
      <c r="A1767" s="2" t="s">
        <v>1767</v>
      </c>
      <c r="B1767" s="2" t="str">
        <f>IFERROR(__xludf.DUMMYFUNCTION("GOOGLETRANSLATE(A1767,""en"", ""mt"")"),"Liema proprjetajiet huma analizzati b'lenti konoskopika minn petrologi?")</f>
        <v>Liema proprjetajiet huma analizzati b'lenti konoskopika minn petrologi?</v>
      </c>
    </row>
    <row r="1768" ht="15.75" customHeight="1">
      <c r="A1768" s="2" t="s">
        <v>1768</v>
      </c>
      <c r="B1768" s="2" t="str">
        <f>IFERROR(__xludf.DUMMYFUNCTION("GOOGLETRANSLATE(A1768,""en"", ""mt"")"),"Għaliex kien l-avukat Olandiż li mar il-Belġju filwaqt li ta parir lil klijent f'każ tas-soċjetà soċjali qal li ma jistax ikompli?")</f>
        <v>Għaliex kien l-avukat Olandiż li mar il-Belġju filwaqt li ta parir lil klijent f'każ tas-soċjetà soċjali qal li ma jistax ikompli?</v>
      </c>
    </row>
    <row r="1769" ht="15.75" customHeight="1">
      <c r="A1769" s="2" t="s">
        <v>1769</v>
      </c>
      <c r="B1769" s="2" t="str">
        <f>IFERROR(__xludf.DUMMYFUNCTION("GOOGLETRANSLATE(A1769,""en"", ""mt"")"),"X'inhuma s-sorsi ewlenin tal-liġi primarja?")</f>
        <v>X'inhuma s-sorsi ewlenin tal-liġi primarja?</v>
      </c>
    </row>
    <row r="1770" ht="15.75" customHeight="1">
      <c r="A1770" s="2" t="s">
        <v>1770</v>
      </c>
      <c r="B1770" s="2" t="str">
        <f>IFERROR(__xludf.DUMMYFUNCTION("GOOGLETRANSLATE(A1770,""en"", ""mt"")"),"Is-Servizz tan-Netwerk tas-sinsla ta 'veloċità għolja ħafna (VBNS) ġie onlajn f'April 1995 bħala parti minn proġett sponsorjat tal-Fondazzjoni Nazzjonali tax-Xjenza (NSF) biex jipprovdi interkonnessjoni ta' veloċità għolja bejn ċentri ta 'superkompjuters "&amp;"sponsorjati mill-NSF u punti ta' aċċess magħżula fl-Istati Uniti. In-netwerk kien inġinerija u mħaddem minn telekomunikazzjonijiet MCI taħt ftehim kooperattiv mal-NSF. Sal-1998, il-VBNs kienu kibru biex jgħaqqdu aktar minn 100 università u istituzzjonijie"&amp;"t ta 'riċerka u inġinerija permezz ta '12 -il punt nazzjonali ta' preżenza ma 'DS-3 (45 mbit / s), OC-3C (155 mbit / s), u OC-12C ( 622 Mbit / s) links fuq is-sinsla kollha tal-OC-12C, proeza sostanzjali ta 'inġinerija għal dak iż-żmien. Il-VBNs installaw"&amp;" waħda mill-ewwel produzzjoni ta ’links IP OC-48C (2.5 GBIT / S) fi Frar 1999 u kompliet taġġorna s-sinsla kollha għal OC-48C.")</f>
        <v>Is-Servizz tan-Netwerk tas-sinsla ta 'veloċità għolja ħafna (VBNS) ġie onlajn f'April 1995 bħala parti minn proġett sponsorjat tal-Fondazzjoni Nazzjonali tax-Xjenza (NSF) biex jipprovdi interkonnessjoni ta' veloċità għolja bejn ċentri ta 'superkompjuters sponsorjati mill-NSF u punti ta' aċċess magħżula fl-Istati Uniti. In-netwerk kien inġinerija u mħaddem minn telekomunikazzjonijiet MCI taħt ftehim kooperattiv mal-NSF. Sal-1998, il-VBNs kienu kibru biex jgħaqqdu aktar minn 100 università u istituzzjonijiet ta 'riċerka u inġinerija permezz ta '12 -il punt nazzjonali ta' preżenza ma 'DS-3 (45 mbit / s), OC-3C (155 mbit / s), u OC-12C ( 622 Mbit / s) links fuq is-sinsla kollha tal-OC-12C, proeza sostanzjali ta 'inġinerija għal dak iż-żmien. Il-VBNs installaw waħda mill-ewwel produzzjoni ta ’links IP OC-48C (2.5 GBIT / S) fi Frar 1999 u kompliet taġġorna s-sinsla kollha għal OC-48C.</v>
      </c>
    </row>
    <row r="1771" ht="15.75" customHeight="1">
      <c r="A1771" s="2" t="s">
        <v>1771</v>
      </c>
      <c r="B1771" s="2" t="str">
        <f>IFERROR(__xludf.DUMMYFUNCTION("GOOGLETRANSLATE(A1771,""en"", ""mt"")"),"Kuntratturi D&amp;B")</f>
        <v>Kuntratturi D&amp;B</v>
      </c>
    </row>
    <row r="1772" ht="15.75" customHeight="1">
      <c r="A1772" s="2" t="s">
        <v>1772</v>
      </c>
      <c r="B1772" s="2" t="str">
        <f>IFERROR(__xludf.DUMMYFUNCTION("GOOGLETRANSLATE(A1772,""en"", ""mt"")"),"X.25")</f>
        <v>X.25</v>
      </c>
    </row>
    <row r="1773" ht="15.75" customHeight="1">
      <c r="A1773" s="2" t="s">
        <v>1773</v>
      </c>
      <c r="B1773" s="2" t="str">
        <f>IFERROR(__xludf.DUMMYFUNCTION("GOOGLETRANSLATE(A1773,""en"", ""mt"")"),"X'inhi t-tul tas-sena akkademika ta 'Harvard?")</f>
        <v>X'inhi t-tul tas-sena akkademika ta 'Harvard?</v>
      </c>
    </row>
    <row r="1774" ht="15.75" customHeight="1">
      <c r="A1774" s="2" t="s">
        <v>1774</v>
      </c>
      <c r="B1774" s="2" t="str">
        <f>IFERROR(__xludf.DUMMYFUNCTION("GOOGLETRANSLATE(A1774,""en"", ""mt"")"),"F'liema każ il-Qorti tal-Ġustizzja kienet tgħid li l-avukati Taljani li qed jikkonformaw mat-tariffi massimi sakemm ma kienx hemm ftehim ma 'klijent ma kienx restrizzjoni?")</f>
        <v>F'liema każ il-Qorti tal-Ġustizzja kienet tgħid li l-avukati Taljani li qed jikkonformaw mat-tariffi massimi sakemm ma kienx hemm ftehim ma 'klijent ma kienx restrizzjoni?</v>
      </c>
    </row>
    <row r="1775" ht="15.75" customHeight="1">
      <c r="A1775" s="2" t="s">
        <v>1775</v>
      </c>
      <c r="B1775" s="2" t="str">
        <f>IFERROR(__xludf.DUMMYFUNCTION("GOOGLETRANSLATE(A1775,""en"", ""mt"")"),"Billi tassumi l-kompitu li jinterpretaw it-trattati, u taċċellera l-integrazzjoni ekonomika u politika")</f>
        <v>Billi tassumi l-kompitu li jinterpretaw it-trattati, u taċċellera l-integrazzjoni ekonomika u politika</v>
      </c>
    </row>
    <row r="1776" ht="15.75" customHeight="1">
      <c r="A1776" s="2" t="s">
        <v>1776</v>
      </c>
      <c r="B1776" s="2" t="str">
        <f>IFERROR(__xludf.DUMMYFUNCTION("GOOGLETRANSLATE(A1776,""en"", ""mt"")"),"Side tal-Punent")</f>
        <v>Side tal-Punent</v>
      </c>
    </row>
    <row r="1777" ht="15.75" customHeight="1">
      <c r="A1777" s="2" t="s">
        <v>1777</v>
      </c>
      <c r="B1777" s="2" t="str">
        <f>IFERROR(__xludf.DUMMYFUNCTION("GOOGLETRANSLATE(A1777,""en"", ""mt"")"),"Kemm għandha drawwa l-liġi konswetudinarja Norman?")</f>
        <v>Kemm għandha drawwa l-liġi konswetudinarja Norman?</v>
      </c>
    </row>
    <row r="1778" ht="15.75" customHeight="1">
      <c r="A1778" s="2" t="s">
        <v>1778</v>
      </c>
      <c r="B1778" s="2" t="str">
        <f>IFERROR(__xludf.DUMMYFUNCTION("GOOGLETRANSLATE(A1778,""en"", ""mt"")"),"X’għamel l-editt għal Huguenots fi Franza?")</f>
        <v>X’għamel l-editt għal Huguenots fi Franza?</v>
      </c>
    </row>
    <row r="1779" ht="15.75" customHeight="1">
      <c r="A1779" s="2" t="s">
        <v>1779</v>
      </c>
      <c r="B1779" s="2" t="str">
        <f>IFERROR(__xludf.DUMMYFUNCTION("GOOGLETRANSLATE(A1779,""en"", ""mt"")"),"Is-sommarju eżekuttiv tar-rapport tas-Sommarju WG I għal dawk li jfasslu l-politika jgħid li huma ċerti li l-emissjonijiet li jirriżultaw mill-attivitajiet tal-bniedem qed iżidu sostanzjalment il-konċentrazzjonijiet atmosferiċi tal-gassijiet serra, li jir"&amp;"riżultaw bħala medja fi tisħin addizzjonali tal-wiċċ tad-Dinja. Huma jikkalkulaw b'kunfidenza li s-CO2 kien responsabbli għal aktar minn nofs l-effett ta 'serra msaħħa. Huma jbassru li taħt xenarju ta '""negozju bħas-soltu"" (BAU), it-temperatura medja gl"&amp;"obali tiżdied b'madwar 0.3 ° C kull għaxar snin matul is-seklu [21]. Huma jiġġudikaw li t-temperatura medja globali tal-arja tal-wiċċ żdiedet b'0.3 sa 0.6 ° C matul l-aħħar 100 sena, b'mod wiesa 'konsistenti mal-previżjoni tal-mudelli klimatiċi, iżda wkol"&amp;"l tal-istess kobor bħall-varjabbiltà tal-klima naturali. L-iskoperta mhux ekwivoka tal-effett ta 'serra msaħħa x'aktarx għal għaxar snin jew aktar.")</f>
        <v>Is-sommarju eżekuttiv tar-rapport tas-Sommarju WG I għal dawk li jfasslu l-politika jgħid li huma ċerti li l-emissjonijiet li jirriżultaw mill-attivitajiet tal-bniedem qed iżidu sostanzjalment il-konċentrazzjonijiet atmosferiċi tal-gassijiet serra, li jirriżultaw bħala medja fi tisħin addizzjonali tal-wiċċ tad-Dinja. Huma jikkalkulaw b'kunfidenza li s-CO2 kien responsabbli għal aktar minn nofs l-effett ta 'serra msaħħa. Huma jbassru li taħt xenarju ta '"negozju bħas-soltu" (BAU), it-temperatura medja globali tiżdied b'madwar 0.3 ° C kull għaxar snin matul is-seklu [21]. Huma jiġġudikaw li t-temperatura medja globali tal-arja tal-wiċċ żdiedet b'0.3 sa 0.6 ° C matul l-aħħar 100 sena, b'mod wiesa 'konsistenti mal-previżjoni tal-mudelli klimatiċi, iżda wkoll tal-istess kobor bħall-varjabbiltà tal-klima naturali. L-iskoperta mhux ekwivoka tal-effett ta 'serra msaħħa x'aktarx għal għaxar snin jew aktar.</v>
      </c>
    </row>
    <row r="1780" ht="15.75" customHeight="1">
      <c r="A1780" s="2" t="s">
        <v>1780</v>
      </c>
      <c r="B1780" s="2" t="str">
        <f>IFERROR(__xludf.DUMMYFUNCTION("GOOGLETRANSLATE(A1780,""en"", ""mt"")"),"Għaliex id-ditti jissostitwixxu tagħmir għall-ħaddiema?")</f>
        <v>Għaliex id-ditti jissostitwixxu tagħmir għall-ħaddiema?</v>
      </c>
    </row>
    <row r="1781" ht="15.75" customHeight="1">
      <c r="A1781" s="2" t="s">
        <v>1781</v>
      </c>
      <c r="B1781" s="2" t="str">
        <f>IFERROR(__xludf.DUMMYFUNCTION("GOOGLETRANSLATE(A1781,""en"", ""mt"")"),"Teorija waħda hija li, filwaqt li d-diżubbidjenza tista 'tkun ta' għajnuna, kwalunkwe ammont kbir minnha jista 'jdgħajjef il-liġi billi jinkoraġġixxi diżubbidjenza ġenerali li la hija kuxjenzjuża u lanqas ta' benefiċċju soċjali. Għalhekk, il-liġijiet tal-"&amp;"liġijiet kuxjenzjużi għandhom jiġu kkastigati. Michael Bayles jargumenta li jekk persuna tikser liġi sabiex toħloq każ ta 'test dwar il-kostituzzjonalità ta' liġi, u mbagħad jirbaħ il-każ tiegħu, allura dak l-att ma jikkostitwixxix diżubbidjenza ċivili. Ġ"&amp;"ie argumentat ukoll li t-tkissir tal-liġi għall-awto-sodisfazzjon, bħal fil-każ ta 'utent omosesswali jew tal-kannabis li ma jidderieġix l-att tiegħu biex jiżgura r-revoka ta' emenda tal-liġi, mhix diżubbidjenza ċivili. Bl-istess mod, protestant li jippro"&amp;"va jaħrab mill-kastig billi wettaq ir-reat bil-moħbi u jevita l-attribuzzjoni, jew billi jiċħad li wettaq ir-reat, jew billi jaħarbu mill-ġurisdizzjoni, ġeneralment huwa meqjus bħala li mhux bħala diżubbidjenti ċivili.")</f>
        <v>Teorija waħda hija li, filwaqt li d-diżubbidjenza tista 'tkun ta' għajnuna, kwalunkwe ammont kbir minnha jista 'jdgħajjef il-liġi billi jinkoraġġixxi diżubbidjenza ġenerali li la hija kuxjenzjuża u lanqas ta' benefiċċju soċjali. Għalhekk, il-liġijiet tal-liġijiet kuxjenzjużi għandhom jiġu kkastigati. Michael Bayles jargumenta li jekk persuna tikser liġi sabiex toħloq każ ta 'test dwar il-kostituzzjonalità ta' liġi, u mbagħad jirbaħ il-każ tiegħu, allura dak l-att ma jikkostitwixxix diżubbidjenza ċivili. Ġie argumentat ukoll li t-tkissir tal-liġi għall-awto-sodisfazzjon, bħal fil-każ ta 'utent omosesswali jew tal-kannabis li ma jidderieġix l-att tiegħu biex jiżgura r-revoka ta' emenda tal-liġi, mhix diżubbidjenza ċivili. Bl-istess mod, protestant li jipprova jaħrab mill-kastig billi wettaq ir-reat bil-moħbi u jevita l-attribuzzjoni, jew billi jiċħad li wettaq ir-reat, jew billi jaħarbu mill-ġurisdizzjoni, ġeneralment huwa meqjus bħala li mhux bħala diżubbidjenti ċivili.</v>
      </c>
    </row>
    <row r="1782" ht="15.75" customHeight="1">
      <c r="A1782" s="2" t="s">
        <v>1782</v>
      </c>
      <c r="B1782" s="2" t="str">
        <f>IFERROR(__xludf.DUMMYFUNCTION("GOOGLETRANSLATE(A1782,""en"", ""mt"")"),"Kif ġie ppremjat Sadat mill-Iżlamisti għat-tentattivi tiegħu biex iġib l-Eġittu fi żminijiet moderni u ċiviltà?")</f>
        <v>Kif ġie ppremjat Sadat mill-Iżlamisti għat-tentattivi tiegħu biex iġib l-Eġittu fi żminijiet moderni u ċiviltà?</v>
      </c>
    </row>
    <row r="1783" ht="15.75" customHeight="1">
      <c r="A1783" s="2" t="s">
        <v>1783</v>
      </c>
      <c r="B1783" s="2" t="str">
        <f>IFERROR(__xludf.DUMMYFUNCTION("GOOGLETRANSLATE(A1783,""en"", ""mt"")"),"L-ossiġnu huwa preżenti fl-atmosfera fi kwantitajiet ta 'traċċa fil-forma ta' dijossidu tal-karbonju (CO
2). Il-blat tal-qoxra tad-Dinja huwa magħmul f'parti kbira ta 'ossidi tas-silikon (Silica Sio
2, kif misjub fil-granit u l-kwarz), aluminju (ossidu ta"&amp;"l-aluminju al
2o
3, fil-bauxite u l-kurundun), ħadid (ħadid (iii) ossidu Fe
2o
3, fl-ematite u s-sadid), u karbonat tal-kalċju (fil-franka). Il-kumplament tal-qoxra tad-dinja huwa magħmul ukoll minn komposti ta 'ossiġnu, b'mod partikolari diversi silikati"&amp;" kumplessi (f'minerali tas-silikat). Il-mantell tad-Dinja, ta 'massa ferm akbar mill-qoxra, huwa magħmul fil-biċċa l-kbira minn silikati ta' manjeżju u ħadid.")</f>
        <v>L-ossiġnu huwa preżenti fl-atmosfera fi kwantitajiet ta 'traċċa fil-forma ta' dijossidu tal-karbonju (CO
2). Il-blat tal-qoxra tad-Dinja huwa magħmul f'parti kbira ta 'ossidi tas-silikon (Silica Sio
2, kif misjub fil-granit u l-kwarz), aluminju (ossidu tal-aluminju al
2o
3, fil-bauxite u l-kurundun), ħadid (ħadid (iii) ossidu Fe
2o
3, fl-ematite u s-sadid), u karbonat tal-kalċju (fil-franka). Il-kumplament tal-qoxra tad-dinja huwa magħmul ukoll minn komposti ta 'ossiġnu, b'mod partikolari diversi silikati kumplessi (f'minerali tas-silikat). Il-mantell tad-Dinja, ta 'massa ferm akbar mill-qoxra, huwa magħmul fil-biċċa l-kbira minn silikati ta' manjeżju u ħadid.</v>
      </c>
    </row>
    <row r="1784" ht="15.75" customHeight="1">
      <c r="A1784" s="2" t="s">
        <v>1784</v>
      </c>
      <c r="B1784" s="2" t="str">
        <f>IFERROR(__xludf.DUMMYFUNCTION("GOOGLETRANSLATE(A1784,""en"", ""mt"")"),"Jista 'jkun daħal fl-Ewropa f'żewġ mewġ")</f>
        <v>Jista 'jkun daħal fl-Ewropa f'żewġ mewġ</v>
      </c>
    </row>
    <row r="1785" ht="15.75" customHeight="1">
      <c r="A1785" s="2" t="s">
        <v>1785</v>
      </c>
      <c r="B1785" s="2" t="str">
        <f>IFERROR(__xludf.DUMMYFUNCTION("GOOGLETRANSLATE(A1785,""en"", ""mt"")"),"(tip ta '""avvelenament mid-demm""")</f>
        <v>(tip ta '"avvelenament mid-demm"</v>
      </c>
    </row>
    <row r="1786" ht="15.75" customHeight="1">
      <c r="A1786" s="2" t="s">
        <v>1786</v>
      </c>
      <c r="B1786" s="2" t="str">
        <f>IFERROR(__xludf.DUMMYFUNCTION("GOOGLETRANSLATE(A1786,""en"", ""mt"")"),"Protokoll tal-Internet (IP)")</f>
        <v>Protokoll tal-Internet (IP)</v>
      </c>
    </row>
    <row r="1787" ht="15.75" customHeight="1">
      <c r="A1787" s="2" t="s">
        <v>1787</v>
      </c>
      <c r="B1787" s="2" t="str">
        <f>IFERROR(__xludf.DUMMYFUNCTION("GOOGLETRANSLATE(A1787,""en"", ""mt"")"),"Liema żewġ ferroviji għandhom railyards fil-belt ta 'Fresno?")</f>
        <v>Liema żewġ ferroviji għandhom railyards fil-belt ta 'Fresno?</v>
      </c>
    </row>
    <row r="1788" ht="15.75" customHeight="1">
      <c r="A1788" s="2" t="s">
        <v>1788</v>
      </c>
      <c r="B1788" s="2" t="str">
        <f>IFERROR(__xludf.DUMMYFUNCTION("GOOGLETRANSLATE(A1788,""en"", ""mt"")"),"Għaliex kien maħsub li ċ-ctenophores kienu dieta ħażina għal annimali oħra?")</f>
        <v>Għaliex kien maħsub li ċ-ctenophores kienu dieta ħażina għal annimali oħra?</v>
      </c>
    </row>
    <row r="1789" ht="15.75" customHeight="1">
      <c r="A1789" s="2" t="s">
        <v>1789</v>
      </c>
      <c r="B1789" s="2" t="str">
        <f>IFERROR(__xludf.DUMMYFUNCTION("GOOGLETRANSLATE(A1789,""en"", ""mt"")"),"L-ossiġenu huwa element kimiku bis-simbolu O u n-numru atomiku 8. Huwa membru tal-grupp ta 'chalcogen fuq it-tabella perjodika u huwa aġent mhux immetattiv u ossidanti reattiv ħafna li faċilment jifforma komposti (l-aktar ossidi) b'ħafna elementi. Bil-mas"&amp;"sa, l-ossiġnu huwa t-tielet l-iktar element abbundanti fl-univers, wara l-idroġenu u l-elju. F'temperatura u pressjoni standard, żewġ atomi ta 'l-element jorbtu biex jiffurmaw dijossiġnu, gass diatomiku bla kulur u bla riħa bil-formula o
2. Il-gass ossiġe"&amp;"nu diatomiku jikkostitwixxi 20.8% tal-atmosfera tad-dinja. Madankollu, il-monitoraġġ tal-livelli ta 'ossiġnu atmosferiku juri xejra' l isfel globali, minħabba ħruq ta 'fjuwils fossili. L-ossiġnu huwa l-iktar element abbundanti bil-massa fil-qoxra tad-dinj"&amp;"a bħala parti mill-komposti ta 'ossidu bħal dijossidu tas-silikon, li jifforma kważi nofs il-massa tal-qoxra.")</f>
        <v>L-ossiġenu huwa element kimiku bis-simbolu O u n-numru atomiku 8. Huwa membru tal-grupp ta 'chalcogen fuq it-tabella perjodika u huwa aġent mhux immetattiv u ossidanti reattiv ħafna li faċilment jifforma komposti (l-aktar ossidi) b'ħafna elementi. Bil-massa, l-ossiġnu huwa t-tielet l-iktar element abbundanti fl-univers, wara l-idroġenu u l-elju. F'temperatura u pressjoni standard, żewġ atomi ta 'l-element jorbtu biex jiffurmaw dijossiġnu, gass diatomiku bla kulur u bla riħa bil-formula o
2. Il-gass ossiġenu diatomiku jikkostitwixxi 20.8% tal-atmosfera tad-dinja. Madankollu, il-monitoraġġ tal-livelli ta 'ossiġnu atmosferiku juri xejra' l isfel globali, minħabba ħruq ta 'fjuwils fossili. L-ossiġnu huwa l-iktar element abbundanti bil-massa fil-qoxra tad-dinja bħala parti mill-komposti ta 'ossidu bħal dijossidu tas-silikon, li jifforma kważi nofs il-massa tal-qoxra.</v>
      </c>
    </row>
    <row r="1790" ht="15.75" customHeight="1">
      <c r="A1790" s="2" t="s">
        <v>1790</v>
      </c>
      <c r="B1790" s="2" t="str">
        <f>IFERROR(__xludf.DUMMYFUNCTION("GOOGLETRANSLATE(A1790,""en"", ""mt"")"),"Dan ifisser li f'sistema magħluqa ta 'partiċelli, m'hemm l-ebda forzi interni li huma żbilanċjati. Jiġifieri, il-forza ta 'reazzjoni ta' azzjoni maqsuma bejn kwalunkwe żewġ oġġetti f'sistema magħluqa ma tikkawżax li ċ-ċentru tal-massa tas-sistema jaċċelle"&amp;"ra. L-oġġetti kostitwenti jaċċelleraw biss fir-rigward ta 'xulxin, is-sistema nnifisha tibqa' mhux aċċellerata. Alternattivament, jekk forza esterna taġixxi fis-sistema, allura ċ-ċentru tal-massa jesperjenza aċċelerazzjoni proporzjonali għall-kobor tal-fo"&amp;"rza esterna maqsuma mill-massa tas-sistema.")</f>
        <v>Dan ifisser li f'sistema magħluqa ta 'partiċelli, m'hemm l-ebda forzi interni li huma żbilanċjati. Jiġifieri, il-forza ta 'reazzjoni ta' azzjoni maqsuma bejn kwalunkwe żewġ oġġetti f'sistema magħluqa ma tikkawżax li ċ-ċentru tal-massa tas-sistema jaċċellera. L-oġġetti kostitwenti jaċċelleraw biss fir-rigward ta 'xulxin, is-sistema nnifisha tibqa' mhux aċċellerata. Alternattivament, jekk forza esterna taġixxi fis-sistema, allura ċ-ċentru tal-massa jesperjenza aċċelerazzjoni proporzjonali għall-kobor tal-forza esterna maqsuma mill-massa tas-sistema.</v>
      </c>
    </row>
    <row r="1791" ht="15.75" customHeight="1">
      <c r="A1791" s="2" t="s">
        <v>1791</v>
      </c>
      <c r="B1791" s="2" t="str">
        <f>IFERROR(__xludf.DUMMYFUNCTION("GOOGLETRANSLATE(A1791,""en"", ""mt"")"),"Il-programmi akkademiċi ta 'Harvard joperaw fuq kalendarju tas-semestru li jibda fil-bidu ta' Settembru u jispiċċa f'nofs Mejju. L-universitarji tipikament jieħdu erba 'nofs korsijiet għal kull terminu u għandhom iżommu medja ta' erba 'korsijiet biex titq"&amp;"ies full-time. F’ħafna konċentrazzjonijiet, l-istudenti jistgħu jagħżlu li jsegwu programm bażiku jew programm eliġibbli għall-unuri li jeħtieġ teżi anzjana u / jew xogħol ta ’kors avvanzat. Studenti li jiggradwaw fl-aqwa 4-5% tal-klassi jingħataw gradi s"&amp;"umma cum laude, studenti fil-15% li ġejjin tal-klassi jingħataw Magna Cum Laude, u t-30% li jmiss tal-klassi jingħataw cum laude. Harvard għandu kapitoli ta 'soċjetajiet ta' unur akkademiku bħal Phi Beta Kappa u kumitati u dipartimenti varji wkoll jagħtu "&amp;"wkoll bosta mijiet ta 'premjijiet imsemmija kull sena. Harvard, flimkien ma 'universitajiet oħra, ġie akkużat b'inflazzjoni ta' grad, għalkemm hemm evidenza li l-kwalità tal-korp tal-istudenti u l-motivazzjoni tiegħu żdiedet ukoll. Il-Kulleġġ ta 'Harvard "&amp;"naqqas in-numru ta' studenti li jirċievu unuri Latini minn 90% fl-2004 għal 60% fl-2005. Barra minn hekk, l-unuri ta '""John Harvard Scholar"" u ""Harvard College Scholar"" issa se jingħataw biss lill-aqwa 5 fil-mija u 5 fil-mija li jmiss ta 'kull klassi.")</f>
        <v>Il-programmi akkademiċi ta 'Harvard joperaw fuq kalendarju tas-semestru li jibda fil-bidu ta' Settembru u jispiċċa f'nofs Mejju. L-universitarji tipikament jieħdu erba 'nofs korsijiet għal kull terminu u għandhom iżommu medja ta' erba 'korsijiet biex titqies full-time. F’ħafna konċentrazzjonijiet, l-istudenti jistgħu jagħżlu li jsegwu programm bażiku jew programm eliġibbli għall-unuri li jeħtieġ teżi anzjana u / jew xogħol ta ’kors avvanzat. Studenti li jiggradwaw fl-aqwa 4-5% tal-klassi jingħataw gradi summa cum laude, studenti fil-15% li ġejjin tal-klassi jingħataw Magna Cum Laude, u t-30% li jmiss tal-klassi jingħataw cum laude. Harvard għandu kapitoli ta 'soċjetajiet ta' unur akkademiku bħal Phi Beta Kappa u kumitati u dipartimenti varji wkoll jagħtu wkoll bosta mijiet ta 'premjijiet imsemmija kull sena. Harvard, flimkien ma 'universitajiet oħra, ġie akkużat b'inflazzjoni ta' grad, għalkemm hemm evidenza li l-kwalità tal-korp tal-istudenti u l-motivazzjoni tiegħu żdiedet ukoll. Il-Kulleġġ ta 'Harvard naqqas in-numru ta' studenti li jirċievu unuri Latini minn 90% fl-2004 għal 60% fl-2005. Barra minn hekk, l-unuri ta '"John Harvard Scholar" u "Harvard College Scholar" issa se jingħataw biss lill-aqwa 5 fil-mija u 5 fil-mija li jmiss ta 'kull klassi.</v>
      </c>
    </row>
    <row r="1792" ht="15.75" customHeight="1">
      <c r="A1792" s="2" t="s">
        <v>1792</v>
      </c>
      <c r="B1792" s="2" t="str">
        <f>IFERROR(__xludf.DUMMYFUNCTION("GOOGLETRANSLATE(A1792,""en"", ""mt"")"),"Wrecking")</f>
        <v>Wrecking</v>
      </c>
    </row>
    <row r="1793" ht="15.75" customHeight="1">
      <c r="A1793" s="2" t="s">
        <v>1793</v>
      </c>
      <c r="B1793" s="2" t="str">
        <f>IFERROR(__xludf.DUMMYFUNCTION("GOOGLETRANSLATE(A1793,""en"", ""mt"")"),"tgħaddi nixxiegħa ta 'arja nadifa u niexfa minn sodda waħda ta' par ta 'passaġġi molekulari żeoliti identiċi")</f>
        <v>tgħaddi nixxiegħa ta 'arja nadifa u niexfa minn sodda waħda ta' par ta 'passaġġi molekulari żeoliti identiċi</v>
      </c>
    </row>
    <row r="1794" ht="15.75" customHeight="1">
      <c r="A1794" s="2" t="s">
        <v>1794</v>
      </c>
      <c r="B1794" s="2" t="str">
        <f>IFERROR(__xludf.DUMMYFUNCTION("GOOGLETRANSLATE(A1794,""en"", ""mt"")"),"Liema żewġ qrati japplikaw il-liġi tal-Unjoni Ewropea?")</f>
        <v>Liema żewġ qrati japplikaw il-liġi tal-Unjoni Ewropea?</v>
      </c>
    </row>
    <row r="1795" ht="15.75" customHeight="1">
      <c r="A1795" s="2" t="s">
        <v>1795</v>
      </c>
      <c r="B1795" s="2" t="str">
        <f>IFERROR(__xludf.DUMMYFUNCTION("GOOGLETRANSLATE(A1795,""en"", ""mt"")"),"X'tipi ta 'responsabbiltajiet jista' jkollu tekniku tal-ispiżerija?")</f>
        <v>X'tipi ta 'responsabbiltajiet jista' jkollu tekniku tal-ispiżerija?</v>
      </c>
    </row>
    <row r="1796" ht="15.75" customHeight="1">
      <c r="A1796" s="2" t="s">
        <v>1796</v>
      </c>
      <c r="B1796" s="2" t="str">
        <f>IFERROR(__xludf.DUMMYFUNCTION("GOOGLETRANSLATE(A1796,""en"", ""mt"")"),"Min rebaħ il-Kampjonat Ekstraklasa fl-2000?")</f>
        <v>Min rebaħ il-Kampjonat Ekstraklasa fl-2000?</v>
      </c>
    </row>
    <row r="1797" ht="15.75" customHeight="1">
      <c r="A1797" s="2" t="s">
        <v>1797</v>
      </c>
      <c r="B1797" s="2" t="str">
        <f>IFERROR(__xludf.DUMMYFUNCTION("GOOGLETRANSLATE(A1797,""en"", ""mt"")"),"Trasmissjoni orjentata lejn il-konnessjoni teħtieġ fażi ta 'setup f'kull punt involut qabel ma jiġi trasferit kwalunkwe pakkett biex jistabbilixxi l-parametri tal-komunikazzjoni. Il-pakketti jinkludu identifikatur tal-konnessjoni aktar milli informazzjoni"&amp;" dwar l-indirizz u huma nnegozjati bejn il-punti finali sabiex dawn jiġu kkonsenjati fl-ordni u bl-iċċekkjar tal-iżbalji. L-informazzjoni dwar l-indirizz hija trasferita biss għal kull għoqda matul il-fażi ta 'twaqqif ta' konnessjoni, meta tiġi skoperta r"&amp;"-rotta lejn id-destinazzjoni u dħul jiġi miżjud mat-tabella tal-iswiċċ f'kull nodu tan-netwerk li minnu tgħaddi l-konnessjoni. Il-protokolli tas-sinjalar użati jippermettu li l-applikazzjoni tispeċifika r-rekwiżiti tagħha u tiskopri parametri tal-link. Va"&amp;"luri aċċettabbli għall-parametri tas-servizz jistgħu jiġu nnegozjati. Ir-rotta ta 'pakkett teħtieġ li l-għoqda tfittex l-ID tal-konnessjoni f'tabella. L-intestatura tal-pakkett tista 'tkun żgħira, peress li teħtieġ biss li tinkludi dan il-kodiċi u kwalunk"&amp;"we informazzjoni, bħal tul, timestamp, jew numru ta' sekwenza, li huwa differenti għal pakketti differenti.")</f>
        <v>Trasmissjoni orjentata lejn il-konnessjoni teħtieġ fażi ta 'setup f'kull punt involut qabel ma jiġi trasferit kwalunkwe pakkett biex jistabbilixxi l-parametri tal-komunikazzjoni. Il-pakketti jinkludu identifikatur tal-konnessjoni aktar milli informazzjoni dwar l-indirizz u huma nnegozjati bejn il-punti finali sabiex dawn jiġu kkonsenjati fl-ordni u bl-iċċekkjar tal-iżbalji. L-informazzjoni dwar l-indirizz hija trasferita biss għal kull għoqda matul il-fażi ta 'twaqqif ta' konnessjoni, meta tiġi skoperta r-rotta lejn id-destinazzjoni u dħul jiġi miżjud mat-tabella tal-iswiċċ f'kull nodu tan-netwerk li minnu tgħaddi l-konnessjoni. Il-protokolli tas-sinjalar użati jippermettu li l-applikazzjoni tispeċifika r-rekwiżiti tagħha u tiskopri parametri tal-link. Valuri aċċettabbli għall-parametri tas-servizz jistgħu jiġu nnegozjati. Ir-rotta ta 'pakkett teħtieġ li l-għoqda tfittex l-ID tal-konnessjoni f'tabella. L-intestatura tal-pakkett tista 'tkun żgħira, peress li teħtieġ biss li tinkludi dan il-kodiċi u kwalunkwe informazzjoni, bħal tul, timestamp, jew numru ta' sekwenza, li huwa differenti għal pakketti differenti.</v>
      </c>
    </row>
    <row r="1798" ht="15.75" customHeight="1">
      <c r="A1798" s="2" t="s">
        <v>1798</v>
      </c>
      <c r="B1798" s="2" t="str">
        <f>IFERROR(__xludf.DUMMYFUNCTION("GOOGLETRANSLATE(A1798,""en"", ""mt"")"),"Liema komposti huma rilaxxati minn ċelloli mweġġa 'jew infettati, li jikkawżaw infjammazzjoni?")</f>
        <v>Liema komposti huma rilaxxati minn ċelloli mweġġa 'jew infettati, li jikkawżaw infjammazzjoni?</v>
      </c>
    </row>
    <row r="1799" ht="15.75" customHeight="1">
      <c r="A1799" s="2" t="s">
        <v>1799</v>
      </c>
      <c r="B1799" s="2" t="str">
        <f>IFERROR(__xludf.DUMMYFUNCTION("GOOGLETRANSLATE(A1799,""en"", ""mt"")"),"Bell Northern Research")</f>
        <v>Bell Northern Research</v>
      </c>
    </row>
    <row r="1800" ht="15.75" customHeight="1">
      <c r="A1800" s="2" t="s">
        <v>1800</v>
      </c>
      <c r="B1800" s="2" t="str">
        <f>IFERROR(__xludf.DUMMYFUNCTION("GOOGLETRANSLATE(A1800,""en"", ""mt"")"),"X'inhuma l-ispiżjara fir-Renju Unit li qed jitħallsu dejjem aktar?")</f>
        <v>X'inhuma l-ispiżjara fir-Renju Unit li qed jitħallsu dejjem aktar?</v>
      </c>
    </row>
    <row r="1801" ht="15.75" customHeight="1">
      <c r="A1801" s="2" t="s">
        <v>1801</v>
      </c>
      <c r="B1801" s="2" t="str">
        <f>IFERROR(__xludf.DUMMYFUNCTION("GOOGLETRANSLATE(A1801,""en"", ""mt"")"),"Aspetti Alġebriċi")</f>
        <v>Aspetti Alġebriċi</v>
      </c>
    </row>
    <row r="1802" ht="15.75" customHeight="1">
      <c r="A1802" s="2" t="s">
        <v>1802</v>
      </c>
      <c r="B1802" s="2" t="str">
        <f>IFERROR(__xludf.DUMMYFUNCTION("GOOGLETRANSLATE(A1802,""en"", ""mt"")"),"Rxoxt")</f>
        <v>Rxoxt</v>
      </c>
    </row>
    <row r="1803" ht="15.75" customHeight="1">
      <c r="A1803" s="2" t="s">
        <v>1803</v>
      </c>
      <c r="B1803" s="2" t="str">
        <f>IFERROR(__xludf.DUMMYFUNCTION("GOOGLETRANSLATE(A1803,""en"", ""mt"")"),"Il-programm ta 'erba' snin full-time li għadu ma sarx jinkludi minoranza ta 'reġistrazzjonijiet fl-università u jenfasizza l-istruzzjoni ma' ""fokus tal-arti u x-xjenzi"". Bejn l-1978 u l-2008, l-istudenti jidħlu kienu meħtieġa jlestu kurrikulu ewlieni ta"&amp;" 'seba' klassijiet barra mill-konċentrazzjoni tagħhom. Mill-2008, studenti li għadhom ma ggradwawx kienu meħtieġa jlestu korsijiet fi tmien kategoriji ta 'edukazzjoni ġenerali: fehim estetiku u interpretattiv, kultura u twemmin, raġunament empiriku u mate"&amp;"matiku, raġunament etiku, xjenza tas-sistemi ħajjin, xjenza tal-univers fiżiku, soċjetajiet tad-dinja, u l-Istati Uniti fid-dinja. Harvard joffri programm komprensiv ta 'gradwati ta' dottorat u hemm livell għoli ta 'koeżistenza bejn il-gradi gradwati u da"&amp;"wk li għadhom ma ggradwawx. Il-Fondazzjoni Carnegie għall-Avvanzament tat-Tagħlim, in-New York Times, u xi studenti kkritikaw lil Harvard għad-dipendenza tagħha fuq it-tagħlim ta ’dawk li jwaqqfu għal xi aspetti tal-edukazzjoni li għadhom ma ggradwawx; Hu"&amp;"ma jqisu dan biex jaffettwa ħażin il-kwalità tal-edukazzjoni.")</f>
        <v>Il-programm ta 'erba' snin full-time li għadu ma sarx jinkludi minoranza ta 'reġistrazzjonijiet fl-università u jenfasizza l-istruzzjoni ma' "fokus tal-arti u x-xjenzi". Bejn l-1978 u l-2008, l-istudenti jidħlu kienu meħtieġa jlestu kurrikulu ewlieni ta 'seba' klassijiet barra mill-konċentrazzjoni tagħhom. Mill-2008, studenti li għadhom ma ggradwawx kienu meħtieġa jlestu korsijiet fi tmien kategoriji ta 'edukazzjoni ġenerali: fehim estetiku u interpretattiv, kultura u twemmin, raġunament empiriku u matematiku, raġunament etiku, xjenza tas-sistemi ħajjin, xjenza tal-univers fiżiku, soċjetajiet tad-dinja, u l-Istati Uniti fid-dinja. Harvard joffri programm komprensiv ta 'gradwati ta' dottorat u hemm livell għoli ta 'koeżistenza bejn il-gradi gradwati u dawk li għadhom ma ggradwawx. Il-Fondazzjoni Carnegie għall-Avvanzament tat-Tagħlim, in-New York Times, u xi studenti kkritikaw lil Harvard għad-dipendenza tagħha fuq it-tagħlim ta ’dawk li jwaqqfu għal xi aspetti tal-edukazzjoni li għadhom ma ggradwawx; Huma jqisu dan biex jaffettwa ħażin il-kwalità tal-edukazzjoni.</v>
      </c>
    </row>
    <row r="1804" ht="15.75" customHeight="1">
      <c r="A1804" s="2" t="s">
        <v>1804</v>
      </c>
      <c r="B1804" s="2" t="str">
        <f>IFERROR(__xludf.DUMMYFUNCTION("GOOGLETRANSLATE(A1804,""en"", ""mt"")"),"Elettriku, ilma, drenaġġ, telefon, u kejbil")</f>
        <v>Elettriku, ilma, drenaġġ, telefon, u kejbil</v>
      </c>
    </row>
    <row r="1805" ht="15.75" customHeight="1">
      <c r="A1805" s="2" t="s">
        <v>1805</v>
      </c>
      <c r="B1805" s="2" t="str">
        <f>IFERROR(__xludf.DUMMYFUNCTION("GOOGLETRANSLATE(A1805,""en"", ""mt"")"),"Emmerich Rhine Bridge")</f>
        <v>Emmerich Rhine Bridge</v>
      </c>
    </row>
    <row r="1806" ht="15.75" customHeight="1">
      <c r="A1806" s="2" t="s">
        <v>1806</v>
      </c>
      <c r="B1806" s="2" t="str">
        <f>IFERROR(__xludf.DUMMYFUNCTION("GOOGLETRANSLATE(A1806,""en"", ""mt"")"),"Ekwazzjoni ta 'Schrödinger")</f>
        <v>Ekwazzjoni ta 'Schrödinger</v>
      </c>
    </row>
    <row r="1807" ht="15.75" customHeight="1">
      <c r="A1807" s="2" t="s">
        <v>1807</v>
      </c>
      <c r="B1807" s="2" t="str">
        <f>IFERROR(__xludf.DUMMYFUNCTION("GOOGLETRANSLATE(A1807,""en"", ""mt"")"),"Liema Teorema tiddikjara li kull numru sħiħ kbir jista 'jinkiteb bħala prim fil-qosor ma' semiprime?")</f>
        <v>Liema Teorema tiddikjara li kull numru sħiħ kbir jista 'jinkiteb bħala prim fil-qosor ma' semiprime?</v>
      </c>
    </row>
    <row r="1808" ht="15.75" customHeight="1">
      <c r="A1808" s="2" t="s">
        <v>1808</v>
      </c>
      <c r="B1808" s="2" t="str">
        <f>IFERROR(__xludf.DUMMYFUNCTION("GOOGLETRANSLATE(A1808,""en"", ""mt"")"),"X'inhu t-terminu mogħti lill-algoritmi li jużaw bits bl-addoċċ?")</f>
        <v>X'inhu t-terminu mogħti lill-algoritmi li jużaw bits bl-addoċċ?</v>
      </c>
    </row>
    <row r="1809" ht="15.75" customHeight="1">
      <c r="A1809" s="2" t="s">
        <v>1809</v>
      </c>
      <c r="B1809" s="2" t="str">
        <f>IFERROR(__xludf.DUMMYFUNCTION("GOOGLETRANSLATE(A1809,""en"", ""mt"")"),"is-servizz tal-kuxxinett pubbliku telepad")</f>
        <v>is-servizz tal-kuxxinett pubbliku telepad</v>
      </c>
    </row>
    <row r="1810" ht="15.75" customHeight="1">
      <c r="A1810" s="2" t="s">
        <v>1810</v>
      </c>
      <c r="B1810" s="2" t="str">
        <f>IFERROR(__xludf.DUMMYFUNCTION("GOOGLETRANSLATE(A1810,""en"", ""mt"")"),"Riċerkaturi konservattivi argumentaw li l-inugwaljanza fid-dħul mhix sinifikanti minħabba li l-konsum, aktar milli d-dħul għandu jkun il-miżura ta 'l-inugwaljanza, u l-inugwaljanza tal-konsum hija inqas estrema mill-inugwaljanza tad-dħul fl-Istati Uniti. "&amp;"Wilkinson mill-Istitut Libertarian Cato se jiddikjara li ""l-piż tal-evidenza juri li t-tmexxija fl-inugwaljanza fil-konsum kienet konsiderevolment inqas drammatika miż-żieda fl-inugwaljanza tad-dħul,"" u l-konsum huwa iktar importanti mid-dħul. Skond Joh"&amp;"nson, Smeeding, u Tory, l-inugwaljanza fil-konsum kienet attwalment aktar baxxa fl-2001 milli kienet fl-1986. Id-dibattitu huwa mqassar f '""Il-Prosperità Moħbija tal-Fqar"" mill-ġurnalist Thomas B. Edsall. Studji oħra ma sabux inugwaljanza fil-konsum inq"&amp;"as drammatika mill-inugwaljanza fid-dħul tad-djar, u l-istudju tas-CBO sab dejta dwar il-konsum mhux ""b'mod adegwat"" li taqbad ""konsum minn djar bi dħul għoli"" bħalma jagħmel id-dħul tagħhom, għalkemm huwa jaqbel li n-numri tal-konsum tad-djar juru ak"&amp;"tar Distribuzzjoni ugwali mid-dħul tad-dar.")</f>
        <v>Riċerkaturi konservattivi argumentaw li l-inugwaljanza fid-dħul mhix sinifikanti minħabba li l-konsum, aktar milli d-dħul għandu jkun il-miżura ta 'l-inugwaljanza, u l-inugwaljanza tal-konsum hija inqas estrema mill-inugwaljanza tad-dħul fl-Istati Uniti. Wilkinson mill-Istitut Libertarian Cato se jiddikjara li "l-piż tal-evidenza juri li t-tmexxija fl-inugwaljanza fil-konsum kienet konsiderevolment inqas drammatika miż-żieda fl-inugwaljanza tad-dħul," u l-konsum huwa iktar importanti mid-dħul. Skond Johnson, Smeeding, u Tory, l-inugwaljanza fil-konsum kienet attwalment aktar baxxa fl-2001 milli kienet fl-1986. Id-dibattitu huwa mqassar f '"Il-Prosperità Moħbija tal-Fqar" mill-ġurnalist Thomas B. Edsall. Studji oħra ma sabux inugwaljanza fil-konsum inqas drammatika mill-inugwaljanza fid-dħul tad-djar, u l-istudju tas-CBO sab dejta dwar il-konsum mhux "b'mod adegwat" li taqbad "konsum minn djar bi dħul għoli" bħalma jagħmel id-dħul tagħhom, għalkemm huwa jaqbel li n-numri tal-konsum tad-djar juru aktar Distribuzzjoni ugwali mid-dħul tad-dar.</v>
      </c>
    </row>
    <row r="1811" ht="15.75" customHeight="1">
      <c r="A1811" s="2" t="s">
        <v>1811</v>
      </c>
      <c r="B1811" s="2" t="str">
        <f>IFERROR(__xludf.DUMMYFUNCTION("GOOGLETRANSLATE(A1811,""en"", ""mt"")"),"Mid-Atlantiku")</f>
        <v>Mid-Atlantiku</v>
      </c>
    </row>
    <row r="1812" ht="15.75" customHeight="1">
      <c r="A1812" s="2" t="s">
        <v>1812</v>
      </c>
      <c r="B1812" s="2" t="str">
        <f>IFERROR(__xludf.DUMMYFUNCTION("GOOGLETRANSLATE(A1812,""en"", ""mt"")"),"Oneida Carry")</f>
        <v>Oneida Carry</v>
      </c>
    </row>
    <row r="1813" ht="15.75" customHeight="1">
      <c r="A1813" s="2" t="s">
        <v>1813</v>
      </c>
      <c r="B1813" s="2" t="str">
        <f>IFERROR(__xludf.DUMMYFUNCTION("GOOGLETRANSLATE(A1813,""en"", ""mt"")"),"Terminal dial-up")</f>
        <v>Terminal dial-up</v>
      </c>
    </row>
    <row r="1814" ht="15.75" customHeight="1">
      <c r="A1814" s="2" t="s">
        <v>1814</v>
      </c>
      <c r="B1814" s="2" t="str">
        <f>IFERROR(__xludf.DUMMYFUNCTION("GOOGLETRANSLATE(A1814,""en"", ""mt"")"),"skola sekondarja")</f>
        <v>skola sekondarja</v>
      </c>
    </row>
    <row r="1815" ht="15.75" customHeight="1">
      <c r="A1815" s="2" t="s">
        <v>1815</v>
      </c>
      <c r="B1815" s="2" t="str">
        <f>IFERROR(__xludf.DUMMYFUNCTION("GOOGLETRANSLATE(A1815,""en"", ""mt"")"),"KPN irrefera għad-DataNet 1 bħala")</f>
        <v>KPN irrefera għad-DataNet 1 bħala</v>
      </c>
    </row>
    <row r="1816" ht="15.75" customHeight="1">
      <c r="A1816" s="2" t="s">
        <v>1816</v>
      </c>
      <c r="B1816" s="2" t="str">
        <f>IFERROR(__xludf.DUMMYFUNCTION("GOOGLETRANSLATE(A1816,""en"", ""mt"")"),"għat-tisfija tal-art tal-madwar u l-polders")</f>
        <v>għat-tisfija tal-art tal-madwar u l-polders</v>
      </c>
    </row>
    <row r="1817" ht="15.75" customHeight="1">
      <c r="A1817" s="2" t="s">
        <v>1817</v>
      </c>
      <c r="B1817" s="2" t="str">
        <f>IFERROR(__xludf.DUMMYFUNCTION("GOOGLETRANSLATE(A1817,""en"", ""mt"")"),"It-Tieni Gwerra Dinjija.")</f>
        <v>It-Tieni Gwerra Dinjija.</v>
      </c>
    </row>
    <row r="1818" ht="15.75" customHeight="1">
      <c r="A1818" s="2" t="s">
        <v>1818</v>
      </c>
      <c r="B1818" s="2" t="str">
        <f>IFERROR(__xludf.DUMMYFUNCTION("GOOGLETRANSLATE(A1818,""en"", ""mt"")"),"Trattat ta 'Hubertusburg fil-15 ta' Frar 1763")</f>
        <v>Trattat ta 'Hubertusburg fil-15 ta' Frar 1763</v>
      </c>
    </row>
    <row r="1819" ht="15.75" customHeight="1">
      <c r="A1819" s="2" t="s">
        <v>1819</v>
      </c>
      <c r="B1819" s="2" t="str">
        <f>IFERROR(__xludf.DUMMYFUNCTION("GOOGLETRANSLATE(A1819,""en"", ""mt"")"),"Port ta 'Los Angeles")</f>
        <v>Port ta 'Los Angeles</v>
      </c>
    </row>
    <row r="1820" ht="15.75" customHeight="1">
      <c r="A1820" s="2" t="s">
        <v>1820</v>
      </c>
      <c r="B1820" s="2" t="str">
        <f>IFERROR(__xludf.DUMMYFUNCTION("GOOGLETRANSLATE(A1820,""en"", ""mt"")"),"Fil-15 ta 'Awwissu, 1971, l-Istati Uniti inġibdu unilateralment mill-Accord ta' Bretton Woods. L-Istati Uniti abbandunaw l-istandard tal-iskambju tad-deheb li bih il-valur tad-dollaru kien imwaħħal mal-prezz tad-deheb u l-muniti l-oħra kollha kienu marbut"&amp;"a mad-dollaru, li l-valur tagħhom tħalla ""float"" (jitla 'u jaqa' skont id-domanda tas-suq). Ftit wara, segwiet il-Gran Brittanja, f’wiċċ l-isterlina tal-lira. In-nazzjonijiet industrijalizzati l-oħra segwew il-muniti rispettivi tagħhom. L-antiċipazzjoni"&amp;" li l-valuri tal-munita jvarjaw b'mod imprevedibbli għal żmien, in-nazzjonijiet industrijalizzati żiedu r-riżervi tagħhom (billi jespandu l-provvisti tal-flus tagħhom) f'ammonti ferm akbar minn qabel. Ir-riżultat kien deprezzament tad-dollaru u muniti ta "&amp;"'nazzjonijiet industrijalizzati oħra. Minħabba li ż-żejt kien ipprezzat f'dollari, id-dħul reali tal-produtturi taż-żejt naqas. F'Settembru 1971, l-OPEC ħarġet komunikat konġunt li jiddikjara li, minn dakinhar 'il quddiem, kienu se jġibu żejt f'termini ta"&amp;"' ammont fiss ta 'deheb.")</f>
        <v>Fil-15 ta 'Awwissu, 1971, l-Istati Uniti inġibdu unilateralment mill-Accord ta' Bretton Woods. L-Istati Uniti abbandunaw l-istandard tal-iskambju tad-deheb li bih il-valur tad-dollaru kien imwaħħal mal-prezz tad-deheb u l-muniti l-oħra kollha kienu marbuta mad-dollaru, li l-valur tagħhom tħalla "float" (jitla 'u jaqa' skont id-domanda tas-suq). Ftit wara, segwiet il-Gran Brittanja, f’wiċċ l-isterlina tal-lira. In-nazzjonijiet industrijalizzati l-oħra segwew il-muniti rispettivi tagħhom. L-antiċipazzjoni li l-valuri tal-munita jvarjaw b'mod imprevedibbli għal żmien, in-nazzjonijiet industrijalizzati żiedu r-riżervi tagħhom (billi jespandu l-provvisti tal-flus tagħhom) f'ammonti ferm akbar minn qabel. Ir-riżultat kien deprezzament tad-dollaru u muniti ta 'nazzjonijiet industrijalizzati oħra. Minħabba li ż-żejt kien ipprezzat f'dollari, id-dħul reali tal-produtturi taż-żejt naqas. F'Settembru 1971, l-OPEC ħarġet komunikat konġunt li jiddikjara li, minn dakinhar 'il quddiem, kienu se jġibu żejt f'termini ta' ammont fiss ta 'deheb.</v>
      </c>
    </row>
    <row r="1821" ht="15.75" customHeight="1">
      <c r="A1821" s="2" t="s">
        <v>1821</v>
      </c>
      <c r="B1821" s="2" t="str">
        <f>IFERROR(__xludf.DUMMYFUNCTION("GOOGLETRANSLATE(A1821,""en"", ""mt"")"),"Applikazzjonijiet ta 'appoġġ bħal imħatri onlajn, applikazzjonijiet finanzjarji")</f>
        <v>Applikazzjonijiet ta 'appoġġ bħal imħatri onlajn, applikazzjonijiet finanzjarji</v>
      </c>
    </row>
    <row r="1822" ht="15.75" customHeight="1">
      <c r="A1822" s="2" t="s">
        <v>1822</v>
      </c>
      <c r="B1822" s="2" t="str">
        <f>IFERROR(__xludf.DUMMYFUNCTION("GOOGLETRANSLATE(A1822,""en"", ""mt"")"),"Fejn huma ċ-ċelloli speċjalizzati li jeliminaw iċ-ċelloli li jirrikonoxxu l-antiġeni tal-awto?")</f>
        <v>Fejn huma ċ-ċelloli speċjalizzati li jeliminaw iċ-ċelloli li jirrikonoxxu l-antiġeni tal-awto?</v>
      </c>
    </row>
    <row r="1823" ht="15.75" customHeight="1">
      <c r="A1823" s="2" t="s">
        <v>1823</v>
      </c>
      <c r="B1823" s="2" t="str">
        <f>IFERROR(__xludf.DUMMYFUNCTION("GOOGLETRANSLATE(A1823,""en"", ""mt"")"),"Min kiteb l-ewwel dwar l-iskoperta u l-fruntiera tar-Rhine?")</f>
        <v>Min kiteb l-ewwel dwar l-iskoperta u l-fruntiera tar-Rhine?</v>
      </c>
    </row>
    <row r="1824" ht="15.75" customHeight="1">
      <c r="A1824" s="2" t="s">
        <v>1824</v>
      </c>
      <c r="B1824" s="2" t="str">
        <f>IFERROR(__xludf.DUMMYFUNCTION("GOOGLETRANSLATE(A1824,""en"", ""mt"")"),"X'tip ta 'moviment hija l-Fratellanza Musulmana?")</f>
        <v>X'tip ta 'moviment hija l-Fratellanza Musulmana?</v>
      </c>
    </row>
    <row r="1825" ht="15.75" customHeight="1">
      <c r="A1825" s="2" t="s">
        <v>1825</v>
      </c>
      <c r="B1825" s="2" t="str">
        <f>IFERROR(__xludf.DUMMYFUNCTION("GOOGLETRANSLATE(A1825,""en"", ""mt"")"),"Dislodge lill-Franċiżi")</f>
        <v>Dislodge lill-Franċiżi</v>
      </c>
    </row>
    <row r="1826" ht="15.75" customHeight="1">
      <c r="A1826" s="2" t="s">
        <v>1826</v>
      </c>
      <c r="B1826" s="2" t="str">
        <f>IFERROR(__xludf.DUMMYFUNCTION("GOOGLETRANSLATE(A1826,""en"", ""mt"")"),"711.988")</f>
        <v>711.988</v>
      </c>
    </row>
    <row r="1827" ht="15.75" customHeight="1">
      <c r="A1827" s="2" t="s">
        <v>1827</v>
      </c>
      <c r="B1827" s="2" t="str">
        <f>IFERROR(__xludf.DUMMYFUNCTION("GOOGLETRANSLATE(A1827,""en"", ""mt"")"),"Il-liwja fuq ir-Renu tmur mill-punent għal liema direzzjoni?")</f>
        <v>Il-liwja fuq ir-Renu tmur mill-punent għal liema direzzjoni?</v>
      </c>
    </row>
    <row r="1828" ht="15.75" customHeight="1">
      <c r="A1828" s="2" t="s">
        <v>1828</v>
      </c>
      <c r="B1828" s="2" t="str">
        <f>IFERROR(__xludf.DUMMYFUNCTION("GOOGLETRANSLATE(A1828,""en"", ""mt"")"),"ikkumplikat")</f>
        <v>ikkumplikat</v>
      </c>
    </row>
    <row r="1829" ht="15.75" customHeight="1">
      <c r="A1829" s="2" t="s">
        <v>1829</v>
      </c>
      <c r="B1829" s="2" t="str">
        <f>IFERROR(__xludf.DUMMYFUNCTION("GOOGLETRANSLATE(A1829,""en"", ""mt"")"),"L-istrateġija evoluzzjonarja użata minn cicadas tal-ġeneru Magicicada tagħmel użu minn numri ewlenin. Dawn l-insetti jqattgħu ħafna minn ħajjithom bħala grubs taħt l-art. Huma biss ibatu u mbagħad joħorġu mill-ħwienet tagħhom wara 7, 13 jew 17-il sena, f'"&amp;"liema punt itiru, jitrabbew, u mbagħad imutu wara ftit ġimgħat l-aktar. Il-loġika għal dan huwa maħsub li hija li l-intervalli tan-numru ewlieni bejn il-emerġenzi jagħmluha diffiċli ħafna għall-predaturi li jevolvu li jistgħu jispeċjalizzaw bħala predatur"&amp;"i fuq il-magicadas. Jekk MagicIcadas deher f'intervalli ta 'numru mhux prim, ngħidu kull 12-il sena, allura l-predaturi li jidhru kull 2, 3, 4, 6, jew 12-il sena jkunu żgur li jiltaqgħu magħhom. Matul perjodu ta '200 sena, popolazzjonijiet ta' predaturi m"&amp;"edji waqt tifqigħat ipotetiċi ta 'cicadas ta' 14 u 15-il sena jkunu sa 2% ogħla milli waqt tifqigħat ta 'cicadas ta' 13- u 17-il sena. Għalkemm żgħir, dan il-vantaġġ jidher li kien biżżejjed biex isuq l-għażla naturali favur ċiklu tal-ħajja tan-numru ewli"&amp;"eni għal dawn l-insetti.")</f>
        <v>L-istrateġija evoluzzjonarja użata minn cicadas tal-ġeneru Magicicada tagħmel użu minn numri ewlenin. Dawn l-insetti jqattgħu ħafna minn ħajjithom bħala grubs taħt l-art. Huma biss ibatu u mbagħad joħorġu mill-ħwienet tagħhom wara 7, 13 jew 17-il sena, f'liema punt itiru, jitrabbew, u mbagħad imutu wara ftit ġimgħat l-aktar. Il-loġika għal dan huwa maħsub li hija li l-intervalli tan-numru ewlieni bejn il-emerġenzi jagħmluha diffiċli ħafna għall-predaturi li jevolvu li jistgħu jispeċjalizzaw bħala predaturi fuq il-magicadas. Jekk MagicIcadas deher f'intervalli ta 'numru mhux prim, ngħidu kull 12-il sena, allura l-predaturi li jidhru kull 2, 3, 4, 6, jew 12-il sena jkunu żgur li jiltaqgħu magħhom. Matul perjodu ta '200 sena, popolazzjonijiet ta' predaturi medji waqt tifqigħat ipotetiċi ta 'cicadas ta' 14 u 15-il sena jkunu sa 2% ogħla milli waqt tifqigħat ta 'cicadas ta' 13- u 17-il sena. Għalkemm żgħir, dan il-vantaġġ jidher li kien biżżejjed biex isuq l-għażla naturali favur ċiklu tal-ħajja tan-numru ewlieni għal dawn l-insetti.</v>
      </c>
    </row>
    <row r="1830" ht="15.75" customHeight="1">
      <c r="A1830" s="2" t="s">
        <v>1830</v>
      </c>
      <c r="B1830" s="2" t="str">
        <f>IFERROR(__xludf.DUMMYFUNCTION("GOOGLETRANSLATE(A1830,""en"", ""mt"")"),"Xi speċi ta 'beroe għandhom par ta' strixxi ta 'ċelloli li jwaħħlu fuq il-ħajt tal-istonku. X'tagħmel?")</f>
        <v>Xi speċi ta 'beroe għandhom par ta' strixxi ta 'ċelloli li jwaħħlu fuq il-ħajt tal-istonku. X'tagħmel?</v>
      </c>
    </row>
    <row r="1831" ht="15.75" customHeight="1">
      <c r="A1831" s="2" t="s">
        <v>1831</v>
      </c>
      <c r="B1831" s="2" t="str">
        <f>IFERROR(__xludf.DUMMYFUNCTION("GOOGLETRANSLATE(A1831,""en"", ""mt"")"),"Attakk fuq il-kapitali l-ġdida ta 'Franza, Quebec")</f>
        <v>Attakk fuq il-kapitali l-ġdida ta 'Franza, Quebec</v>
      </c>
    </row>
    <row r="1832" ht="15.75" customHeight="1">
      <c r="A1832" s="2" t="s">
        <v>1832</v>
      </c>
      <c r="B1832" s="2" t="str">
        <f>IFERROR(__xludf.DUMMYFUNCTION("GOOGLETRANSLATE(A1832,""en"", ""mt"")"),"Ħsarat Ingliżi fl-Amerika ta ’Fuq")</f>
        <v>Ħsarat Ingliżi fl-Amerika ta ’Fuq</v>
      </c>
    </row>
    <row r="1833" ht="15.75" customHeight="1">
      <c r="A1833" s="2" t="s">
        <v>1833</v>
      </c>
      <c r="B1833" s="2" t="str">
        <f>IFERROR(__xludf.DUMMYFUNCTION("GOOGLETRANSLATE(A1833,""en"", ""mt"")"),"Edinburgh")</f>
        <v>Edinburgh</v>
      </c>
    </row>
    <row r="1834" ht="15.75" customHeight="1">
      <c r="A1834" s="2" t="s">
        <v>1834</v>
      </c>
      <c r="B1834" s="2" t="str">
        <f>IFERROR(__xludf.DUMMYFUNCTION("GOOGLETRANSLATE(A1834,""en"", ""mt"")"),"Fruntieri diverġenti")</f>
        <v>Fruntieri diverġenti</v>
      </c>
    </row>
    <row r="1835" ht="15.75" customHeight="1">
      <c r="A1835" s="2" t="s">
        <v>1835</v>
      </c>
      <c r="B1835" s="2" t="str">
        <f>IFERROR(__xludf.DUMMYFUNCTION("GOOGLETRANSLATE(A1835,""en"", ""mt"")"),"Min afferma d-dritt tar-Russja għal ""awtodeterminazzjoni?""")</f>
        <v>Min afferma d-dritt tar-Russja għal "awtodeterminazzjoni?"</v>
      </c>
    </row>
    <row r="1836" ht="15.75" customHeight="1">
      <c r="A1836" s="2" t="s">
        <v>1836</v>
      </c>
      <c r="B1836" s="2" t="str">
        <f>IFERROR(__xludf.DUMMYFUNCTION("GOOGLETRANSLATE(A1836,""en"", ""mt"")"),"X'inhu tipikament użat biex jiddefinixxi b'mod wiesa 'miżuri ta' kumplessità?")</f>
        <v>X'inhu tipikament użat biex jiddefinixxi b'mod wiesa 'miżuri ta' kumplessità?</v>
      </c>
    </row>
    <row r="1837" ht="15.75" customHeight="1">
      <c r="A1837" s="2" t="s">
        <v>1837</v>
      </c>
      <c r="B1837" s="2" t="str">
        <f>IFERROR(__xludf.DUMMYFUNCTION("GOOGLETRANSLATE(A1837,""en"", ""mt"")"),"Xi jfisser kull pakkett inkluż fil-modalità mingħajr konnessjoni")</f>
        <v>Xi jfisser kull pakkett inkluż fil-modalità mingħajr konnessjoni</v>
      </c>
    </row>
    <row r="1838" ht="15.75" customHeight="1">
      <c r="A1838" s="2" t="s">
        <v>1838</v>
      </c>
      <c r="B1838" s="2" t="str">
        <f>IFERROR(__xludf.DUMMYFUNCTION("GOOGLETRANSLATE(A1838,""en"", ""mt"")"),"Għal xiex tispikka l-VBNS")</f>
        <v>Għal xiex tispikka l-VBNS</v>
      </c>
    </row>
    <row r="1839" ht="15.75" customHeight="1">
      <c r="A1839" s="2" t="s">
        <v>1839</v>
      </c>
      <c r="B1839" s="2" t="str">
        <f>IFERROR(__xludf.DUMMYFUNCTION("GOOGLETRANSLATE(A1839,""en"", ""mt"")"),"Flimkien ma 'l-għoti ta' min wettaq ""id-deżerti biss"" tiegħu, il-kisba tal-kontroll tal-kriminalità permezz ta 'inkapaċità u deterrenza hija għan ewlieni ta' piena kriminali. Brownlee jargumenta, ""li ddaħħal id-deterrenza fil-livell ta 'ġustifikazzjoni"&amp;" tnaqqas mill-impenn tal-liġi fi djalogu morali ma' min wettaq ir-reat bħala persuna razzjonali minħabba li tiffoka l-attenzjoni fuq it-theddida ta 'kastig u mhux ir-raġunijiet morali biex issegwi din il-liġi."" Leonard Hubert Hoffmann jikteb, ""Meta jidd"&amp;"eċiedi jekk jimponix kastig jew le, l-iktar konsiderazzjoni importanti tkun jekk tagħmilx iktar ħsara milli ġid. Dan ifisser li l-Objettur m'għandux dritt li ma jiġix ikkastigat. Hija kwistjoni għall-Istat (inklużi l-imħallfin) biex tiddeċiedi għal raġuni"&amp;"jiet utilitarji jekk jagħmlux hekk jew le. """)</f>
        <v>Flimkien ma 'l-għoti ta' min wettaq "id-deżerti biss" tiegħu, il-kisba tal-kontroll tal-kriminalità permezz ta 'inkapaċità u deterrenza hija għan ewlieni ta' piena kriminali. Brownlee jargumenta, "li ddaħħal id-deterrenza fil-livell ta 'ġustifikazzjoni tnaqqas mill-impenn tal-liġi fi djalogu morali ma' min wettaq ir-reat bħala persuna razzjonali minħabba li tiffoka l-attenzjoni fuq it-theddida ta 'kastig u mhux ir-raġunijiet morali biex issegwi din il-liġi." Leonard Hubert Hoffmann jikteb, "Meta jiddeċiedi jekk jimponix kastig jew le, l-iktar konsiderazzjoni importanti tkun jekk tagħmilx iktar ħsara milli ġid. Dan ifisser li l-Objettur m'għandux dritt li ma jiġix ikkastigat. Hija kwistjoni għall-Istat (inklużi l-imħallfin) biex tiddeċiedi għal raġunijiet utilitarji jekk jagħmlux hekk jew le. "</v>
      </c>
    </row>
    <row r="1840" ht="15.75" customHeight="1">
      <c r="A1840" s="2" t="s">
        <v>1840</v>
      </c>
      <c r="B1840" s="2" t="str">
        <f>IFERROR(__xludf.DUMMYFUNCTION("GOOGLETRANSLATE(A1840,""en"", ""mt"")"),"Liema persentaġġ tal-vot għal assemblea Skoċċiża favurha?")</f>
        <v>Liema persentaġġ tal-vot għal assemblea Skoċċiża favurha?</v>
      </c>
    </row>
    <row r="1841" ht="15.75" customHeight="1">
      <c r="A1841" s="2" t="s">
        <v>1841</v>
      </c>
      <c r="B1841" s="2" t="str">
        <f>IFERROR(__xludf.DUMMYFUNCTION("GOOGLETRANSLATE(A1841,""en"", ""mt"")"),"X'inhu l-pedament għar-riżultati tas-separazzjoni fi ħdan klassijiet ta 'kumplessità?")</f>
        <v>X'inhu l-pedament għar-riżultati tas-separazzjoni fi ħdan klassijiet ta 'kumplessità?</v>
      </c>
    </row>
    <row r="1842" ht="15.75" customHeight="1">
      <c r="A1842" s="2" t="s">
        <v>1842</v>
      </c>
      <c r="B1842" s="2" t="str">
        <f>IFERROR(__xludf.DUMMYFUNCTION("GOOGLETRANSLATE(A1842,""en"", ""mt"")"),"mill-bogħod")</f>
        <v>mill-bogħod</v>
      </c>
    </row>
    <row r="1843" ht="15.75" customHeight="1">
      <c r="A1843" s="2" t="s">
        <v>1843</v>
      </c>
      <c r="B1843" s="2" t="str">
        <f>IFERROR(__xludf.DUMMYFUNCTION("GOOGLETRANSLATE(A1843,""en"", ""mt"")"),"Bejn il-Franċiżi u l-Ingliżi, żoni kbar kienu ddominati minn tribujiet indiġeni. Fit-tramuntana, il-Mi'kmaq u l-Abenaki kienu involuti fil-gwerra ta 'Patri Le Loutre u għadhom żammew f'partijiet ta' Nova Scotia, Acadia, u l-porzjonijiet tal-Lvant tal-Prov"&amp;"inċja tal-Kanada, kif ukoll ħafna mill-Maine preżenti. Il-Konfederazzjoni Iroquois iddominat ħafna mill-Upstate ta 'New York preżenti u l-pajjiż ta' Ohio, għalkemm dan tal-aħħar kien jinkludi wkoll popolazzjonijiet li jitkellmu Algonquian ta 'Delaware u S"&amp;"hawnee, kif ukoll il-Mingo li jitkellem Iroquoian. Dawn it-tribujiet kienu formalment taħt ir-regola Iroquois, u kienu limitati minnhom fl-awtorità li jagħmlu ftehim.")</f>
        <v>Bejn il-Franċiżi u l-Ingliżi, żoni kbar kienu ddominati minn tribujiet indiġeni. Fit-tramuntana, il-Mi'kmaq u l-Abenaki kienu involuti fil-gwerra ta 'Patri Le Loutre u għadhom żammew f'partijiet ta' Nova Scotia, Acadia, u l-porzjonijiet tal-Lvant tal-Provinċja tal-Kanada, kif ukoll ħafna mill-Maine preżenti. Il-Konfederazzjoni Iroquois iddominat ħafna mill-Upstate ta 'New York preżenti u l-pajjiż ta' Ohio, għalkemm dan tal-aħħar kien jinkludi wkoll popolazzjonijiet li jitkellmu Algonquian ta 'Delaware u Shawnee, kif ukoll il-Mingo li jitkellem Iroquoian. Dawn it-tribujiet kienu formalment taħt ir-regola Iroquois, u kienu limitati minnhom fl-awtorità li jagħmlu ftehim.</v>
      </c>
    </row>
    <row r="1844" ht="15.75" customHeight="1">
      <c r="A1844" s="2" t="s">
        <v>1844</v>
      </c>
      <c r="B1844" s="2" t="str">
        <f>IFERROR(__xludf.DUMMYFUNCTION("GOOGLETRANSLATE(A1844,""en"", ""mt"")"),"Sadanittant, fl-1 ta 'Awwissu, 1774, esperiment immexxi mill-kleru Brittaniku Joseph Priestley iffokat ix-xemx fuq l-ossidu Merkuriku (HGO) ġewwa tubu tal-ħġieġ, li ħeles gass li hu jismu ""arja deflogistizzata"". Huwa nnota li x-xemgħat inħarqu isbaħ fil"&amp;"-gass u li ġurdien kien aktar attiv u għex aktar waqt li jieħu n-nifs. Wara li nifs il-gass innifsu, huwa kiteb: ""Is-sentiment ta 'dan għall-pulmuni tiegħi ma kienx differenti b'mod differenti minn dak ta' l-arja komuni, imma kont inħobb li s-sider tiegħ"&amp;"i ħassu partikolarment ħafif u faċli għal xi żmien wara."" Priestley ippubblika s-sejbiet tiegħu fl-1775 f'karta intitolata ""Kont ta 'Skoperti Aktar fl-Ajru"" li kien inkluż fit-tieni volum tal-ktieb tiegħu intitolat Esperimenti u Osservazzjonijiet fuq t"&amp;"ipi differenti ta' arja. Minħabba li ppubblika s-sejbiet tiegħu l-ewwel, Priestley normalment jingħata prijorità fl-iskoperta.")</f>
        <v>Sadanittant, fl-1 ta 'Awwissu, 1774, esperiment immexxi mill-kleru Brittaniku Joseph Priestley iffokat ix-xemx fuq l-ossidu Merkuriku (HGO) ġewwa tubu tal-ħġieġ, li ħeles gass li hu jismu "arja deflogistizzata". Huwa nnota li x-xemgħat inħarqu isbaħ fil-gass u li ġurdien kien aktar attiv u għex aktar waqt li jieħu n-nifs. Wara li nifs il-gass innifsu, huwa kiteb: "Is-sentiment ta 'dan għall-pulmuni tiegħi ma kienx differenti b'mod differenti minn dak ta' l-arja komuni, imma kont inħobb li s-sider tiegħi ħassu partikolarment ħafif u faċli għal xi żmien wara." Priestley ippubblika s-sejbiet tiegħu fl-1775 f'karta intitolata "Kont ta 'Skoperti Aktar fl-Ajru" li kien inkluż fit-tieni volum tal-ktieb tiegħu intitolat Esperimenti u Osservazzjonijiet fuq tipi differenti ta' arja. Minħabba li ppubblika s-sejbiet tiegħu l-ewwel, Priestley normalment jingħata prijorità fl-iskoperta.</v>
      </c>
    </row>
    <row r="1845" ht="15.75" customHeight="1">
      <c r="A1845" s="2" t="s">
        <v>1845</v>
      </c>
      <c r="B1845" s="2" t="str">
        <f>IFERROR(__xludf.DUMMYFUNCTION("GOOGLETRANSLATE(A1845,""en"", ""mt"")"),"X'inhu responsabbli biex tillimita l-P skont it-teorema tal-ġerarkija taż-żmien?")</f>
        <v>X'inhu responsabbli biex tillimita l-P skont it-teorema tal-ġerarkija taż-żmien?</v>
      </c>
    </row>
    <row r="1846" ht="15.75" customHeight="1">
      <c r="A1846" s="2" t="s">
        <v>1846</v>
      </c>
      <c r="B1846" s="2" t="str">
        <f>IFERROR(__xludf.DUMMYFUNCTION("GOOGLETRANSLATE(A1846,""en"", ""mt"")"),"Liema attur Amerikan huwa wkoll gradwat universitarju?")</f>
        <v>Liema attur Amerikan huwa wkoll gradwat universitarju?</v>
      </c>
    </row>
    <row r="1847" ht="15.75" customHeight="1">
      <c r="A1847" s="2" t="s">
        <v>1847</v>
      </c>
      <c r="B1847" s="2" t="str">
        <f>IFERROR(__xludf.DUMMYFUNCTION("GOOGLETRANSLATE(A1847,""en"", ""mt"")"),"fond")</f>
        <v>fond</v>
      </c>
    </row>
    <row r="1848" ht="15.75" customHeight="1">
      <c r="A1848" s="2" t="s">
        <v>1848</v>
      </c>
      <c r="B1848" s="2" t="str">
        <f>IFERROR(__xludf.DUMMYFUNCTION("GOOGLETRANSLATE(A1848,""en"", ""mt"")"),"aktar malajr")</f>
        <v>aktar malajr</v>
      </c>
    </row>
    <row r="1849" ht="15.75" customHeight="1">
      <c r="A1849" s="2" t="s">
        <v>1849</v>
      </c>
      <c r="B1849" s="2" t="str">
        <f>IFERROR(__xludf.DUMMYFUNCTION("GOOGLETRANSLATE(A1849,""en"", ""mt"")"),"baxx ħafna")</f>
        <v>baxx ħafna</v>
      </c>
    </row>
    <row r="1850" ht="15.75" customHeight="1">
      <c r="A1850" s="2" t="s">
        <v>1850</v>
      </c>
      <c r="B1850" s="2" t="str">
        <f>IFERROR(__xludf.DUMMYFUNCTION("GOOGLETRANSLATE(A1850,""en"", ""mt"")"),"Ħafna xjenzati tal-Lvant Nofsani")</f>
        <v>Ħafna xjenzati tal-Lvant Nofsani</v>
      </c>
    </row>
    <row r="1851" ht="15.75" customHeight="1">
      <c r="A1851" s="2" t="s">
        <v>1851</v>
      </c>
      <c r="B1851" s="2" t="str">
        <f>IFERROR(__xludf.DUMMYFUNCTION("GOOGLETRANSLATE(A1851,""en"", ""mt"")"),"Warner Center jinsab f'liema żona?")</f>
        <v>Warner Center jinsab f'liema żona?</v>
      </c>
    </row>
    <row r="1852" ht="15.75" customHeight="1">
      <c r="A1852" s="2" t="s">
        <v>1852</v>
      </c>
      <c r="B1852" s="2" t="str">
        <f>IFERROR(__xludf.DUMMYFUNCTION("GOOGLETRANSLATE(A1852,""en"", ""mt"")"),"Il-forza normali hija dovuta għal forzi repulsivi ta 'interazzjoni bejn l-atomi f'kuntatt mill-qrib. Meta s-sħab tal-elettroni tagħhom jikkoinċidu, ir-repulsjoni ta 'Pauli (minħabba n-natura fermjonika ta' l-elettroni) issegwi li tirriżulta fil-forza li t"&amp;"aġixxi f'direzzjoni normali għall-interface tal-wiċċ bejn żewġ oġġetti.:93 Il-forza normali, pereżempju, hija responsabbli għall-integrità strutturali ta 'tabelli u sulari kif ukoll il-forza li tirrispondi kull meta forza esterna timbotta fuq oġġett solid"&amp;"u. Eżempju tal-forza normali fl-azzjoni hija l-forza tal-impatt fuq oġġett li jiġġarraf f'wiċċ immobbli.")</f>
        <v>Il-forza normali hija dovuta għal forzi repulsivi ta 'interazzjoni bejn l-atomi f'kuntatt mill-qrib. Meta s-sħab tal-elettroni tagħhom jikkoinċidu, ir-repulsjoni ta 'Pauli (minħabba n-natura fermjonika ta' l-elettroni) issegwi li tirriżulta fil-forza li taġixxi f'direzzjoni normali għall-interface tal-wiċċ bejn żewġ oġġetti.:93 Il-forza normali, pereżempju, hija responsabbli għall-integrità strutturali ta 'tabelli u sulari kif ukoll il-forza li tirrispondi kull meta forza esterna timbotta fuq oġġett solidu. Eżempju tal-forza normali fl-azzjoni hija l-forza tal-impatt fuq oġġett li jiġġarraf f'wiċċ immobbli.</v>
      </c>
    </row>
    <row r="1853" ht="15.75" customHeight="1">
      <c r="A1853" s="2" t="s">
        <v>1853</v>
      </c>
      <c r="B1853" s="2" t="str">
        <f>IFERROR(__xludf.DUMMYFUNCTION("GOOGLETRANSLATE(A1853,""en"", ""mt"")"),"Min kien ir-raġel ta 'Margaret?")</f>
        <v>Min kien ir-raġel ta 'Margaret?</v>
      </c>
    </row>
    <row r="1854" ht="15.75" customHeight="1">
      <c r="A1854" s="2" t="s">
        <v>1854</v>
      </c>
      <c r="B1854" s="2" t="str">
        <f>IFERROR(__xludf.DUMMYFUNCTION("GOOGLETRANSLATE(A1854,""en"", ""mt"")"),"Twin-cylinder")</f>
        <v>Twin-cylinder</v>
      </c>
    </row>
    <row r="1855" ht="15.75" customHeight="1">
      <c r="A1855" s="2" t="s">
        <v>1855</v>
      </c>
      <c r="B1855" s="2" t="str">
        <f>IFERROR(__xludf.DUMMYFUNCTION("GOOGLETRANSLATE(A1855,""en"", ""mt"")"),"Kemm hemm żoni metropolitani estiżi?")</f>
        <v>Kemm hemm żoni metropolitani estiżi?</v>
      </c>
    </row>
    <row r="1856" ht="15.75" customHeight="1">
      <c r="A1856" s="2" t="s">
        <v>1856</v>
      </c>
      <c r="B1856" s="2" t="str">
        <f>IFERROR(__xludf.DUMMYFUNCTION("GOOGLETRANSLATE(A1856,""en"", ""mt"")"),"mibgħuta sitt reġimenti lil Franza Ġdida taħt il-kmand ta 'Baruni Dieskau fl-1755")</f>
        <v>mibgħuta sitt reġimenti lil Franza Ġdida taħt il-kmand ta 'Baruni Dieskau fl-1755</v>
      </c>
    </row>
    <row r="1857" ht="15.75" customHeight="1">
      <c r="A1857" s="2" t="s">
        <v>1857</v>
      </c>
      <c r="B1857" s="2" t="str">
        <f>IFERROR(__xludf.DUMMYFUNCTION("GOOGLETRANSLATE(A1857,""en"", ""mt"")"),"Bankiera ta 'ipoteki, accountants, u inġiniera tal-ispejjeż")</f>
        <v>Bankiera ta 'ipoteki, accountants, u inġiniera tal-ispejjeż</v>
      </c>
    </row>
    <row r="1858" ht="15.75" customHeight="1">
      <c r="A1858" s="2" t="s">
        <v>1858</v>
      </c>
      <c r="B1858" s="2" t="str">
        <f>IFERROR(__xludf.DUMMYFUNCTION("GOOGLETRANSLATE(A1858,""en"", ""mt"")"),"Evidenza jew avvenimenti ġodda sinifikanti li jibdlu l-fehim tagħna")</f>
        <v>Evidenza jew avvenimenti ġodda sinifikanti li jibdlu l-fehim tagħna</v>
      </c>
    </row>
    <row r="1859" ht="15.75" customHeight="1">
      <c r="A1859" s="2" t="s">
        <v>1859</v>
      </c>
      <c r="B1859" s="2" t="str">
        <f>IFERROR(__xludf.DUMMYFUNCTION("GOOGLETRANSLATE(A1859,""en"", ""mt"")"),"X'inhu l-iktar eżempju reċenti ta 'linji ta' difetti finanzjarji?")</f>
        <v>X'inhu l-iktar eżempju reċenti ta 'linji ta' difetti finanzjarji?</v>
      </c>
    </row>
    <row r="1860" ht="15.75" customHeight="1">
      <c r="A1860" s="2" t="s">
        <v>1860</v>
      </c>
      <c r="B1860" s="2" t="str">
        <f>IFERROR(__xludf.DUMMYFUNCTION("GOOGLETRANSLATE(A1860,""en"", ""mt"")"),"Liema kkawża li r-riforma qatt ma tidħol fis-seħħ?")</f>
        <v>Liema kkawża li r-riforma qatt ma tidħol fis-seħħ?</v>
      </c>
    </row>
    <row r="1861" ht="15.75" customHeight="1">
      <c r="A1861" s="2" t="s">
        <v>1861</v>
      </c>
      <c r="B1861" s="2" t="str">
        <f>IFERROR(__xludf.DUMMYFUNCTION("GOOGLETRANSLATE(A1861,""en"", ""mt"")"),"It-test Lucas-Lehmer")</f>
        <v>It-test Lucas-Lehmer</v>
      </c>
    </row>
    <row r="1862" ht="15.75" customHeight="1">
      <c r="A1862" s="2" t="s">
        <v>1862</v>
      </c>
      <c r="B1862" s="2" t="str">
        <f>IFERROR(__xludf.DUMMYFUNCTION("GOOGLETRANSLATE(A1862,""en"", ""mt"")"),"X'jikkawża repulsjoni ta 'Pauli?")</f>
        <v>X'jikkawża repulsjoni ta 'Pauli?</v>
      </c>
    </row>
    <row r="1863" ht="15.75" customHeight="1">
      <c r="A1863" s="2" t="s">
        <v>1863</v>
      </c>
      <c r="B1863" s="2" t="str">
        <f>IFERROR(__xludf.DUMMYFUNCTION("GOOGLETRANSLATE(A1863,""en"", ""mt"")"),"L-iktar algoritmu effiċjenti jsolvi problema partikolari")</f>
        <v>L-iktar algoritmu effiċjenti jsolvi problema partikolari</v>
      </c>
    </row>
    <row r="1864" ht="15.75" customHeight="1">
      <c r="A1864" s="2" t="s">
        <v>1864</v>
      </c>
      <c r="B1864" s="2" t="str">
        <f>IFERROR(__xludf.DUMMYFUNCTION("GOOGLETRANSLATE(A1864,""en"", ""mt"")"),"66–34")</f>
        <v>66–34</v>
      </c>
    </row>
    <row r="1865" ht="15.75" customHeight="1">
      <c r="A1865" s="2" t="s">
        <v>1865</v>
      </c>
      <c r="B1865" s="2" t="str">
        <f>IFERROR(__xludf.DUMMYFUNCTION("GOOGLETRANSLATE(A1865,""en"", ""mt"")"),"Kemm hemm bażijiet navali f'Jacksonville?")</f>
        <v>Kemm hemm bażijiet navali f'Jacksonville?</v>
      </c>
    </row>
    <row r="1866" ht="15.75" customHeight="1">
      <c r="A1866" s="2" t="s">
        <v>1866</v>
      </c>
      <c r="B1866" s="2" t="str">
        <f>IFERROR(__xludf.DUMMYFUNCTION("GOOGLETRANSLATE(A1866,""en"", ""mt"")"),"Ddejjaqhom għar-reliġjon tagħhom")</f>
        <v>Ddejjaqhom għar-reliġjon tagħhom</v>
      </c>
    </row>
    <row r="1867" ht="15.75" customHeight="1">
      <c r="A1867" s="2" t="s">
        <v>1867</v>
      </c>
      <c r="B1867" s="2" t="str">
        <f>IFERROR(__xludf.DUMMYFUNCTION("GOOGLETRANSLATE(A1867,""en"", ""mt"")"),"X'għandhom iż-żewġ movimenti Iżlamisti differenti li ġew deskritti bħala li joxxillaw bejniethom?")</f>
        <v>X'għandhom iż-żewġ movimenti Iżlamisti differenti li ġew deskritti bħala li joxxillaw bejniethom?</v>
      </c>
    </row>
    <row r="1868" ht="15.75" customHeight="1">
      <c r="A1868" s="2" t="s">
        <v>1868</v>
      </c>
      <c r="B1868" s="2" t="str">
        <f>IFERROR(__xludf.DUMMYFUNCTION("GOOGLETRANSLATE(A1868,""en"", ""mt"")"),"tiskula l-art tal-madwar")</f>
        <v>tiskula l-art tal-madwar</v>
      </c>
    </row>
    <row r="1869" ht="15.75" customHeight="1">
      <c r="A1869" s="2" t="s">
        <v>1869</v>
      </c>
      <c r="B1869" s="2" t="str">
        <f>IFERROR(__xludf.DUMMYFUNCTION("GOOGLETRANSLATE(A1869,""en"", ""mt"")"),"Sky Movies u Sky Box Office jinkludu wkoll liema soundtracks fakultattivi?")</f>
        <v>Sky Movies u Sky Box Office jinkludu wkoll liema soundtracks fakultattivi?</v>
      </c>
    </row>
    <row r="1870" ht="15.75" customHeight="1">
      <c r="A1870" s="2" t="s">
        <v>1870</v>
      </c>
      <c r="B1870" s="2" t="str">
        <f>IFERROR(__xludf.DUMMYFUNCTION("GOOGLETRANSLATE(A1870,""en"", ""mt"")"),"Min żviluppa l-batterija tal-jone tal-litju?")</f>
        <v>Min żviluppa l-batterija tal-jone tal-litju?</v>
      </c>
    </row>
    <row r="1871" ht="15.75" customHeight="1">
      <c r="A1871" s="2" t="s">
        <v>1871</v>
      </c>
      <c r="B1871" s="2" t="str">
        <f>IFERROR(__xludf.DUMMYFUNCTION("GOOGLETRANSLATE(A1871,""en"", ""mt"")"),"738 jum")</f>
        <v>738 jum</v>
      </c>
    </row>
    <row r="1872" ht="15.75" customHeight="1">
      <c r="A1872" s="2" t="s">
        <v>1872</v>
      </c>
      <c r="B1872" s="2" t="str">
        <f>IFERROR(__xludf.DUMMYFUNCTION("GOOGLETRANSLATE(A1872,""en"", ""mt"")"),"Liema Kumitat tas-Senat Kellem il-Kantant f'Lulju 2000?")</f>
        <v>Liema Kumitat tas-Senat Kellem il-Kantant f'Lulju 2000?</v>
      </c>
    </row>
    <row r="1873" ht="15.75" customHeight="1">
      <c r="A1873" s="2" t="s">
        <v>1873</v>
      </c>
      <c r="B1873" s="2" t="str">
        <f>IFERROR(__xludf.DUMMYFUNCTION("GOOGLETRANSLATE(A1873,""en"", ""mt"")"),"F'liema lingwa minbarra l-Ingliż kellu l-Parlament Skoċċiż li kellu laqgħat?")</f>
        <v>F'liema lingwa minbarra l-Ingliż kellu l-Parlament Skoċċiż li kellu laqgħat?</v>
      </c>
    </row>
    <row r="1874" ht="15.75" customHeight="1">
      <c r="A1874" s="2" t="s">
        <v>1874</v>
      </c>
      <c r="B1874" s="2" t="str">
        <f>IFERROR(__xludf.DUMMYFUNCTION("GOOGLETRANSLATE(A1874,""en"", ""mt"")"),"Proġetti ewlenin ta 'informazzjoni nazzjonali u internazzjonali ta' informazzjoni u għanijiet ta 'interoperabilità tas-sistema tas-saħħa")</f>
        <v>Proġetti ewlenin ta 'informazzjoni nazzjonali u internazzjonali ta' informazzjoni u għanijiet ta 'interoperabilità tas-sistema tas-saħħa</v>
      </c>
    </row>
    <row r="1875" ht="15.75" customHeight="1">
      <c r="A1875" s="2" t="s">
        <v>1875</v>
      </c>
      <c r="B1875" s="2" t="str">
        <f>IFERROR(__xludf.DUMMYFUNCTION("GOOGLETRANSLATE(A1875,""en"", ""mt"")"),"livell waqa '")</f>
        <v>livell waqa '</v>
      </c>
    </row>
    <row r="1876" ht="15.75" customHeight="1">
      <c r="A1876" s="2" t="s">
        <v>1876</v>
      </c>
      <c r="B1876" s="2" t="str">
        <f>IFERROR(__xludf.DUMMYFUNCTION("GOOGLETRANSLATE(A1876,""en"", ""mt"")"),"Il-kunċett ""forza"" żżomm it-tifsira tagħha fil-mekkanika kwantistika, għalkemm issa wieħed qed jittratta ma 'operaturi minflok varjabbli klassiċi u għalkemm il-fiżika issa hija deskritta mill-ekwazzjoni ta' Schrödinger minflok l-ekwazzjonijiet Newtonjan"&amp;"i. Dan għandu l-konsegwenza li r-riżultati ta 'kejl issa huma xi kultant ""kwantifikati"", i.e. jidhru f'porzjonijiet diskreti. Dan huwa, ovvjament, diffiċli li wieħed jimmaġina fil-kuntest ta '""forzi"". Madankollu, il-potenzjal V (x, y, z) jew oqsma, li"&amp;" minnhom il-forzi ġeneralment jistgħu jiġu derivati, huma trattati simili għal varjabbli ta 'pożizzjoni klassika, i.e.,.")</f>
        <v>Il-kunċett "forza" żżomm it-tifsira tagħha fil-mekkanika kwantistika, għalkemm issa wieħed qed jittratta ma 'operaturi minflok varjabbli klassiċi u għalkemm il-fiżika issa hija deskritta mill-ekwazzjoni ta' Schrödinger minflok l-ekwazzjonijiet Newtonjani. Dan għandu l-konsegwenza li r-riżultati ta 'kejl issa huma xi kultant "kwantifikati", i.e. jidhru f'porzjonijiet diskreti. Dan huwa, ovvjament, diffiċli li wieħed jimmaġina fil-kuntest ta '"forzi". Madankollu, il-potenzjal V (x, y, z) jew oqsma, li minnhom il-forzi ġeneralment jistgħu jiġu derivati, huma trattati simili għal varjabbli ta 'pożizzjoni klassika, i.e.,.</v>
      </c>
    </row>
    <row r="1877" ht="15.75" customHeight="1">
      <c r="A1877" s="2" t="s">
        <v>1877</v>
      </c>
      <c r="B1877" s="2" t="str">
        <f>IFERROR(__xludf.DUMMYFUNCTION("GOOGLETRANSLATE(A1877,""en"", ""mt"")"),"Introduzzjoni ta 'Beroe")</f>
        <v>Introduzzjoni ta 'Beroe</v>
      </c>
    </row>
    <row r="1878" ht="15.75" customHeight="1">
      <c r="A1878" s="2" t="s">
        <v>1878</v>
      </c>
      <c r="B1878" s="2" t="str">
        <f>IFERROR(__xludf.DUMMYFUNCTION("GOOGLETRANSLATE(A1878,""en"", ""mt"")"),"Din iż-żona vibranti u kulturalment diversa ta 'negozji bl-imnut u residenzi esperjenzaw tiġdid wara tnaqqis sinifikanti fl-aħħar tas-snin 1960 u 1970. [Ċitazzjoni meħtieġa] wara għexieren ta' snin ta 'telqa u titjira suburbana, il-qawmien mill-ġdid tal-v"&amp;"iċinat segwa l-ftuħ mill-ġdid tat-Torri tat-Torri L-aħħar tas-snin sebgħin, li dak iż-żmien urew films tat-tieni u tat-tielet ġirja, flimkien ma 'films klassiċi. Roger Rocka's Dinner Theatre &amp; Good Company Players infetħu wkoll fil-viċin fl-1978, [Citatio"&amp;"n meħtieġa] fi Olive and Wishon Avenues. Audra McDonald indiġena ta 'Fresno marret fl-irwoli ewlenin ta' Evita u l-Wiz fit-teatru waqt li kienet studenta tal-iskola għolja. McDonald sussegwentement sar artist ewlieni fuq Broadway fi New York City u attriċ"&amp;"i rebbieħa tal-Premju Tony. Fid-distrett tat-Torri hemm ukoll it-2 teatru spazjali tal-plejers tal-kumpanija tajba.")</f>
        <v>Din iż-żona vibranti u kulturalment diversa ta 'negozji bl-imnut u residenzi esperjenzaw tiġdid wara tnaqqis sinifikanti fl-aħħar tas-snin 1960 u 1970. [Ċitazzjoni meħtieġa] wara għexieren ta' snin ta 'telqa u titjira suburbana, il-qawmien mill-ġdid tal-viċinat segwa l-ftuħ mill-ġdid tat-Torri tat-Torri L-aħħar tas-snin sebgħin, li dak iż-żmien urew films tat-tieni u tat-tielet ġirja, flimkien ma 'films klassiċi. Roger Rocka's Dinner Theatre &amp; Good Company Players infetħu wkoll fil-viċin fl-1978, [Citation meħtieġa] fi Olive and Wishon Avenues. Audra McDonald indiġena ta 'Fresno marret fl-irwoli ewlenin ta' Evita u l-Wiz fit-teatru waqt li kienet studenta tal-iskola għolja. McDonald sussegwentement sar artist ewlieni fuq Broadway fi New York City u attriċi rebbieħa tal-Premju Tony. Fid-distrett tat-Torri hemm ukoll it-2 teatru spazjali tal-plejers tal-kumpanija tajba.</v>
      </c>
    </row>
    <row r="1879" ht="15.75" customHeight="1">
      <c r="A1879" s="2" t="s">
        <v>1879</v>
      </c>
      <c r="B1879" s="2" t="str">
        <f>IFERROR(__xludf.DUMMYFUNCTION("GOOGLETRANSLATE(A1879,""en"", ""mt"")"),"L-Iskola Ortogenika ta 'Sonia Shankman")</f>
        <v>L-Iskola Ortogenika ta 'Sonia Shankman</v>
      </c>
    </row>
    <row r="1880" ht="15.75" customHeight="1">
      <c r="A1880" s="2" t="s">
        <v>1880</v>
      </c>
      <c r="B1880" s="2" t="str">
        <f>IFERROR(__xludf.DUMMYFUNCTION("GOOGLETRANSLATE(A1880,""en"", ""mt"")"),"Ir-raġuni għall-ordni tal-klassijiet u r-raġuni għala n-nies tqiegħdu f'ċerta klassi kienet id-data li ċedew lill-Mongoli, u ma kellhom xejn x'jaqsmu mal-etniċità tagħhom. Iktar kmieni huma ċedew lill-Mongoli, iktar ma tqiegħdu, iktar ma jinżammu barra, i"&amp;"ktar ikunu baxxi. Iċ-Ċiniżi tat-Tramuntana kienu kklassifikati ogħla u ċ-Ċiniżi tan-Nofsinhar kienu kklassifikati aktar baxxi minħabba li ċ-Ċina tan-Nofsinhar nisslet u ġġieldet għall-aħħar qabel ma ttawwal. Il-kummerċ maġġuri matul din l-era wassal għal "&amp;"kundizzjonijiet favorevoli għall-manifatturi u n-negozjanti privati ​​tan-Nofsinhar Ċiniżi.")</f>
        <v>Ir-raġuni għall-ordni tal-klassijiet u r-raġuni għala n-nies tqiegħdu f'ċerta klassi kienet id-data li ċedew lill-Mongoli, u ma kellhom xejn x'jaqsmu mal-etniċità tagħhom. Iktar kmieni huma ċedew lill-Mongoli, iktar ma tqiegħdu, iktar ma jinżammu barra, iktar ikunu baxxi. Iċ-Ċiniżi tat-Tramuntana kienu kklassifikati ogħla u ċ-Ċiniżi tan-Nofsinhar kienu kklassifikati aktar baxxi minħabba li ċ-Ċina tan-Nofsinhar nisslet u ġġieldet għall-aħħar qabel ma ttawwal. Il-kummerċ maġġuri matul din l-era wassal għal kundizzjonijiet favorevoli għall-manifatturi u n-negozjanti privati ​​tan-Nofsinhar Ċiniżi.</v>
      </c>
    </row>
    <row r="1881" ht="15.75" customHeight="1">
      <c r="A1881" s="2" t="s">
        <v>1881</v>
      </c>
      <c r="B1881" s="2" t="str">
        <f>IFERROR(__xludf.DUMMYFUNCTION("GOOGLETRANSLATE(A1881,""en"", ""mt"")"),"Kif huwa kklassifikat l-ossiġnu bħala abbundanti fl-univers?")</f>
        <v>Kif huwa kklassifikat l-ossiġnu bħala abbundanti fl-univers?</v>
      </c>
    </row>
    <row r="1882" ht="15.75" customHeight="1">
      <c r="A1882" s="2" t="s">
        <v>1882</v>
      </c>
      <c r="B1882" s="2" t="str">
        <f>IFERROR(__xludf.DUMMYFUNCTION("GOOGLETRANSLATE(A1882,""en"", ""mt"")"),"F'liema baċin jaqa 't-trab?")</f>
        <v>F'liema baċin jaqa 't-trab?</v>
      </c>
    </row>
    <row r="1883" ht="15.75" customHeight="1">
      <c r="A1883" s="2" t="s">
        <v>1883</v>
      </c>
      <c r="B1883" s="2" t="str">
        <f>IFERROR(__xludf.DUMMYFUNCTION("GOOGLETRANSLATE(A1883,""en"", ""mt"")"),"Jekk huma klassijiet distinti jew ugwali")</f>
        <v>Jekk huma klassijiet distinti jew ugwali</v>
      </c>
    </row>
    <row r="1884" ht="15.75" customHeight="1">
      <c r="A1884" s="2" t="s">
        <v>1884</v>
      </c>
      <c r="B1884" s="2" t="str">
        <f>IFERROR(__xludf.DUMMYFUNCTION("GOOGLETRANSLATE(A1884,""en"", ""mt"")"),"Ipprovdi interkonnessjoni ta 'veloċità għolja bejn ċentri ta' superkompjuters sponsorjati mill-NSF u tagħżel punti ta 'aċċess fl-Istati Uniti")</f>
        <v>Ipprovdi interkonnessjoni ta 'veloċità għolja bejn ċentri ta' superkompjuters sponsorjati mill-NSF u tagħżel punti ta 'aċċess fl-Istati Uniti</v>
      </c>
    </row>
    <row r="1885" ht="15.75" customHeight="1">
      <c r="A1885" s="2" t="s">
        <v>1885</v>
      </c>
      <c r="B1885" s="2" t="str">
        <f>IFERROR(__xludf.DUMMYFUNCTION("GOOGLETRANSLATE(A1885,""en"", ""mt"")"),"Fil-preżent, il-fergħat ta 'Waal u Nederrijn-Lek jeħilsu lejn il-Baħar tat-Tramuntana, permezz tal-Estwarju ta' Meuse ta 'qabel, qrib Rotterdam. Il-fergħa tax-Xmara IJSSel tgħaddi lejn it-tramuntana u tidħol fl-IJsselmeer, li qabel kienet il-Laguna Zuider"&amp;" Zee Brackish; Madankollu, mill-1932, lag tal-ilma ħelu. Il-kwittanza tar-Rhine hija maqsuma bejn tliet fergħat: ix-xmara waal (6/9 ta 'kwittanza totali), ix-xmara Nederrijn - Lek (2/9 ta' kwittanza totali) u x-xmara IJssel (1/9 ta 'kwittanza totali). Din"&amp;" id-distribuzzjoni tal-kwittanza ilha tinżamm mill-1709, permezz ta 'xogħlijiet ta' inġinerija tax-xmajjar, inkluż it-tħaffir tal-kanal Pannerdens u sa mis-seklu 20, bl-għajnuna ta 'weirs fix-xmara Nederrijn.")</f>
        <v>Fil-preżent, il-fergħat ta 'Waal u Nederrijn-Lek jeħilsu lejn il-Baħar tat-Tramuntana, permezz tal-Estwarju ta' Meuse ta 'qabel, qrib Rotterdam. Il-fergħa tax-Xmara IJSSel tgħaddi lejn it-tramuntana u tidħol fl-IJsselmeer, li qabel kienet il-Laguna Zuider Zee Brackish; Madankollu, mill-1932, lag tal-ilma ħelu. Il-kwittanza tar-Rhine hija maqsuma bejn tliet fergħat: ix-xmara waal (6/9 ta 'kwittanza totali), ix-xmara Nederrijn - Lek (2/9 ta' kwittanza totali) u x-xmara IJssel (1/9 ta 'kwittanza totali). Din id-distribuzzjoni tal-kwittanza ilha tinżamm mill-1709, permezz ta 'xogħlijiet ta' inġinerija tax-xmajjar, inkluż it-tħaffir tal-kanal Pannerdens u sa mis-seklu 20, bl-għajnuna ta 'weirs fix-xmara Nederrijn.</v>
      </c>
    </row>
    <row r="1886" ht="15.75" customHeight="1">
      <c r="A1886" s="2" t="s">
        <v>1886</v>
      </c>
      <c r="B1886" s="2" t="str">
        <f>IFERROR(__xludf.DUMMYFUNCTION("GOOGLETRANSLATE(A1886,""en"", ""mt"")"),"biex tuża l-proċeduri bħala forum")</f>
        <v>biex tuża l-proċeduri bħala forum</v>
      </c>
    </row>
    <row r="1887" ht="15.75" customHeight="1">
      <c r="A1887" s="2" t="s">
        <v>1887</v>
      </c>
      <c r="B1887" s="2" t="str">
        <f>IFERROR(__xludf.DUMMYFUNCTION("GOOGLETRANSLATE(A1887,""en"", ""mt"")"),"F'każijiet b'medju maqsum kif jitwassal")</f>
        <v>F'każijiet b'medju maqsum kif jitwassal</v>
      </c>
    </row>
    <row r="1888" ht="15.75" customHeight="1">
      <c r="A1888" s="2" t="s">
        <v>1888</v>
      </c>
      <c r="B1888" s="2" t="str">
        <f>IFERROR(__xludf.DUMMYFUNCTION("GOOGLETRANSLATE(A1888,""en"", ""mt"")"),"Kien l-użu tal-isem DataNet 1 korrett")</f>
        <v>Kien l-użu tal-isem DataNet 1 korrett</v>
      </c>
    </row>
    <row r="1889" ht="15.75" customHeight="1">
      <c r="A1889" s="2" t="s">
        <v>1889</v>
      </c>
      <c r="B1889" s="2" t="str">
        <f>IFERROR(__xludf.DUMMYFUNCTION("GOOGLETRANSLATE(A1889,""en"", ""mt"")"),"Tabib tal-ispiżerija")</f>
        <v>Tabib tal-ispiżerija</v>
      </c>
    </row>
    <row r="1890" ht="15.75" customHeight="1">
      <c r="A1890" s="2" t="s">
        <v>1890</v>
      </c>
      <c r="B1890" s="2" t="str">
        <f>IFERROR(__xludf.DUMMYFUNCTION("GOOGLETRANSLATE(A1890,""en"", ""mt"")"),"Itfi d-difiżi ospitanti.")</f>
        <v>Itfi d-difiżi ospitanti.</v>
      </c>
    </row>
    <row r="1891" ht="15.75" customHeight="1">
      <c r="A1891" s="2" t="s">
        <v>1891</v>
      </c>
      <c r="B1891" s="2" t="str">
        <f>IFERROR(__xludf.DUMMYFUNCTION("GOOGLETRANSLATE(A1891,""en"", ""mt"")"),"Liema reġjun tar-Renu nbidel mill-programm ta 'rilaxx ta' Rhine?")</f>
        <v>Liema reġjun tar-Renu nbidel mill-programm ta 'rilaxx ta' Rhine?</v>
      </c>
    </row>
    <row r="1892" ht="15.75" customHeight="1">
      <c r="A1892" s="2" t="s">
        <v>1892</v>
      </c>
      <c r="B1892" s="2" t="str">
        <f>IFERROR(__xludf.DUMMYFUNCTION("GOOGLETRANSLATE(A1892,""en"", ""mt"")"),"Il-bini huwa lest biex jokkupa")</f>
        <v>Il-bini huwa lest biex jokkupa</v>
      </c>
    </row>
    <row r="1893" ht="15.75" customHeight="1">
      <c r="A1893" s="2" t="s">
        <v>1893</v>
      </c>
      <c r="B1893" s="2" t="str">
        <f>IFERROR(__xludf.DUMMYFUNCTION("GOOGLETRANSLATE(A1893,""en"", ""mt"")"),"Leġislazzjoni dwar l-ispiżerija")</f>
        <v>Leġislazzjoni dwar l-ispiżerija</v>
      </c>
    </row>
    <row r="1894" ht="15.75" customHeight="1">
      <c r="A1894" s="2" t="s">
        <v>1894</v>
      </c>
      <c r="B1894" s="2" t="str">
        <f>IFERROR(__xludf.DUMMYFUNCTION("GOOGLETRANSLATE(A1894,""en"", ""mt"")"),"L-ipoteżi ta 'Riemann mhux ippruvata, li tmur mill-1859, tiddikjara li ħlief għal S = −2, −4, ..., iż-żero kollha tal-funzjoni ζ għandhom parti reali daqs 1/2. Il-konnessjoni man-numri ewlenin hija li essenzjalment tgħid li l-primes huma mqassma regolarme"&amp;"nt kemm jista 'jkun. [Kjarifika meħtieġa] mil-lat fiżiku, bejn wieħed u ieħor jiddikjara li l-irregolarità fid-distribuzzjoni tal-primes ġejja biss minn ħoss bl-addoċċ. Mil-lat matematiku, bejn wieħed u ieħor jiddikjara li d-distribuzzjoni bla sintomi ta "&amp;"'primes (madwar x / log X ta' numri inqas minn X huma primes, it-teorema tan-numru ewlieni) iżomm ukoll għal intervalli ferm iqsar ta 'tul madwar l-għerq kwadru ta' X (għal intervalli qrib x). Din l-ipoteżi hija ġeneralment maħsuba li hija korretta. B'mod"&amp;" partikolari, l-iktar suppożizzjoni sempliċi hija li l-primes m'għandhomx ikollhom irregolaritajiet sinifikanti mingħajr raġuni tajba.")</f>
        <v>L-ipoteżi ta 'Riemann mhux ippruvata, li tmur mill-1859, tiddikjara li ħlief għal S = −2, −4, ..., iż-żero kollha tal-funzjoni ζ għandhom parti reali daqs 1/2. Il-konnessjoni man-numri ewlenin hija li essenzjalment tgħid li l-primes huma mqassma regolarment kemm jista 'jkun. [Kjarifika meħtieġa] mil-lat fiżiku, bejn wieħed u ieħor jiddikjara li l-irregolarità fid-distribuzzjoni tal-primes ġejja biss minn ħoss bl-addoċċ. Mil-lat matematiku, bejn wieħed u ieħor jiddikjara li d-distribuzzjoni bla sintomi ta 'primes (madwar x / log X ta' numri inqas minn X huma primes, it-teorema tan-numru ewlieni) iżomm ukoll għal intervalli ferm iqsar ta 'tul madwar l-għerq kwadru ta' X (għal intervalli qrib x). Din l-ipoteżi hija ġeneralment maħsuba li hija korretta. B'mod partikolari, l-iktar suppożizzjoni sempliċi hija li l-primes m'għandhomx ikollhom irregolaritajiet sinifikanti mingħajr raġuni tajba.</v>
      </c>
    </row>
    <row r="1895" ht="15.75" customHeight="1">
      <c r="A1895" s="2" t="s">
        <v>1895</v>
      </c>
      <c r="B1895" s="2" t="str">
        <f>IFERROR(__xludf.DUMMYFUNCTION("GOOGLETRANSLATE(A1895,""en"", ""mt"")"),"Goldbach's")</f>
        <v>Goldbach's</v>
      </c>
    </row>
    <row r="1896" ht="15.75" customHeight="1">
      <c r="A1896" s="2" t="s">
        <v>1896</v>
      </c>
      <c r="B1896" s="2" t="str">
        <f>IFERROR(__xludf.DUMMYFUNCTION("GOOGLETRANSLATE(A1896,""en"", ""mt"")"),"X'inhu s-simbolu ta 'Varsavja?")</f>
        <v>X'inhu s-simbolu ta 'Varsavja?</v>
      </c>
    </row>
    <row r="1897" ht="15.75" customHeight="1">
      <c r="A1897" s="2" t="s">
        <v>1897</v>
      </c>
      <c r="B1897" s="2" t="str">
        <f>IFERROR(__xludf.DUMMYFUNCTION("GOOGLETRANSLATE(A1897,""en"", ""mt"")"),"Ordnijiet ta 'bidla identifikati jew bidliet fil-proġett li żiedu l-ispejjeż")</f>
        <v>Ordnijiet ta 'bidla identifikati jew bidliet fil-proġett li żiedu l-ispejjeż</v>
      </c>
    </row>
    <row r="1898" ht="15.75" customHeight="1">
      <c r="A1898" s="2" t="s">
        <v>1898</v>
      </c>
      <c r="B1898" s="2" t="str">
        <f>IFERROR(__xludf.DUMMYFUNCTION("GOOGLETRANSLATE(A1898,""en"", ""mt"")"),"X'għandu jibbilanċja l-gvern ta 'Kublai?")</f>
        <v>X'għandu jibbilanċja l-gvern ta 'Kublai?</v>
      </c>
    </row>
    <row r="1899" ht="15.75" customHeight="1">
      <c r="A1899" s="2" t="s">
        <v>1899</v>
      </c>
      <c r="B1899" s="2" t="str">
        <f>IFERROR(__xludf.DUMMYFUNCTION("GOOGLETRANSLATE(A1899,""en"", ""mt"")"),"ippermettew studenti żgħar ħafna biex jattendu l-kulleġġ")</f>
        <v>ippermettew studenti żgħar ħafna biex jattendu l-kulleġġ</v>
      </c>
    </row>
    <row r="1900" ht="15.75" customHeight="1">
      <c r="A1900" s="2" t="s">
        <v>1900</v>
      </c>
      <c r="B1900" s="2" t="str">
        <f>IFERROR(__xludf.DUMMYFUNCTION("GOOGLETRANSLATE(A1900,""en"", ""mt"")"),"F'Mejju 2002, fejn tmur tindirizza l-Parlament?")</f>
        <v>F'Mejju 2002, fejn tmur tindirizza l-Parlament?</v>
      </c>
    </row>
    <row r="1901" ht="15.75" customHeight="1">
      <c r="A1901" s="2" t="s">
        <v>1901</v>
      </c>
      <c r="B1901" s="2" t="str">
        <f>IFERROR(__xludf.DUMMYFUNCTION("GOOGLETRANSLATE(A1901,""en"", ""mt"")"),"Semmi diviżjoni ta 'lussu ta' Toyota.")</f>
        <v>Semmi diviżjoni ta 'lussu ta' Toyota.</v>
      </c>
    </row>
    <row r="1902" ht="15.75" customHeight="1">
      <c r="A1902" s="2" t="s">
        <v>1902</v>
      </c>
      <c r="B1902" s="2" t="str">
        <f>IFERROR(__xludf.DUMMYFUNCTION("GOOGLETRANSLATE(A1902,""en"", ""mt"")"),"id-duttrina tat-trans-startjazzjoni")</f>
        <v>id-duttrina tat-trans-startjazzjoni</v>
      </c>
    </row>
    <row r="1903" ht="15.75" customHeight="1">
      <c r="A1903" s="2" t="s">
        <v>1903</v>
      </c>
      <c r="B1903" s="2" t="str">
        <f>IFERROR(__xludf.DUMMYFUNCTION("GOOGLETRANSLATE(A1903,""en"", ""mt"")"),"li BSKYB żied sostanzjalment il-prezz mitlub għall-kanali")</f>
        <v>li BSKYB żied sostanzjalment il-prezz mitlub għall-kanali</v>
      </c>
    </row>
    <row r="1904" ht="15.75" customHeight="1">
      <c r="A1904" s="2" t="s">
        <v>1904</v>
      </c>
      <c r="B1904" s="2" t="str">
        <f>IFERROR(__xludf.DUMMYFUNCTION("GOOGLETRANSLATE(A1904,""en"", ""mt"")"),"Biex testendi l-benefiċċji tan-netwerking")</f>
        <v>Biex testendi l-benefiċċji tan-netwerking</v>
      </c>
    </row>
    <row r="1905" ht="15.75" customHeight="1">
      <c r="A1905" s="2" t="s">
        <v>1905</v>
      </c>
      <c r="B1905" s="2" t="str">
        <f>IFERROR(__xludf.DUMMYFUNCTION("GOOGLETRANSLATE(A1905,""en"", ""mt"")"),"Ikseb informazzjoni dwar il-klima tal-passat")</f>
        <v>Ikseb informazzjoni dwar il-klima tal-passat</v>
      </c>
    </row>
    <row r="1906" ht="15.75" customHeight="1">
      <c r="A1906" s="2" t="s">
        <v>1906</v>
      </c>
      <c r="B1906" s="2" t="str">
        <f>IFERROR(__xludf.DUMMYFUNCTION("GOOGLETRANSLATE(A1906,""en"", ""mt"")"),"B'suċċess ma jħalluhx jinqata '")</f>
        <v>B'suċċess ma jħalluhx jinqata '</v>
      </c>
    </row>
    <row r="1907" ht="15.75" customHeight="1">
      <c r="A1907" s="2" t="s">
        <v>1907</v>
      </c>
      <c r="B1907" s="2" t="str">
        <f>IFERROR(__xludf.DUMMYFUNCTION("GOOGLETRANSLATE(A1907,""en"", ""mt"")"),"Ara l-ebda ħtieġa li taċċetta kastig għal ksur tal-liġi kriminali li ma tikserx id-drittijiet ta 'ħaddieħor")</f>
        <v>Ara l-ebda ħtieġa li taċċetta kastig għal ksur tal-liġi kriminali li ma tikserx id-drittijiet ta 'ħaddieħor</v>
      </c>
    </row>
    <row r="1908" ht="15.75" customHeight="1">
      <c r="A1908" s="2" t="s">
        <v>1908</v>
      </c>
      <c r="B1908" s="2" t="str">
        <f>IFERROR(__xludf.DUMMYFUNCTION("GOOGLETRANSLATE(A1908,""en"", ""mt"")"),"It-tielet tip ta 'konġetturi jikkonċerna aspetti tad-distribuzzjoni tal-primes. Huwa konġetta li hemm ħafna primes twin, pari ta 'primes b'differenza 2 (konġettura Twin Prime). Il-konġettura ta 'Polignac hija tisħiħ ta' dik il-konġettura, hija tiddikjara "&amp;"li għal kull numru sħiħ pożittiv, hemm ħafna pari ta 'primes konsekuttivi li huma differenti minn 2n. Huwa konġettat li hemm infinitament ħafna primes tal-forma N2 + 1. Dawn il-konġetturi huma każijiet speċjali tal-ipoteżi wiesgħa ta 'Schinzel H. Il-konġe"&amp;"ttura ta' Brocard tgħid li dejjem hemm mill-inqas erba 'primes bejn il-kwadri ta' primes konsekuttivi akbar minn 2. Il-konġettura ta 'Legendre jiddikjara li hemm numru ewlieni bejn N2 u (n + 1) 2 għal kull numru sħiħ pożittiv n. Huwa implikat mill-konġett"&amp;"ura ta 'Cramér aktar b'saħħitha.")</f>
        <v>It-tielet tip ta 'konġetturi jikkonċerna aspetti tad-distribuzzjoni tal-primes. Huwa konġetta li hemm ħafna primes twin, pari ta 'primes b'differenza 2 (konġettura Twin Prime). Il-konġettura ta 'Polignac hija tisħiħ ta' dik il-konġettura, hija tiddikjara li għal kull numru sħiħ pożittiv, hemm ħafna pari ta 'primes konsekuttivi li huma differenti minn 2n. Huwa konġettat li hemm infinitament ħafna primes tal-forma N2 + 1. Dawn il-konġetturi huma każijiet speċjali tal-ipoteżi wiesgħa ta 'Schinzel H. Il-konġettura ta' Brocard tgħid li dejjem hemm mill-inqas erba 'primes bejn il-kwadri ta' primes konsekuttivi akbar minn 2. Il-konġettura ta 'Legendre jiddikjara li hemm numru ewlieni bejn N2 u (n + 1) 2 għal kull numru sħiħ pożittiv n. Huwa implikat mill-konġettura ta 'Cramér aktar b'saħħitha.</v>
      </c>
    </row>
    <row r="1909" ht="15.75" customHeight="1">
      <c r="A1909" s="2" t="s">
        <v>1909</v>
      </c>
      <c r="B1909" s="2" t="str">
        <f>IFERROR(__xludf.DUMMYFUNCTION("GOOGLETRANSLATE(A1909,""en"", ""mt"")"),"Paul Baran żviluppa l-kunċett ta 'swiċċjar ta' blokka ta 'messaġġi adattivi distribwiti")</f>
        <v>Paul Baran żviluppa l-kunċett ta 'swiċċjar ta' blokka ta 'messaġġi adattivi distribwiti</v>
      </c>
    </row>
    <row r="1910" ht="15.75" customHeight="1">
      <c r="A1910" s="2" t="s">
        <v>1910</v>
      </c>
      <c r="B1910" s="2" t="str">
        <f>IFERROR(__xludf.DUMMYFUNCTION("GOOGLETRANSLATE(A1910,""en"", ""mt"")"),"Rhine mgħawweġ")</f>
        <v>Rhine mgħawweġ</v>
      </c>
    </row>
    <row r="1911" ht="15.75" customHeight="1">
      <c r="A1911" s="2" t="s">
        <v>1911</v>
      </c>
      <c r="B1911" s="2" t="str">
        <f>IFERROR(__xludf.DUMMYFUNCTION("GOOGLETRANSLATE(A1911,""en"", ""mt"")"),"Numru ta 'bibien")</f>
        <v>Numru ta 'bibien</v>
      </c>
    </row>
    <row r="1912" ht="15.75" customHeight="1">
      <c r="A1912" s="2" t="s">
        <v>1912</v>
      </c>
      <c r="B1912" s="2" t="str">
        <f>IFERROR(__xludf.DUMMYFUNCTION("GOOGLETRANSLATE(A1912,""en"", ""mt"")"),"jerġa 'lura għall-ewwel Ħamis ta' Mejju, multiplu ta 'erba' snin wara l-1999")</f>
        <v>jerġa 'lura għall-ewwel Ħamis ta' Mejju, multiplu ta 'erba' snin wara l-1999</v>
      </c>
    </row>
    <row r="1913" ht="15.75" customHeight="1">
      <c r="A1913" s="2" t="s">
        <v>1913</v>
      </c>
      <c r="B1913" s="2" t="str">
        <f>IFERROR(__xludf.DUMMYFUNCTION("GOOGLETRANSLATE(A1913,""en"", ""mt"")"),"bi jew mingħajr l-għoqiedi li jibgħat intermedji")</f>
        <v>bi jew mingħajr l-għoqiedi li jibgħat intermedji</v>
      </c>
    </row>
    <row r="1914" ht="15.75" customHeight="1">
      <c r="A1914" s="2" t="s">
        <v>1914</v>
      </c>
      <c r="B1914" s="2" t="str">
        <f>IFERROR(__xludf.DUMMYFUNCTION("GOOGLETRANSLATE(A1914,""en"", ""mt"")"),"Wara li l-operaturi jiġu mwissija bil-ħarba tal-fwar, x'jistgħu jagħmlu?")</f>
        <v>Wara li l-operaturi jiġu mwissija bil-ħarba tal-fwar, x'jistgħu jagħmlu?</v>
      </c>
    </row>
    <row r="1915" ht="15.75" customHeight="1">
      <c r="A1915" s="2" t="s">
        <v>1915</v>
      </c>
      <c r="B1915" s="2" t="str">
        <f>IFERROR(__xludf.DUMMYFUNCTION("GOOGLETRANSLATE(A1915,""en"", ""mt"")"),"30-75%")</f>
        <v>30-75%</v>
      </c>
    </row>
    <row r="1916" ht="15.75" customHeight="1">
      <c r="A1916" s="2" t="s">
        <v>1916</v>
      </c>
      <c r="B1916" s="2" t="str">
        <f>IFERROR(__xludf.DUMMYFUNCTION("GOOGLETRANSLATE(A1916,""en"", ""mt"")"),"birefringenza, pleokroiżmu, ġemellaġġ, u interferenza")</f>
        <v>birefringenza, pleokroiżmu, ġemellaġġ, u interferenza</v>
      </c>
    </row>
    <row r="1917" ht="15.75" customHeight="1">
      <c r="A1917" s="2" t="s">
        <v>1917</v>
      </c>
      <c r="B1917" s="2" t="str">
        <f>IFERROR(__xludf.DUMMYFUNCTION("GOOGLETRANSLATE(A1917,""en"", ""mt"")"),"Wesel-Datteln Canal")</f>
        <v>Wesel-Datteln Canal</v>
      </c>
    </row>
    <row r="1918" ht="15.75" customHeight="1">
      <c r="A1918" s="2" t="s">
        <v>1918</v>
      </c>
      <c r="B1918" s="2" t="str">
        <f>IFERROR(__xludf.DUMMYFUNCTION("GOOGLETRANSLATE(A1918,""en"", ""mt"")"),"Librerija tax-Xjenza Cabot, Librerija Lamont, u Librerija Widener")</f>
        <v>Librerija tax-Xjenza Cabot, Librerija Lamont, u Librerija Widener</v>
      </c>
    </row>
    <row r="1919" ht="15.75" customHeight="1">
      <c r="A1919" s="2" t="s">
        <v>1919</v>
      </c>
      <c r="B1919" s="2" t="str">
        <f>IFERROR(__xludf.DUMMYFUNCTION("GOOGLETRANSLATE(A1919,""en"", ""mt"")"),"Fejn il-fluss tan-nofs tar-Rhine bejn Bingen u Bonn?")</f>
        <v>Fejn il-fluss tan-nofs tar-Rhine bejn Bingen u Bonn?</v>
      </c>
    </row>
    <row r="1920" ht="15.75" customHeight="1">
      <c r="A1920" s="2" t="s">
        <v>1920</v>
      </c>
      <c r="B1920" s="2" t="str">
        <f>IFERROR(__xludf.DUMMYFUNCTION("GOOGLETRANSLATE(A1920,""en"", ""mt"")"),"X'kienu l-ordnijiet ta 'Marin?")</f>
        <v>X'kienu l-ordnijiet ta 'Marin?</v>
      </c>
    </row>
    <row r="1921" ht="15.75" customHeight="1">
      <c r="A1921" s="2" t="s">
        <v>1921</v>
      </c>
      <c r="B1921" s="2" t="str">
        <f>IFERROR(__xludf.DUMMYFUNCTION("GOOGLETRANSLATE(A1921,""en"", ""mt"")"),"Il-punt li fih l-iżotopi radjometriċi differenti jieqfu jinxterdu 'l barra u' l barra mill-kannizzata tal-kristall?")</f>
        <v>Il-punt li fih l-iżotopi radjometriċi differenti jieqfu jinxterdu 'l barra u' l barra mill-kannizzata tal-kristall?</v>
      </c>
    </row>
    <row r="1922" ht="15.75" customHeight="1">
      <c r="A1922" s="2" t="s">
        <v>1922</v>
      </c>
      <c r="B1922" s="2" t="str">
        <f>IFERROR(__xludf.DUMMYFUNCTION("GOOGLETRANSLATE(A1922,""en"", ""mt"")"),"Familji bl-ismijiet Franċiżi fl-Afrika t'Isfel jitkellmu liema lingwa llum?")</f>
        <v>Familji bl-ismijiet Franċiżi fl-Afrika t'Isfel jitkellmu liema lingwa llum?</v>
      </c>
    </row>
    <row r="1923" ht="15.75" customHeight="1">
      <c r="A1923" s="2" t="s">
        <v>1923</v>
      </c>
      <c r="B1923" s="2" t="str">
        <f>IFERROR(__xludf.DUMMYFUNCTION("GOOGLETRANSLATE(A1923,""en"", ""mt"")"),"23 ta ’Ġunju 2005")</f>
        <v>23 ta ’Ġunju 2005</v>
      </c>
    </row>
    <row r="1924" ht="15.75" customHeight="1">
      <c r="A1924" s="2" t="s">
        <v>1924</v>
      </c>
      <c r="B1924" s="2" t="str">
        <f>IFERROR(__xludf.DUMMYFUNCTION("GOOGLETRANSLATE(A1924,""en"", ""mt"")"),"Heavy / Highway, Heavy Civil jew Heavy Engineering")</f>
        <v>Heavy / Highway, Heavy Civil jew Heavy Engineering</v>
      </c>
    </row>
    <row r="1925" ht="15.75" customHeight="1">
      <c r="A1925" s="2" t="s">
        <v>1925</v>
      </c>
      <c r="B1925" s="2" t="str">
        <f>IFERROR(__xludf.DUMMYFUNCTION("GOOGLETRANSLATE(A1925,""en"", ""mt"")"),"tagħmel it-teknoloġija arpanet pubblika")</f>
        <v>tagħmel it-teknoloġija arpanet pubblika</v>
      </c>
    </row>
    <row r="1926" ht="15.75" customHeight="1">
      <c r="A1926" s="2" t="s">
        <v>1926</v>
      </c>
      <c r="B1926" s="2" t="str">
        <f>IFERROR(__xludf.DUMMYFUNCTION("GOOGLETRANSLATE(A1926,""en"", ""mt"")"),"stati u gvernijiet")</f>
        <v>stati u gvernijiet</v>
      </c>
    </row>
    <row r="1927" ht="15.75" customHeight="1">
      <c r="A1927" s="2" t="s">
        <v>1927</v>
      </c>
      <c r="B1927" s="2" t="str">
        <f>IFERROR(__xludf.DUMMYFUNCTION("GOOGLETRANSLATE(A1927,""en"", ""mt"")"),"Liema tip ta 'klima jista' jkun ippermetta lill-foresta tropikali tinfirex madwar il-kontinent?")</f>
        <v>Liema tip ta 'klima jista' jkun ippermetta lill-foresta tropikali tinfirex madwar il-kontinent?</v>
      </c>
    </row>
    <row r="1928" ht="15.75" customHeight="1">
      <c r="A1928" s="2" t="s">
        <v>1928</v>
      </c>
      <c r="B1928" s="2" t="str">
        <f>IFERROR(__xludf.DUMMYFUNCTION("GOOGLETRANSLATE(A1928,""en"", ""mt"")"),"L-uffiċjal li jippresiedi (jew id-deputat uffiċjal li jippresiedi) jiddeċiedi min jitkellem fid-dibattiti tal-kamra u l-ammont ta 'ħin li għalih huma permessi jitkellmu. Normalment, l-uffiċjal li jippresiedi jipprova jikseb bilanċ bejn il-perspettivi diff"&amp;"erenti u l-partiti politiċi meta jagħżlu membri biex jitkellmu. Tipikament, il-ministri jew il-mexxejja tal-partiti jiftħu dibattiti, bil-kelliema tal-ftuħ mogħtija bejn 5 u 20 minuta, u kelliema suċċessivi allokaw inqas ħin. L-uffiċjal li jippresiedi jis"&amp;"ta 'jnaqqas il-ħin tat-taħdit jekk numru kbir ta' membri jixtiequ jipparteċipaw fid-dibattitu. Id-dibattitu huwa aktar informali milli f'xi sistemi parlamentari. Il-membri jistgħu jsejħu lil xulxin direttament bl-isem, aktar milli bil-kostitwenza jew il-p"&amp;"ożizzjoni tal-kabinett, u l-irkupru tal-idejn huwa permess. Diskorsi lill-Awla huma normalment imwassla bl-Ingliż, iżda l-membri jistgħu jużaw Skoċċiżi, Gaeliċi, jew kwalunkwe lingwa oħra bil-ftehim tal-uffiċjal li jippresiedi. Il-Parlament Skoċċiż mexxa "&amp;"dibattiti bil-lingwa Gaelika.")</f>
        <v>L-uffiċjal li jippresiedi (jew id-deputat uffiċjal li jippresiedi) jiddeċiedi min jitkellem fid-dibattiti tal-kamra u l-ammont ta 'ħin li għalih huma permessi jitkellmu. Normalment, l-uffiċjal li jippresiedi jipprova jikseb bilanċ bejn il-perspettivi differenti u l-partiti politiċi meta jagħżlu membri biex jitkellmu. Tipikament, il-ministri jew il-mexxejja tal-partiti jiftħu dibattiti, bil-kelliema tal-ftuħ mogħtija bejn 5 u 20 minuta, u kelliema suċċessivi allokaw inqas ħin. L-uffiċjal li jippresiedi jista 'jnaqqas il-ħin tat-taħdit jekk numru kbir ta' membri jixtiequ jipparteċipaw fid-dibattitu. Id-dibattitu huwa aktar informali milli f'xi sistemi parlamentari. Il-membri jistgħu jsejħu lil xulxin direttament bl-isem, aktar milli bil-kostitwenza jew il-pożizzjoni tal-kabinett, u l-irkupru tal-idejn huwa permess. Diskorsi lill-Awla huma normalment imwassla bl-Ingliż, iżda l-membri jistgħu jużaw Skoċċiżi, Gaeliċi, jew kwalunkwe lingwa oħra bil-ftehim tal-uffiċjal li jippresiedi. Il-Parlament Skoċċiż mexxa dibattiti bil-lingwa Gaelika.</v>
      </c>
    </row>
    <row r="1929" ht="15.75" customHeight="1">
      <c r="A1929" s="2" t="s">
        <v>1929</v>
      </c>
      <c r="B1929" s="2" t="str">
        <f>IFERROR(__xludf.DUMMYFUNCTION("GOOGLETRANSLATE(A1929,""en"", ""mt"")"),"Liema rwol kellu Michael Oppenheimer fir-rapporti tal-IPCC?")</f>
        <v>Liema rwol kellu Michael Oppenheimer fir-rapporti tal-IPCC?</v>
      </c>
    </row>
    <row r="1930" ht="15.75" customHeight="1">
      <c r="A1930" s="2" t="s">
        <v>1930</v>
      </c>
      <c r="B1930" s="2" t="str">
        <f>IFERROR(__xludf.DUMMYFUNCTION("GOOGLETRANSLATE(A1930,""en"", ""mt"")"),"Gauge Bosons")</f>
        <v>Gauge Bosons</v>
      </c>
    </row>
    <row r="1931" ht="15.75" customHeight="1">
      <c r="A1931" s="2" t="s">
        <v>1931</v>
      </c>
      <c r="B1931" s="2" t="str">
        <f>IFERROR(__xludf.DUMMYFUNCTION("GOOGLETRANSLATE(A1931,""en"", ""mt"")"),"Meta ġiet żviluppata ħafna minn Sunnside?")</f>
        <v>Meta ġiet żviluppata ħafna minn Sunnside?</v>
      </c>
    </row>
    <row r="1932" ht="15.75" customHeight="1">
      <c r="A1932" s="2" t="s">
        <v>1932</v>
      </c>
      <c r="B1932" s="2" t="str">
        <f>IFERROR(__xludf.DUMMYFUNCTION("GOOGLETRANSLATE(A1932,""en"", ""mt"")"),"bejn 1268 u 1273")</f>
        <v>bejn 1268 u 1273</v>
      </c>
    </row>
    <row r="1933" ht="15.75" customHeight="1">
      <c r="A1933" s="2" t="s">
        <v>1933</v>
      </c>
      <c r="B1933" s="2" t="str">
        <f>IFERROR(__xludf.DUMMYFUNCTION("GOOGLETRANSLATE(A1933,""en"", ""mt"")"),"X'kien l-iskop ta 'csnet")</f>
        <v>X'kien l-iskop ta 'csnet</v>
      </c>
    </row>
    <row r="1934" ht="15.75" customHeight="1">
      <c r="A1934" s="2" t="s">
        <v>1934</v>
      </c>
      <c r="B1934" s="2" t="str">
        <f>IFERROR(__xludf.DUMMYFUNCTION("GOOGLETRANSLATE(A1934,""en"", ""mt"")"),"Ta 'tħassib partikolari mal-ispiżeriji tal-internet hija l-faċilità li biha n-nies, b'mod partikolari ż-żgħażagħ, jistgħu jiksbu sustanzi kkontrollati (per eżempju, vicodin, magħruf ġenerikament bħala hydrocodone) permezz tal-Internet mingħajr riċetta maħ"&amp;"ruġa minn tabib / prattikant li għandu tabib stabbilit relazzjoni. Hemm ħafna każijiet fejn prattikant joħroġ preskrizzjoni, senserija minn server tal-internet, għal sustanza kkontrollata għal ""pazjent"" li qatt ma ltaqa '. sustanza li għandha tkun valid"&amp;"a, għandha tinħareġ għal skop mediku leġittimu minn prattikant liċenzjat li jaġixxi matul ir-relazzjoni leġittima ta 'tabib-pazjent. L-ispiżerija tal-mili għandha responsabbiltà korrispondenti biex tiżgura li l-preskrizzjoni tkun valida. Ħafna drabi, il-l"&amp;"iġijiet tal-istat individwali jiddeskrivu dak li jiddefinixxi relazzjoni valida tal-pazjent-toctor.")</f>
        <v>Ta 'tħassib partikolari mal-ispiżeriji tal-internet hija l-faċilità li biha n-nies, b'mod partikolari ż-żgħażagħ, jistgħu jiksbu sustanzi kkontrollati (per eżempju, vicodin, magħruf ġenerikament bħala hydrocodone) permezz tal-Internet mingħajr riċetta maħruġa minn tabib / prattikant li għandu tabib stabbilit relazzjoni. Hemm ħafna każijiet fejn prattikant joħroġ preskrizzjoni, senserija minn server tal-internet, għal sustanza kkontrollata għal "pazjent" li qatt ma ltaqa '. sustanza li għandha tkun valida, għandha tinħareġ għal skop mediku leġittimu minn prattikant liċenzjat li jaġixxi matul ir-relazzjoni leġittima ta 'tabib-pazjent. L-ispiżerija tal-mili għandha responsabbiltà korrispondenti biex tiżgura li l-preskrizzjoni tkun valida. Ħafna drabi, il-liġijiet tal-istat individwali jiddeskrivu dak li jiddefinixxi relazzjoni valida tal-pazjent-toctor.</v>
      </c>
    </row>
    <row r="1935" ht="15.75" customHeight="1">
      <c r="A1935" s="2" t="s">
        <v>1935</v>
      </c>
      <c r="B1935" s="2" t="str">
        <f>IFERROR(__xludf.DUMMYFUNCTION("GOOGLETRANSLATE(A1935,""en"", ""mt"")"),"jista 'jkun b'saħħtu imma mhux neċessarjament it-tajjeb")</f>
        <v>jista 'jkun b'saħħtu imma mhux neċessarjament it-tajjeb</v>
      </c>
    </row>
    <row r="1936" ht="15.75" customHeight="1">
      <c r="A1936" s="2" t="s">
        <v>1936</v>
      </c>
      <c r="B1936" s="2" t="str">
        <f>IFERROR(__xludf.DUMMYFUNCTION("GOOGLETRANSLATE(A1936,""en"", ""mt"")"),"kuntrasti")</f>
        <v>kuntrasti</v>
      </c>
    </row>
    <row r="1937" ht="15.75" customHeight="1">
      <c r="A1937" s="2" t="s">
        <v>1937</v>
      </c>
      <c r="B1937" s="2" t="str">
        <f>IFERROR(__xludf.DUMMYFUNCTION("GOOGLETRANSLATE(A1937,""en"", ""mt"")"),"51.6%")</f>
        <v>51.6%</v>
      </c>
    </row>
    <row r="1938" ht="15.75" customHeight="1">
      <c r="A1938" s="2" t="s">
        <v>1938</v>
      </c>
      <c r="B1938" s="2" t="str">
        <f>IFERROR(__xludf.DUMMYFUNCTION("GOOGLETRANSLATE(A1938,""en"", ""mt"")"),"X'inhi t-traduzzjoni bl-Ingliż ta 'Kunskapskolan?")</f>
        <v>X'inhi t-traduzzjoni bl-Ingliż ta 'Kunskapskolan?</v>
      </c>
    </row>
    <row r="1939" ht="15.75" customHeight="1">
      <c r="A1939" s="2" t="s">
        <v>1939</v>
      </c>
      <c r="B1939" s="2" t="str">
        <f>IFERROR(__xludf.DUMMYFUNCTION("GOOGLETRANSLATE(A1939,""en"", ""mt"")"),"Liema linja ferrovjarja topera f'Melbourne?")</f>
        <v>Liema linja ferrovjarja topera f'Melbourne?</v>
      </c>
    </row>
    <row r="1940" ht="15.75" customHeight="1">
      <c r="A1940" s="2" t="s">
        <v>1940</v>
      </c>
      <c r="B1940" s="2" t="str">
        <f>IFERROR(__xludf.DUMMYFUNCTION("GOOGLETRANSLATE(A1940,""en"", ""mt"")"),"Ipotesi tal-kurva tal-kuznets")</f>
        <v>Ipotesi tal-kurva tal-kuznets</v>
      </c>
    </row>
    <row r="1941" ht="15.75" customHeight="1">
      <c r="A1941" s="2" t="s">
        <v>1941</v>
      </c>
      <c r="B1941" s="2" t="str">
        <f>IFERROR(__xludf.DUMMYFUNCTION("GOOGLETRANSLATE(A1941,""en"", ""mt"")"),"Sostitwit mill-Protokoll tal-Internet (IP) fis-saff tan-netwerk, u l-mod ta 'trasferiment mhux sinkroniku (ATM) u jew jew verżjonijiet ta' swiċċjar tat-tikketta multi-protokol")</f>
        <v>Sostitwit mill-Protokoll tal-Internet (IP) fis-saff tan-netwerk, u l-mod ta 'trasferiment mhux sinkroniku (ATM) u jew jew verżjonijiet ta' swiċċjar tat-tikketta multi-protokol</v>
      </c>
    </row>
    <row r="1942" ht="15.75" customHeight="1">
      <c r="A1942" s="2" t="s">
        <v>1942</v>
      </c>
      <c r="B1942" s="2" t="str">
        <f>IFERROR(__xludf.DUMMYFUNCTION("GOOGLETRANSLATE(A1942,""en"", ""mt"")"),"Jista 'jkolli kiser xi liġijiet speċifiċi, imma jien ħati li ma għamilt l-ebda ħażin")</f>
        <v>Jista 'jkolli kiser xi liġijiet speċifiċi, imma jien ħati li ma għamilt l-ebda ħażin</v>
      </c>
    </row>
    <row r="1943" ht="15.75" customHeight="1">
      <c r="A1943" s="2" t="s">
        <v>1943</v>
      </c>
      <c r="B1943" s="2" t="str">
        <f>IFERROR(__xludf.DUMMYFUNCTION("GOOGLETRANSLATE(A1943,""en"", ""mt"")"),"Afrikani-Amerikani")</f>
        <v>Afrikani-Amerikani</v>
      </c>
    </row>
    <row r="1944" ht="15.75" customHeight="1">
      <c r="A1944" s="2" t="s">
        <v>1944</v>
      </c>
      <c r="B1944" s="2" t="str">
        <f>IFERROR(__xludf.DUMMYFUNCTION("GOOGLETRANSLATE(A1944,""en"", ""mt"")"),"X'kienu r-raġunijiet għaliex ir-residenti marru jgħixu fl-Istazzjon tal-Belt ta 'Fresno?")</f>
        <v>X'kienu r-raġunijiet għaliex ir-residenti marru jgħixu fl-Istazzjon tal-Belt ta 'Fresno?</v>
      </c>
    </row>
    <row r="1945" ht="15.75" customHeight="1">
      <c r="A1945" s="2" t="s">
        <v>1945</v>
      </c>
      <c r="B1945" s="2" t="str">
        <f>IFERROR(__xludf.DUMMYFUNCTION("GOOGLETRANSLATE(A1945,""en"", ""mt"")"),"L-użu tal-isem ma kienx korrett Dawn is-servizzi kollha ġew ġestiti mill-istess nies fi ħdan id-dipartiment tal-KPN ikkontribwew għall-konfużjoni")</f>
        <v>L-użu tal-isem ma kienx korrett Dawn is-servizzi kollha ġew ġestiti mill-istess nies fi ħdan id-dipartiment tal-KPN ikkontribwew għall-konfużjoni</v>
      </c>
    </row>
    <row r="1946" ht="15.75" customHeight="1">
      <c r="A1946" s="2" t="s">
        <v>1946</v>
      </c>
      <c r="B1946" s="2" t="str">
        <f>IFERROR(__xludf.DUMMYFUNCTION("GOOGLETRANSLATE(A1946,""en"", ""mt"")"),"Meta ġie mniedi s-servizz diġitali ta 'BSKYB?")</f>
        <v>Meta ġie mniedi s-servizz diġitali ta 'BSKYB?</v>
      </c>
    </row>
    <row r="1947" ht="15.75" customHeight="1">
      <c r="A1947" s="2" t="s">
        <v>1947</v>
      </c>
      <c r="B1947" s="2" t="str">
        <f>IFERROR(__xludf.DUMMYFUNCTION("GOOGLETRANSLATE(A1947,""en"", ""mt"")"),"Belt Ġdida Bold tan-Nofsinhar")</f>
        <v>Belt Ġdida Bold tan-Nofsinhar</v>
      </c>
    </row>
    <row r="1948" ht="15.75" customHeight="1">
      <c r="A1948" s="2" t="s">
        <v>1948</v>
      </c>
      <c r="B1948" s="2" t="str">
        <f>IFERROR(__xludf.DUMMYFUNCTION("GOOGLETRANSLATE(A1948,""en"", ""mt"")"),"It-tentakli ta 'ctenophores cydippid huma tipikament fringed bit-tentilla (""ftit tentakli""), għalkemm ftit ġeneri għandhom tentakli sempliċi mingħajr dawn il-sidebranches. It-tentakli u t-tentilla huma densament mgħottija b'kolloblasti mikroskopiċi li j"&amp;"aqbdu l-priża billi jeħlu magħha. Il-kolloblasti huma ċelloli speċjalizzati f'forma ta 'faqqiegħ fis-saff ta' barra ta 'l-epidermide, u għandhom tliet komponenti ewlenin: ras koppla bil-vesikuli (kmamar) li fihom kolla; zokk li jankra ċ-ċellula fis-saff t"&amp;"'isfel tal-epidermide jew fil-mesoglea; u ħajta spirali li tgħaqqad iz-zokk u hija mwaħħla mar-ras u mal-għerq taz-zokk. Il-funzjoni tal-ħajt spirali hija inċerta, iżda tista 'tassorbi l-istress meta l-priża tipprova taħrab, u b'hekk tipprevjeni li l-koll"&amp;"obast jinqata'. Minbarra l-kolloblasti, il-membri tal-ġeneru Haeckelia, li jitimgħu prinċipalment fuq il-bram, jinkorporaw in-nematokiti tal-vittmi tagħhom fit-tentakli tagħhom stess - xi nudibranchs li jieklu cnidaria bl-istess mod jinkorporaw nematokiti"&amp;" fil-korpi tagħhom għad-difiża. It-tentilla ta 'euplokamis tvarja b'mod sinifikanti minn dawk ta' ċidippidi oħra: fihom muskolu strijat, tip ta 'ċellula mod ieħor mhux magħruf fil-phylum ctenophora; U huma mkebbsa meta jkunu rilassati, waqt li t-tentilla "&amp;"tal-ctenophores l-oħra kollha tawwalija meta jkunu rilassati. It-tentilla ta 'Euplokamis għandhom tliet tipi ta' moviment li jintużaw fil-qbid tal-priża: jistgħu joħorġu malajr ħafna (f'40 sa 60 millisekonda); Jistgħu jikbru, li jistgħu jattiraw il-priża "&amp;"billi jġibu ruħhom bħal dud żgħir planktoniku; U huma coil priża tonda. Il-flicking uniku huwa moviment li ma joħroġx imħaddem mill-kontrazzjoni tal-muskolu strijat. Il-moviment tat-tikmix huwa prodott minn muskoli lixxi, iżda ta 'tip speċjalizzat ħafna. "&amp;"Il-coiling madwar il-priża jitwettaq fil-biċċa l-kbira mir-ritorn tat-tentilla għall-istat inattiv tagħhom, iżda l-kolji jistgħu jiġu ssikkati mill-muskolu lixx.")</f>
        <v>It-tentakli ta 'ctenophores cydippid huma tipikament fringed bit-tentilla ("ftit tentakli"), għalkemm ftit ġeneri għandhom tentakli sempliċi mingħajr dawn il-sidebranches. It-tentakli u t-tentilla huma densament mgħottija b'kolloblasti mikroskopiċi li jaqbdu l-priża billi jeħlu magħha. Il-kolloblasti huma ċelloli speċjalizzati f'forma ta 'faqqiegħ fis-saff ta' barra ta 'l-epidermide, u għandhom tliet komponenti ewlenin: ras koppla bil-vesikuli (kmamar) li fihom kolla; zokk li jankra ċ-ċellula fis-saff t'isfel tal-epidermide jew fil-mesoglea; u ħajta spirali li tgħaqqad iz-zokk u hija mwaħħla mar-ras u mal-għerq taz-zokk. Il-funzjoni tal-ħajt spirali hija inċerta, iżda tista 'tassorbi l-istress meta l-priża tipprova taħrab, u b'hekk tipprevjeni li l-kollobast jinqata'. Minbarra l-kolloblasti, il-membri tal-ġeneru Haeckelia, li jitimgħu prinċipalment fuq il-bram, jinkorporaw in-nematokiti tal-vittmi tagħhom fit-tentakli tagħhom stess - xi nudibranchs li jieklu cnidaria bl-istess mod jinkorporaw nematokiti fil-korpi tagħhom għad-difiża. It-tentilla ta 'euplokamis tvarja b'mod sinifikanti minn dawk ta' ċidippidi oħra: fihom muskolu strijat, tip ta 'ċellula mod ieħor mhux magħruf fil-phylum ctenophora; U huma mkebbsa meta jkunu rilassati, waqt li t-tentilla tal-ctenophores l-oħra kollha tawwalija meta jkunu rilassati. It-tentilla ta 'Euplokamis għandhom tliet tipi ta' moviment li jintużaw fil-qbid tal-priża: jistgħu joħorġu malajr ħafna (f'40 sa 60 millisekonda); Jistgħu jikbru, li jistgħu jattiraw il-priża billi jġibu ruħhom bħal dud żgħir planktoniku; U huma coil priża tonda. Il-flicking uniku huwa moviment li ma joħroġx imħaddem mill-kontrazzjoni tal-muskolu strijat. Il-moviment tat-tikmix huwa prodott minn muskoli lixxi, iżda ta 'tip speċjalizzat ħafna. Il-coiling madwar il-priża jitwettaq fil-biċċa l-kbira mir-ritorn tat-tentilla għall-istat inattiv tagħhom, iżda l-kolji jistgħu jiġu ssikkati mill-muskolu lixx.</v>
      </c>
    </row>
    <row r="1949" ht="15.75" customHeight="1">
      <c r="A1949" s="2" t="s">
        <v>1949</v>
      </c>
      <c r="B1949" s="2" t="str">
        <f>IFERROR(__xludf.DUMMYFUNCTION("GOOGLETRANSLATE(A1949,""en"", ""mt"")"),"Liema għajnuna hija disponibbli għal studenti defavoriti li jfittxu li jattendu università privata?")</f>
        <v>Liema għajnuna hija disponibbli għal studenti defavoriti li jfittxu li jattendu università privata?</v>
      </c>
    </row>
    <row r="1950" ht="15.75" customHeight="1">
      <c r="A1950" s="2" t="s">
        <v>1950</v>
      </c>
      <c r="B1950" s="2" t="str">
        <f>IFERROR(__xludf.DUMMYFUNCTION("GOOGLETRANSLATE(A1950,""en"", ""mt"")"),"Liema żewġ riżorsi kkunsmati komunement minn mudelli alternattivi huma tipikament magħrufa li jvarjaw?")</f>
        <v>Liema żewġ riżorsi kkunsmati komunement minn mudelli alternattivi huma tipikament magħrufa li jvarjaw?</v>
      </c>
    </row>
    <row r="1951" ht="15.75" customHeight="1">
      <c r="A1951" s="2" t="s">
        <v>1951</v>
      </c>
      <c r="B1951" s="2" t="str">
        <f>IFERROR(__xludf.DUMMYFUNCTION("GOOGLETRANSLATE(A1951,""en"", ""mt"")"),"κτείς kteis 'comb' u φέρω pherō 'iġorru'")</f>
        <v>κτείς kteis 'comb' u φέρω pherō 'iġorru'</v>
      </c>
    </row>
    <row r="1952" ht="15.75" customHeight="1">
      <c r="A1952" s="2" t="s">
        <v>1952</v>
      </c>
      <c r="B1952" s="2" t="str">
        <f>IFERROR(__xludf.DUMMYFUNCTION("GOOGLETRANSLATE(A1952,""en"", ""mt"")"),"Agrikoltura dwar l-Età tal-Bronż")</f>
        <v>Agrikoltura dwar l-Età tal-Bronż</v>
      </c>
    </row>
    <row r="1953" ht="15.75" customHeight="1">
      <c r="A1953" s="2" t="s">
        <v>1953</v>
      </c>
      <c r="B1953" s="2" t="str">
        <f>IFERROR(__xludf.DUMMYFUNCTION("GOOGLETRANSLATE(A1953,""en"", ""mt"")"),"Magna tat-Turing probabilistiċi")</f>
        <v>Magna tat-Turing probabilistiċi</v>
      </c>
    </row>
    <row r="1954" ht="15.75" customHeight="1">
      <c r="A1954" s="2" t="s">
        <v>1954</v>
      </c>
      <c r="B1954" s="2" t="str">
        <f>IFERROR(__xludf.DUMMYFUNCTION("GOOGLETRANSLATE(A1954,""en"", ""mt"")"),"Fresno Traction Company")</f>
        <v>Fresno Traction Company</v>
      </c>
    </row>
    <row r="1955" ht="15.75" customHeight="1">
      <c r="A1955" s="2" t="s">
        <v>1955</v>
      </c>
      <c r="B1955" s="2" t="str">
        <f>IFERROR(__xludf.DUMMYFUNCTION("GOOGLETRANSLATE(A1955,""en"", ""mt"")"),"Il-popolazzjoni tal-far ma kinitx biżżejjed")</f>
        <v>Il-popolazzjoni tal-far ma kinitx biżżejjed</v>
      </c>
    </row>
    <row r="1956" ht="15.75" customHeight="1">
      <c r="A1956" s="2" t="s">
        <v>1956</v>
      </c>
      <c r="B1956" s="2" t="str">
        <f>IFERROR(__xludf.DUMMYFUNCTION("GOOGLETRANSLATE(A1956,""en"", ""mt"")"),"Il-Konferenza tal-Big Ten")</f>
        <v>Il-Konferenza tal-Big Ten</v>
      </c>
    </row>
    <row r="1957" ht="15.75" customHeight="1">
      <c r="A1957" s="2" t="s">
        <v>1957</v>
      </c>
      <c r="B1957" s="2" t="str">
        <f>IFERROR(__xludf.DUMMYFUNCTION("GOOGLETRANSLATE(A1957,""en"", ""mt"")"),"X'jistgħu jikkawżaw li jitħallew barra l-iskadenzi tar-rapport tal-IPCC?")</f>
        <v>X'jistgħu jikkawżaw li jitħallew barra l-iskadenzi tar-rapport tal-IPCC?</v>
      </c>
    </row>
    <row r="1958" ht="15.75" customHeight="1">
      <c r="A1958" s="2" t="s">
        <v>1958</v>
      </c>
      <c r="B1958" s="2" t="str">
        <f>IFERROR(__xludf.DUMMYFUNCTION("GOOGLETRANSLATE(A1958,""en"", ""mt"")"),"sistema biex tiffunzjona")</f>
        <v>sistema biex tiffunzjona</v>
      </c>
    </row>
    <row r="1959" ht="15.75" customHeight="1">
      <c r="A1959" s="2" t="s">
        <v>1959</v>
      </c>
      <c r="B1959" s="2" t="str">
        <f>IFERROR(__xludf.DUMMYFUNCTION("GOOGLETRANSLATE(A1959,""en"", ""mt"")"),"maqtula")</f>
        <v>maqtula</v>
      </c>
    </row>
    <row r="1960" ht="15.75" customHeight="1">
      <c r="A1960" s="2" t="s">
        <v>1960</v>
      </c>
      <c r="B1960" s="2" t="str">
        <f>IFERROR(__xludf.DUMMYFUNCTION("GOOGLETRANSLATE(A1960,""en"", ""mt"")"),"Amsterdam u ż-żona ta 'West Frisia")</f>
        <v>Amsterdam u ż-żona ta 'West Frisia</v>
      </c>
    </row>
    <row r="1961" ht="15.75" customHeight="1">
      <c r="A1961" s="2" t="s">
        <v>1961</v>
      </c>
      <c r="B1961" s="2" t="str">
        <f>IFERROR(__xludf.DUMMYFUNCTION("GOOGLETRANSLATE(A1961,""en"", ""mt"")"),"Wara li waqa 'fil-qiegħ tal-baħar")</f>
        <v>Wara li waqa 'fil-qiegħ tal-baħar</v>
      </c>
    </row>
    <row r="1962" ht="15.75" customHeight="1">
      <c r="A1962" s="2" t="s">
        <v>1962</v>
      </c>
      <c r="B1962" s="2" t="str">
        <f>IFERROR(__xludf.DUMMYFUNCTION("GOOGLETRANSLATE(A1962,""en"", ""mt"")"),"Bosta ostakli jipproteġu l-organiżmi minn infezzjoni, inklużi ostakli mekkaniċi, kimiċi u bijoloġiċi. Ir-rita tax-xama 'ta' ħafna weraq, l-eżoskeletru ta 'l-insetti, il-qxur u l-membrani ta' bajd depożitat esternament, u l-ġilda huma eżempji ta 'ostakli m"&amp;"ekkaniċi li huma l-ewwel linja ta' difiża kontra l-infezzjoni. Madankollu, billi l-organiżmi ma jistgħux jiġu ssiġillati kompletament mill-ambjenti tagħhom, sistemi oħra jaġixxu biex jipproteġu l-fetħiet tal-ġisem bħall-pulmuni, l-imsaren u l-passaġġ ġeni"&amp;"tourinarju. Fil-pulmuni, is-sogħla u l-għatis tal-għatis jkeċċu mekkanikament patoġeni u irritanti oħra mill-passaġġ respiratorju. L-azzjoni tat-tlaħliħ tad-dmugħ u l-awrina tkeċċi wkoll mekkanikament il-patoġeni, filwaqt li l-mukus sekretat mill-passaġġ "&amp;"respiratorju u gastro-intestinali jservi biex jaqbad u jqabbad mikro-organiżmi.")</f>
        <v>Bosta ostakli jipproteġu l-organiżmi minn infezzjoni, inklużi ostakli mekkaniċi, kimiċi u bijoloġiċi. Ir-rita tax-xama 'ta' ħafna weraq, l-eżoskeletru ta 'l-insetti, il-qxur u l-membrani ta' bajd depożitat esternament, u l-ġilda huma eżempji ta 'ostakli mekkaniċi li huma l-ewwel linja ta' difiża kontra l-infezzjoni. Madankollu, billi l-organiżmi ma jistgħux jiġu ssiġillati kompletament mill-ambjenti tagħhom, sistemi oħra jaġixxu biex jipproteġu l-fetħiet tal-ġisem bħall-pulmuni, l-imsaren u l-passaġġ ġenitourinarju. Fil-pulmuni, is-sogħla u l-għatis tal-għatis jkeċċu mekkanikament patoġeni u irritanti oħra mill-passaġġ respiratorju. L-azzjoni tat-tlaħliħ tad-dmugħ u l-awrina tkeċċi wkoll mekkanikament il-patoġeni, filwaqt li l-mukus sekretat mill-passaġġ respiratorju u gastro-intestinali jservi biex jaqbad u jqabbad mikro-organiżmi.</v>
      </c>
    </row>
    <row r="1963" ht="15.75" customHeight="1">
      <c r="A1963" s="2" t="s">
        <v>1963</v>
      </c>
      <c r="B1963" s="2" t="str">
        <f>IFERROR(__xludf.DUMMYFUNCTION("GOOGLETRANSLATE(A1963,""en"", ""mt"")"),"L-approċċ ta 'Agassiz għax-xjenza kkombina l-osservazzjoni u x'inhu?")</f>
        <v>L-approċċ ta 'Agassiz għax-xjenza kkombina l-osservazzjoni u x'inhu?</v>
      </c>
    </row>
    <row r="1964" ht="15.75" customHeight="1">
      <c r="A1964" s="2" t="s">
        <v>1964</v>
      </c>
      <c r="B1964" s="2" t="str">
        <f>IFERROR(__xludf.DUMMYFUNCTION("GOOGLETRANSLATE(A1964,""en"", ""mt"")"),"Fuq liema 3 affarijiet jaħdem fuq il-forza tal-ajru")</f>
        <v>Fuq liema 3 affarijiet jaħdem fuq il-forza tal-ajru</v>
      </c>
    </row>
    <row r="1965" ht="15.75" customHeight="1">
      <c r="A1965" s="2" t="s">
        <v>1965</v>
      </c>
      <c r="B1965" s="2" t="str">
        <f>IFERROR(__xludf.DUMMYFUNCTION("GOOGLETRANSLATE(A1965,""en"", ""mt"")"),"kienu standards miftuħa bi speċifikazzjonijiet ippubblikati, u diversi implimentazzjonijiet ġew żviluppati barra minn DEC, inkluż wieħed għal Linux")</f>
        <v>kienu standards miftuħa bi speċifikazzjonijiet ippubblikati, u diversi implimentazzjonijiet ġew żviluppati barra minn DEC, inkluż wieħed għal Linux</v>
      </c>
    </row>
    <row r="1966" ht="15.75" customHeight="1">
      <c r="A1966" s="2" t="s">
        <v>1966</v>
      </c>
      <c r="B1966" s="2" t="str">
        <f>IFERROR(__xludf.DUMMYFUNCTION("GOOGLETRANSLATE(A1966,""en"", ""mt"")"),"Harvard għandu diversi faċilitajiet atletiċi, bħall-Padiljun Lavietes, arena b'diversi skopijiet u dar għat-timijiet tal-basketball ta 'Harvard. Iċ-Ċentru Atletiku ta 'Malkin, magħruf bħala ""Mac"", iservi kemm bħala l-faċilità ta' rikreazzjoni primarja t"&amp;"al-università kif ukoll bħala post bis-satellita għal diversi sports ta 'varsity. Il-bini b'ħames sulari jinkludi żewġ kmamar kardjo, pixxina ta 'daqs Olimpiku, ġabra iżgħar għall-akwaerobika u attivitajiet oħra, mezzanin, fejn huma miżmuma t-tipi kollha "&amp;"ta' klassijiet, studju ta 'ċikliżmu fuq ġewwa, tliet kmamar tal-piż, u tlieta Qorti tal-ġinnasju tal-qorti biex tilgħab il-baskitbol. Il-Mac joffri trejners personali u klassijiet ta 'speċjalità. Huwa d-dar ta 'Harvard Volleyball, Fencing u Wrestling. L-u"&amp;"ffiċċji ta 'bosta mill-kowċis tal-varsity tal-iskola huma wkoll fil-Mac.")</f>
        <v>Harvard għandu diversi faċilitajiet atletiċi, bħall-Padiljun Lavietes, arena b'diversi skopijiet u dar għat-timijiet tal-basketball ta 'Harvard. Iċ-Ċentru Atletiku ta 'Malkin, magħruf bħala "Mac", iservi kemm bħala l-faċilità ta' rikreazzjoni primarja tal-università kif ukoll bħala post bis-satellita għal diversi sports ta 'varsity. Il-bini b'ħames sulari jinkludi żewġ kmamar kardjo, pixxina ta 'daqs Olimpiku, ġabra iżgħar għall-akwaerobika u attivitajiet oħra, mezzanin, fejn huma miżmuma t-tipi kollha ta' klassijiet, studju ta 'ċikliżmu fuq ġewwa, tliet kmamar tal-piż, u tlieta Qorti tal-ġinnasju tal-qorti biex tilgħab il-baskitbol. Il-Mac joffri trejners personali u klassijiet ta 'speċjalità. Huwa d-dar ta 'Harvard Volleyball, Fencing u Wrestling. L-uffiċċji ta 'bosta mill-kowċis tal-varsity tal-iskola huma wkoll fil-Mac.</v>
      </c>
    </row>
    <row r="1967" ht="15.75" customHeight="1">
      <c r="A1967" s="2" t="s">
        <v>1967</v>
      </c>
      <c r="B1967" s="2" t="str">
        <f>IFERROR(__xludf.DUMMYFUNCTION("GOOGLETRANSLATE(A1967,""en"", ""mt"")"),"Fil-Kap tat-Tama t-Tajba")</f>
        <v>Fil-Kap tat-Tama t-Tajba</v>
      </c>
    </row>
    <row r="1968" ht="15.75" customHeight="1">
      <c r="A1968" s="2" t="s">
        <v>1968</v>
      </c>
      <c r="B1968" s="2" t="str">
        <f>IFERROR(__xludf.DUMMYFUNCTION("GOOGLETRANSLATE(A1968,""en"", ""mt"")"),"X'tip ta 'motivaturi huma kkunsidrati l-kisba u l-awto-determinazzjoni?")</f>
        <v>X'tip ta 'motivaturi huma kkunsidrati l-kisba u l-awto-determinazzjoni?</v>
      </c>
    </row>
    <row r="1969" ht="15.75" customHeight="1">
      <c r="A1969" s="2" t="s">
        <v>1969</v>
      </c>
      <c r="B1969" s="2" t="str">
        <f>IFERROR(__xludf.DUMMYFUNCTION("GOOGLETRANSLATE(A1969,""en"", ""mt"")"),"il-qalba komuni")</f>
        <v>il-qalba komuni</v>
      </c>
    </row>
    <row r="1970" ht="15.75" customHeight="1">
      <c r="A1970" s="2" t="s">
        <v>1970</v>
      </c>
      <c r="B1970" s="2" t="str">
        <f>IFERROR(__xludf.DUMMYFUNCTION("GOOGLETRANSLATE(A1970,""en"", ""mt"")"),"Mill-129 MSPs, 73 huma eletti biex jirrappreżentaw l-ewwel kostitwenzi tal-passat u huma magħrufa bħala ""kostitwenza MSPs"". Il-votanti jagħżlu membru wieħed biex jirrappreżenta l-kostitwenza, u l-membru bil-biċċa l-kbira tal-voti jintbagħat bħala MSP ta"&amp;"l-kostitwenza. It-73 kostitwenzi tal-Parlament Skoċċiżi qasmu l-istess konfini bħall-kostitwenzi tal-Parlament tar-Renju Unit fl-Iskozja, qabel it-tnaqqis tal-2005 fl-għadd ta 'membri parlamentari Skoċċiżi, bl-eċċezzjoni ta' Orkney u Shetland li kull wieħ"&amp;"ed jirritorna l-MSP tal-kostitwenza tagħhom stess. Bħalissa, il-kostitwenza medja tal-Parlament Skoċċiża tinkludi 55,000 elettur. Minħabba d-distribuzzjoni ġeografika tal-popolazzjoni fl-Iskozja, dan jirriżulta f'kostitwenzi ta 'żona iżgħar fl-artijiet ba"&amp;"xxi ċentrali, fejn tgħix il-biċċa l-kbira tal-popolazzjoni tal-Iskozja, u żoni ta' kostitwenza ferm akbar fit-tramuntana u fil-punent tal-pajjiż, li għandhom densità baxxa tal-popolazzjoni Jonqos L-arċipelagos tal-gżira ta 'Orkney, Shetland u l-Gżejjer ta"&amp;"l-Punent jinkludu numru ferm iżgħar ta' eletturi, minħabba l-popolazzjoni mxerrda tagħhom u d-distanza mill-Parlament Skoċċiż f'Edinburgu. Jekk MSP ta 'kostitwenza jirriżenja mill-Parlament, dan iqajjem elezzjoni każwali fil-kostitwenza tiegħu jew tagħha,"&amp;" fejn MSP ta' sostituzzjoni jintbagħat lura minn waħda mill-partijiet mis-sistema tal-pluralità.")</f>
        <v>Mill-129 MSPs, 73 huma eletti biex jirrappreżentaw l-ewwel kostitwenzi tal-passat u huma magħrufa bħala "kostitwenza MSPs". Il-votanti jagħżlu membru wieħed biex jirrappreżenta l-kostitwenza, u l-membru bil-biċċa l-kbira tal-voti jintbagħat bħala MSP tal-kostitwenza. It-73 kostitwenzi tal-Parlament Skoċċiżi qasmu l-istess konfini bħall-kostitwenzi tal-Parlament tar-Renju Unit fl-Iskozja, qabel it-tnaqqis tal-2005 fl-għadd ta 'membri parlamentari Skoċċiżi, bl-eċċezzjoni ta' Orkney u Shetland li kull wieħed jirritorna l-MSP tal-kostitwenza tagħhom stess. Bħalissa, il-kostitwenza medja tal-Parlament Skoċċiża tinkludi 55,000 elettur. Minħabba d-distribuzzjoni ġeografika tal-popolazzjoni fl-Iskozja, dan jirriżulta f'kostitwenzi ta 'żona iżgħar fl-artijiet baxxi ċentrali, fejn tgħix il-biċċa l-kbira tal-popolazzjoni tal-Iskozja, u żoni ta' kostitwenza ferm akbar fit-tramuntana u fil-punent tal-pajjiż, li għandhom densità baxxa tal-popolazzjoni Jonqos L-arċipelagos tal-gżira ta 'Orkney, Shetland u l-Gżejjer tal-Punent jinkludu numru ferm iżgħar ta' eletturi, minħabba l-popolazzjoni mxerrda tagħhom u d-distanza mill-Parlament Skoċċiż f'Edinburgu. Jekk MSP ta 'kostitwenza jirriżenja mill-Parlament, dan iqajjem elezzjoni każwali fil-kostitwenza tiegħu jew tagħha, fejn MSP ta' sostituzzjoni jintbagħat lura minn waħda mill-partijiet mis-sistema tal-pluralità.</v>
      </c>
    </row>
    <row r="1971" ht="15.75" customHeight="1">
      <c r="A1971" s="2" t="s">
        <v>1971</v>
      </c>
      <c r="B1971" s="2" t="str">
        <f>IFERROR(__xludf.DUMMYFUNCTION("GOOGLETRANSLATE(A1971,""en"", ""mt"")"),"Jaqbad tliet negozjanti u joqtol 14-il persuna tan-nazzjon ta ’Miami, inkluż il-Brittaniku l-Qadim")</f>
        <v>Jaqbad tliet negozjanti u joqtol 14-il persuna tan-nazzjon ta ’Miami, inkluż il-Brittaniku l-Qadim</v>
      </c>
    </row>
    <row r="1972" ht="15.75" customHeight="1">
      <c r="A1972" s="2" t="s">
        <v>1972</v>
      </c>
      <c r="B1972" s="2" t="str">
        <f>IFERROR(__xludf.DUMMYFUNCTION("GOOGLETRANSLATE(A1972,""en"", ""mt"")"),"Liema trattat intemm il-gwerer tar-reliġjon?")</f>
        <v>Liema trattat intemm il-gwerer tar-reliġjon?</v>
      </c>
    </row>
    <row r="1973" ht="15.75" customHeight="1">
      <c r="A1973" s="2" t="s">
        <v>1973</v>
      </c>
      <c r="B1973" s="2" t="str">
        <f>IFERROR(__xludf.DUMMYFUNCTION("GOOGLETRANSLATE(A1973,""en"", ""mt"")"),"Uża Sickles biex tiddefla wieħed mill-koppji l-kbar li jkopru żewġ platti bis-satellita")</f>
        <v>Uża Sickles biex tiddefla wieħed mill-koppji l-kbar li jkopru żewġ platti bis-satellita</v>
      </c>
    </row>
    <row r="1974" ht="15.75" customHeight="1">
      <c r="A1974" s="2" t="s">
        <v>1974</v>
      </c>
      <c r="B1974" s="2" t="str">
        <f>IFERROR(__xludf.DUMMYFUNCTION("GOOGLETRANSLATE(A1974,""en"", ""mt"")"),"l-elettorat ta 'Brandenburg u l-elettorat tal-palatinate")</f>
        <v>l-elettorat ta 'Brandenburg u l-elettorat tal-palatinate</v>
      </c>
    </row>
    <row r="1975" ht="15.75" customHeight="1">
      <c r="A1975" s="2" t="s">
        <v>1975</v>
      </c>
      <c r="B1975" s="2" t="str">
        <f>IFERROR(__xludf.DUMMYFUNCTION("GOOGLETRANSLATE(A1975,""en"", ""mt"")"),"1.4 u 5.8 ° C")</f>
        <v>1.4 u 5.8 ° C</v>
      </c>
    </row>
    <row r="1976" ht="15.75" customHeight="1">
      <c r="A1976" s="2" t="s">
        <v>1976</v>
      </c>
      <c r="B1976" s="2" t="str">
        <f>IFERROR(__xludf.DUMMYFUNCTION("GOOGLETRANSLATE(A1976,""en"", ""mt"")"),"permess ta 'okkupazzjoni")</f>
        <v>permess ta 'okkupazzjoni</v>
      </c>
    </row>
    <row r="1977" ht="15.75" customHeight="1">
      <c r="A1977" s="2" t="s">
        <v>1977</v>
      </c>
      <c r="B1977" s="2" t="str">
        <f>IFERROR(__xludf.DUMMYFUNCTION("GOOGLETRANSLATE(A1977,""en"", ""mt"")"),"X’semmew il-BSKYB is-servizz interattiv tagħhom?")</f>
        <v>X’semmew il-BSKYB is-servizz interattiv tagħhom?</v>
      </c>
    </row>
    <row r="1978" ht="15.75" customHeight="1">
      <c r="A1978" s="2" t="s">
        <v>1978</v>
      </c>
      <c r="B1978" s="2" t="str">
        <f>IFERROR(__xludf.DUMMYFUNCTION("GOOGLETRANSLATE(A1978,""en"", ""mt"")"),"anke numri")</f>
        <v>anke numri</v>
      </c>
    </row>
    <row r="1979" ht="15.75" customHeight="1">
      <c r="A1979" s="2" t="s">
        <v>1979</v>
      </c>
      <c r="B1979" s="2" t="str">
        <f>IFERROR(__xludf.DUMMYFUNCTION("GOOGLETRANSLATE(A1979,""en"", ""mt"")"),"Movimenti Iżlamiċi Kontra d-Demokratiċi ispirati minn Maududi u Sayyid Qutb")</f>
        <v>Movimenti Iżlamiċi Kontra d-Demokratiċi ispirati minn Maududi u Sayyid Qutb</v>
      </c>
    </row>
    <row r="1980" ht="15.75" customHeight="1">
      <c r="A1980" s="2" t="s">
        <v>1980</v>
      </c>
      <c r="B1980" s="2" t="str">
        <f>IFERROR(__xludf.DUMMYFUNCTION("GOOGLETRANSLATE(A1980,""en"", ""mt"")"),"ex re ta 'Tebes")</f>
        <v>ex re ta 'Tebes</v>
      </c>
    </row>
    <row r="1981" ht="15.75" customHeight="1">
      <c r="A1981" s="2" t="s">
        <v>1981</v>
      </c>
      <c r="B1981" s="2" t="str">
        <f>IFERROR(__xludf.DUMMYFUNCTION("GOOGLETRANSLATE(A1981,""en"", ""mt"")"),"cortisol u katekolamini")</f>
        <v>cortisol u katekolamini</v>
      </c>
    </row>
    <row r="1982" ht="15.75" customHeight="1">
      <c r="A1982" s="2" t="s">
        <v>1982</v>
      </c>
      <c r="B1982" s="2" t="str">
        <f>IFERROR(__xludf.DUMMYFUNCTION("GOOGLETRANSLATE(A1982,""en"", ""mt"")"),"B'mod partikolari, din in-norma ssir iżgħar meta numru jiġi mmultiplikat b'P, f'kuntrast qawwi mal-valur assolut tas-soltu (imsejjaħ ukoll bħala l-prim infinit). Waqt li tlesti Q (bejn wieħed u ieħor, il-mili tal-lakuni) fir-rigward tal-valur assolut jagħ"&amp;"ti l-qasam tan-numri reali, it-tlestija fir-rigward tan-norma P-ADIC | - | P twassal il-qasam tan-numri P-ADIC. Dawn huma essenzjalment il-modi kollha possibbli biex tlesti Q, mit-teorema ta 'Ostrowski. Ċerti mistoqsijiet aritmetiċi relatati ma 'Q jew akt"&amp;"ar oqsma globali ġenerali jistgħu jiġu trasferiti' l quddiem u lura lejn l-oqsma kompluti (jew lokali). Dan il-prinċipju lokali-globali jerġa 'jissottolinja l-importanza tal-primes għat-teorija tan-numri.")</f>
        <v>B'mod partikolari, din in-norma ssir iżgħar meta numru jiġi mmultiplikat b'P, f'kuntrast qawwi mal-valur assolut tas-soltu (imsejjaħ ukoll bħala l-prim infinit). Waqt li tlesti Q (bejn wieħed u ieħor, il-mili tal-lakuni) fir-rigward tal-valur assolut jagħti l-qasam tan-numri reali, it-tlestija fir-rigward tan-norma P-ADIC | - | P twassal il-qasam tan-numri P-ADIC. Dawn huma essenzjalment il-modi kollha possibbli biex tlesti Q, mit-teorema ta 'Ostrowski. Ċerti mistoqsijiet aritmetiċi relatati ma 'Q jew aktar oqsma globali ġenerali jistgħu jiġu trasferiti' l quddiem u lura lejn l-oqsma kompluti (jew lokali). Dan il-prinċipju lokali-globali jerġa 'jissottolinja l-importanza tal-primes għat-teorija tan-numri.</v>
      </c>
    </row>
    <row r="1983" ht="15.75" customHeight="1">
      <c r="A1983" s="2" t="s">
        <v>1983</v>
      </c>
      <c r="B1983" s="2" t="str">
        <f>IFERROR(__xludf.DUMMYFUNCTION("GOOGLETRANSLATE(A1983,""en"", ""mt"")"),"""West Side""")</f>
        <v>"West Side"</v>
      </c>
    </row>
    <row r="1984" ht="15.75" customHeight="1">
      <c r="A1984" s="2" t="s">
        <v>1984</v>
      </c>
      <c r="B1984" s="2" t="str">
        <f>IFERROR(__xludf.DUMMYFUNCTION("GOOGLETRANSLATE(A1984,""en"", ""mt"")"),"Fis-snin 1910, il-produtturi tal-films ibbażati fi New York ġew attirati mill-klima sħuna ta 'Jacksonville, postijiet eżotiċi, aċċess ferrovjarju eċċellenti, u xogħol irħis. Matul id-deċennju, ġew stabbiliti aktar minn 30 studios tal-films siekta, li jaqi"&amp;"lgħu lil Jacksonville it-titlu ta '""Winter Film Capital of the World"". Madankollu, il-ħolqien ta 'Hollywood bħala ċentru ewlieni tal-produzzjoni tal-films temm l-industrija tal-films tal-belt. Sit ta 'studju tal-films konvertit, Norman Studios, jibqa' f"&amp;"'Arlington; Ġie kkonvertit għall-Mużew tal-Films Silent Jacksonville fi Norman Studios.")</f>
        <v>Fis-snin 1910, il-produtturi tal-films ibbażati fi New York ġew attirati mill-klima sħuna ta 'Jacksonville, postijiet eżotiċi, aċċess ferrovjarju eċċellenti, u xogħol irħis. Matul id-deċennju, ġew stabbiliti aktar minn 30 studios tal-films siekta, li jaqilgħu lil Jacksonville it-titlu ta '"Winter Film Capital of the World". Madankollu, il-ħolqien ta 'Hollywood bħala ċentru ewlieni tal-produzzjoni tal-films temm l-industrija tal-films tal-belt. Sit ta 'studju tal-films konvertit, Norman Studios, jibqa' f'Arlington; Ġie kkonvertit għall-Mużew tal-Films Silent Jacksonville fi Norman Studios.</v>
      </c>
    </row>
    <row r="1985" ht="15.75" customHeight="1">
      <c r="A1985" s="2" t="s">
        <v>1985</v>
      </c>
      <c r="B1985" s="2" t="str">
        <f>IFERROR(__xludf.DUMMYFUNCTION("GOOGLETRANSLATE(A1985,""en"", ""mt"")"),"Il-kostruzzjoni hija l-proċess tal-kostruzzjoni ta 'bini jew infrastruttura. Il-kostruzzjoni hija differenti mill-manifattura minħabba li l-manifattura tipikament tinvolvi produzzjoni tal-massa ta 'oġġetti simili mingħajr xerrej magħżul, filwaqt li l-kost"&amp;"ruzzjoni tipikament isseħħ fuq il-post għal klijent magħruf. Il-kostruzzjoni bħala industrija tinkludi sitta sa disa 'fil-mija tal-prodott domestiku gross ta' pajjiżi żviluppati. Il-kostruzzjoni tibda bl-ippjanar, [ċitazzjoni meħtieġa] disinn, u tiffinanz"&amp;"ja u tkompli sakemm il-proġett ikun mibni u lest għall-użu.")</f>
        <v>Il-kostruzzjoni hija l-proċess tal-kostruzzjoni ta 'bini jew infrastruttura. Il-kostruzzjoni hija differenti mill-manifattura minħabba li l-manifattura tipikament tinvolvi produzzjoni tal-massa ta 'oġġetti simili mingħajr xerrej magħżul, filwaqt li l-kostruzzjoni tipikament isseħħ fuq il-post għal klijent magħruf. Il-kostruzzjoni bħala industrija tinkludi sitta sa disa 'fil-mija tal-prodott domestiku gross ta' pajjiżi żviluppati. Il-kostruzzjoni tibda bl-ippjanar, [ċitazzjoni meħtieġa] disinn, u tiffinanzja u tkompli sakemm il-proġett ikun mibni u lest għall-użu.</v>
      </c>
    </row>
    <row r="1986" ht="15.75" customHeight="1">
      <c r="A1986" s="2" t="s">
        <v>1986</v>
      </c>
      <c r="B1986" s="2" t="str">
        <f>IFERROR(__xludf.DUMMYFUNCTION("GOOGLETRANSLATE(A1986,""en"", ""mt"")"),"Reyners v il-Belġju l-Qorti tal-Ġustizzja")</f>
        <v>Reyners v il-Belġju l-Qorti tal-Ġustizzja</v>
      </c>
    </row>
    <row r="1987" ht="15.75" customHeight="1">
      <c r="A1987" s="2" t="s">
        <v>1987</v>
      </c>
      <c r="B1987" s="2" t="str">
        <f>IFERROR(__xludf.DUMMYFUNCTION("GOOGLETRANSLATE(A1987,""en"", ""mt"")"),"X'kien l-għan tas-sistema")</f>
        <v>X'kien l-għan tas-sistema</v>
      </c>
    </row>
    <row r="1988" ht="15.75" customHeight="1">
      <c r="A1988" s="2" t="s">
        <v>1988</v>
      </c>
      <c r="B1988" s="2" t="str">
        <f>IFERROR(__xludf.DUMMYFUNCTION("GOOGLETRANSLATE(A1988,""en"", ""mt"")"),"Wid [en] l-għażliet tan-nies u l-livell tal-benesseri miksub tagħhom")</f>
        <v>Wid [en] l-għażliet tan-nies u l-livell tal-benesseri miksub tagħhom</v>
      </c>
    </row>
    <row r="1989" ht="15.75" customHeight="1">
      <c r="A1989" s="2" t="s">
        <v>1989</v>
      </c>
      <c r="B1989" s="2" t="str">
        <f>IFERROR(__xludf.DUMMYFUNCTION("GOOGLETRANSLATE(A1989,""en"", ""mt"")"),"Linja waħda tgħaqqad San Bernardino, Riverside u liema kontea oħra?")</f>
        <v>Linja waħda tgħaqqad San Bernardino, Riverside u liema kontea oħra?</v>
      </c>
    </row>
    <row r="1990" ht="15.75" customHeight="1">
      <c r="A1990" s="2" t="s">
        <v>1990</v>
      </c>
      <c r="B1990" s="2" t="str">
        <f>IFERROR(__xludf.DUMMYFUNCTION("GOOGLETRANSLATE(A1990,""en"", ""mt"")"),"Kull Mejju mill-1987, l-Università ta ’Chicago kellha l-Università ta’ Chicago Scavenger Hunt, li fiha timijiet kbar ta ’studenti jikkompetu biex jiksbu oġġetti esoteriċi notorjament minn lista. Mill-1963, il-Festival tal-Arti (FOTA) jieħu f'idejh il-kamp"&amp;"us għal 7-10 ijiem ta 'esibizzjonijiet u sforzi artistiċi interattivi. Kull Jannar, l-università għandha festival tax-xitwa tul ġimgħa, Kuviasungnerk / Kangeiko, li jinkludu rutini ta 'eżerċizzju kmieni filgħodu u workshops ta' fitness. L-università kull "&amp;"sena għandha wkoll karnival u kunċert tas-sajf imsejjaħ Summer Breeze li tospita mużiċisti barra, u hija d-dar għal Doc Films, studenti tas-soċjetà tal-films imwaqqfa fl-1932 li tiskrinja films filgħaxija fl-università. Mill-1946, l-università organizzat "&amp;"id-dibattitu Latke-Hamantash, li jinvolvi diskussjonijiet umoristiċi dwar il-merti relattivi u t-tifsiriet ta 'Latkes u Hamantashen.")</f>
        <v>Kull Mejju mill-1987, l-Università ta ’Chicago kellha l-Università ta’ Chicago Scavenger Hunt, li fiha timijiet kbar ta ’studenti jikkompetu biex jiksbu oġġetti esoteriċi notorjament minn lista. Mill-1963, il-Festival tal-Arti (FOTA) jieħu f'idejh il-kampus għal 7-10 ijiem ta 'esibizzjonijiet u sforzi artistiċi interattivi. Kull Jannar, l-università għandha festival tax-xitwa tul ġimgħa, Kuviasungnerk / Kangeiko, li jinkludu rutini ta 'eżerċizzju kmieni filgħodu u workshops ta' fitness. L-università kull sena għandha wkoll karnival u kunċert tas-sajf imsejjaħ Summer Breeze li tospita mużiċisti barra, u hija d-dar għal Doc Films, studenti tas-soċjetà tal-films imwaqqfa fl-1932 li tiskrinja films filgħaxija fl-università. Mill-1946, l-università organizzat id-dibattitu Latke-Hamantash, li jinvolvi diskussjonijiet umoristiċi dwar il-merti relattivi u t-tifsiriet ta 'Latkes u Hamantashen.</v>
      </c>
    </row>
    <row r="1991" ht="15.75" customHeight="1">
      <c r="A1991" s="2" t="s">
        <v>1991</v>
      </c>
      <c r="B1991" s="2" t="str">
        <f>IFERROR(__xludf.DUMMYFUNCTION("GOOGLETRANSLATE(A1991,""en"", ""mt"")"),"X'inhuma t-tliet sorsi tal-liġi tal-Unjoni Ewropea?")</f>
        <v>X'inhuma t-tliet sorsi tal-liġi tal-Unjoni Ewropea?</v>
      </c>
    </row>
    <row r="1992" ht="15.75" customHeight="1">
      <c r="A1992" s="2" t="s">
        <v>1992</v>
      </c>
      <c r="B1992" s="2" t="str">
        <f>IFERROR(__xludf.DUMMYFUNCTION("GOOGLETRANSLATE(A1992,""en"", ""mt"")"),"Il-Kungress Nazzjonali Nazzjonalist Indjan u Sekularist Mainstream")</f>
        <v>Il-Kungress Nazzjonali Nazzjonalist Indjan u Sekularist Mainstream</v>
      </c>
    </row>
    <row r="1993" ht="15.75" customHeight="1">
      <c r="A1993" s="2" t="s">
        <v>1993</v>
      </c>
      <c r="B1993" s="2" t="str">
        <f>IFERROR(__xludf.DUMMYFUNCTION("GOOGLETRANSLATE(A1993,""en"", ""mt"")"),"Il-gass tal-ossiġnu jista 'jiġi prodott ukoll permezz ta' elettroliżi ta 'l-ilma f'ossiġenu molekulari u idroġenu. L-elettriku DC għandu jintuża: Jekk jintuża AC, il-gassijiet f'kull parti tikkonsistu minn idroġenu u ossiġenu fil-proporzjon splussiv 2: 1."&amp;" Kuntrarju għat-twemmin popolari, il-proporzjon 2: 1 osservat fl-elettroliżi DC ta 'ilma aċidifikat ma jipprovax li l-formula empirika ta' l-ilma hija H2O sakemm ma jsirux ċerti suppożizzjonijiet dwar il-formuli molekulari ta 'l-idroġenu u l-ossiġenu nfus"&amp;"hom. Metodu simili huwa l-o elettrokatalitiku
2 Evoluzzjoni minn ossidi u oxoacids. Katalizzaturi kimiċi jistgħu jintużaw ukoll, bħal fil-ġeneraturi tal-ossiġnu kimiku jew xemgħat ta 'ossiġnu li jintużaw bħala parti mit-tagħmir ta' appoġġ għall-ħajja fuq "&amp;"sottomarini, u għadhom parti minn tagħmir standard fuq linji tal-ajru kummerċjali f'każ ta 'emerġenzi ta' depressurizzazzjoni. Teknoloġija oħra ta 'separazzjoni ta' l-arja tinvolvi li l-arja tinħall permezz ta 'membrani taċ-ċeramika bbażati fuq dijossidu "&amp;"taż-żirkonju jew bi pressjoni għolja jew minn kurrent elettriku, biex tipproduċi kważi o pur
2 gass.")</f>
        <v>Il-gass tal-ossiġnu jista 'jiġi prodott ukoll permezz ta' elettroliżi ta 'l-ilma f'ossiġenu molekulari u idroġenu. L-elettriku DC għandu jintuża: Jekk jintuża AC, il-gassijiet f'kull parti tikkonsistu minn idroġenu u ossiġenu fil-proporzjon splussiv 2: 1. Kuntrarju għat-twemmin popolari, il-proporzjon 2: 1 osservat fl-elettroliżi DC ta 'ilma aċidifikat ma jipprovax li l-formula empirika ta' l-ilma hija H2O sakemm ma jsirux ċerti suppożizzjonijiet dwar il-formuli molekulari ta 'l-idroġenu u l-ossiġenu nfushom. Metodu simili huwa l-o elettrokatalitiku
2 Evoluzzjoni minn ossidi u oxoacids. Katalizzaturi kimiċi jistgħu jintużaw ukoll, bħal fil-ġeneraturi tal-ossiġnu kimiku jew xemgħat ta 'ossiġnu li jintużaw bħala parti mit-tagħmir ta' appoġġ għall-ħajja fuq sottomarini, u għadhom parti minn tagħmir standard fuq linji tal-ajru kummerċjali f'każ ta 'emerġenzi ta' depressurizzazzjoni. Teknoloġija oħra ta 'separazzjoni ta' l-arja tinvolvi li l-arja tinħall permezz ta 'membrani taċ-ċeramika bbażati fuq dijossidu taż-żirkonju jew bi pressjoni għolja jew minn kurrent elettriku, biex tipproduċi kważi o pur
2 gass.</v>
      </c>
    </row>
    <row r="1994" ht="15.75" customHeight="1">
      <c r="A1994" s="2" t="s">
        <v>1994</v>
      </c>
      <c r="B1994" s="2" t="str">
        <f>IFERROR(__xludf.DUMMYFUNCTION("GOOGLETRANSLATE(A1994,""en"", ""mt"")"),"Il-Ġnien Sassonu")</f>
        <v>Il-Ġnien Sassonu</v>
      </c>
    </row>
    <row r="1995" ht="15.75" customHeight="1">
      <c r="A1995" s="2" t="s">
        <v>1995</v>
      </c>
      <c r="B1995" s="2" t="str">
        <f>IFERROR(__xludf.DUMMYFUNCTION("GOOGLETRANSLATE(A1995,""en"", ""mt"")"),"Meta l-ispedizzjoni ta 'Céloron waslet f'Logstown, l-Amerikani Nattivi fiż-żona infurmaw lil Céloron li huma kienu l-pajjiż ta' Ohio u li kienu jinnegozjaw mal-Ingliżi irrispettivament mill-Franċiżi. Céloron kompla lejn in-nofsinhar sakemm l-ispedizzjoni "&amp;"tiegħu laħqet il-konfluwenza tal-Ohio u x-Xmajjar ta ’Miami, li jinsabu fin-Nofsinhar tal-villaġġ ta’ Pickawillany, id-dar tal-kap ta ’Miami magħrufa bħala"" Brittanja qadima ”. Céloron hedded ""Brittaniku qadim"" b'konsegwenzi severi jekk kompla jinnegoz"&amp;"ja mal-Ingliżi. ""Old Brittaniku"" injora t-twissija. Diżappuntat, Céloron irritorna f'Montreal f'Novembru 1749.")</f>
        <v>Meta l-ispedizzjoni ta 'Céloron waslet f'Logstown, l-Amerikani Nattivi fiż-żona infurmaw lil Céloron li huma kienu l-pajjiż ta' Ohio u li kienu jinnegozjaw mal-Ingliżi irrispettivament mill-Franċiżi. Céloron kompla lejn in-nofsinhar sakemm l-ispedizzjoni tiegħu laħqet il-konfluwenza tal-Ohio u x-Xmajjar ta ’Miami, li jinsabu fin-Nofsinhar tal-villaġġ ta’ Pickawillany, id-dar tal-kap ta ’Miami magħrufa bħala" Brittanja qadima ”. Céloron hedded "Brittaniku qadim" b'konsegwenzi severi jekk kompla jinnegozja mal-Ingliżi. "Old Brittaniku" injora t-twissija. Diżappuntat, Céloron irritorna f'Montreal f'Novembru 1749.</v>
      </c>
    </row>
    <row r="1996" ht="15.75" customHeight="1">
      <c r="A1996" s="2" t="s">
        <v>1996</v>
      </c>
      <c r="B1996" s="2" t="str">
        <f>IFERROR(__xludf.DUMMYFUNCTION("GOOGLETRANSLATE(A1996,""en"", ""mt"")"),"Liema liġi Ingliża għamlet lil dak il-pajjiż aktar milqugħ lil Huguenots?")</f>
        <v>Liema liġi Ingliża għamlet lil dak il-pajjiż aktar milqugħ lil Huguenots?</v>
      </c>
    </row>
    <row r="1997" ht="15.75" customHeight="1">
      <c r="A1997" s="2" t="s">
        <v>1997</v>
      </c>
      <c r="B1997" s="2" t="str">
        <f>IFERROR(__xludf.DUMMYFUNCTION("GOOGLETRANSLATE(A1997,""en"", ""mt"")"),"Liema annimali jinkludu l-ekosistema tax-Xmara Vistula?")</f>
        <v>Liema annimali jinkludu l-ekosistema tax-Xmara Vistula?</v>
      </c>
    </row>
    <row r="1998" ht="15.75" customHeight="1">
      <c r="A1998" s="2" t="s">
        <v>1998</v>
      </c>
      <c r="B1998" s="2" t="str">
        <f>IFERROR(__xludf.DUMMYFUNCTION("GOOGLETRANSLATE(A1998,""en"", ""mt"")"),"Brittaniku")</f>
        <v>Brittaniku</v>
      </c>
    </row>
    <row r="1999" ht="15.75" customHeight="1">
      <c r="A1999" s="2" t="s">
        <v>1999</v>
      </c>
      <c r="B1999" s="2" t="str">
        <f>IFERROR(__xludf.DUMMYFUNCTION("GOOGLETRANSLATE(A1999,""en"", ""mt"")"),"L-ogħla bini fl-orizzont ta ’Downtown Jacksonville huwa t-Torri tal-Bank of America, mibni fl-1990 bħala ċ-Ċentru Barnett. Għandu għoli ta '617 ft (188 m) u jinkludi 42 sular. Strutturi oħra notevoli jinkludu ċ-Ċentru Fargo Wells 37-Istorja (bil-bażi flar"&amp;"ed distintiva tiegħu li tagħmilha l-bini li jiddefinixxi fl-orizzont ta 'Jacksonville), oriġinarjament mibni fl-1972-74 mill-Kumpanija Indipendenti tal-Ħajja u l-Inċidenti tal-Inċidenti, u t-28 Torri tax-Xmara Floor li , meta tlestiet fl-1967, kienet l-og"&amp;"ħla struttura tal-konkrit precast, wara t-tensjoni fid-dinja.")</f>
        <v>L-ogħla bini fl-orizzont ta ’Downtown Jacksonville huwa t-Torri tal-Bank of America, mibni fl-1990 bħala ċ-Ċentru Barnett. Għandu għoli ta '617 ft (188 m) u jinkludi 42 sular. Strutturi oħra notevoli jinkludu ċ-Ċentru Fargo Wells 37-Istorja (bil-bażi flared distintiva tiegħu li tagħmilha l-bini li jiddefinixxi fl-orizzont ta 'Jacksonville), oriġinarjament mibni fl-1972-74 mill-Kumpanija Indipendenti tal-Ħajja u l-Inċidenti tal-Inċidenti, u t-28 Torri tax-Xmara Floor li , meta tlestiet fl-1967, kienet l-ogħla struttura tal-konkrit precast, wara t-tensjoni fid-dinja.</v>
      </c>
    </row>
    <row r="2000" ht="15.75" customHeight="1">
      <c r="A2000" s="2" t="s">
        <v>2000</v>
      </c>
      <c r="B2000" s="2" t="str">
        <f>IFERROR(__xludf.DUMMYFUNCTION("GOOGLETRANSLATE(A2000,""en"", ""mt"")"),"Fil-ħamsinijiet")</f>
        <v>Fil-ħamsinijiet</v>
      </c>
    </row>
    <row r="2001" ht="15.75" customHeight="1">
      <c r="A2001" s="2" t="s">
        <v>2001</v>
      </c>
      <c r="B2001" s="2" t="str">
        <f>IFERROR(__xludf.DUMMYFUNCTION("GOOGLETRANSLATE(A2001,""en"", ""mt"")"),"Reġistru tal-Kunsill Farmaċewtiku Ġenerali (GPHC)")</f>
        <v>Reġistru tal-Kunsill Farmaċewtiku Ġenerali (GPHC)</v>
      </c>
    </row>
    <row r="2002" ht="15.75" customHeight="1">
      <c r="A2002" s="2" t="s">
        <v>2002</v>
      </c>
      <c r="B2002" s="2" t="str">
        <f>IFERROR(__xludf.DUMMYFUNCTION("GOOGLETRANSLATE(A2002,""en"", ""mt"")"),"Indirizz tad-Destinazzjoni, Indirizz tas-Sors, ​​u Numri tal-Port")</f>
        <v>Indirizz tad-Destinazzjoni, Indirizz tas-Sors, ​​u Numri tal-Port</v>
      </c>
    </row>
    <row r="2003" ht="15.75" customHeight="1">
      <c r="A2003" s="2" t="s">
        <v>2003</v>
      </c>
      <c r="B2003" s="2" t="str">
        <f>IFERROR(__xludf.DUMMYFUNCTION("GOOGLETRANSLATE(A2003,""en"", ""mt"")"),"Id-dilemma ffaċċjata minn ċittadini Ġermaniżi meta l-pulizija sigrieta ta ’Hitler talbet biex tkun taf jekk kinux qed jaħbu Lhudi fid-dar tagħhom")</f>
        <v>Id-dilemma ffaċċjata minn ċittadini Ġermaniżi meta l-pulizija sigrieta ta ’Hitler talbet biex tkun taf jekk kinux qed jaħbu Lhudi fid-dar tagħhom</v>
      </c>
    </row>
    <row r="2004" ht="15.75" customHeight="1">
      <c r="A2004" s="2" t="s">
        <v>2004</v>
      </c>
      <c r="B2004" s="2" t="str">
        <f>IFERROR(__xludf.DUMMYFUNCTION("GOOGLETRANSLATE(A2004,""en"", ""mt"")"),"id-deżert")</f>
        <v>id-deżert</v>
      </c>
    </row>
    <row r="2005" ht="15.75" customHeight="1">
      <c r="A2005" s="2" t="s">
        <v>2005</v>
      </c>
      <c r="B2005" s="2" t="str">
        <f>IFERROR(__xludf.DUMMYFUNCTION("GOOGLETRANSLATE(A2005,""en"", ""mt"")"),"X'inhu l-għan ta 'gruppi Iżlamisti bħal Hezbollah u Hamas?")</f>
        <v>X'inhu l-għan ta 'gruppi Iżlamisti bħal Hezbollah u Hamas?</v>
      </c>
    </row>
    <row r="2006" ht="15.75" customHeight="1">
      <c r="A2006" s="2" t="s">
        <v>2006</v>
      </c>
      <c r="B2006" s="2" t="str">
        <f>IFERROR(__xludf.DUMMYFUNCTION("GOOGLETRANSLATE(A2006,""en"", ""mt"")"),"Kważi ċ-ċtenofori kollha huma predaturi, li jieħdu priża li jvarjaw minn larva mikroskopika u rotifers għall-adulti ta 'krustaċji żgħar; L-eċċezzjonijiet huma minorenni ta 'żewġ speċi, li jgħixu bħala parassiti fuq is-salps li fuqhom jitimgħu adulti ta' l"&amp;"-ispeċi tagħhom. F’ċirkostanzi favorevoli, iċ-ctenophores jistgħu jieklu għaxar darbiet il-piż tagħhom stess f’ġurnata. 100-150 speċi biss ġew ivvalidati, u possibbilment 25 oħra ma ġewx deskritti u msemmija għal kollox. L-eżempji tal-ktieb tat-test huma "&amp;"cydippids b'korpi b'forma ta 'bajd u par ta' tentakli li jistgħu jinġibdu lura bil-fringed bit-tentilla (""ftit tentakli"") li huma miksija bil-kolloblasti, ċelloli li jwaħħlu li jaqbdu l-priża. Il-phylum għandu firxa wiesgħa ta 'forom tal-ġisem, inklużi "&amp;"l-plattenids iċċattjati, fil-fond tal-baħar, li fihom l-adulti tal-biċċa l-kbira tal-ispeċi m'għandhomx pettnijiet, u l-beroids kostali, li m'għandhomx tentakli u priża fuq ctenophores oħra billi jużaw ħalq enormi armati bi gruppi ta' Ċili kbar u mwebbsa "&amp;"li jaġixxu bħala snien. Dawn il-varjazzjonijiet jippermettu speċi differenti biex jibnu popolazzjonijiet kbar fl-istess żona, minħabba li jispeċjalizzaw f'tipi differenti ta 'priża, li huma jaqbdu b'firxa wiesgħa ta' metodi kif jużaw il-brimb.")</f>
        <v>Kważi ċ-ċtenofori kollha huma predaturi, li jieħdu priża li jvarjaw minn larva mikroskopika u rotifers għall-adulti ta 'krustaċji żgħar; L-eċċezzjonijiet huma minorenni ta 'żewġ speċi, li jgħixu bħala parassiti fuq is-salps li fuqhom jitimgħu adulti ta' l-ispeċi tagħhom. F’ċirkostanzi favorevoli, iċ-ctenophores jistgħu jieklu għaxar darbiet il-piż tagħhom stess f’ġurnata. 100-150 speċi biss ġew ivvalidati, u possibbilment 25 oħra ma ġewx deskritti u msemmija għal kollox. L-eżempji tal-ktieb tat-test huma cydippids b'korpi b'forma ta 'bajd u par ta' tentakli li jistgħu jinġibdu lura bil-fringed bit-tentilla ("ftit tentakli") li huma miksija bil-kolloblasti, ċelloli li jwaħħlu li jaqbdu l-priża. Il-phylum għandu firxa wiesgħa ta 'forom tal-ġisem, inklużi l-plattenids iċċattjati, fil-fond tal-baħar, li fihom l-adulti tal-biċċa l-kbira tal-ispeċi m'għandhomx pettnijiet, u l-beroids kostali, li m'għandhomx tentakli u priża fuq ctenophores oħra billi jużaw ħalq enormi armati bi gruppi ta' Ċili kbar u mwebbsa li jaġixxu bħala snien. Dawn il-varjazzjonijiet jippermettu speċi differenti biex jibnu popolazzjonijiet kbar fl-istess żona, minħabba li jispeċjalizzaw f'tipi differenti ta 'priża, li huma jaqbdu b'firxa wiesgħa ta' metodi kif jużaw il-brimb.</v>
      </c>
    </row>
    <row r="2007" ht="15.75" customHeight="1">
      <c r="A2007" s="2" t="s">
        <v>2007</v>
      </c>
      <c r="B2007" s="2" t="str">
        <f>IFERROR(__xludf.DUMMYFUNCTION("GOOGLETRANSLATE(A2007,""en"", ""mt"")"),"X'inhi l-iktar biċċa magħrufa ta 'Norman Art?")</f>
        <v>X'inhi l-iktar biċċa magħrufa ta 'Norman Art?</v>
      </c>
    </row>
    <row r="2008" ht="15.75" customHeight="1">
      <c r="A2008" s="2" t="s">
        <v>2008</v>
      </c>
      <c r="B2008" s="2" t="str">
        <f>IFERROR(__xludf.DUMMYFUNCTION("GOOGLETRANSLATE(A2008,""en"", ""mt"")"),"Han Ċiniż u Khitans")</f>
        <v>Han Ċiniż u Khitans</v>
      </c>
    </row>
    <row r="2009" ht="15.75" customHeight="1">
      <c r="A2009" s="2" t="s">
        <v>2009</v>
      </c>
      <c r="B2009" s="2" t="str">
        <f>IFERROR(__xludf.DUMMYFUNCTION("GOOGLETRANSLATE(A2009,""en"", ""mt"")"),"Waħda mill-applikazzjonijiet l-aktar notevoli tat-teknoloġija tal-istampar kienet il-Chao, il-flus tal-karta tal-wan. Chao kienu magħmula mill-qoxra tas-siġar taċ-ċawsli. Il-gvern tal-wan uża injam tal-injam biex jistampa l-flus tal-karti, iżda qalbu għal"&amp;" pjanċi tal-bronż fl-1275. Il-Mongoli esperimentaw bl-istabbiliment tas-sistema monetarja tal-karti fl-istil Ċiniż fit-territorji kkontrollati mill-Mongolja barra miċ-Ċina. Il-Ministru tal-Yuan Bolad intbagħat lill-Iran, fejn spjega l-flus tal-karti tal-Y"&amp;"uan lill-Qorti tal-IL-Khanate ta 'Gaykhatu. Il-gvern IL-Khanate ħareġ flus fuq il-karta fl-1294, iżda l-fiduċja pubblika tal-munita ġdida eżotika ddestinat l-esperiment.")</f>
        <v>Waħda mill-applikazzjonijiet l-aktar notevoli tat-teknoloġija tal-istampar kienet il-Chao, il-flus tal-karta tal-wan. Chao kienu magħmula mill-qoxra tas-siġar taċ-ċawsli. Il-gvern tal-wan uża injam tal-injam biex jistampa l-flus tal-karti, iżda qalbu għal pjanċi tal-bronż fl-1275. Il-Mongoli esperimentaw bl-istabbiliment tas-sistema monetarja tal-karti fl-istil Ċiniż fit-territorji kkontrollati mill-Mongolja barra miċ-Ċina. Il-Ministru tal-Yuan Bolad intbagħat lill-Iran, fejn spjega l-flus tal-karti tal-Yuan lill-Qorti tal-IL-Khanate ta 'Gaykhatu. Il-gvern IL-Khanate ħareġ flus fuq il-karta fl-1294, iżda l-fiduċja pubblika tal-munita ġdida eżotika ddestinat l-esperiment.</v>
      </c>
    </row>
    <row r="2010" ht="15.75" customHeight="1">
      <c r="A2010" s="2" t="s">
        <v>2010</v>
      </c>
      <c r="B2010" s="2" t="str">
        <f>IFERROR(__xludf.DUMMYFUNCTION("GOOGLETRANSLATE(A2010,""en"", ""mt"")"),"razez tal-ogħla ""effiċjenza soċjali"" """)</f>
        <v>razez tal-ogħla "effiċjenza soċjali" "</v>
      </c>
    </row>
    <row r="2011" ht="15.75" customHeight="1">
      <c r="A2011" s="2" t="s">
        <v>2011</v>
      </c>
      <c r="B2011" s="2" t="str">
        <f>IFERROR(__xludf.DUMMYFUNCTION("GOOGLETRANSLATE(A2011,""en"", ""mt"")"),"is-superjur u n-norma")</f>
        <v>is-superjur u n-norma</v>
      </c>
    </row>
    <row r="2012" ht="15.75" customHeight="1">
      <c r="A2012" s="2" t="s">
        <v>2012</v>
      </c>
      <c r="B2012" s="2" t="str">
        <f>IFERROR(__xludf.DUMMYFUNCTION("GOOGLETRANSLATE(A2012,""en"", ""mt"")"),"Jekk wieħed jassumi l-kompitu li jinterpreta t-trattati, u jaċċellera l-integrazzjoni ekonomika u politika")</f>
        <v>Jekk wieħed jassumi l-kompitu li jinterpreta t-trattati, u jaċċellera l-integrazzjoni ekonomika u politika</v>
      </c>
    </row>
    <row r="2013" ht="15.75" customHeight="1">
      <c r="A2013" s="2" t="s">
        <v>2013</v>
      </c>
      <c r="B2013" s="2" t="str">
        <f>IFERROR(__xludf.DUMMYFUNCTION("GOOGLETRANSLATE(A2013,""en"", ""mt"")"),"X'kien iċ-Ċentru tal-Assemblea Pinedale?")</f>
        <v>X'kien iċ-Ċentru tal-Assemblea Pinedale?</v>
      </c>
    </row>
    <row r="2014" ht="15.75" customHeight="1">
      <c r="A2014" s="2" t="s">
        <v>2014</v>
      </c>
      <c r="B2014" s="2" t="str">
        <f>IFERROR(__xludf.DUMMYFUNCTION("GOOGLETRANSLATE(A2014,""en"", ""mt"")"),"Kemm-il linji għandha s-sistema ferrovjarja tal-vjaġġatur?")</f>
        <v>Kemm-il linji għandha s-sistema ferrovjarja tal-vjaġġatur?</v>
      </c>
    </row>
    <row r="2015" ht="15.75" customHeight="1">
      <c r="A2015" s="2" t="s">
        <v>2015</v>
      </c>
      <c r="B2015" s="2" t="str">
        <f>IFERROR(__xludf.DUMMYFUNCTION("GOOGLETRANSLATE(A2015,""en"", ""mt"")"),"Konsolidazzjoni ta 'Jacksonville")</f>
        <v>Konsolidazzjoni ta 'Jacksonville</v>
      </c>
    </row>
    <row r="2016" ht="15.75" customHeight="1">
      <c r="A2016" s="2" t="s">
        <v>2016</v>
      </c>
      <c r="B2016" s="2" t="str">
        <f>IFERROR(__xludf.DUMMYFUNCTION("GOOGLETRANSLATE(A2016,""en"", ""mt"")"),"Sala tal-Knisja ta ’Kristu")</f>
        <v>Sala tal-Knisja ta ’Kristu</v>
      </c>
    </row>
    <row r="2017" ht="15.75" customHeight="1">
      <c r="A2017" s="2" t="s">
        <v>2017</v>
      </c>
      <c r="B2017" s="2" t="str">
        <f>IFERROR(__xludf.DUMMYFUNCTION("GOOGLETRANSLATE(A2017,""en"", ""mt"")"),"It-telfa rapida u deċiżiva tat-truppi Għarab matul il-gwerra ta 'sitt ijiem mit-truppi Iżraeljani kienet tikkostitwixxi avveniment ċentrali fid-dinja Musulmana Għarbija. It-telfa flimkien ma 'staġnar ekonomiku fil-pajjiżi megħluba, ġiet akkużata fuq in-na"&amp;"zzjonaliżmu Għarbi sekulari tar-reġimi ta' tmexxija. Tnaqqis wieqaf u kostanti fil-popolarità u l-kredibilità tal-politika sekulari, soċjalista u nazzjonalista. Il-Ba'athism, is-soċjaliżmu Għarbi, u n-nazzjonaliżmu Għarbi sofrew, u movimenti Iżlamisti Dem"&amp;"okratiċi u anti-demokratiċi differenti ispirati minn Maududi u Sayyid Qutb kisbu art.")</f>
        <v>It-telfa rapida u deċiżiva tat-truppi Għarab matul il-gwerra ta 'sitt ijiem mit-truppi Iżraeljani kienet tikkostitwixxi avveniment ċentrali fid-dinja Musulmana Għarbija. It-telfa flimkien ma 'staġnar ekonomiku fil-pajjiżi megħluba, ġiet akkużata fuq in-nazzjonaliżmu Għarbi sekulari tar-reġimi ta' tmexxija. Tnaqqis wieqaf u kostanti fil-popolarità u l-kredibilità tal-politika sekulari, soċjalista u nazzjonalista. Il-Ba'athism, is-soċjaliżmu Għarbi, u n-nazzjonaliżmu Għarbi sofrew, u movimenti Iżlamisti Demokratiċi u anti-demokratiċi differenti ispirati minn Maududi u Sayyid Qutb kisbu art.</v>
      </c>
    </row>
    <row r="2018" ht="15.75" customHeight="1">
      <c r="A2018" s="2" t="s">
        <v>2018</v>
      </c>
      <c r="B2018" s="2" t="str">
        <f>IFERROR(__xludf.DUMMYFUNCTION("GOOGLETRANSLATE(A2018,""en"", ""mt"")"),"Imperjalizmu u kolonjaliżmu")</f>
        <v>Imperjalizmu u kolonjaliżmu</v>
      </c>
    </row>
    <row r="2019" ht="15.75" customHeight="1">
      <c r="A2019" s="2" t="s">
        <v>2019</v>
      </c>
      <c r="B2019" s="2" t="str">
        <f>IFERROR(__xludf.DUMMYFUNCTION("GOOGLETRANSLATE(A2019,""en"", ""mt"")"),"Kemm xjenzati sejħu biex ibiddlu l-IPCC fi Frar 2010?")</f>
        <v>Kemm xjenzati sejħu biex ibiddlu l-IPCC fi Frar 2010?</v>
      </c>
    </row>
    <row r="2020" ht="15.75" customHeight="1">
      <c r="A2020" s="2" t="s">
        <v>2020</v>
      </c>
      <c r="B2020" s="2" t="str">
        <f>IFERROR(__xludf.DUMMYFUNCTION("GOOGLETRANSLATE(A2020,""en"", ""mt"")"),"X’jmbisset il-kaxxa tas-sema +?")</f>
        <v>X’jmbisset il-kaxxa tas-sema +?</v>
      </c>
    </row>
    <row r="2021" ht="15.75" customHeight="1">
      <c r="A2021" s="2" t="s">
        <v>2021</v>
      </c>
      <c r="B2021" s="2" t="str">
        <f>IFERROR(__xludf.DUMMYFUNCTION("GOOGLETRANSLATE(A2021,""en"", ""mt"")"),"Kublai Khan ippromwova tkabbir kummerċjali, xjentifiku u kulturali. Huwa appoġġa n-negozjanti tan-netwerk tal-kummerċ tat-toroq tal-ħarir billi pproteġi s-sistema postali Mongoljana, jibni infrastruttura, jipprovdi self li ffinanzjaw karavans tal-kummerċ,"&amp;" u jħeġġeġ iċ-ċirkolazzjoni tal-karti tal-karti tal-karti (鈔, Chao). Pax Mongolica, il-paċi Mongol, ippermetta t-tixrid ta 'teknoloġiji, prodotti, u kultura bejn iċ-Ċina u l-Punent. Kublai espandiet il-Grand Canal miċ-Ċina tan-Nofsinhar għal Daidu fit-Tra"&amp;"muntana. Ir-regola tal-Mongolja kienet kożmopolitana taħt Kublai Khan. Huwa laqa 'viżitaturi barranin fil-qorti tiegħu, bħall-merkant Venezjan Marco Polo, li kiteb il-kont Ewropew l-iktar influwenti taċ-Ċina Yuan. Il-vjaġġi ta 'Marco Polo aktar tard jispi"&amp;"raw ħafna oħrajn bħal Christopher Columbus biex jiċċarġjaw silta lejn il-Lvant Imbiegħed fit-tfittxija tal-ġid leġġendarju tiegħu.")</f>
        <v>Kublai Khan ippromwova tkabbir kummerċjali, xjentifiku u kulturali. Huwa appoġġa n-negozjanti tan-netwerk tal-kummerċ tat-toroq tal-ħarir billi pproteġi s-sistema postali Mongoljana, jibni infrastruttura, jipprovdi self li ffinanzjaw karavans tal-kummerċ, u jħeġġeġ iċ-ċirkolazzjoni tal-karti tal-karti tal-karti (鈔, Chao). Pax Mongolica, il-paċi Mongol, ippermetta t-tixrid ta 'teknoloġiji, prodotti, u kultura bejn iċ-Ċina u l-Punent. Kublai espandiet il-Grand Canal miċ-Ċina tan-Nofsinhar għal Daidu fit-Tramuntana. Ir-regola tal-Mongolja kienet kożmopolitana taħt Kublai Khan. Huwa laqa 'viżitaturi barranin fil-qorti tiegħu, bħall-merkant Venezjan Marco Polo, li kiteb il-kont Ewropew l-iktar influwenti taċ-Ċina Yuan. Il-vjaġġi ta 'Marco Polo aktar tard jispiraw ħafna oħrajn bħal Christopher Columbus biex jiċċarġjaw silta lejn il-Lvant Imbiegħed fit-tfittxija tal-ġid leġġendarju tiegħu.</v>
      </c>
    </row>
    <row r="2022" ht="15.75" customHeight="1">
      <c r="A2022" s="2" t="s">
        <v>2022</v>
      </c>
      <c r="B2022" s="2" t="str">
        <f>IFERROR(__xludf.DUMMYFUNCTION("GOOGLETRANSLATE(A2022,""en"", ""mt"")"),"Kemm hemm fergħat li l-fergħa tar-Rhine tidħol?")</f>
        <v>Kemm hemm fergħat li l-fergħa tar-Rhine tidħol?</v>
      </c>
    </row>
    <row r="2023" ht="15.75" customHeight="1">
      <c r="A2023" s="2" t="s">
        <v>2023</v>
      </c>
      <c r="B2023" s="2" t="str">
        <f>IFERROR(__xludf.DUMMYFUNCTION("GOOGLETRANSLATE(A2023,""en"", ""mt"")"),"billi tillimita d-domanda aggregata")</f>
        <v>billi tillimita d-domanda aggregata</v>
      </c>
    </row>
    <row r="2024" ht="15.75" customHeight="1">
      <c r="A2024" s="2" t="s">
        <v>2024</v>
      </c>
      <c r="B2024" s="2" t="str">
        <f>IFERROR(__xludf.DUMMYFUNCTION("GOOGLETRANSLATE(A2024,""en"", ""mt"")"),"Waqt li kien qed jinbena l-bini permanenti f'Holyrood, id-dar temporanja tal-Parlament kienet is-Sala tal-Assemblea Ġenerali tal-Knisja ta 'l-Iskozja fuq ir-Royal Mile f'Edinburgu. Ritratti uffiċjali u intervisti televiżivi saru fil-bitħa li tmiss mal-Ass"&amp;"emblea Hall, li hija parti mill-Iskola tad-Divinità tal-Università ta ’Edinburgu. Dan il-bini ġie tbattal darbtejn biex jippermetti l-laqgħa tal-Assemblea Ġenerali tal-Knisja. F'Mejju 2000, il-Parlament ġie rilokat temporanjament għall-Kamra tal-Kunsill R"&amp;"eġjonali ta 'Strathclyde li tiddibatti fi Glasgow, u fl-Università ta' Aberdeen f'Mejju 2002.")</f>
        <v>Waqt li kien qed jinbena l-bini permanenti f'Holyrood, id-dar temporanja tal-Parlament kienet is-Sala tal-Assemblea Ġenerali tal-Knisja ta 'l-Iskozja fuq ir-Royal Mile f'Edinburgu. Ritratti uffiċjali u intervisti televiżivi saru fil-bitħa li tmiss mal-Assemblea Hall, li hija parti mill-Iskola tad-Divinità tal-Università ta ’Edinburgu. Dan il-bini ġie tbattal darbtejn biex jippermetti l-laqgħa tal-Assemblea Ġenerali tal-Knisja. F'Mejju 2000, il-Parlament ġie rilokat temporanjament għall-Kamra tal-Kunsill Reġjonali ta 'Strathclyde li tiddibatti fi Glasgow, u fl-Università ta' Aberdeen f'Mejju 2002.</v>
      </c>
    </row>
    <row r="2025" ht="15.75" customHeight="1">
      <c r="A2025" s="2" t="s">
        <v>2025</v>
      </c>
      <c r="B2025" s="2" t="str">
        <f>IFERROR(__xludf.DUMMYFUNCTION("GOOGLETRANSLATE(A2025,""en"", ""mt"")"),"50% ossiġnu")</f>
        <v>50% ossiġnu</v>
      </c>
    </row>
    <row r="2026" ht="15.75" customHeight="1">
      <c r="A2026" s="2" t="s">
        <v>2026</v>
      </c>
      <c r="B2026" s="2" t="str">
        <f>IFERROR(__xludf.DUMMYFUNCTION("GOOGLETRANSLATE(A2026,""en"", ""mt"")"),"Waħda mill-ewwel produzzjoni ta 'links IP OC-48C (2.5 GBIT / S)")</f>
        <v>Waħda mill-ewwel produzzjoni ta 'links IP OC-48C (2.5 GBIT / S)</v>
      </c>
    </row>
    <row r="2027" ht="15.75" customHeight="1">
      <c r="A2027" s="2" t="s">
        <v>2027</v>
      </c>
      <c r="B2027" s="2" t="str">
        <f>IFERROR(__xludf.DUMMYFUNCTION("GOOGLETRANSLATE(A2027,""en"", ""mt"")"),"Harris School of Public Policy Studies")</f>
        <v>Harris School of Public Policy Studies</v>
      </c>
    </row>
    <row r="2028" ht="15.75" customHeight="1">
      <c r="A2028" s="2" t="s">
        <v>2028</v>
      </c>
      <c r="B2028" s="2" t="str">
        <f>IFERROR(__xludf.DUMMYFUNCTION("GOOGLETRANSLATE(A2028,""en"", ""mt"")"),"Rhine Gorge")</f>
        <v>Rhine Gorge</v>
      </c>
    </row>
    <row r="2029" ht="15.75" customHeight="1">
      <c r="A2029" s="2" t="s">
        <v>2029</v>
      </c>
      <c r="B2029" s="2" t="str">
        <f>IFERROR(__xludf.DUMMYFUNCTION("GOOGLETRANSLATE(A2029,""en"", ""mt"")"),"Fuq xiex kien jiddependi n-numru ta 'leġjuni fi żminijiet Rumani?")</f>
        <v>Fuq xiex kien jiddependi n-numru ta 'leġjuni fi żminijiet Rumani?</v>
      </c>
    </row>
    <row r="2030" ht="15.75" customHeight="1">
      <c r="A2030" s="2" t="s">
        <v>2030</v>
      </c>
      <c r="B2030" s="2" t="str">
        <f>IFERROR(__xludf.DUMMYFUNCTION("GOOGLETRANSLATE(A2030,""en"", ""mt"")"),"Il-korp akkademiku tal-università huwa magħmul minn kemm diviżjonijiet tal-gradwati?")</f>
        <v>Il-korp akkademiku tal-università huwa magħmul minn kemm diviżjonijiet tal-gradwati?</v>
      </c>
    </row>
    <row r="2031" ht="15.75" customHeight="1">
      <c r="A2031" s="2" t="s">
        <v>2031</v>
      </c>
      <c r="B2031" s="2" t="str">
        <f>IFERROR(__xludf.DUMMYFUNCTION("GOOGLETRANSLATE(A2031,""en"", ""mt"")"),"X'inhuma l-korpi leġiżlattivi ewlenin tal-Unjoni Ewropea?")</f>
        <v>X'inhuma l-korpi leġiżlattivi ewlenin tal-Unjoni Ewropea?</v>
      </c>
    </row>
    <row r="2032" ht="15.75" customHeight="1">
      <c r="A2032" s="2" t="s">
        <v>2032</v>
      </c>
      <c r="B2032" s="2" t="str">
        <f>IFERROR(__xludf.DUMMYFUNCTION("GOOGLETRANSLATE(A2032,""en"", ""mt"")"),"Prattika tal-Ispiżerija Konsulent tiffoka aktar fuq ir-reviżjoni tal-iskema ta 'medikazzjoni (i.e. ""servizzi konjittivi"") milli fuq it-tqassim attwali tad-drogi. L-ispiżjara konsulenti l-aktar jaħdmu tipikament fid-djar tal-anzjani, iżda qegħdin dejjem "&amp;"aktar fergħat f'istituzzjonijiet oħra u f'ambjenti mhux istituzzjonali. Tradizzjonalment l-ispiżjara konsulenti ġeneralment kienu sidien ta 'negozji indipendenti, għalkemm fl-Istati Uniti ħafna issa jaħdmu għal bosta kumpaniji kbar ta' ġestjoni tal-ispiże"&amp;"rija (primarjament Omnicare, Kindred Healthcare u Pharmerica). Din ix-xejra tista 'tinqaleb gradwalment hekk kif l-ispiżjara konsulenti jibdew jaħdmu direttament mal-pazjenti, primarjament minħabba li ħafna nies anzjani issa qed jieħdu bosta mediċini iżda"&amp;" jkomplu jgħixu barra mill-ambjenti istituzzjonali. Xi spiżeriji tal-komunità jimpjegaw spiżjara konsulenti u / jew jipprovdu servizzi ta 'konsultazzjoni.")</f>
        <v>Prattika tal-Ispiżerija Konsulent tiffoka aktar fuq ir-reviżjoni tal-iskema ta 'medikazzjoni (i.e. "servizzi konjittivi") milli fuq it-tqassim attwali tad-drogi. L-ispiżjara konsulenti l-aktar jaħdmu tipikament fid-djar tal-anzjani, iżda qegħdin dejjem aktar fergħat f'istituzzjonijiet oħra u f'ambjenti mhux istituzzjonali. Tradizzjonalment l-ispiżjara konsulenti ġeneralment kienu sidien ta 'negozji indipendenti, għalkemm fl-Istati Uniti ħafna issa jaħdmu għal bosta kumpaniji kbar ta' ġestjoni tal-ispiżerija (primarjament Omnicare, Kindred Healthcare u Pharmerica). Din ix-xejra tista 'tinqaleb gradwalment hekk kif l-ispiżjara konsulenti jibdew jaħdmu direttament mal-pazjenti, primarjament minħabba li ħafna nies anzjani issa qed jieħdu bosta mediċini iżda jkomplu jgħixu barra mill-ambjenti istituzzjonali. Xi spiżeriji tal-komunità jimpjegaw spiżjara konsulenti u / jew jipprovdu servizzi ta 'konsultazzjoni.</v>
      </c>
    </row>
    <row r="2033" ht="15.75" customHeight="1">
      <c r="A2033" s="2" t="s">
        <v>2033</v>
      </c>
      <c r="B2033" s="2" t="str">
        <f>IFERROR(__xludf.DUMMYFUNCTION("GOOGLETRANSLATE(A2033,""en"", ""mt"")"),"Fir-rapport dettaljat b'mod estensiv tiegħu, Céloron kiteb, ""Kull ma nista 'ngħid huwa li n-nies ta' dawn il-lokalitajiet huma mormija ħażin ħafna lejn il-Franċiżi, u huma kompletament iddedikati għall-Ingliżi. Ma nafx b'liema mod jistgħu jinġiebu lura ."&amp;" "" Anke qabel ir-ritorn tiegħu lejn Montreal, rapporti dwar is-sitwazzjoni fil-pajjiż ta 'Ohio kienu qed jagħmlu triqthom lejn Londra u Pariġi, kull naħa li tipproponi li tittieħed dik l-azzjoni. William Shirley, il-gvernatur espansjonist tal-provinċja t"&amp;"al-Bajja ta 'Massachusetts, kien partikolarment qawwi, u qal li l-kolonisti Ingliżi ma jkunux siguri sakemm il-Franċiżi kienu preżenti. Kunflitti bejn il-kolonji, imwettqa permezz ta 'partiti li kienu jinkludu alleati Indjani, seħħew għal għexieren ta' sn"&amp;"in, li wasslu għal kummerċ mgħaġġel fil-kaptivi kolonjali Ewropej minn kull naħa.")</f>
        <v>Fir-rapport dettaljat b'mod estensiv tiegħu, Céloron kiteb, "Kull ma nista 'ngħid huwa li n-nies ta' dawn il-lokalitajiet huma mormija ħażin ħafna lejn il-Franċiżi, u huma kompletament iddedikati għall-Ingliżi. Ma nafx b'liema mod jistgħu jinġiebu lura . " Anke qabel ir-ritorn tiegħu lejn Montreal, rapporti dwar is-sitwazzjoni fil-pajjiż ta 'Ohio kienu qed jagħmlu triqthom lejn Londra u Pariġi, kull naħa li tipproponi li tittieħed dik l-azzjoni. William Shirley, il-gvernatur espansjonist tal-provinċja tal-Bajja ta 'Massachusetts, kien partikolarment qawwi, u qal li l-kolonisti Ingliżi ma jkunux siguri sakemm il-Franċiżi kienu preżenti. Kunflitti bejn il-kolonji, imwettqa permezz ta 'partiti li kienu jinkludu alleati Indjani, seħħew għal għexieren ta' snin, li wasslu għal kummerċ mgħaġġel fil-kaptivi kolonjali Ewropej minn kull naħa.</v>
      </c>
    </row>
    <row r="2034" ht="15.75" customHeight="1">
      <c r="A2034" s="2" t="s">
        <v>2034</v>
      </c>
      <c r="B2034" s="2" t="str">
        <f>IFERROR(__xludf.DUMMYFUNCTION("GOOGLETRANSLATE(A2034,""en"", ""mt"")"),"Tipprevjeni l-installazzjoni ta 'immaġini pagani fit-tempju f'Ġerusalemm")</f>
        <v>Tipprevjeni l-installazzjoni ta 'immaġini pagani fit-tempju f'Ġerusalemm</v>
      </c>
    </row>
    <row r="2035" ht="15.75" customHeight="1">
      <c r="A2035" s="2" t="s">
        <v>2035</v>
      </c>
      <c r="B2035" s="2" t="str">
        <f>IFERROR(__xludf.DUMMYFUNCTION("GOOGLETRANSLATE(A2035,""en"", ""mt"")"),"Imċaħħad milli jaqla 'daqshekk dħul")</f>
        <v>Imċaħħad milli jaqla 'daqshekk dħul</v>
      </c>
    </row>
    <row r="2036" ht="15.75" customHeight="1">
      <c r="A2036" s="2" t="s">
        <v>2036</v>
      </c>
      <c r="B2036" s="2" t="str">
        <f>IFERROR(__xludf.DUMMYFUNCTION("GOOGLETRANSLATE(A2036,""en"", ""mt"")"),"bla suċċess")</f>
        <v>bla suċċess</v>
      </c>
    </row>
    <row r="2037" ht="15.75" customHeight="1">
      <c r="A2037" s="2" t="s">
        <v>2037</v>
      </c>
      <c r="B2037" s="2" t="str">
        <f>IFERROR(__xludf.DUMMYFUNCTION("GOOGLETRANSLATE(A2037,""en"", ""mt"")"),"Bil-bosta l-iktar xogħol famuż ta 'l-arti Norman huwa t-tapizzerija ta' Bayeux, li mhix tapizzerija imma xogħol ta 'rakkmu. Ġie kkummissjonat minn Odo, l-Isqof ta 'Bayeux u l-ewwel Earl ta' Kent, li jimpjegaw indiġeni minn Kent li tgħallmu fit-tradizzjoni"&amp;"jiet Nordiċi importati fin-nofs tas-seklu ta 'qabel mill-Vikingi Daniżi.")</f>
        <v>Bil-bosta l-iktar xogħol famuż ta 'l-arti Norman huwa t-tapizzerija ta' Bayeux, li mhix tapizzerija imma xogħol ta 'rakkmu. Ġie kkummissjonat minn Odo, l-Isqof ta 'Bayeux u l-ewwel Earl ta' Kent, li jimpjegaw indiġeni minn Kent li tgħallmu fit-tradizzjonijiet Nordiċi importati fin-nofs tas-seklu ta 'qabel mill-Vikingi Daniżi.</v>
      </c>
    </row>
    <row r="2038" ht="15.75" customHeight="1">
      <c r="A2038" s="2" t="s">
        <v>2038</v>
      </c>
      <c r="B2038" s="2" t="str">
        <f>IFERROR(__xludf.DUMMYFUNCTION("GOOGLETRANSLATE(A2038,""en"", ""mt"")"),"ġustizzja u prosperità")</f>
        <v>ġustizzja u prosperità</v>
      </c>
    </row>
    <row r="2039" ht="15.75" customHeight="1">
      <c r="A2039" s="2" t="s">
        <v>2039</v>
      </c>
      <c r="B2039" s="2" t="str">
        <f>IFERROR(__xludf.DUMMYFUNCTION("GOOGLETRANSLATE(A2039,""en"", ""mt"")"),"L-invażjoni falliet kemm militarment kif ukoll politikament")</f>
        <v>L-invażjoni falliet kemm militarment kif ukoll politikament</v>
      </c>
    </row>
    <row r="2040" ht="15.75" customHeight="1">
      <c r="A2040" s="2" t="s">
        <v>2040</v>
      </c>
      <c r="B2040" s="2" t="str">
        <f>IFERROR(__xludf.DUMMYFUNCTION("GOOGLETRANSLATE(A2040,""en"", ""mt"")"),"Ikkastiga lin-nies ta 'Miami ta' Pickawillany talli ma segwewx l-ordnijiet ta 'Céloron")</f>
        <v>Ikkastiga lin-nies ta 'Miami ta' Pickawillany talli ma segwewx l-ordnijiet ta 'Céloron</v>
      </c>
    </row>
    <row r="2041" ht="15.75" customHeight="1">
      <c r="A2041" s="2" t="s">
        <v>2041</v>
      </c>
      <c r="B2041" s="2" t="str">
        <f>IFERROR(__xludf.DUMMYFUNCTION("GOOGLETRANSLATE(A2041,""en"", ""mt"")"),"L-invażjoni falliet kemm militarment kif ukoll politikament, hekk kif Pitt reġa 'ppjana kampanji sinifikanti kontra Franza l-ġdida")</f>
        <v>L-invażjoni falliet kemm militarment kif ukoll politikament, hekk kif Pitt reġa 'ppjana kampanji sinifikanti kontra Franza l-ġdida</v>
      </c>
    </row>
    <row r="2042" ht="15.75" customHeight="1">
      <c r="A2042" s="2" t="s">
        <v>2042</v>
      </c>
      <c r="B2042" s="2" t="str">
        <f>IFERROR(__xludf.DUMMYFUNCTION("GOOGLETRANSLATE(A2042,""en"", ""mt"")"),"il-fondazzjoni ta 'knejjes Protestanti ġodda")</f>
        <v>il-fondazzjoni ta 'knejjes Protestanti ġodda</v>
      </c>
    </row>
    <row r="2043" ht="15.75" customHeight="1">
      <c r="A2043" s="2" t="s">
        <v>2043</v>
      </c>
      <c r="B2043" s="2" t="str">
        <f>IFERROR(__xludf.DUMMYFUNCTION("GOOGLETRANSLATE(A2043,""en"", ""mt"")"),"aktar bl-istess mod")</f>
        <v>aktar bl-istess mod</v>
      </c>
    </row>
    <row r="2044" ht="15.75" customHeight="1">
      <c r="A2044" s="2" t="s">
        <v>2044</v>
      </c>
      <c r="B2044" s="2" t="str">
        <f>IFERROR(__xludf.DUMMYFUNCTION("GOOGLETRANSLATE(A2044,""en"", ""mt"")"),"folla l-wirt Musulman")</f>
        <v>folla l-wirt Musulman</v>
      </c>
    </row>
    <row r="2045" ht="15.75" customHeight="1">
      <c r="A2045" s="2" t="s">
        <v>2045</v>
      </c>
      <c r="B2045" s="2" t="str">
        <f>IFERROR(__xludf.DUMMYFUNCTION("GOOGLETRANSLATE(A2045,""en"", ""mt"")"),"Il-liġi tan-nazzjonalizzazzjoni kienet mill-1962, u t-trattat kien fis-seħħ mill-1958")</f>
        <v>Il-liġi tan-nazzjonalizzazzjoni kienet mill-1962, u t-trattat kien fis-seħħ mill-1958</v>
      </c>
    </row>
    <row r="2046" ht="15.75" customHeight="1">
      <c r="A2046" s="2" t="s">
        <v>2046</v>
      </c>
      <c r="B2046" s="2" t="str">
        <f>IFERROR(__xludf.DUMMYFUNCTION("GOOGLETRANSLATE(A2046,""en"", ""mt"")"),"Netwerk tal-Fondazzjoni Nazzjonali tax-Xjenza")</f>
        <v>Netwerk tal-Fondazzjoni Nazzjonali tax-Xjenza</v>
      </c>
    </row>
    <row r="2047" ht="15.75" customHeight="1">
      <c r="A2047" s="2" t="s">
        <v>2047</v>
      </c>
      <c r="B2047" s="2" t="str">
        <f>IFERROR(__xludf.DUMMYFUNCTION("GOOGLETRANSLATE(A2047,""en"", ""mt"")"),"Il-Programm tal-Ambjent tan-Nazzjonijiet Uniti (UNEP) u l-Organizzazzjoni Meteoroloġika Dinjija (WMO),")</f>
        <v>Il-Programm tal-Ambjent tan-Nazzjonijiet Uniti (UNEP) u l-Organizzazzjoni Meteoroloġika Dinjija (WMO),</v>
      </c>
    </row>
    <row r="2048" ht="15.75" customHeight="1">
      <c r="A2048" s="2" t="s">
        <v>2048</v>
      </c>
      <c r="B2048" s="2" t="str">
        <f>IFERROR(__xludf.DUMMYFUNCTION("GOOGLETRANSLATE(A2048,""en"", ""mt"")"),"Liema isem jingħata lil xi numru ewlieni akbar minn 2?")</f>
        <v>Liema isem jingħata lil xi numru ewlieni akbar minn 2?</v>
      </c>
    </row>
    <row r="2049" ht="15.75" customHeight="1">
      <c r="A2049" s="2" t="s">
        <v>2049</v>
      </c>
      <c r="B2049" s="2" t="str">
        <f>IFERROR(__xludf.DUMMYFUNCTION("GOOGLETRANSLATE(A2049,""en"", ""mt"")"),"il-Qorti Ewropea tal-Ġustizzja u l-ogħla qrati nazzjonali")</f>
        <v>il-Qorti Ewropea tal-Ġustizzja u l-ogħla qrati nazzjonali</v>
      </c>
    </row>
    <row r="2050" ht="15.75" customHeight="1">
      <c r="A2050" s="2" t="s">
        <v>2050</v>
      </c>
      <c r="B2050" s="2" t="str">
        <f>IFERROR(__xludf.DUMMYFUNCTION("GOOGLETRANSLATE(A2050,""en"", ""mt"")"),"21 ta ’Frar 1804")</f>
        <v>21 ta ’Frar 1804</v>
      </c>
    </row>
    <row r="2051" ht="15.75" customHeight="1">
      <c r="A2051" s="2" t="s">
        <v>2051</v>
      </c>
      <c r="B2051" s="2" t="str">
        <f>IFERROR(__xludf.DUMMYFUNCTION("GOOGLETRANSLATE(A2051,""en"", ""mt"")"),"movimenti dgħajfa tax-xogħol")</f>
        <v>movimenti dgħajfa tax-xogħol</v>
      </c>
    </row>
    <row r="2052" ht="15.75" customHeight="1">
      <c r="A2052" s="2" t="s">
        <v>2052</v>
      </c>
      <c r="B2052" s="2" t="str">
        <f>IFERROR(__xludf.DUMMYFUNCTION("GOOGLETRANSLATE(A2052,""en"", ""mt"")"),"It-tabella li ġejja tagħti l-akbar primes magħrufa tat-tipi msemmija. Uħud minn dawn il-primes instabu bl-użu ta ’kompjuters distribwiti. Fl-2009, il-proġett kbir ta 'tfittxija ta' l-Internet Mersenne ingħata premju ta '$ 100,000 għall-ewwel skoperta ta' "&amp;"prim b'mill-inqas 10 miljun ċifra. Il-Fondazzjoni Electronic Frontier toffri wkoll $ 150,000 u $ 250,000 għal primes b'mill-inqas 100 miljun ċifra u 1 biljun ċifra, rispettivament. Uħud mill-ikbar primes mhux magħrufa li għandhom xi forma partikolari (jiġ"&amp;"ifieri, l-ebda formula sempliċi bħal dik ta 'Mersenne Primes) ma nstabu billi ħadu biċċa ta' dejta binarja semi-random, li jibdluha f'numru N, li timmultiplikaha billi 256k għal xi numru sħiħ pożittiv K, u tfittxija għal primes possibbli fl-intervall [256"&amp;"KN + 1, 256K (n + 1) - 1]. [Ċitazzjoni meħtieġa]")</f>
        <v>It-tabella li ġejja tagħti l-akbar primes magħrufa tat-tipi msemmija. Uħud minn dawn il-primes instabu bl-użu ta ’kompjuters distribwiti. Fl-2009, il-proġett kbir ta 'tfittxija ta' l-Internet Mersenne ingħata premju ta '$ 100,000 għall-ewwel skoperta ta' prim b'mill-inqas 10 miljun ċifra. Il-Fondazzjoni Electronic Frontier toffri wkoll $ 150,000 u $ 250,000 għal primes b'mill-inqas 100 miljun ċifra u 1 biljun ċifra, rispettivament. Uħud mill-ikbar primes mhux magħrufa li għandhom xi forma partikolari (jiġifieri, l-ebda formula sempliċi bħal dik ta 'Mersenne Primes) ma nstabu billi ħadu biċċa ta' dejta binarja semi-random, li jibdluha f'numru N, li timmultiplikaha billi 256k għal xi numru sħiħ pożittiv K, u tfittxija għal primes possibbli fl-intervall [256KN + 1, 256K (n + 1) - 1]. [Ċitazzjoni meħtieġa]</v>
      </c>
    </row>
    <row r="2053" ht="15.75" customHeight="1">
      <c r="A2053" s="2" t="s">
        <v>2053</v>
      </c>
      <c r="B2053" s="2" t="str">
        <f>IFERROR(__xludf.DUMMYFUNCTION("GOOGLETRANSLATE(A2053,""en"", ""mt"")"),"X'inhu uniku dwar ermafroditi simultanji?")</f>
        <v>X'inhu uniku dwar ermafroditi simultanji?</v>
      </c>
    </row>
    <row r="2054" ht="15.75" customHeight="1">
      <c r="A2054" s="2" t="s">
        <v>2054</v>
      </c>
      <c r="B2054" s="2" t="str">
        <f>IFERROR(__xludf.DUMMYFUNCTION("GOOGLETRANSLATE(A2054,""en"", ""mt"")"),"Dak li jiżdied malajr hekk kif id-dħul per capita jiżdied?")</f>
        <v>Dak li jiżdied malajr hekk kif id-dħul per capita jiżdied?</v>
      </c>
    </row>
    <row r="2055" ht="15.75" customHeight="1">
      <c r="A2055" s="2" t="s">
        <v>2055</v>
      </c>
      <c r="B2055" s="2" t="str">
        <f>IFERROR(__xludf.DUMMYFUNCTION("GOOGLETRANSLATE(A2055,""en"", ""mt"")"),"Il-Gazzetta Daily Mail irrappurtat fl-2012 li l-aġenzija tal-benefiċċji tal-gvern tar-Renju Unit kienet qed tiċċekkja l-kontijiet tal-pretensjonijiet ""Sky TV biex tistabbilixxi jekk mara li tirċievi benefiċċji bħala omm waħedha qed tiddikjara b'mod żbalj"&amp;"at li tgħix waħedha"" - kif, sostniet, abbonament għal Kanali sportivi jittradixxu l-preżenza ta 'raġel fid-dar. F'Diċembru, il-Parlament tar-Renju Unit sema 'pretensjoni li abbonament għal BSKYB kien ""ta' spiss jagħmel ħsara"", flimkien ma 'alkoħol, tab"&amp;"akk u logħob tal-ażżard. Id-Deputat Konservattiv Alec Shelbrooke kien qed jipproponi l-ħlasijiet tal-benefiċċji u l-krediti tat-taxxa fuq ""karta ta 'flus kontanti tal-benesseri"", fl-istil tal-programm supplimentari ta' għajnuna dwar in-nutrizzjoni, li j"&amp;"ista 'jintuża biex jixtri biss ""essenzjali"".")</f>
        <v>Il-Gazzetta Daily Mail irrappurtat fl-2012 li l-aġenzija tal-benefiċċji tal-gvern tar-Renju Unit kienet qed tiċċekkja l-kontijiet tal-pretensjonijiet "Sky TV biex tistabbilixxi jekk mara li tirċievi benefiċċji bħala omm waħedha qed tiddikjara b'mod żbaljat li tgħix waħedha" - kif, sostniet, abbonament għal Kanali sportivi jittradixxu l-preżenza ta 'raġel fid-dar. F'Diċembru, il-Parlament tar-Renju Unit sema 'pretensjoni li abbonament għal BSKYB kien "ta' spiss jagħmel ħsara", flimkien ma 'alkoħol, tabakk u logħob tal-ażżard. Id-Deputat Konservattiv Alec Shelbrooke kien qed jipproponi l-ħlasijiet tal-benefiċċji u l-krediti tat-taxxa fuq "karta ta 'flus kontanti tal-benesseri", fl-istil tal-programm supplimentari ta' għajnuna dwar in-nutrizzjoni, li jista 'jintuża biex jixtri biss "essenzjali".</v>
      </c>
    </row>
    <row r="2056" ht="15.75" customHeight="1">
      <c r="A2056" s="2" t="s">
        <v>2056</v>
      </c>
      <c r="B2056" s="2" t="str">
        <f>IFERROR(__xludf.DUMMYFUNCTION("GOOGLETRANSLATE(A2056,""en"", ""mt"")"),"It-tim tad-disinn huwa l-iktar użat minn min?")</f>
        <v>It-tim tad-disinn huwa l-iktar użat minn min?</v>
      </c>
    </row>
    <row r="2057" ht="15.75" customHeight="1">
      <c r="A2057" s="2" t="s">
        <v>2057</v>
      </c>
      <c r="B2057" s="2" t="str">
        <f>IFERROR(__xludf.DUMMYFUNCTION("GOOGLETRANSLATE(A2057,""en"", ""mt"")"),"Tneħħi l-istat ta ’Iżrael")</f>
        <v>Tneħħi l-istat ta ’Iżrael</v>
      </c>
    </row>
    <row r="2058" ht="15.75" customHeight="1">
      <c r="A2058" s="2" t="s">
        <v>2058</v>
      </c>
      <c r="B2058" s="2" t="str">
        <f>IFERROR(__xludf.DUMMYFUNCTION("GOOGLETRANSLATE(A2058,""en"", ""mt"")"),"Teorema ta 'l-aritmetika")</f>
        <v>Teorema ta 'l-aritmetika</v>
      </c>
    </row>
    <row r="2059" ht="15.75" customHeight="1">
      <c r="A2059" s="2" t="s">
        <v>2059</v>
      </c>
      <c r="B2059" s="2" t="str">
        <f>IFERROR(__xludf.DUMMYFUNCTION("GOOGLETRANSLATE(A2059,""en"", ""mt"")"),"Eżempju ta 'problema ta' deċiżjoni huwa dan li ġej. L-input huwa graff arbitrarju. Il-problema tikkonsisti fid-deċiżjoni jekk il-graff mogħti huwiex konness, jew le. Il-lingwa formali assoċjata ma 'din il-problema ta' deċiżjoni hija s-sett tal-graffs koll"&amp;"ha konnessi - naturalment, biex tinkiseb definizzjoni preċiża ta 'din il-lingwa, wieħed irid jiddeċiedi kif il-graffs huma kkodifikati bħala kordi binarji.")</f>
        <v>Eżempju ta 'problema ta' deċiżjoni huwa dan li ġej. L-input huwa graff arbitrarju. Il-problema tikkonsisti fid-deċiżjoni jekk il-graff mogħti huwiex konness, jew le. Il-lingwa formali assoċjata ma 'din il-problema ta' deċiżjoni hija s-sett tal-graffs kollha konnessi - naturalment, biex tinkiseb definizzjoni preċiża ta 'din il-lingwa, wieħed irid jiddeċiedi kif il-graffs huma kkodifikati bħala kordi binarji.</v>
      </c>
    </row>
    <row r="2060" ht="15.75" customHeight="1">
      <c r="A2060" s="2" t="s">
        <v>2060</v>
      </c>
      <c r="B2060" s="2" t="str">
        <f>IFERROR(__xludf.DUMMYFUNCTION("GOOGLETRANSLATE(A2060,""en"", ""mt"")"),"Swiss-Awstrijan")</f>
        <v>Swiss-Awstrijan</v>
      </c>
    </row>
    <row r="2061" ht="15.75" customHeight="1">
      <c r="A2061" s="2" t="s">
        <v>2061</v>
      </c>
      <c r="B2061" s="2" t="str">
        <f>IFERROR(__xludf.DUMMYFUNCTION("GOOGLETRANSLATE(A2061,""en"", ""mt"")"),"X'inhi kimika sekretata minn tumuri li jrażżnu r-rispons immuni?")</f>
        <v>X'inhi kimika sekretata minn tumuri li jrażżnu r-rispons immuni?</v>
      </c>
    </row>
    <row r="2062" ht="15.75" customHeight="1">
      <c r="A2062" s="2" t="s">
        <v>2062</v>
      </c>
      <c r="B2062" s="2" t="str">
        <f>IFERROR(__xludf.DUMMYFUNCTION("GOOGLETRANSLATE(A2062,""en"", ""mt"")"),"Oxygen ġie skopert indipendentement minn Carl Wilhelm Scheele, f'Uppsala, fl-1773 jew qabel, u Joseph Priestley f'Wiltshire, fl-1774, iżda Priestley ħafna drabi jingħata prijorità minħabba li x-xogħol tiegħu ġie ppubblikat l-ewwel. L-isem Oxygen inħoloq f"&amp;"l-1777 minn Antoine Lavoisier, li l-esperimenti tiegħu bl-ossiġnu għenu biex jiskreditaw it-teorija tal-flogiston popolari dak iż-żmien tal-kombustjoni u l-korrużjoni. Ismu joħroġ mill-għeruq Griegi ὀξύς oxys, ""aċidu"", litteralment ""qawwi"", li jirrefe"&amp;"ri għat-togħma qarsa ta 'aċidi u -γενής -enes, ""produttur"", litteralment ""begetter"", minħabba li fil-ħin tal-ismijiet, kien ħasbu bi żball li l-aċidi kollha kienu jeħtieġu ossiġnu fil-kompożizzjoni tagħhom. Użi komuni ta 'ossiġnu jinkludi ċ-ċiklu ta' "&amp;"produzzjoni ta 'l-azzar, plastik u tessuti, ibbrejżjar, iwweldjar u qtugħ ta' azzar u metalli oħra, rokit propellant, fit-terapija ta 'l-ossiġnu u sistemi ta' appoġġ għall-ħajja f'ajruplani, sottomarini, fluss spazjali u għadis.")</f>
        <v>Oxygen ġie skopert indipendentement minn Carl Wilhelm Scheele, f'Uppsala, fl-1773 jew qabel, u Joseph Priestley f'Wiltshire, fl-1774, iżda Priestley ħafna drabi jingħata prijorità minħabba li x-xogħol tiegħu ġie ppubblikat l-ewwel. L-isem Oxygen inħoloq fl-1777 minn Antoine Lavoisier, li l-esperimenti tiegħu bl-ossiġnu għenu biex jiskreditaw it-teorija tal-flogiston popolari dak iż-żmien tal-kombustjoni u l-korrużjoni. Ismu joħroġ mill-għeruq Griegi ὀξύς oxys, "aċidu", litteralment "qawwi", li jirreferi għat-togħma qarsa ta 'aċidi u -γενής -enes, "produttur", litteralment "begetter", minħabba li fil-ħin tal-ismijiet, kien ħasbu bi żball li l-aċidi kollha kienu jeħtieġu ossiġnu fil-kompożizzjoni tagħhom. Użi komuni ta 'ossiġnu jinkludi ċ-ċiklu ta' produzzjoni ta 'l-azzar, plastik u tessuti, ibbrejżjar, iwweldjar u qtugħ ta' azzar u metalli oħra, rokit propellant, fit-terapija ta 'l-ossiġnu u sistemi ta' appoġġ għall-ħajja f'ajruplani, sottomarini, fluss spazjali u għadis.</v>
      </c>
    </row>
    <row r="2063" ht="15.75" customHeight="1">
      <c r="A2063" s="2" t="s">
        <v>2063</v>
      </c>
      <c r="B2063" s="2" t="str">
        <f>IFERROR(__xludf.DUMMYFUNCTION("GOOGLETRANSLATE(A2063,""en"", ""mt"")"),"Hemmhekk Prinċipji stabbiliti ta 'Pre-Allokazzjoni ta' Bandwidth tan-Netwerk")</f>
        <v>Hemmhekk Prinċipji stabbiliti ta 'Pre-Allokazzjoni ta' Bandwidth tan-Netwerk</v>
      </c>
    </row>
    <row r="2064" ht="15.75" customHeight="1">
      <c r="A2064" s="2" t="s">
        <v>2064</v>
      </c>
      <c r="B2064" s="2" t="str">
        <f>IFERROR(__xludf.DUMMYFUNCTION("GOOGLETRANSLATE(A2064,""en"", ""mt"")"),"Dynasties Sui u Tang")</f>
        <v>Dynasties Sui u Tang</v>
      </c>
    </row>
    <row r="2065" ht="15.75" customHeight="1">
      <c r="A2065" s="2" t="s">
        <v>2065</v>
      </c>
      <c r="B2065" s="2" t="str">
        <f>IFERROR(__xludf.DUMMYFUNCTION("GOOGLETRANSLATE(A2065,""en"", ""mt"")"),"Il-Yuan wettaq xogħlijiet pubbliċi estensivi. Fost l-aqwa inġiniera u xjenzati ta 'Kublai Khan kien l-astronomu Guo Shoujing, li kien inkarigat b'ħafna proġetti ta' xogħlijiet pubbliċi u għen lill-wan jirriforma l-kalendarju lunisolari biex jipprovdi eżat"&amp;"tezza ta '365.2425 ġurnata tas-sena, li kienet biss 26 sekonda barra mill-kalendarju modern Gregorjan kejl. Il-komunikazzjonijiet fit-toroq u l-ilma ġew riorganizzati u mtejba. Biex jipprovdu kontra l-ġuħ possibbli, il-granari ġew ordnati mibnija fl-imper"&amp;"u kollu. Il-belt ta 'Beijing inbniet mill-ġdid ma' raġunijiet tal-palazz ġodda li kienu jinkludu lagi artifiċjali, għoljiet u muntanji, u parks. Matul il-perjodu tal-wan, Beijing sar it-terminus tal-Gran Kanal taċ-Ċina, li ġie rinnovat kompletament. Dan i"&amp;"t-titjib orjentat kummerċjalment inkoraġġixxa l-kummerċ fuq l-art u l-marittimu madwar l-Asja u ffaċilita l-kuntatti diretti Ċiniżi mal-Ewropa. Vjaġġaturi Ċiniżi lejn il-Punent setgħu jipprovdu għajnuna f'oqsma bħal inġinerija idrawlika. Kuntatti mal-Pune"&amp;"nt ġabu wkoll l-introduzzjoni fiċ-Ċina ta 'uċuħ ewlenin tal-ikel, sorgu, flimkien ma' prodotti oħra tal-ikel barranin u metodi ta 'preparazzjoni.")</f>
        <v>Il-Yuan wettaq xogħlijiet pubbliċi estensivi. Fost l-aqwa inġiniera u xjenzati ta 'Kublai Khan kien l-astronomu Guo Shoujing, li kien inkarigat b'ħafna proġetti ta' xogħlijiet pubbliċi u għen lill-wan jirriforma l-kalendarju lunisolari biex jipprovdi eżattezza ta '365.2425 ġurnata tas-sena, li kienet biss 26 sekonda barra mill-kalendarju modern Gregorjan kejl. Il-komunikazzjonijiet fit-toroq u l-ilma ġew riorganizzati u mtejba. Biex jipprovdu kontra l-ġuħ possibbli, il-granari ġew ordnati mibnija fl-imperu kollu. Il-belt ta 'Beijing inbniet mill-ġdid ma' raġunijiet tal-palazz ġodda li kienu jinkludu lagi artifiċjali, għoljiet u muntanji, u parks. Matul il-perjodu tal-wan, Beijing sar it-terminus tal-Gran Kanal taċ-Ċina, li ġie rinnovat kompletament. Dan it-titjib orjentat kummerċjalment inkoraġġixxa l-kummerċ fuq l-art u l-marittimu madwar l-Asja u ffaċilita l-kuntatti diretti Ċiniżi mal-Ewropa. Vjaġġaturi Ċiniżi lejn il-Punent setgħu jipprovdu għajnuna f'oqsma bħal inġinerija idrawlika. Kuntatti mal-Punent ġabu wkoll l-introduzzjoni fiċ-Ċina ta 'uċuħ ewlenin tal-ikel, sorgu, flimkien ma' prodotti oħra tal-ikel barranin u metodi ta 'preparazzjoni.</v>
      </c>
    </row>
    <row r="2066" ht="15.75" customHeight="1">
      <c r="A2066" s="2" t="s">
        <v>2066</v>
      </c>
      <c r="B2066" s="2" t="str">
        <f>IFERROR(__xludf.DUMMYFUNCTION("GOOGLETRANSLATE(A2066,""en"", ""mt"")"),"X'ġara fil-bini fuq George IV Bridge meta sar il-Parlament miegħu?")</f>
        <v>X'ġara fil-bini fuq George IV Bridge meta sar il-Parlament miegħu?</v>
      </c>
    </row>
    <row r="2067" ht="15.75" customHeight="1">
      <c r="A2067" s="2" t="s">
        <v>2067</v>
      </c>
      <c r="B2067" s="2" t="str">
        <f>IFERROR(__xludf.DUMMYFUNCTION("GOOGLETRANSLATE(A2067,""en"", ""mt"")"),", tagħmilha iktar diffiċli għal sistema biex tiffunzjona")</f>
        <v>, tagħmilha iktar diffiċli għal sistema biex tiffunzjona</v>
      </c>
    </row>
    <row r="2068" ht="15.75" customHeight="1">
      <c r="A2068" s="2" t="s">
        <v>2068</v>
      </c>
      <c r="B2068" s="2" t="str">
        <f>IFERROR(__xludf.DUMMYFUNCTION("GOOGLETRANSLATE(A2068,""en"", ""mt"")"),"Hemm kategoriji oħra għal xiex?")</f>
        <v>Hemm kategoriji oħra għal xiex?</v>
      </c>
    </row>
    <row r="2069" ht="15.75" customHeight="1">
      <c r="A2069" s="2" t="s">
        <v>2069</v>
      </c>
      <c r="B2069" s="2" t="str">
        <f>IFERROR(__xludf.DUMMYFUNCTION("GOOGLETRANSLATE(A2069,""en"", ""mt"")"),"Liema teatru kien l-aħjar eżempju ta '""teatru monumentali Pollakk""?")</f>
        <v>Liema teatru kien l-aħjar eżempju ta '"teatru monumentali Pollakk"?</v>
      </c>
    </row>
    <row r="2070" ht="15.75" customHeight="1">
      <c r="A2070" s="2" t="s">
        <v>2070</v>
      </c>
      <c r="B2070" s="2" t="str">
        <f>IFERROR(__xludf.DUMMYFUNCTION("GOOGLETRANSLATE(A2070,""en"", ""mt"")"),"Ir-rati rrappurtati ta 'mortalità fiż-żoni rurali matul il-pandemija tas-seklu 14 kienu inkonsistenti mal-pesta bubonika moderna")</f>
        <v>Ir-rati rrappurtati ta 'mortalità fiż-żoni rurali matul il-pandemija tas-seklu 14 kienu inkonsistenti mal-pesta bubonika moderna</v>
      </c>
    </row>
    <row r="2071" ht="15.75" customHeight="1">
      <c r="A2071" s="2" t="s">
        <v>2071</v>
      </c>
      <c r="B2071" s="2" t="str">
        <f>IFERROR(__xludf.DUMMYFUNCTION("GOOGLETRANSLATE(A2071,""en"", ""mt"")"),"tikkompressa u tkessaħ")</f>
        <v>tikkompressa u tkessaħ</v>
      </c>
    </row>
    <row r="2072" ht="15.75" customHeight="1">
      <c r="A2072" s="2" t="s">
        <v>2072</v>
      </c>
      <c r="B2072" s="2" t="str">
        <f>IFERROR(__xludf.DUMMYFUNCTION("GOOGLETRANSLATE(A2072,""en"", ""mt"")"),"X’gruppat Paul Baran")</f>
        <v>X’gruppat Paul Baran</v>
      </c>
    </row>
    <row r="2073" ht="15.75" customHeight="1">
      <c r="A2073" s="2" t="s">
        <v>2073</v>
      </c>
      <c r="B2073" s="2" t="str">
        <f>IFERROR(__xludf.DUMMYFUNCTION("GOOGLETRANSLATE(A2073,""en"", ""mt"")"),"mhux speċifiku")</f>
        <v>mhux speċifiku</v>
      </c>
    </row>
    <row r="2074" ht="15.75" customHeight="1">
      <c r="A2074" s="2" t="s">
        <v>2074</v>
      </c>
      <c r="B2074" s="2" t="str">
        <f>IFERROR(__xludf.DUMMYFUNCTION("GOOGLETRANSLATE(A2074,""en"", ""mt"")"),"Konġettura Twin Prime")</f>
        <v>Konġettura Twin Prime</v>
      </c>
    </row>
    <row r="2075" ht="15.75" customHeight="1">
      <c r="A2075" s="2" t="s">
        <v>2075</v>
      </c>
      <c r="B2075" s="2" t="str">
        <f>IFERROR(__xludf.DUMMYFUNCTION("GOOGLETRANSLATE(A2075,""en"", ""mt"")"),"Kemm mili t-trab jivvjaġġa fuq l-Oċean Atlantiku?")</f>
        <v>Kemm mili t-trab jivvjaġġa fuq l-Oċean Atlantiku?</v>
      </c>
    </row>
    <row r="2076" ht="15.75" customHeight="1">
      <c r="A2076" s="2" t="s">
        <v>2076</v>
      </c>
      <c r="B2076" s="2" t="str">
        <f>IFERROR(__xludf.DUMMYFUNCTION("GOOGLETRANSLATE(A2076,""en"", ""mt"")"),"Billi jaħbtu l-lobi tagħhom")</f>
        <v>Billi jaħbtu l-lobi tagħhom</v>
      </c>
    </row>
    <row r="2077" ht="15.75" customHeight="1">
      <c r="A2077" s="2" t="s">
        <v>2077</v>
      </c>
      <c r="B2077" s="2" t="str">
        <f>IFERROR(__xludf.DUMMYFUNCTION("GOOGLETRANSLATE(A2077,""en"", ""mt"")"),"Kemm ilu li l-ġeoglifi ġew skoperti l-ewwel fuq art deforestata?")</f>
        <v>Kemm ilu li l-ġeoglifi ġew skoperti l-ewwel fuq art deforestata?</v>
      </c>
    </row>
    <row r="2078" ht="15.75" customHeight="1">
      <c r="A2078" s="2" t="s">
        <v>2078</v>
      </c>
      <c r="B2078" s="2" t="str">
        <f>IFERROR(__xludf.DUMMYFUNCTION("GOOGLETRANSLATE(A2078,""en"", ""mt"")"),"Jekk kull problema f'C tista 'titnaqqas għal x")</f>
        <v>Jekk kull problema f'C tista 'titnaqqas għal x</v>
      </c>
    </row>
    <row r="2079" ht="15.75" customHeight="1">
      <c r="A2079" s="2" t="s">
        <v>2079</v>
      </c>
      <c r="B2079" s="2" t="str">
        <f>IFERROR(__xludf.DUMMYFUNCTION("GOOGLETRANSLATE(A2079,""en"", ""mt"")"),"AD 14")</f>
        <v>AD 14</v>
      </c>
    </row>
    <row r="2080" ht="15.75" customHeight="1">
      <c r="A2080" s="2" t="s">
        <v>2080</v>
      </c>
      <c r="B2080" s="2" t="str">
        <f>IFERROR(__xludf.DUMMYFUNCTION("GOOGLETRANSLATE(A2080,""en"", ""mt"")"),"X'inhi raġuni ewlenija li d-diżubbidjenza ċivili mhix rikonoxxuta?")</f>
        <v>X'inhi raġuni ewlenija li d-diżubbidjenza ċivili mhix rikonoxxuta?</v>
      </c>
    </row>
    <row r="2081" ht="15.75" customHeight="1">
      <c r="A2081" s="2" t="s">
        <v>2081</v>
      </c>
      <c r="B2081" s="2" t="str">
        <f>IFERROR(__xludf.DUMMYFUNCTION("GOOGLETRANSLATE(A2081,""en"", ""mt"")"),"Xiri ta 'waqfien wieħed")</f>
        <v>Xiri ta 'waqfien wieħed</v>
      </c>
    </row>
    <row r="2082" ht="15.75" customHeight="1">
      <c r="A2082" s="2" t="s">
        <v>2082</v>
      </c>
      <c r="B2082" s="2" t="str">
        <f>IFERROR(__xludf.DUMMYFUNCTION("GOOGLETRANSLATE(A2082,""en"", ""mt"")"),"Fix-xogħlijiet akkademiċi Anglophone, it-teoriji rigward l-imperjalizmu spiss huma bbażati fuq l-esperjenza Ingliża. It-terminu ""imperjalizmu"" kien oriġinarjament introdott fl-Ingliż fis-sens preżenti tiegħu fl-aħħar tas-snin 1870 minn avversarji tal-po"&amp;"litiki imperjali allegatament aggressivi u ostentatious tal-Prim Ministru Ingliż Benjamin Disraeli. Ftit kien approprjat mill-partitarji ta '""imperjalizmu"" bħal Joseph Chamberlain. Għal uħud, l-imperjalizmu ħatar politika ta ’idealiżmu u filantropija; O"&amp;"ħrajn allegaw li kien ikkaratterizzat minn interess politiku tal-awto, u numru dejjem jikber assoċjatha mar-regħba kapitalista. Liberali John A. Hobson u Marxist Vladimir Lenin żiedu konnotazzjoni makroekonomika aktar teoretika mat-terminu. Lenin b'mod pa"&amp;"rtikolari eżerċita influwenza sostanzjali fuq kunċetti Marxisti aktar tard dwar l-imperjalizmu bl-imperjalizmu tax-xogħol tiegħu, l-ogħla stadju tal-kapitaliżmu. Fil-kitbiet tiegħu Lenin ippreżentat l-imperjalizmu bħala estensjoni naturali tal-kapitaliżmu"&amp;" li nibtet mill-ħtieġa għall-ekonomiji kapitalisti biex kontinwament jespandu l-investiment, ir-riżorsi materjali u l-ħaddiema b'tali mod li kien jeħtieġ espansjoni kolonjali. Din il-kunċett ta 'l-imperjalizmu bħala karatteristika strutturali tal-kapitali"&amp;"żmu hija mtennija minn teoriċi Marxisti aktar tard. Ħafna teoriċi fuq ix-xellug segwew fl-enfasi tal-karattru strutturali jew sistemiku ta '""imperjalizmu"". Kittieba bħal dawn espandew il-perjodu ta 'żmien assoċjat mat-terminu sabiex issa jinnomina polit"&amp;"ika, u lanqas spazju qasir ta' għexieren ta 'snin fl-aħħar tas-seklu 19, iżda sistema dinjija li testendi fuq perjodu ta' sekli, ħafna drabi tmur lura lejn Christopher Columbus u , f'xi kontijiet, għall-Kruċjati. Hekk kif l-applikazzjoni tat-terminu espan"&amp;"diet, it-tifsira tagħha tbiddlet tul ħames assi distinti imma ta 'spiss paralleli: il-morali, l-ekonomiku, il-sistemiku, il-kulturali, u t-temporali. Dawk il-bidliet jirriflettu - fost ċaqliq ieħor fis-sensibilità - inkwiet dejjem jikber, anke squeamishne"&amp;"ss, bil-fatt tal-poter, speċifikament, il-qawwa tal-Punent.")</f>
        <v>Fix-xogħlijiet akkademiċi Anglophone, it-teoriji rigward l-imperjalizmu spiss huma bbażati fuq l-esperjenza Ingliża. It-terminu "imperjalizmu" kien oriġinarjament introdott fl-Ingliż fis-sens preżenti tiegħu fl-aħħar tas-snin 1870 minn avversarji tal-politiki imperjali allegatament aggressivi u ostentatious tal-Prim Ministru Ingliż Benjamin Disraeli. Ftit kien approprjat mill-partitarji ta '"imperjalizmu" bħal Joseph Chamberlain. Għal uħud, l-imperjalizmu ħatar politika ta ’idealiżmu u filantropija; Oħrajn allegaw li kien ikkaratterizzat minn interess politiku tal-awto, u numru dejjem jikber assoċjatha mar-regħba kapitalista. Liberali John A. Hobson u Marxist Vladimir Lenin żiedu konnotazzjoni makroekonomika aktar teoretika mat-terminu. Lenin b'mod partikolari eżerċita influwenza sostanzjali fuq kunċetti Marxisti aktar tard dwar l-imperjalizmu bl-imperjalizmu tax-xogħol tiegħu, l-ogħla stadju tal-kapitaliżmu. Fil-kitbiet tiegħu Lenin ippreżentat l-imperjalizmu bħala estensjoni naturali tal-kapitaliżmu li nibtet mill-ħtieġa għall-ekonomiji kapitalisti biex kontinwament jespandu l-investiment, ir-riżorsi materjali u l-ħaddiema b'tali mod li kien jeħtieġ espansjoni kolonjali. Din il-kunċett ta 'l-imperjalizmu bħala karatteristika strutturali tal-kapitaliżmu hija mtennija minn teoriċi Marxisti aktar tard. Ħafna teoriċi fuq ix-xellug segwew fl-enfasi tal-karattru strutturali jew sistemiku ta '"imperjalizmu". Kittieba bħal dawn espandew il-perjodu ta 'żmien assoċjat mat-terminu sabiex issa jinnomina politika, u lanqas spazju qasir ta' għexieren ta 'snin fl-aħħar tas-seklu 19, iżda sistema dinjija li testendi fuq perjodu ta' sekli, ħafna drabi tmur lura lejn Christopher Columbus u , f'xi kontijiet, għall-Kruċjati. Hekk kif l-applikazzjoni tat-terminu espandiet, it-tifsira tagħha tbiddlet tul ħames assi distinti imma ta 'spiss paralleli: il-morali, l-ekonomiku, il-sistemiku, il-kulturali, u t-temporali. Dawk il-bidliet jirriflettu - fost ċaqliq ieħor fis-sensibilità - inkwiet dejjem jikber, anke squeamishness, bil-fatt tal-poter, speċifikament, il-qawwa tal-Punent.</v>
      </c>
    </row>
    <row r="2083" ht="15.75" customHeight="1">
      <c r="A2083" s="2" t="s">
        <v>2083</v>
      </c>
      <c r="B2083" s="2" t="str">
        <f>IFERROR(__xludf.DUMMYFUNCTION("GOOGLETRANSLATE(A2083,""en"", ""mt"")"),"kumplessità tal-ħin u l-ispazju")</f>
        <v>kumplessità tal-ħin u l-ispazju</v>
      </c>
    </row>
    <row r="2084" ht="15.75" customHeight="1">
      <c r="A2084" s="2" t="s">
        <v>2084</v>
      </c>
      <c r="B2084" s="2" t="str">
        <f>IFERROR(__xludf.DUMMYFUNCTION("GOOGLETRANSLATE(A2084,""en"", ""mt"")"),"Kostruzzjoni")</f>
        <v>Kostruzzjoni</v>
      </c>
    </row>
    <row r="2085" ht="15.75" customHeight="1">
      <c r="A2085" s="2" t="s">
        <v>2085</v>
      </c>
      <c r="B2085" s="2" t="str">
        <f>IFERROR(__xludf.DUMMYFUNCTION("GOOGLETRANSLATE(A2085,""en"", ""mt"")"),"Problemi iebsa mill-NP")</f>
        <v>Problemi iebsa mill-NP</v>
      </c>
    </row>
    <row r="2086" ht="15.75" customHeight="1">
      <c r="A2086" s="2" t="s">
        <v>2086</v>
      </c>
      <c r="B2086" s="2" t="str">
        <f>IFERROR(__xludf.DUMMYFUNCTION("GOOGLETRANSLATE(A2086,""en"", ""mt"")"),"182 miljun")</f>
        <v>182 miljun</v>
      </c>
    </row>
    <row r="2087" ht="15.75" customHeight="1">
      <c r="A2087" s="2" t="s">
        <v>2087</v>
      </c>
      <c r="B2087" s="2" t="str">
        <f>IFERROR(__xludf.DUMMYFUNCTION("GOOGLETRANSLATE(A2087,""en"", ""mt"")"),"X'inhuma d-differenzi kbar fil-ġid attribwiti mis-soċjalisti?")</f>
        <v>X'inhuma d-differenzi kbar fil-ġid attribwiti mis-soċjalisti?</v>
      </c>
    </row>
    <row r="2088" ht="15.75" customHeight="1">
      <c r="A2088" s="2" t="s">
        <v>2088</v>
      </c>
      <c r="B2088" s="2" t="str">
        <f>IFERROR(__xludf.DUMMYFUNCTION("GOOGLETRANSLATE(A2088,""en"", ""mt"")"),"X'inhi l-ħarba tal-fwar x'aktarx ma twettaqx kollha ħlief l-iżgħar bojlers?")</f>
        <v>X'inhi l-ħarba tal-fwar x'aktarx ma twettaqx kollha ħlief l-iżgħar bojlers?</v>
      </c>
    </row>
    <row r="2089" ht="15.75" customHeight="1">
      <c r="A2089" s="2" t="s">
        <v>2089</v>
      </c>
      <c r="B2089" s="2" t="str">
        <f>IFERROR(__xludf.DUMMYFUNCTION("GOOGLETRANSLATE(A2089,""en"", ""mt"")"),"Jacques Legardere de Saint-Pierre")</f>
        <v>Jacques Legardere de Saint-Pierre</v>
      </c>
    </row>
    <row r="2090" ht="15.75" customHeight="1">
      <c r="A2090" s="2" t="s">
        <v>2090</v>
      </c>
      <c r="B2090" s="2" t="str">
        <f>IFERROR(__xludf.DUMMYFUNCTION("GOOGLETRANSLATE(A2090,""en"", ""mt"")"),"Id- ""Distrett Storiku tat-Triq Huguenot"" fi New Paltz")</f>
        <v>Id- "Distrett Storiku tat-Triq Huguenot" fi New Paltz</v>
      </c>
    </row>
    <row r="2091" ht="15.75" customHeight="1">
      <c r="A2091" s="2" t="s">
        <v>2091</v>
      </c>
      <c r="B2091" s="2" t="str">
        <f>IFERROR(__xludf.DUMMYFUNCTION("GOOGLETRANSLATE(A2091,""en"", ""mt"")"),"Għalkemm huwa ġeneralment aċċettat li l-liġi tal-UE għandha l-preminenza, mhux il-liġijiet kollha tal-UE jagħtu liċ-ċittadini biex iġibu talbiet: jiġifieri, mhux il-liġijiet kollha tal-UE għandhom ""effett dirett"". Fil-Van Gend en Loos vs Nederlandse Amm"&amp;"inistratie der Belastingen Ġie kkonstatat li d-dispożizzjonijiet tat-trattati (u r-regolamenti tal-UE) huma direttament effettivi, jekk huma (1) ċari u mhux ambigwi (2) inkondizzjonati, u (3) ma kellhomx bżonn l-UE jew awtoritajiet nazzjonali biex jieħdu "&amp;"aktar azzjoni biex jimplimentawhom. Van Gend En Loos, kumpanija postali, sostniet li dak li issa huwa l-Artikolu 30 TFEU evitat lill-awtoritajiet tad-dwana Olandiżi jiċċarġjaw tariffi, meta importaw il-plastik tal-urea-formaldehyde mill-Ġermanja għall-Ola"&amp;"nda. Wara li qorti Olandiża għamlet referenza, il-Qorti tal-Ġustizzja ddeċidiet li minkejja li t-trattati ma ""espressament"" jagħtu dritt liċ-ċittadini jew kumpaniji biex iġibu talbiet, huma jistgħu jagħmlu dan. Storikament, it-trattati internazzjonali k"&amp;"ienu ppermettew biss lill-istati biex ikollhom talbiet legali għall-infurzar tagħhom, iżda l-Qorti tal-Ġustizzja pproklamat ""il-komunità tikkostitwixxi ordni legali ġdida tal-liġi internazzjonali"". Minħabba li l-Artikolu 30 b'mod ċar, mingħajr kundizzjo"&amp;"ni u immedjatament iddikjara li l-ebda restrizzjoni kwantitattiva ma tista 'titpoġġa fuq il-kummerċ, mingħajr ġustifikazzjoni tajba, van gend en loos jista' jirkupra l-flus li ħallas għat-tariffa. Ir-regolamenti tal-UE huma l-istess bħad-dispożizzjonijiet"&amp;" tat-trattati f'dan is-sens, għaliex kif l-Artikolu 288 TFEU jiddikjara, huma ""applikabbli direttament fl-Istati Membri kollha"". Barra minn hekk, l-Istati Membri jaqgħu taħt id-dmir li ma jirreplikawx ir-regolamenti fil-liġi tagħhom stess, sabiex jevita"&amp;"w konfużjoni. Pereżempju, fil-Kummissjoni v l-Italja l-Qorti tal-Ġustizzja ddeċidiet li l-Italja kisret dmir taħt it-trattati, kemm billi naqset milli topera skema biex tħallas il-bdiewa primjum biex toqtol il-baqar (biex tnaqqas il-produzzjoni żejda tal-"&amp;"ħalib), u billi tirriproduċi r-regoli fi Digriet b'diversi żidiet. ""Regolamenti,"" żammew il-Qorti tal-Ġustizzja, ""jidħlu fis-seħħ biss bis-saħħa tal-pubblikazzjoni tagħhom"" u l-implimentazzjoni jista 'jkollha l-effett li ""tipperikola l-applikazzjoni "&amp;"simultanja u uniformi tagħhom fl-Unjoni kollha."" Min-naħa l-oħra, xi regolamenti jistgħu huma stess jeħtieġu espressament miżuri ta 'implimentazzjoni, f'liema każ għandhom jiġu segwiti dawk ir-regoli speċifiċi.")</f>
        <v>Għalkemm huwa ġeneralment aċċettat li l-liġi tal-UE għandha l-preminenza, mhux il-liġijiet kollha tal-UE jagħtu liċ-ċittadini biex iġibu talbiet: jiġifieri, mhux il-liġijiet kollha tal-UE għandhom "effett dirett". Fil-Van Gend en Loos vs Nederlandse Amministratie der Belastingen Ġie kkonstatat li d-dispożizzjonijiet tat-trattati (u r-regolamenti tal-UE) huma direttament effettivi, jekk huma (1) ċari u mhux ambigwi (2) inkondizzjonati, u (3) ma kellhomx bżonn l-UE jew awtoritajiet nazzjonali biex jieħdu aktar azzjoni biex jimplimentawhom. Van Gend En Loos, kumpanija postali, sostniet li dak li issa huwa l-Artikolu 30 TFEU evitat lill-awtoritajiet tad-dwana Olandiżi jiċċarġjaw tariffi, meta importaw il-plastik tal-urea-formaldehyde mill-Ġermanja għall-Olanda. Wara li qorti Olandiża għamlet referenza, il-Qorti tal-Ġustizzja ddeċidiet li minkejja li t-trattati ma "espressament" jagħtu dritt liċ-ċittadini jew kumpaniji biex iġibu talbiet, huma jistgħu jagħmlu dan. Storikament, it-trattati internazzjonali kienu ppermettew biss lill-istati biex ikollhom talbiet legali għall-infurzar tagħhom, iżda l-Qorti tal-Ġustizzja pproklamat "il-komunità tikkostitwixxi ordni legali ġdida tal-liġi internazzjonali". Minħabba li l-Artikolu 30 b'mod ċar, mingħajr kundizzjoni u immedjatament iddikjara li l-ebda restrizzjoni kwantitattiva ma tista 'titpoġġa fuq il-kummerċ, mingħajr ġustifikazzjoni tajba, van gend en loos jista' jirkupra l-flus li ħallas għat-tariffa. Ir-regolamenti tal-UE huma l-istess bħad-dispożizzjonijiet tat-trattati f'dan is-sens, għaliex kif l-Artikolu 288 TFEU jiddikjara, huma "applikabbli direttament fl-Istati Membri kollha". Barra minn hekk, l-Istati Membri jaqgħu taħt id-dmir li ma jirreplikawx ir-regolamenti fil-liġi tagħhom stess, sabiex jevitaw konfużjoni. Pereżempju, fil-Kummissjoni v l-Italja l-Qorti tal-Ġustizzja ddeċidiet li l-Italja kisret dmir taħt it-trattati, kemm billi naqset milli topera skema biex tħallas il-bdiewa primjum biex toqtol il-baqar (biex tnaqqas il-produzzjoni żejda tal-ħalib), u billi tirriproduċi r-regoli fi Digriet b'diversi żidiet. "Regolamenti," żammew il-Qorti tal-Ġustizzja, "jidħlu fis-seħħ biss bis-saħħa tal-pubblikazzjoni tagħhom" u l-implimentazzjoni jista 'jkollha l-effett li "tipperikola l-applikazzjoni simultanja u uniformi tagħhom fl-Unjoni kollha." Min-naħa l-oħra, xi regolamenti jistgħu huma stess jeħtieġu espressament miżuri ta 'implimentazzjoni, f'liema każ għandhom jiġu segwiti dawk ir-regoli speċifiċi.</v>
      </c>
    </row>
    <row r="2092" ht="15.75" customHeight="1">
      <c r="A2092" s="2" t="s">
        <v>2092</v>
      </c>
      <c r="B2092" s="2" t="str">
        <f>IFERROR(__xludf.DUMMYFUNCTION("GOOGLETRANSLATE(A2092,""en"", ""mt"")"),"Ethernet mehmuża ospiti, u eventwalment TCP / IP u universitajiet pubbliċi addizzjonali fi Michigan jingħaqdu man-netwerk")</f>
        <v>Ethernet mehmuża ospiti, u eventwalment TCP / IP u universitajiet pubbliċi addizzjonali fi Michigan jingħaqdu man-netwerk</v>
      </c>
    </row>
    <row r="2093" ht="15.75" customHeight="1">
      <c r="A2093" s="2" t="s">
        <v>2093</v>
      </c>
      <c r="B2093" s="2" t="str">
        <f>IFERROR(__xludf.DUMMYFUNCTION("GOOGLETRANSLATE(A2093,""en"", ""mt"")"),"Wieħed mill-oġġetti tal-aġenda tal-FIS kien li jġiegħel lin-nisa jibdew jagħmlu xiex?")</f>
        <v>Wieħed mill-oġġetti tal-aġenda tal-FIS kien li jġiegħel lin-nisa jibdew jagħmlu xiex?</v>
      </c>
    </row>
    <row r="2094" ht="15.75" customHeight="1">
      <c r="A2094" s="2" t="s">
        <v>2094</v>
      </c>
      <c r="B2094" s="2" t="str">
        <f>IFERROR(__xludf.DUMMYFUNCTION("GOOGLETRANSLATE(A2094,""en"", ""mt"")"),"Kemm hija twila l-pjanura tar-Renu ta 'Fuq?")</f>
        <v>Kemm hija twila l-pjanura tar-Renu ta 'Fuq?</v>
      </c>
    </row>
    <row r="2095" ht="15.75" customHeight="1">
      <c r="A2095" s="2" t="s">
        <v>2095</v>
      </c>
      <c r="B2095" s="2" t="str">
        <f>IFERROR(__xludf.DUMMYFUNCTION("GOOGLETRANSLATE(A2095,""en"", ""mt"")"),"Twaqqif ta '""Fruntieri Naturali"" fuq ir-Renu")</f>
        <v>Twaqqif ta '"Fruntieri Naturali" fuq ir-Renu</v>
      </c>
    </row>
    <row r="2096" ht="15.75" customHeight="1">
      <c r="A2096" s="2" t="s">
        <v>2096</v>
      </c>
      <c r="B2096" s="2" t="str">
        <f>IFERROR(__xludf.DUMMYFUNCTION("GOOGLETRANSLATE(A2096,""en"", ""mt"")"),"Skond il-ftehim bejn Iroquois u l-Ingliżi, fejn kellha tinbena dar b'saħħitha?")</f>
        <v>Skond il-ftehim bejn Iroquois u l-Ingliżi, fejn kellha tinbena dar b'saħħitha?</v>
      </c>
    </row>
    <row r="2097" ht="15.75" customHeight="1">
      <c r="A2097" s="2" t="s">
        <v>2097</v>
      </c>
      <c r="B2097" s="2" t="str">
        <f>IFERROR(__xludf.DUMMYFUNCTION("GOOGLETRANSLATE(A2097,""en"",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2098" ht="15.75" customHeight="1">
      <c r="A2098" s="2" t="s">
        <v>2098</v>
      </c>
      <c r="B2098" s="2" t="str">
        <f>IFERROR(__xludf.DUMMYFUNCTION("GOOGLETRANSLATE(A2098,""en"", ""mt"")"),"ma jibbenefikawx l-Iskozja daqs kemm għandhom")</f>
        <v>ma jibbenefikawx l-Iskozja daqs kemm għandhom</v>
      </c>
    </row>
    <row r="2099" ht="15.75" customHeight="1">
      <c r="A2099" s="2" t="s">
        <v>2099</v>
      </c>
      <c r="B2099" s="2" t="str">
        <f>IFERROR(__xludf.DUMMYFUNCTION("GOOGLETRANSLATE(A2099,""en"", ""mt"")"),"X'inhu Decnet")</f>
        <v>X'inhu Decnet</v>
      </c>
    </row>
    <row r="2100" ht="15.75" customHeight="1">
      <c r="A2100" s="2" t="s">
        <v>2100</v>
      </c>
      <c r="B2100" s="2" t="str">
        <f>IFERROR(__xludf.DUMMYFUNCTION("GOOGLETRANSLATE(A2100,""en"", ""mt"")"),"Ipersensittività tat-Tip I.")</f>
        <v>Ipersensittività tat-Tip I.</v>
      </c>
    </row>
    <row r="2101" ht="15.75" customHeight="1">
      <c r="A2101" s="2" t="s">
        <v>2101</v>
      </c>
      <c r="B2101" s="2" t="str">
        <f>IFERROR(__xludf.DUMMYFUNCTION("GOOGLETRANSLATE(A2101,""en"", ""mt"")"),"Gass tal-ossiġnu (O
2) Jista 'jkun tossiku bi pressjonijiet parzjali elevati, li jwassal għal konvulżjonijiet u problemi oħra ta' saħħa. [J] It-tossiċità tal-ossiġnu ġeneralment tibda sseħħ fi pressjonijiet parzjali aktar minn 50 kilopascals (kPa), daqs m"&amp;"adwar 50% kompożizzjoni ta 'ossiġenu bi pressjoni standard fi pressjoni standard jew 2.5 darbiet il-livell normali tal-baħar o
2 pressjoni parzjali ta 'madwar 21 kPa. Din mhix problema ħlief għal pazjenti fuq ventilaturi mekkaniċi, peress li l-gass fornut"&amp;" permezz ta 'maskri ta' ossiġnu f'applikazzjonijiet mediċi huwa tipikament magħmul minn 30% –50% biss o
2 bil-volum (madwar 30 kPa bi pressjoni standard). (Għalkemm din iċ-ċifra hija wkoll soġġetta għal varjazzjoni wiesgħa, skont it-tip ta 'maskra).")</f>
        <v>Gass tal-ossiġnu (O
2) Jista 'jkun tossiku bi pressjonijiet parzjali elevati, li jwassal għal konvulżjonijiet u problemi oħra ta' saħħa. [J] It-tossiċità tal-ossiġnu ġeneralment tibda sseħħ fi pressjonijiet parzjali aktar minn 50 kilopascals (kPa), daqs madwar 50% kompożizzjoni ta 'ossiġenu bi pressjoni standard fi pressjoni standard jew 2.5 darbiet il-livell normali tal-baħar o
2 pressjoni parzjali ta 'madwar 21 kPa. Din mhix problema ħlief għal pazjenti fuq ventilaturi mekkaniċi, peress li l-gass fornut permezz ta 'maskri ta' ossiġnu f'applikazzjonijiet mediċi huwa tipikament magħmul minn 30% –50% biss o
2 bil-volum (madwar 30 kPa bi pressjoni standard). (Għalkemm din iċ-ċifra hija wkoll soġġetta għal varjazzjoni wiesgħa, skont it-tip ta 'maskra).</v>
      </c>
    </row>
    <row r="2102" ht="15.75" customHeight="1">
      <c r="A2102" s="2" t="s">
        <v>2102</v>
      </c>
      <c r="B2102" s="2" t="str">
        <f>IFERROR(__xludf.DUMMYFUNCTION("GOOGLETRANSLATE(A2102,""en"", ""mt"")"),"Fresno, _California")</f>
        <v>Fresno, _California</v>
      </c>
    </row>
    <row r="2103" ht="15.75" customHeight="1">
      <c r="A2103" s="2" t="s">
        <v>2103</v>
      </c>
      <c r="B2103" s="2" t="str">
        <f>IFERROR(__xludf.DUMMYFUNCTION("GOOGLETRANSLATE(A2103,""en"", ""mt"")"),"X'inhu xi kultant iktar effettiv minn diżubbidjenza ċivili xi drabi?")</f>
        <v>X'inhu xi kultant iktar effettiv minn diżubbidjenza ċivili xi drabi?</v>
      </c>
    </row>
    <row r="2104" ht="15.75" customHeight="1">
      <c r="A2104" s="2" t="s">
        <v>2104</v>
      </c>
      <c r="B2104" s="2" t="str">
        <f>IFERROR(__xludf.DUMMYFUNCTION("GOOGLETRANSLATE(A2104,""en"", ""mt"")"),"L-Iskola tal-Għarfien")</f>
        <v>L-Iskola tal-Għarfien</v>
      </c>
    </row>
    <row r="2105" ht="15.75" customHeight="1">
      <c r="A2105" s="2" t="s">
        <v>2105</v>
      </c>
      <c r="B2105" s="2" t="str">
        <f>IFERROR(__xludf.DUMMYFUNCTION("GOOGLETRANSLATE(A2105,""en"", ""mt"")"),"B'komposti b'żewġ ċilindri użati fix-xogħol tal-ferrovija, il-pistuni huma konnessi mal-cranks bħal ma 'żewġ ċilindri sempliċi f'90 ° barra mill-fażi ma' xulxin (kwart). Meta l-grupp ta 'espansjoni doppja huwa duplikat, li jipproduċi kompost b'erba' ċilin"&amp;"dri, il-pistuni individwali fil-grupp huma ġeneralment ibbilanċjati f'180 °, il-gruppi jiġu ssettjati f'90 ° għal xulxin. F'każ wieħed (l-ewwel tip ta 'kompost ta' vauclain), il-pistuni ħadmu fl-istess fażi li jsuqu crosshead u krank komuni, għal darb'oħr"&amp;"a stabbiliti f'90 ° bħal għal magna b'żewġ ċilindri. Bl-arranġament tal-kompost bi 3 ċilindri, il-cranks LP jew ġew issettjati f'90 ° bl-HP wieħed f'135 ° għat-tnejn l-oħra, jew f'xi każijiet it-tliet cranks kollha ġew stabbiliti għal 120 °. [Ċitazzjoni m"&amp;"eħtieġa]")</f>
        <v>B'komposti b'żewġ ċilindri użati fix-xogħol tal-ferrovija, il-pistuni huma konnessi mal-cranks bħal ma 'żewġ ċilindri sempliċi f'90 ° barra mill-fażi ma' xulxin (kwart). Meta l-grupp ta 'espansjoni doppja huwa duplikat, li jipproduċi kompost b'erba' ċilindri, il-pistuni individwali fil-grupp huma ġeneralment ibbilanċjati f'180 °, il-gruppi jiġu ssettjati f'90 ° għal xulxin. F'każ wieħed (l-ewwel tip ta 'kompost ta' vauclain), il-pistuni ħadmu fl-istess fażi li jsuqu crosshead u krank komuni, għal darb'oħra stabbiliti f'90 ° bħal għal magna b'żewġ ċilindri. Bl-arranġament tal-kompost bi 3 ċilindri, il-cranks LP jew ġew issettjati f'90 ° bl-HP wieħed f'135 ° għat-tnejn l-oħra, jew f'xi każijiet it-tliet cranks kollha ġew stabbiliti għal 120 °. [Ċitazzjoni meħtieġa]</v>
      </c>
    </row>
    <row r="2106" ht="15.75" customHeight="1">
      <c r="A2106" s="2" t="s">
        <v>2106</v>
      </c>
      <c r="B2106" s="2" t="str">
        <f>IFERROR(__xludf.DUMMYFUNCTION("GOOGLETRANSLATE(A2106,""en"", ""mt"")"),"Liema organizzazzjoni sabet Harvard fl-1900?")</f>
        <v>Liema organizzazzjoni sabet Harvard fl-1900?</v>
      </c>
    </row>
    <row r="2107" ht="15.75" customHeight="1">
      <c r="A2107" s="2" t="s">
        <v>2107</v>
      </c>
      <c r="B2107" s="2" t="str">
        <f>IFERROR(__xludf.DUMMYFUNCTION("GOOGLETRANSLATE(A2107,""en"", ""mt"")"),"Minħabba l-kumplessità tal-mediċini li jinkludu indikazzjonijiet speċifiċi, l-effikaċja ta 'reġimi ta' trattament, is-sigurtà tal-mediċini (i.e., l-interazzjonijiet tad-droga) u kwistjonijiet ta 'konformità tal-pazjent (fl-isptar u d-dar) ħafna spiżjara l"&amp;"i jipprattikaw fl-isptarijiet jiksbu aktar edukazzjoni u taħriġ wara l-Iskola tal-Ispiżerija Residenza ta 'prattika ta' l-ispiżerija u xi kultant segwita minn residenza oħra f'qasam speċifiku. Dawk l-ispiżjara huma spiss imsejħa spiżjara kliniċi u ħafna d"&amp;"rabi jispeċjalizzaw f'diversi dixxiplini ta 'l-ispiżerija. Pereżempju, hemm spiżjara li jispeċjalizzaw fl-ematoloġija / onkoloġija, HIV / AIDS, mard infettiv, kura kritika, mediċina ta 'emerġenza, tossikoloġija, spiżerija nukleari, ġestjoni tal-uġigħ, psi"&amp;"kjatrija, kliniċi anti-koagulazzjoni, mediċina tal-ħxejjex, ġestjoni tan-newroloġija / epilessija, pedjatrija , spiżjara tat-twelid u aktar.")</f>
        <v>Minħabba l-kumplessità tal-mediċini li jinkludu indikazzjonijiet speċifiċi, l-effikaċja ta 'reġimi ta' trattament, is-sigurtà tal-mediċini (i.e., l-interazzjonijiet tad-droga) u kwistjonijiet ta 'konformità tal-pazjent (fl-isptar u d-dar) ħafna spiżjara li jipprattikaw fl-isptarijiet jiksbu aktar edukazzjoni u taħriġ wara l-Iskola tal-Ispiżerija Residenza ta 'prattika ta' l-ispiżerija u xi kultant segwita minn residenza oħra f'qasam speċifiku. Dawk l-ispiżjara huma spiss imsejħa spiżjara kliniċi u ħafna drabi jispeċjalizzaw f'diversi dixxiplini ta 'l-ispiżerija. Pereżempju, hemm spiżjara li jispeċjalizzaw fl-ematoloġija / onkoloġija, HIV / AIDS, mard infettiv, kura kritika, mediċina ta 'emerġenza, tossikoloġija, spiżerija nukleari, ġestjoni tal-uġigħ, psikjatrija, kliniċi anti-koagulazzjoni, mediċina tal-ħxejjex, ġestjoni tan-newroloġija / epilessija, pedjatrija , spiżjara tat-twelid u aktar.</v>
      </c>
    </row>
    <row r="2108" ht="15.75" customHeight="1">
      <c r="A2108" s="2" t="s">
        <v>2108</v>
      </c>
      <c r="B2108" s="2" t="str">
        <f>IFERROR(__xludf.DUMMYFUNCTION("GOOGLETRANSLATE(A2108,""en"", ""mt"")"),"Tipprevjeni l-kompetizzjoni tal-griżmejn maqtugħin")</f>
        <v>Tipprevjeni l-kompetizzjoni tal-griżmejn maqtugħin</v>
      </c>
    </row>
    <row r="2109" ht="15.75" customHeight="1">
      <c r="A2109" s="2" t="s">
        <v>2109</v>
      </c>
      <c r="B2109" s="2" t="str">
        <f>IFERROR(__xludf.DUMMYFUNCTION("GOOGLETRANSLATE(A2109,""en"", ""mt"")"),"Biex tkun żgurata s-sigurtà tal-missjonijiet spazjali futuri l-ossiġnu ntuża fi _____ tal-pressjoni normali.")</f>
        <v>Biex tkun żgurata s-sigurtà tal-missjonijiet spazjali futuri l-ossiġnu ntuża fi _____ tal-pressjoni normali.</v>
      </c>
    </row>
    <row r="2110" ht="15.75" customHeight="1">
      <c r="A2110" s="2" t="s">
        <v>2110</v>
      </c>
      <c r="B2110" s="2" t="str">
        <f>IFERROR(__xludf.DUMMYFUNCTION("GOOGLETRANSLATE(A2110,""en"", ""mt"")"),"Aħżen u Qalb Quddiem")</f>
        <v>Aħżen u Qalb Quddiem</v>
      </c>
    </row>
    <row r="2111" ht="15.75" customHeight="1">
      <c r="A2111" s="2" t="s">
        <v>2111</v>
      </c>
      <c r="B2111" s="2" t="str">
        <f>IFERROR(__xludf.DUMMYFUNCTION("GOOGLETRANSLATE(A2111,""en"", ""mt"")"),"il-vjaġġi ta 'Marco Polo")</f>
        <v>il-vjaġġi ta 'Marco Polo</v>
      </c>
    </row>
    <row r="2112" ht="15.75" customHeight="1">
      <c r="A2112" s="2" t="s">
        <v>2112</v>
      </c>
      <c r="B2112" s="2" t="str">
        <f>IFERROR(__xludf.DUMMYFUNCTION("GOOGLETRANSLATE(A2112,""en"", ""mt"")"),"Han Ċiniż")</f>
        <v>Han Ċiniż</v>
      </c>
    </row>
    <row r="2113" ht="15.75" customHeight="1">
      <c r="A2113" s="2" t="s">
        <v>2113</v>
      </c>
      <c r="B2113" s="2" t="str">
        <f>IFERROR(__xludf.DUMMYFUNCTION("GOOGLETRANSLATE(A2113,""en"", ""mt"")"),"Minbarra s-Sala tal-Assemblea Ġenerali, il-Parlament uża wkoll bini mikri mill-Kunsill tal-Belt ta 'Edinburgu. L-ex bini amministrattiv tal-Kunsill Reġjonali Lothian fuq George IV Bridge intuża għall-uffiċċji tal-MSP. Wara l-mixja lejn Holyrood fl-2004 da"&amp;"n il-bini ġie mwaqqa '. L-ex bini tal-Kontea Midlothian li qed jiffaċċja l-Pjazza tal-Parlament, Triq il-Kbira u George IV Bridge f'Edinburgu (oriġinarjament mibni bħala l-kwartieri ġenerali tal-Kunsill tal-Kontea Midlothian ta 'qabel l-1975) alloġġja ċ-Ċ"&amp;"entru u l-Ħanut tal-Viżitaturi tal-Parlament, filwaqt li s-sala ewlenija kienet użata bħala l-Parlament Kamra tal-Kumitat Prinċipali.")</f>
        <v>Minbarra s-Sala tal-Assemblea Ġenerali, il-Parlament uża wkoll bini mikri mill-Kunsill tal-Belt ta 'Edinburgu. L-ex bini amministrattiv tal-Kunsill Reġjonali Lothian fuq George IV Bridge intuża għall-uffiċċji tal-MSP. Wara l-mixja lejn Holyrood fl-2004 dan il-bini ġie mwaqqa '. L-ex bini tal-Kontea Midlothian li qed jiffaċċja l-Pjazza tal-Parlament, Triq il-Kbira u George IV Bridge f'Edinburgu (oriġinarjament mibni bħala l-kwartieri ġenerali tal-Kunsill tal-Kontea Midlothian ta 'qabel l-1975) alloġġja ċ-Ċentru u l-Ħanut tal-Viżitaturi tal-Parlament, filwaqt li s-sala ewlenija kienet użata bħala l-Parlament Kamra tal-Kumitat Prinċipali.</v>
      </c>
    </row>
    <row r="2114" ht="15.75" customHeight="1">
      <c r="A2114" s="2" t="s">
        <v>2114</v>
      </c>
      <c r="B2114" s="2" t="str">
        <f>IFERROR(__xludf.DUMMYFUNCTION("GOOGLETRANSLATE(A2114,""en"", ""mt"")"),"Interazzjonijiet potenzjali tal-mediċina")</f>
        <v>Interazzjonijiet potenzjali tal-mediċina</v>
      </c>
    </row>
    <row r="2115" ht="15.75" customHeight="1">
      <c r="A2115" s="2" t="s">
        <v>2115</v>
      </c>
      <c r="B2115" s="2" t="str">
        <f>IFERROR(__xludf.DUMMYFUNCTION("GOOGLETRANSLATE(A2115,""en"", ""mt"")"),"M'hemm l-ebda soluzzjoni magħrufa fil-ħin polinomjali")</f>
        <v>M'hemm l-ebda soluzzjoni magħrufa fil-ħin polinomjali</v>
      </c>
    </row>
    <row r="2116" ht="15.75" customHeight="1">
      <c r="A2116" s="2" t="s">
        <v>2116</v>
      </c>
      <c r="B2116" s="2" t="str">
        <f>IFERROR(__xludf.DUMMYFUNCTION("GOOGLETRANSLATE(A2116,""en"", ""mt"")"),"Dolby Digital")</f>
        <v>Dolby Digital</v>
      </c>
    </row>
    <row r="2117" ht="15.75" customHeight="1">
      <c r="A2117" s="2" t="s">
        <v>2117</v>
      </c>
      <c r="B2117" s="2" t="str">
        <f>IFERROR(__xludf.DUMMYFUNCTION("GOOGLETRANSLATE(A2117,""en"", ""mt"")"),"Naqbad il-Qawwa")</f>
        <v>Naqbad il-Qawwa</v>
      </c>
    </row>
    <row r="2118" ht="15.75" customHeight="1">
      <c r="A2118" s="2" t="s">
        <v>2118</v>
      </c>
      <c r="B2118" s="2" t="str">
        <f>IFERROR(__xludf.DUMMYFUNCTION("GOOGLETRANSLATE(A2118,""en"", ""mt"")"),"Kif kienet imsejħa l-kriżi taż-żejt")</f>
        <v>Kif kienet imsejħa l-kriżi taż-żejt</v>
      </c>
    </row>
    <row r="2119" ht="15.75" customHeight="1">
      <c r="A2119" s="2" t="s">
        <v>2119</v>
      </c>
      <c r="B2119" s="2" t="str">
        <f>IFERROR(__xludf.DUMMYFUNCTION("GOOGLETRANSLATE(A2119,""en"", ""mt"")"),"tnaqqas")</f>
        <v>tnaqqas</v>
      </c>
    </row>
    <row r="2120" ht="15.75" customHeight="1">
      <c r="A2120" s="2" t="s">
        <v>2120</v>
      </c>
      <c r="B2120" s="2" t="str">
        <f>IFERROR(__xludf.DUMMYFUNCTION("GOOGLETRANSLATE(A2120,""en"", ""mt"")"),"182 miljun tunnellata")</f>
        <v>182 miljun tunnellata</v>
      </c>
    </row>
    <row r="2121" ht="15.75" customHeight="1">
      <c r="A2121" s="2" t="s">
        <v>2121</v>
      </c>
      <c r="B2121" s="2" t="str">
        <f>IFERROR(__xludf.DUMMYFUNCTION("GOOGLETRANSLATE(A2121,""en"", ""mt"")"),"Turbina tal-fwar tikkonsisti minn rotor wieħed jew aktar (diski li jduru) immuntati fuq xaft tas-sewqan, li jalternaw ma 'serje ta' stators (diski statiċi) imwaħħlin mal-kisi tat-turbina. Ir-rotors għandhom arranġament ta 'xfafar simili għall-iskrun fit-t"&amp;"arf ta' barra. Steam jaġixxi fuq dawn ix-xfafar, u jipproduċi moviment li jdur. L-istator jikkonsisti f'serje simili, imma fissa, ta 'xfafar li jservu biex jidderieġu l-fluss tal-fwar fuq l-istadju tar-rotor li jmiss. Turbina tal-fwar ħafna drabi teżawrix"&amp;"xi ġo kondensatur tal-wiċċ li jipprovdi vakwu. L-istadji ta 'turbina tal-fwar huma tipikament irranġati biex jiġu estratti l-ħidma potenzjali massima minn veloċità speċifika u pressjoni tal-fwar, li tagħti lok għal serje ta' stadji ta 'pressjoni għolja u "&amp;"baxxa ta' daqs varjabbli. It-turbini huma effiċjenti biss jekk iduru b'veloċità relattivament għolja, għalhekk huma ġeneralment konnessi ma 'l-irkaptu ta' tnaqqis biex isuqu applikazzjonijiet ta 'veloċità baxxa, bħal skrun tal-vapur. Fil-maġġoranza l-kbir"&amp;"a ta 'stazzjonijiet kbar ta' ġenerazzjoni elettrika, it-turbini huma konnessi direttament ma 'ġeneraturi mingħajr l-irkaptu ta' tnaqqis. Veloċitajiet tipiċi huma 3600 rivoluzzjonijiet kull minuta (RPM) fl-Istati Uniti b'60 Hertz Power, 3000 rpm fl-Ewropa "&amp;"u pajjiżi oħra b'50 sistemi ta 'enerġija elettrika Hertz. F'applikazzjonijiet ta 'enerġija nukleari, it-turbini tipikament jimxu b'nofs dawn il-veloċitajiet, 1800 rpm u 1500 rpm. Rotor tat-turbina huwa biss kapaċi jipprovdi l-enerġija meta jdur f'direzzjo"&amp;"ni waħda. Għalhekk, stadju jew gearbox tar-rivers huwa ġeneralment meħtieġ meta l-qawwa tkun meħtieġa fid-direzzjoni opposta. [Ċitazzjoni meħtieġa]")</f>
        <v>Turbina tal-fwar tikkonsisti minn rotor wieħed jew aktar (diski li jduru) immuntati fuq xaft tas-sewqan, li jalternaw ma 'serje ta' stators (diski statiċi) imwaħħlin mal-kisi tat-turbina. Ir-rotors għandhom arranġament ta 'xfafar simili għall-iskrun fit-tarf ta' barra. Steam jaġixxi fuq dawn ix-xfafar, u jipproduċi moviment li jdur. L-istator jikkonsisti f'serje simili, imma fissa, ta 'xfafar li jservu biex jidderieġu l-fluss tal-fwar fuq l-istadju tar-rotor li jmiss. Turbina tal-fwar ħafna drabi teżawrixxi ġo kondensatur tal-wiċċ li jipprovdi vakwu. L-istadji ta 'turbina tal-fwar huma tipikament irranġati biex jiġu estratti l-ħidma potenzjali massima minn veloċità speċifika u pressjoni tal-fwar, li tagħti lok għal serje ta' stadji ta 'pressjoni għolja u baxxa ta' daqs varjabbli. It-turbini huma effiċjenti biss jekk iduru b'veloċità relattivament għolja, għalhekk huma ġeneralment konnessi ma 'l-irkaptu ta' tnaqqis biex isuqu applikazzjonijiet ta 'veloċità baxxa, bħal skrun tal-vapur. Fil-maġġoranza l-kbira ta 'stazzjonijiet kbar ta' ġenerazzjoni elettrika, it-turbini huma konnessi direttament ma 'ġeneraturi mingħajr l-irkaptu ta' tnaqqis. Veloċitajiet tipiċi huma 3600 rivoluzzjonijiet kull minuta (RPM) fl-Istati Uniti b'60 Hertz Power, 3000 rpm fl-Ewropa u pajjiżi oħra b'50 sistemi ta 'enerġija elettrika Hertz. F'applikazzjonijiet ta 'enerġija nukleari, it-turbini tipikament jimxu b'nofs dawn il-veloċitajiet, 1800 rpm u 1500 rpm. Rotor tat-turbina huwa biss kapaċi jipprovdi l-enerġija meta jdur f'direzzjoni waħda. Għalhekk, stadju jew gearbox tar-rivers huwa ġeneralment meħtieġ meta l-qawwa tkun meħtieġa fid-direzzjoni opposta. [Ċitazzjoni meħtieġa]</v>
      </c>
    </row>
    <row r="2122" ht="15.75" customHeight="1">
      <c r="A2122" s="2" t="s">
        <v>2122</v>
      </c>
      <c r="B2122" s="2" t="str">
        <f>IFERROR(__xludf.DUMMYFUNCTION("GOOGLETRANSLATE(A2122,""en"", ""mt"")"),"Il-komunikazzjoni tal-modalità tal-pakketti tista 'tiġi implimentata bi jew mingħajr nodi ta' trasferiment intermedju (swiċċijiet tal-pakketti jew routers). Il-pakketti normalment jintbagħtu minn nodi intermedji tan-netwerk b'mod sinkroniku bl-użu ta 'l-e"&amp;"wwel, l-ewwel buffering, iżda jistgħu jintbagħtu skond xi dixxiplina ta' skedar għal kju ġust, iffurmar tat-traffiku, jew għal kwalità ta 'servizz differenzjata jew garantita, bħalma huma l-kju ġust barmil li jnixxi. F'każ ta 'mezz fiżiku maqsum (bħal rad"&amp;"ju jew 10Base5), il-pakketti jistgħu jitwasslu skond skema ta' aċċess multipli.")</f>
        <v>Il-komunikazzjoni tal-modalità tal-pakketti tista 'tiġi implimentata bi jew mingħajr nodi ta' trasferiment intermedju (swiċċijiet tal-pakketti jew routers). Il-pakketti normalment jintbagħtu minn nodi intermedji tan-netwerk b'mod sinkroniku bl-użu ta 'l-ewwel, l-ewwel buffering, iżda jistgħu jintbagħtu skond xi dixxiplina ta' skedar għal kju ġust, iffurmar tat-traffiku, jew għal kwalità ta 'servizz differenzjata jew garantita, bħalma huma l-kju ġust barmil li jnixxi. F'każ ta 'mezz fiżiku maqsum (bħal radju jew 10Base5), il-pakketti jistgħu jitwasslu skond skema ta' aċċess multipli.</v>
      </c>
    </row>
    <row r="2123" ht="15.75" customHeight="1">
      <c r="A2123" s="2" t="s">
        <v>2123</v>
      </c>
      <c r="B2123" s="2" t="str">
        <f>IFERROR(__xludf.DUMMYFUNCTION("GOOGLETRANSLATE(A2123,""en"", ""mt"")"),"Fi Frar 2010, bi tweġiba għal kontroversji rigward talbiet fir-Raba 'Rapport ta' Valutazzjoni, ħames xjenzati dwar il-klima - l-awturi kollha li jikkontribwixxu jew iwasslu għall-IPCC - kitbu fil-ġurnal Nature li jitolbu bidliet fl-IPCC. Huma ssuġġerew fi"&amp;"rxa ta 'għażliet organizzattivi ġodda, mill-issikkar tal-għażla ta' awturi ewlenin u kontributuri, biex jarmuha favur korp permanenti żgħir, jew saħansitra jibdlu l-proċess kollu ta 'valutazzjoni tax-xjenza dwar il-klima f'wikipedia-IPCC moderat ""ħaj"". "&amp;"Rakkomandazzjonijiet oħra inkludew li l-bord jimpjega persunal full-time u jneħħi s-sorveljanza tal-gvern mill-proċessi tiegħu biex tevita interferenza politika.")</f>
        <v>Fi Frar 2010, bi tweġiba għal kontroversji rigward talbiet fir-Raba 'Rapport ta' Valutazzjoni, ħames xjenzati dwar il-klima - l-awturi kollha li jikkontribwixxu jew iwasslu għall-IPCC - kitbu fil-ġurnal Nature li jitolbu bidliet fl-IPCC. Huma ssuġġerew firxa ta 'għażliet organizzattivi ġodda, mill-issikkar tal-għażla ta' awturi ewlenin u kontributuri, biex jarmuha favur korp permanenti żgħir, jew saħansitra jibdlu l-proċess kollu ta 'valutazzjoni tax-xjenza dwar il-klima f'wikipedia-IPCC moderat "ħaj". Rakkomandazzjonijiet oħra inkludew li l-bord jimpjega persunal full-time u jneħħi s-sorveljanza tal-gvern mill-proċessi tiegħu biex tevita interferenza politika.</v>
      </c>
    </row>
    <row r="2124" ht="15.75" customHeight="1">
      <c r="A2124" s="2" t="s">
        <v>2124</v>
      </c>
      <c r="B2124" s="2" t="str">
        <f>IFERROR(__xludf.DUMMYFUNCTION("GOOGLETRANSLATE(A2124,""en"", ""mt"")"),"1368–1644")</f>
        <v>1368–1644</v>
      </c>
    </row>
    <row r="2125" ht="15.75" customHeight="1">
      <c r="A2125" s="2" t="s">
        <v>2125</v>
      </c>
      <c r="B2125" s="2" t="str">
        <f>IFERROR(__xludf.DUMMYFUNCTION("GOOGLETRANSLATE(A2125,""en"", ""mt"")"),"Rhine għolja")</f>
        <v>Rhine għolja</v>
      </c>
    </row>
    <row r="2126" ht="15.75" customHeight="1">
      <c r="A2126" s="2" t="s">
        <v>2126</v>
      </c>
      <c r="B2126" s="2" t="str">
        <f>IFERROR(__xludf.DUMMYFUNCTION("GOOGLETRANSLATE(A2126,""en"", ""mt"")"),"Xi jfittex l-approċċ tal-kapaċitajiet li jħares lejn il-faqar bħala forma ta '?")</f>
        <v>Xi jfittex l-approċċ tal-kapaċitajiet li jħares lejn il-faqar bħala forma ta '?</v>
      </c>
    </row>
    <row r="2127" ht="15.75" customHeight="1">
      <c r="A2127" s="2" t="s">
        <v>2127</v>
      </c>
      <c r="B2127" s="2" t="str">
        <f>IFERROR(__xludf.DUMMYFUNCTION("GOOGLETRANSLATE(A2127,""en"", ""mt"")"),"Bniedem u Kultura fi ġenna ffalsifikata")</f>
        <v>Bniedem u Kultura fi ġenna ffalsifikata</v>
      </c>
    </row>
    <row r="2128" ht="15.75" customHeight="1">
      <c r="A2128" s="2" t="s">
        <v>2128</v>
      </c>
      <c r="B2128" s="2" t="str">
        <f>IFERROR(__xludf.DUMMYFUNCTION("GOOGLETRANSLATE(A2128,""en"", ""mt"")"),"Għal xiex inhi l-Istati Uniti minħabba r-riċessjoni tal-2008?")</f>
        <v>Għal xiex inhi l-Istati Uniti minħabba r-riċessjoni tal-2008?</v>
      </c>
    </row>
    <row r="2129" ht="15.75" customHeight="1">
      <c r="A2129" s="2" t="s">
        <v>2129</v>
      </c>
      <c r="B2129" s="2" t="str">
        <f>IFERROR(__xludf.DUMMYFUNCTION("GOOGLETRANSLATE(A2129,""en"", ""mt"")"),"X'inhi waħda mir-raġunijiet li n-nazzjonijiet sottożviluppati rċevew għajnuna mid-dħul taż-żejt?")</f>
        <v>X'inhi waħda mir-raġunijiet li n-nazzjonijiet sottożviluppati rċevew għajnuna mid-dħul taż-żejt?</v>
      </c>
    </row>
    <row r="2130" ht="15.75" customHeight="1">
      <c r="A2130" s="2" t="s">
        <v>2130</v>
      </c>
      <c r="B2130" s="2" t="str">
        <f>IFERROR(__xludf.DUMMYFUNCTION("GOOGLETRANSLATE(A2130,""en"", ""mt"")"),"Il-Prinċipju ta ’Esklużjoni ta’ Pauli")</f>
        <v>Il-Prinċipju ta ’Esklużjoni ta’ Pauli</v>
      </c>
    </row>
    <row r="2131" ht="15.75" customHeight="1">
      <c r="A2131" s="2" t="s">
        <v>2131</v>
      </c>
      <c r="B2131" s="2" t="str">
        <f>IFERROR(__xludf.DUMMYFUNCTION("GOOGLETRANSLATE(A2131,""en"", ""mt"")"),"F'liema oqsma huma l-informatika tal-ispiżerija ppreparati biex taħdem?")</f>
        <v>F'liema oqsma huma l-informatika tal-ispiżerija ppreparati biex taħdem?</v>
      </c>
    </row>
    <row r="2132" ht="15.75" customHeight="1">
      <c r="A2132" s="2" t="s">
        <v>2132</v>
      </c>
      <c r="B2132" s="2" t="str">
        <f>IFERROR(__xludf.DUMMYFUNCTION("GOOGLETRANSLATE(A2132,""en"", ""mt"")"),"Sitt ta 'fuq")</f>
        <v>Sitt ta 'fuq</v>
      </c>
    </row>
    <row r="2133" ht="15.75" customHeight="1">
      <c r="A2133" s="2" t="s">
        <v>2133</v>
      </c>
      <c r="B2133" s="2" t="str">
        <f>IFERROR(__xludf.DUMMYFUNCTION("GOOGLETRANSLATE(A2133,""en"", ""mt"")"),"Il-fakultà ta ’Harvard tinkludi studjużi bħall-bijologu E. O. Wilson, ix-xjentist konjittiv Steven Pinker, il-fiżiċi Lisa Randall u Roy Glauber, kimiċi Elias Corey, Dudley R. Herschbach u George M. Whitesides, xjenzati tal-kompjuter Michael O. Rabin u Les"&amp;"lie Valiant, Shakespeare Scholar Stephblatt Stephen Greenblatt , Kittieb Louis Menand, Kritika Helen Vendler, Storiċi Henry Louis Gates, Jr u ​​Niall Ferguson, Ekonomisti Amartya Sen, N. Gregory Mankiw, Robert Barro, Stephen A. Marglin, Don M. Wilson III "&amp;"u Martin Feldstein, filosfi politiċi, Harvey Mansfield , Barunessa Shirley Williams u Michael Sandel, Midalja tal-Fields Mathematician Shing-Tung Yau, Xjentisti Politiċi Robert Putnam, Joseph Nye, u Stanley Hoffmann, studjuż / kompożituri Robert Levin u B"&amp;"ernard Rands, astrofiżiċista Alyssa A. Goodman, u l-istudjużi legali Alan Dershowiz u l-Lawrence Lessig.")</f>
        <v>Il-fakultà ta ’Harvard tinkludi studjużi bħall-bijologu E. O. Wilson, ix-xjentist konjittiv Steven Pinker, il-fiżiċi Lisa Randall u Roy Glauber, kimiċi Elias Corey, Dudley R. Herschbach u George M. Whitesides, xjenzati tal-kompjuter Michael O. Rabin u Leslie Valiant, Shakespeare Scholar Stephblatt Stephen Greenblatt , Kittieb Louis Menand, Kritika Helen Vendler, Storiċi Henry Louis Gates, Jr u ​​Niall Ferguson, Ekonomisti Amartya Sen, N. Gregory Mankiw, Robert Barro, Stephen A. Marglin, Don M. Wilson III u Martin Feldstein, filosfi politiċi, Harvey Mansfield , Barunessa Shirley Williams u Michael Sandel, Midalja tal-Fields Mathematician Shing-Tung Yau, Xjentisti Politiċi Robert Putnam, Joseph Nye, u Stanley Hoffmann, studjuż / kompożituri Robert Levin u Bernard Rands, astrofiżiċista Alyssa A. Goodman, u l-istudjużi legali Alan Dershowiz u l-Lawrence Lessig.</v>
      </c>
    </row>
    <row r="2134" ht="15.75" customHeight="1">
      <c r="A2134" s="2" t="s">
        <v>2134</v>
      </c>
      <c r="B2134" s="2" t="str">
        <f>IFERROR(__xludf.DUMMYFUNCTION("GOOGLETRANSLATE(A2134,""en"", ""mt"")"),"X’qassar ix-Xmara Rhine?")</f>
        <v>X’qassar ix-Xmara Rhine?</v>
      </c>
    </row>
    <row r="2135" ht="15.75" customHeight="1">
      <c r="A2135" s="2" t="s">
        <v>2135</v>
      </c>
      <c r="B2135" s="2" t="str">
        <f>IFERROR(__xludf.DUMMYFUNCTION("GOOGLETRANSLATE(A2135,""en"", ""mt"")"),"Arpanet")</f>
        <v>Arpanet</v>
      </c>
    </row>
    <row r="2136" ht="15.75" customHeight="1">
      <c r="A2136" s="2" t="s">
        <v>2136</v>
      </c>
      <c r="B2136" s="2" t="str">
        <f>IFERROR(__xludf.DUMMYFUNCTION("GOOGLETRANSLATE(A2136,""en"", ""mt"")"),"Mhux sorpriż, ir-rebħa tal-Mujahideen kontra s-Sovjetiċi fis-snin 80 naqset milli tipproduċi xiex?")</f>
        <v>Mhux sorpriż, ir-rebħa tal-Mujahideen kontra s-Sovjetiċi fis-snin 80 naqset milli tipproduċi xiex?</v>
      </c>
    </row>
    <row r="2137" ht="15.75" customHeight="1">
      <c r="A2137" s="2" t="s">
        <v>2137</v>
      </c>
      <c r="B2137" s="2" t="str">
        <f>IFERROR(__xludf.DUMMYFUNCTION("GOOGLETRANSLATE(A2137,""en"", ""mt"")"),"Il-gżejjer tal-Ħawajja huma magħmula kważi għal kollox?")</f>
        <v>Il-gżejjer tal-Ħawajja huma magħmula kważi għal kollox?</v>
      </c>
    </row>
    <row r="2138" ht="15.75" customHeight="1">
      <c r="A2138" s="2" t="s">
        <v>2138</v>
      </c>
      <c r="B2138" s="2" t="str">
        <f>IFERROR(__xludf.DUMMYFUNCTION("GOOGLETRANSLATE(A2138,""en"", ""mt"")"),"Hemm 13-il riżerva naturali f'Varsavja - fost oħrajn, Bielany Forest, Kabaty Woods, Lag Czerniaków. Madwar 15-il kilometru (9 mili) minn Varsavja, l-ambjent tax-Xmara Vistula jinbidel b'mod impressjonanti u għandu ekosistema perfettament ippreservata, b'a"&amp;"bitat ta 'annimali li jinkludi l-lontra, il-kastur u mijiet ta' speċi ta 'għasafar. Hemm ukoll diversi lagi f'Varsavja - l-aktar il-lagi ta 'Oxbow, bħall-Lag Czerniaków, il-lagi fil-parks łazienki jew wilanów, Lag Kamionek. Hemm ħafna lagi żgħar fil-parks"&amp;", iżda ftit biss huma permanenti - il-maġġoranza huma mbattla qabel ix-xitwa biex jitnaddfuhom minn pjanti u sedimenti.")</f>
        <v>Hemm 13-il riżerva naturali f'Varsavja - fost oħrajn, Bielany Forest, Kabaty Woods, Lag Czerniaków. Madwar 15-il kilometru (9 mili) minn Varsavja, l-ambjent tax-Xmara Vistula jinbidel b'mod impressjonanti u għandu ekosistema perfettament ippreservata, b'abitat ta 'annimali li jinkludi l-lontra, il-kastur u mijiet ta' speċi ta 'għasafar. Hemm ukoll diversi lagi f'Varsavja - l-aktar il-lagi ta 'Oxbow, bħall-Lag Czerniaków, il-lagi fil-parks łazienki jew wilanów, Lag Kamionek. Hemm ħafna lagi żgħar fil-parks, iżda ftit biss huma permanenti - il-maġġoranza huma mbattla qabel ix-xitwa biex jitnaddfuhom minn pjanti u sedimenti.</v>
      </c>
    </row>
    <row r="2139" ht="15.75" customHeight="1">
      <c r="A2139" s="2" t="s">
        <v>2139</v>
      </c>
      <c r="B2139" s="2" t="str">
        <f>IFERROR(__xludf.DUMMYFUNCTION("GOOGLETRANSLATE(A2139,""en"", ""mt"")"),"Irrispondi għall-mistoqsijiet tal-investigaturi")</f>
        <v>Irrispondi għall-mistoqsijiet tal-investigaturi</v>
      </c>
    </row>
    <row r="2140" ht="15.75" customHeight="1">
      <c r="A2140" s="2" t="s">
        <v>2140</v>
      </c>
      <c r="B2140" s="2" t="str">
        <f>IFERROR(__xludf.DUMMYFUNCTION("GOOGLETRANSLATE(A2140,""en"", ""mt"")"),"Liema espressjoni hija ġeneralment użata biex twassal limiti ta 'fuq jew t'isfel?")</f>
        <v>Liema espressjoni hija ġeneralment użata biex twassal limiti ta 'fuq jew t'isfel?</v>
      </c>
    </row>
    <row r="2141" ht="15.75" customHeight="1">
      <c r="A2141" s="2" t="s">
        <v>2141</v>
      </c>
      <c r="B2141" s="2" t="str">
        <f>IFERROR(__xludf.DUMMYFUNCTION("GOOGLETRANSLATE(A2141,""en"", ""mt"")"),"Fejn kien id-daqs medju tad-dar kien 3.21")</f>
        <v>Fejn kien id-daqs medju tad-dar kien 3.21</v>
      </c>
    </row>
    <row r="2142" ht="15.75" customHeight="1">
      <c r="A2142" s="2" t="s">
        <v>2142</v>
      </c>
      <c r="B2142" s="2" t="str">
        <f>IFERROR(__xludf.DUMMYFUNCTION("GOOGLETRANSLATE(A2142,""en"", ""mt"")"),"Il-libertà li tipprovdi servizzi taħt l-Artikolu 56 tat-TFEU tapplika għal min?")</f>
        <v>Il-libertà li tipprovdi servizzi taħt l-Artikolu 56 tat-TFEU tapplika għal min?</v>
      </c>
    </row>
    <row r="2143" ht="15.75" customHeight="1">
      <c r="A2143" s="2" t="s">
        <v>2143</v>
      </c>
      <c r="B2143" s="2" t="str">
        <f>IFERROR(__xludf.DUMMYFUNCTION("GOOGLETRANSLATE(A2143,""en"", ""mt"")"),"X'pożizzjoni kisbet il-kollettur tat-taxxa li arresta Thoreau?")</f>
        <v>X'pożizzjoni kisbet il-kollettur tat-taxxa li arresta Thoreau?</v>
      </c>
    </row>
    <row r="2144" ht="15.75" customHeight="1">
      <c r="A2144" s="2" t="s">
        <v>2144</v>
      </c>
      <c r="B2144" s="2" t="str">
        <f>IFERROR(__xludf.DUMMYFUNCTION("GOOGLETRANSLATE(A2144,""en"", ""mt"")"),"L-intestatura tal-pakkett hija twila")</f>
        <v>L-intestatura tal-pakkett hija twila</v>
      </c>
    </row>
    <row r="2145" ht="15.75" customHeight="1">
      <c r="A2145" s="2" t="s">
        <v>2145</v>
      </c>
      <c r="B2145" s="2" t="str">
        <f>IFERROR(__xludf.DUMMYFUNCTION("GOOGLETRANSLATE(A2145,""en"", ""mt"")"),"Kif isiru l-konnessjonijiet Austpac")</f>
        <v>Kif isiru l-konnessjonijiet Austpac</v>
      </c>
    </row>
    <row r="2146" ht="15.75" customHeight="1">
      <c r="A2146" s="2" t="s">
        <v>2146</v>
      </c>
      <c r="B2146" s="2" t="str">
        <f>IFERROR(__xludf.DUMMYFUNCTION("GOOGLETRANSLATE(A2146,""en"", ""mt"")"),"Wara t-Tieni Gwerra Dinjija, taħt reġim komunista mwaqqaf mis-Sovjetiċi li qed jirbħu, inbdiet il-kampanja ""Bricks for Varsav Belt, bħall-Palazz tal-Kultura u x-Xjenza, rigal mill-Unjoni Sovjetika. Il-belt reġgħet bdiet ir-rwol tagħha bħala l-kapitali ta"&amp;"l-Polonja u ċ-ċentru tal-ħajja politika u ekonomika tal-pajjiż. Ħafna mit-toroq storiċi, il-bini, u l-knejjes ġew restawrati għall-forma oriġinali tagħhom. Fl-1980, il-Belt il-Qadima Storika ta 'Varsavja kienet miktuba fil-lista tal-Wirt Dinji tal-UNESCO.")</f>
        <v>Wara t-Tieni Gwerra Dinjija, taħt reġim komunista mwaqqaf mis-Sovjetiċi li qed jirbħu, inbdiet il-kampanja "Bricks for Varsav Belt, bħall-Palazz tal-Kultura u x-Xjenza, rigal mill-Unjoni Sovjetika. Il-belt reġgħet bdiet ir-rwol tagħha bħala l-kapitali tal-Polonja u ċ-ċentru tal-ħajja politika u ekonomika tal-pajjiż. Ħafna mit-toroq storiċi, il-bini, u l-knejjes ġew restawrati għall-forma oriġinali tagħhom. Fl-1980, il-Belt il-Qadima Storika ta 'Varsavja kienet miktuba fil-lista tal-Wirt Dinji tal-UNESCO.</v>
      </c>
    </row>
    <row r="2147" ht="15.75" customHeight="1">
      <c r="A2147" s="2" t="s">
        <v>2147</v>
      </c>
      <c r="B2147" s="2" t="str">
        <f>IFERROR(__xludf.DUMMYFUNCTION("GOOGLETRANSLATE(A2147,""en"", ""mt"")"),"Valley Vistula")</f>
        <v>Valley Vistula</v>
      </c>
    </row>
    <row r="2148" ht="15.75" customHeight="1">
      <c r="A2148" s="2" t="s">
        <v>2148</v>
      </c>
      <c r="B2148" s="2" t="str">
        <f>IFERROR(__xludf.DUMMYFUNCTION("GOOGLETRANSLATE(A2148,""en"", ""mt"")"),"veduta differenti")</f>
        <v>veduta differenti</v>
      </c>
    </row>
    <row r="2149" ht="15.75" customHeight="1">
      <c r="A2149" s="2" t="s">
        <v>2149</v>
      </c>
      <c r="B2149" s="2" t="str">
        <f>IFERROR(__xludf.DUMMYFUNCTION("GOOGLETRANSLATE(A2149,""en"", ""mt"")"),"X’meċidiet Warner Sinback")</f>
        <v>X’meċidiet Warner Sinback</v>
      </c>
    </row>
    <row r="2150" ht="15.75" customHeight="1">
      <c r="A2150" s="2" t="s">
        <v>2150</v>
      </c>
      <c r="B2150" s="2" t="str">
        <f>IFERROR(__xludf.DUMMYFUNCTION("GOOGLETRANSLATE(A2150,""en"", ""mt"")"),"In-naħa tal-Lbiċ 'il bogħod ta' Fresno")</f>
        <v>In-naħa tal-Lbiċ 'il bogħod ta' Fresno</v>
      </c>
    </row>
    <row r="2151" ht="15.75" customHeight="1">
      <c r="A2151" s="2" t="s">
        <v>2151</v>
      </c>
      <c r="B2151" s="2" t="str">
        <f>IFERROR(__xludf.DUMMYFUNCTION("GOOGLETRANSLATE(A2151,""en"", ""mt"")"),"Jacksonville beda jsofri u jonqos wara liema avveniment dinji ewlieni?")</f>
        <v>Jacksonville beda jsofri u jonqos wara liema avveniment dinji ewlieni?</v>
      </c>
    </row>
    <row r="2152" ht="15.75" customHeight="1">
      <c r="A2152" s="2" t="s">
        <v>2152</v>
      </c>
      <c r="B2152" s="2" t="str">
        <f>IFERROR(__xludf.DUMMYFUNCTION("GOOGLETRANSLATE(A2152,""en"", ""mt"")"),"ctenophores u cnidarians")</f>
        <v>ctenophores u cnidarians</v>
      </c>
    </row>
    <row r="2153" ht="15.75" customHeight="1">
      <c r="A2153" s="2" t="s">
        <v>2153</v>
      </c>
      <c r="B2153" s="2" t="str">
        <f>IFERROR(__xludf.DUMMYFUNCTION("GOOGLETRANSLATE(A2153,""en"", ""mt"")"),"Għaliex il-qgħad jagħmel ħsara lit-tkabbir?")</f>
        <v>Għaliex il-qgħad jagħmel ħsara lit-tkabbir?</v>
      </c>
    </row>
    <row r="2154" ht="15.75" customHeight="1">
      <c r="A2154" s="2" t="s">
        <v>2154</v>
      </c>
      <c r="B2154" s="2" t="str">
        <f>IFERROR(__xludf.DUMMYFUNCTION("GOOGLETRANSLATE(A2154,""en"", ""mt"")"),"sitta")</f>
        <v>sitta</v>
      </c>
    </row>
    <row r="2155" ht="15.75" customHeight="1">
      <c r="A2155" s="2" t="s">
        <v>2155</v>
      </c>
      <c r="B2155" s="2" t="str">
        <f>IFERROR(__xludf.DUMMYFUNCTION("GOOGLETRANSLATE(A2155,""en"", ""mt"")"),"Waqt li studja l-liġi u l-filosofija fl-Ingilterra u l-Ġermanja, Iqbal sar membru tal-fergħa ta ’Londra tal-Lega Musulmana kollha tal-Indja. Huwa daħal lura f'Lahore fl-1908. Waqt li qassam il-ħin tiegħu bejn il-prattika tal-liġi u l-poeżija filosofika, I"&amp;"qbal kien baqa 'attiv fil-Lega Musulmana. Huwa ma appoġġjax l-involviment Indjan fl-Ewwel Gwerra Dinjija u baqa 'f'kuntatt mill-qrib ma' mexxejja politiċi Musulmani bħal Muhammad Ali Johar u Muhammad Ali Jinnah. Huwa kien kritiku tal-Kungress Nazzjonali I"&amp;"ndjan Indjan u sekularist mainstream. Is-seba 'lezzjonijiet Ingliżi ta' Iqbal ġew ippubblikati minn Oxford University Press fl-1934 fi ktieb intitolat Ir-Rikostruzzjoni tal-Ħsieb Reliġjuż fl-Iżlam. Dawn il-lezzjonijiet jgħixu dwar ir-rwol tal-Iżlam bħala "&amp;"reliġjon kif ukoll filosofija politika u legali fl-era moderna.")</f>
        <v>Waqt li studja l-liġi u l-filosofija fl-Ingilterra u l-Ġermanja, Iqbal sar membru tal-fergħa ta ’Londra tal-Lega Musulmana kollha tal-Indja. Huwa daħal lura f'Lahore fl-1908. Waqt li qassam il-ħin tiegħu bejn il-prattika tal-liġi u l-poeżija filosofika, Iqbal kien baqa 'attiv fil-Lega Musulmana. Huwa ma appoġġjax l-involviment Indjan fl-Ewwel Gwerra Dinjija u baqa 'f'kuntatt mill-qrib ma' mexxejja politiċi Musulmani bħal Muhammad Ali Johar u Muhammad Ali Jinnah. Huwa kien kritiku tal-Kungress Nazzjonali Indjan Indjan u sekularist mainstream. Is-seba 'lezzjonijiet Ingliżi ta' Iqbal ġew ippubblikati minn Oxford University Press fl-1934 fi ktieb intitolat Ir-Rikostruzzjoni tal-Ħsieb Reliġjuż fl-Iżlam. Dawn il-lezzjonijiet jgħixu dwar ir-rwol tal-Iżlam bħala reliġjon kif ukoll filosofija politika u legali fl-era moderna.</v>
      </c>
    </row>
    <row r="2156" ht="15.75" customHeight="1">
      <c r="A2156" s="2" t="s">
        <v>2156</v>
      </c>
      <c r="B2156" s="2" t="str">
        <f>IFERROR(__xludf.DUMMYFUNCTION("GOOGLETRANSLATE(A2156,""en"", ""mt"")"),"Min kiteb ""Walking in Fresno?""")</f>
        <v>Min kiteb "Walking in Fresno?"</v>
      </c>
    </row>
    <row r="2157" ht="15.75" customHeight="1">
      <c r="A2157" s="2" t="s">
        <v>2157</v>
      </c>
      <c r="B2157" s="2" t="str">
        <f>IFERROR(__xludf.DUMMYFUNCTION("GOOGLETRANSLATE(A2157,""en"", ""mt"")"),"Liema suġġett għandhom tipikament il-kontijiet privati?")</f>
        <v>Liema suġġett għandhom tipikament il-kontijiet privati?</v>
      </c>
    </row>
    <row r="2158" ht="15.75" customHeight="1">
      <c r="A2158" s="2" t="s">
        <v>2158</v>
      </c>
      <c r="B2158" s="2" t="str">
        <f>IFERROR(__xludf.DUMMYFUNCTION("GOOGLETRANSLATE(A2158,""en"", ""mt"")"),"Phagolysosome")</f>
        <v>Phagolysosome</v>
      </c>
    </row>
    <row r="2159" ht="15.75" customHeight="1">
      <c r="A2159" s="2" t="s">
        <v>2159</v>
      </c>
      <c r="B2159" s="2" t="str">
        <f>IFERROR(__xludf.DUMMYFUNCTION("GOOGLETRANSLATE(A2159,""en"", ""mt"")"),"Elettrokuzzjoni, Inċidenti tat-Trasport, u Trench Cave-Ins")</f>
        <v>Elettrokuzzjoni, Inċidenti tat-Trasport, u Trench Cave-Ins</v>
      </c>
    </row>
    <row r="2160" ht="15.75" customHeight="1">
      <c r="A2160" s="2" t="s">
        <v>2160</v>
      </c>
      <c r="B2160" s="2" t="str">
        <f>IFERROR(__xludf.DUMMYFUNCTION("GOOGLETRANSLATE(A2160,""en"", ""mt"")"),"X'se jkunu jistgħu jbassru x-xebbiet billi jżommu l-kuruni tagħhom 'l isfel mill-vistula?")</f>
        <v>X'se jkunu jistgħu jbassru x-xebbiet billi jżommu l-kuruni tagħhom 'l isfel mill-vistula?</v>
      </c>
    </row>
    <row r="2161" ht="15.75" customHeight="1">
      <c r="A2161" s="2" t="s">
        <v>2161</v>
      </c>
      <c r="B2161" s="2" t="str">
        <f>IFERROR(__xludf.DUMMYFUNCTION("GOOGLETRANSLATE(A2161,""en"", ""mt"")"),"L-invażjoni tal-USSR fl-Afganistan kienet biss sinjal wieħed ta 'nuqqas ta' sigurtà fir-reġjun, immarkat ukoll minn żieda fil-bejgħ tal-armi Amerikani, teknoloġija u preżenza militari diretta. L-Arabja Sawdita u l-Iran saru dejjem aktar dipendenti fuq l-a"&amp;"ssigurazzjoni tas-sigurtà Amerikana biex jimmaniġġjaw kemm theddid estern kif ukoll intern, inkluż żieda fil-kompetizzjoni militari bejniethom fuq żieda fid-dħul taż-żejt. Iż-żewġ stati kienu qed jikkompetu għall-preeminenza fil-Golf Persjan u jużaw dħul "&amp;"miżjud biex jiffinanzjaw militari estiżi. Sal-1979, ix-xiri tal-armi Sawdi mill-Istati Uniti qabeż ħames darbiet l-Iżrael. Motiv ieħor għax-xiri ta 'armi fuq skala kbira mill-Istati Uniti mill-Arabja Sawdija kien il-falliment tax-Shah matul Jannar 1979 bi"&amp;"ex iżomm il-kontroll tal-Iran, nazzjon Musulman mhux Għarbi iżda fil-biċċa l-kbira Shiite, li waqa' għal gvern Iżlatiku teokratiku taħt l-Ayatollah Ruhollah Khomeini wara r-Rivoluzzjoni Iranjana tal-1979. L-Arabja Sawdita, min-naħa l-oħra, hija nazzjon Għ"&amp;"arbi, fil-biċċa l-kbira Sunni Musulman immexxi minn monarkija kważi assolutista. Wara r-rivoluzzjoni Iranjana, is-Saudis kienu mġiegħla jittrattaw il-prospett ta 'destabilizzazzjoni interna permezz tar-radikaliżmu tal-Iżlamiżmu, realtà li malajr tiġi żvel"&amp;"ata fil-qbid tal-Moskea Gran Revolta fir-reġjun b'ħafna żejt al-Hasa fl-Arabja Sawdija f'Diċembru tal-istess sena. F'Novembru 2010, WikiLeaks nixxew kejbils diplomatiċi kunfidenzjali li għandhom x'jaqsmu ma 'l-Istati Uniti u l-alleati tagħha li żvelaw li "&amp;"r-re Sawdi tal-mibki Abdullah ħeġġeġ lill-Istati Uniti biex jattakkaw l-Iran sabiex jeqirdu l-programm potenzjali tiegħu ta' armi nukleari, li ddeskriva l-Iran bħala ""serp li għandhom jinqatgħu mingħajr ebda procrastination. """)</f>
        <v>L-invażjoni tal-USSR fl-Afganistan kienet biss sinjal wieħed ta 'nuqqas ta' sigurtà fir-reġjun, immarkat ukoll minn żieda fil-bejgħ tal-armi Amerikani, teknoloġija u preżenza militari diretta. L-Arabja Sawdita u l-Iran saru dejjem aktar dipendenti fuq l-assigurazzjoni tas-sigurtà Amerikana biex jimmaniġġjaw kemm theddid estern kif ukoll intern, inkluż żieda fil-kompetizzjoni militari bejniethom fuq żieda fid-dħul taż-żejt. Iż-żewġ stati kienu qed jikkompetu għall-preeminenza fil-Golf Persjan u jużaw dħul miżjud biex jiffinanzjaw militari estiżi. Sal-1979, ix-xiri tal-armi Sawdi mill-Istati Uniti qabeż ħames darbiet l-Iżrael. Motiv ieħor għax-xiri ta 'armi fuq skala kbira mill-Istati Uniti mill-Arabja Sawdija kien il-falliment tax-Shah matul Jannar 1979 biex iżomm il-kontroll tal-Iran, nazzjon Musulman mhux Għarbi iżda fil-biċċa l-kbira Shiite, li waqa' għal gvern Iżlatiku teokratiku taħt l-Ayatollah Ruhollah Khomeini wara r-Rivoluzzjoni Iranjana tal-1979. L-Arabja Sawdita, min-naħa l-oħra, hija nazzjon Għarbi, fil-biċċa l-kbira Sunni Musulman immexxi minn monarkija kważi assolutista. Wara r-rivoluzzjoni Iranjana, is-Saudis kienu mġiegħla jittrattaw il-prospett ta 'destabilizzazzjoni interna permezz tar-radikaliżmu tal-Iżlamiżmu, realtà li malajr tiġi żvelata fil-qbid tal-Moskea Gran Revolta fir-reġjun b'ħafna żejt al-Hasa fl-Arabja Sawdija f'Diċembru tal-istess sena. F'Novembru 2010, WikiLeaks nixxew kejbils diplomatiċi kunfidenzjali li għandhom x'jaqsmu ma 'l-Istati Uniti u l-alleati tagħha li żvelaw li r-re Sawdi tal-mibki Abdullah ħeġġeġ lill-Istati Uniti biex jattakkaw l-Iran sabiex jeqirdu l-programm potenzjali tiegħu ta' armi nukleari, li ddeskriva l-Iran bħala "serp li għandhom jinqatgħu mingħajr ebda procrastination. "</v>
      </c>
    </row>
    <row r="2162" ht="15.75" customHeight="1">
      <c r="A2162" s="2" t="s">
        <v>2162</v>
      </c>
      <c r="B2162" s="2" t="str">
        <f>IFERROR(__xludf.DUMMYFUNCTION("GOOGLETRANSLATE(A2162,""en"", ""mt"")"),"Kemm id-dikjarazzjoni bassret li t-temperatura globali tal-wiċċ tiżdied sal-2100?")</f>
        <v>Kemm id-dikjarazzjoni bassret li t-temperatura globali tal-wiċċ tiżdied sal-2100?</v>
      </c>
    </row>
    <row r="2163" ht="15.75" customHeight="1">
      <c r="A2163" s="2" t="s">
        <v>2163</v>
      </c>
      <c r="B2163" s="2" t="str">
        <f>IFERROR(__xludf.DUMMYFUNCTION("GOOGLETRANSLATE(A2163,""en"", ""mt"")"),"X'għandu definizzjonijiet ikkumplikati li jipprevjenu l-klassifikazzjoni f'qafas?")</f>
        <v>X'għandu definizzjonijiet ikkumplikati li jipprevjenu l-klassifikazzjoni f'qafas?</v>
      </c>
    </row>
    <row r="2164" ht="15.75" customHeight="1">
      <c r="A2164" s="2" t="s">
        <v>2164</v>
      </c>
      <c r="B2164" s="2" t="str">
        <f>IFERROR(__xludf.DUMMYFUNCTION("GOOGLETRANSLATE(A2164,""en"", ""mt"")"),"pajjiżi jew powiats")</f>
        <v>pajjiżi jew powiats</v>
      </c>
    </row>
    <row r="2165" ht="15.75" customHeight="1">
      <c r="A2165" s="2" t="s">
        <v>2165</v>
      </c>
      <c r="B2165" s="2" t="str">
        <f>IFERROR(__xludf.DUMMYFUNCTION("GOOGLETRANSLATE(A2165,""en"", ""mt"")"),"Cape of Good Hope")</f>
        <v>Cape of Good Hope</v>
      </c>
    </row>
    <row r="2166" ht="15.75" customHeight="1">
      <c r="A2166" s="2" t="s">
        <v>2166</v>
      </c>
      <c r="B2166" s="2" t="str">
        <f>IFERROR(__xludf.DUMMYFUNCTION("GOOGLETRANSLATE(A2166,""en"", ""mt"")"),"Xi jiddetermina l-valur marġinali miżjud minn attur ekonomiku?")</f>
        <v>Xi jiddetermina l-valur marġinali miżjud minn attur ekonomiku?</v>
      </c>
    </row>
    <row r="2167" ht="15.75" customHeight="1">
      <c r="A2167" s="2" t="s">
        <v>2167</v>
      </c>
      <c r="B2167" s="2" t="str">
        <f>IFERROR(__xludf.DUMMYFUNCTION("GOOGLETRANSLATE(A2167,""en"", ""mt"")"),"26 sekonda barra l-kalendarju modern Gregorjan")</f>
        <v>26 sekonda barra l-kalendarju modern Gregorjan</v>
      </c>
    </row>
    <row r="2168" ht="15.75" customHeight="1">
      <c r="A2168" s="2" t="s">
        <v>2168</v>
      </c>
      <c r="B2168" s="2" t="str">
        <f>IFERROR(__xludf.DUMMYFUNCTION("GOOGLETRANSLATE(A2168,""en"", ""mt"")"),"X'inhu l-isem tas-suppożizzjoni li hemm pari infiniti ta 'primes li d-differenza tagħhom hija 2?")</f>
        <v>X'inhu l-isem tas-suppożizzjoni li hemm pari infiniti ta 'primes li d-differenza tagħhom hija 2?</v>
      </c>
    </row>
    <row r="2169" ht="15.75" customHeight="1">
      <c r="A2169" s="2" t="s">
        <v>2169</v>
      </c>
      <c r="B2169" s="2" t="str">
        <f>IFERROR(__xludf.DUMMYFUNCTION("GOOGLETRANSLATE(A2169,""en"", ""mt"")"),"Liema deċiżjoni ta 'kodifikazzjoni teħtieġ li tittieħed sabiex tiddetermina definizzjoni eżatta tal-lingwa formali?")</f>
        <v>Liema deċiżjoni ta 'kodifikazzjoni teħtieġ li tittieħed sabiex tiddetermina definizzjoni eżatta tal-lingwa formali?</v>
      </c>
    </row>
    <row r="2170" ht="15.75" customHeight="1">
      <c r="A2170" s="2" t="s">
        <v>2170</v>
      </c>
      <c r="B2170" s="2" t="str">
        <f>IFERROR(__xludf.DUMMYFUNCTION("GOOGLETRANSLATE(A2170,""en"", ""mt"")"),"tfisser li tinvesti f'sorsi ġodda ta 'ħolqien ta' ġid")</f>
        <v>tfisser li tinvesti f'sorsi ġodda ta 'ħolqien ta' ġid</v>
      </c>
    </row>
    <row r="2171" ht="15.75" customHeight="1">
      <c r="A2171" s="2" t="s">
        <v>2171</v>
      </c>
      <c r="B2171" s="2" t="str">
        <f>IFERROR(__xludf.DUMMYFUNCTION("GOOGLETRANSLATE(A2171,""en"", ""mt"")"),"Id-Dinja trid tkun ferm ixjeħ milli suppost kien suppost")</f>
        <v>Id-Dinja trid tkun ferm ixjeħ milli suppost kien suppost</v>
      </c>
    </row>
    <row r="2172" ht="15.75" customHeight="1">
      <c r="A2172" s="2" t="s">
        <v>2172</v>
      </c>
      <c r="B2172" s="2" t="str">
        <f>IFERROR(__xludf.DUMMYFUNCTION("GOOGLETRANSLATE(A2172,""en"", ""mt"")"),"Matul il-Watersheds ta 'San Lawrenz u Mississippi")</f>
        <v>Matul il-Watersheds ta 'San Lawrenz u Mississippi</v>
      </c>
    </row>
    <row r="2173" ht="15.75" customHeight="1">
      <c r="A2173" s="2" t="s">
        <v>2173</v>
      </c>
      <c r="B2173" s="2" t="str">
        <f>IFERROR(__xludf.DUMMYFUNCTION("GOOGLETRANSLATE(A2173,""en"", ""mt"")"),"Alkoħol u nightclubs")</f>
        <v>Alkoħol u nightclubs</v>
      </c>
    </row>
    <row r="2174" ht="15.75" customHeight="1">
      <c r="A2174" s="2" t="s">
        <v>2174</v>
      </c>
      <c r="B2174" s="2" t="str">
        <f>IFERROR(__xludf.DUMMYFUNCTION("GOOGLETRANSLATE(A2174,""en"", ""mt"")"),"Għin lill-priża mikroskopika diretta lejn il-ħalq")</f>
        <v>Għin lill-priża mikroskopika diretta lejn il-ħalq</v>
      </c>
    </row>
    <row r="2175" ht="15.75" customHeight="1">
      <c r="A2175" s="2" t="s">
        <v>2175</v>
      </c>
      <c r="B2175" s="2" t="str">
        <f>IFERROR(__xludf.DUMMYFUNCTION("GOOGLETRANSLATE(A2175,""en"", ""mt"")"),"Ix-xejra moderna fid-disinn hija lejn l-integrazzjoni ta 'speċjalitajiet separati qabel, speċjalment fost ditti kbar. Fil-passat, periti, disinjaturi interni, inġiniera, żviluppaturi, maniġers tal-kostruzzjoni, u kuntratturi ġenerali kienu aktar probabbli"&amp;" li jkunu kumpaniji kompletament separati, anke fid-ditti akbar. Bħalissa, ditta li hija ""arkitettura"" jew ditta ta '""ġestjoni tal-kostruzzjoni"" jista' jkollha esperti mill-oqsma relatati kollha bħala impjegati, jew li jkollha kumpanija assoċjata li t"&amp;"ipprovdi kull ħila meħtieġa. Għalhekk, kull ditta bħal din tista 'toffri lilha nnifisha bħala ""shopping one-stop"" għal proġett ta' kostruzzjoni, mill-bidu sal-aħħar. Dan huwa nominat bħala kuntratt ta '""bini tad-disinn"" fejn il-kuntrattur jingħata spe"&amp;"ċifikazzjoni ta' prestazzjoni u għandu jwettaq il-proġett mid-disinn għall-kostruzzjoni, filwaqt li jeħel mal-ispeċifikazzjonijiet tal-prestazzjoni.")</f>
        <v>Ix-xejra moderna fid-disinn hija lejn l-integrazzjoni ta 'speċjalitajiet separati qabel, speċjalment fost ditti kbar. Fil-passat, periti, disinjaturi interni, inġiniera, żviluppaturi, maniġers tal-kostruzzjoni, u kuntratturi ġenerali kienu aktar probabbli li jkunu kumpaniji kompletament separati, anke fid-ditti akbar. Bħalissa, ditta li hija "arkitettura" jew ditta ta '"ġestjoni tal-kostruzzjoni" jista' jkollha esperti mill-oqsma relatati kollha bħala impjegati, jew li jkollha kumpanija assoċjata li tipprovdi kull ħila meħtieġa. Għalhekk, kull ditta bħal din tista 'toffri lilha nnifisha bħala "shopping one-stop" għal proġett ta' kostruzzjoni, mill-bidu sal-aħħar. Dan huwa nominat bħala kuntratt ta '"bini tad-disinn" fejn il-kuntrattur jingħata speċifikazzjoni ta' prestazzjoni u għandu jwettaq il-proġett mid-disinn għall-kostruzzjoni, filwaqt li jeħel mal-ispeċifikazzjonijiet tal-prestazzjoni.</v>
      </c>
    </row>
    <row r="2176" ht="15.75" customHeight="1">
      <c r="A2176" s="2" t="s">
        <v>2176</v>
      </c>
      <c r="B2176" s="2" t="str">
        <f>IFERROR(__xludf.DUMMYFUNCTION("GOOGLETRANSLATE(A2176,""en"", ""mt"")"),"Fulton Mall")</f>
        <v>Fulton Mall</v>
      </c>
    </row>
    <row r="2177" ht="15.75" customHeight="1">
      <c r="A2177" s="2" t="s">
        <v>2177</v>
      </c>
      <c r="B2177" s="2" t="str">
        <f>IFERROR(__xludf.DUMMYFUNCTION("GOOGLETRANSLATE(A2177,""en"", ""mt"")"),"L-Iskema ta 'Kontraenti tas-Servizz ta' l-Edukazzjoni tal-Gvern tipprovdi għajnuna finanzjarja għat-tagħlim u miżati oħra ta 'studenti tbiegħdu mill-iskejjel għolja pubbliċi minħabba tfur ta' l-iskrizzjoni. Is-suppliment tat-tariffa tat-tagħlim huwa mmira"&amp;"t għal studenti rreġistrati f'korsijiet ta 'prijorità fi programmi post-sekondarji u mhux tal-grad, inklużi korsijiet vokazzjonali u tekniċi. L-assistenza finanzjarja tal-istudenti tal-edukazzjoni privata hija disponibbli għal gradwati mhux privileġġjati,"&amp;" iżda li jistħoqqilhom l-iskola sekondarja, li jixtiequ jsegwu l-edukazzjoni tal-kulleġġ / teknika f'kulleġġi privati ​​u universitajiet.")</f>
        <v>L-Iskema ta 'Kontraenti tas-Servizz ta' l-Edukazzjoni tal-Gvern tipprovdi għajnuna finanzjarja għat-tagħlim u miżati oħra ta 'studenti tbiegħdu mill-iskejjel għolja pubbliċi minħabba tfur ta' l-iskrizzjoni. Is-suppliment tat-tariffa tat-tagħlim huwa mmirat għal studenti rreġistrati f'korsijiet ta 'prijorità fi programmi post-sekondarji u mhux tal-grad, inklużi korsijiet vokazzjonali u tekniċi. L-assistenza finanzjarja tal-istudenti tal-edukazzjoni privata hija disponibbli għal gradwati mhux privileġġjati, iżda li jistħoqqilhom l-iskola sekondarja, li jixtiequ jsegwu l-edukazzjoni tal-kulleġġ / teknika f'kulleġġi privati ​​u universitajiet.</v>
      </c>
    </row>
    <row r="2178" ht="15.75" customHeight="1">
      <c r="A2178" s="2" t="s">
        <v>2178</v>
      </c>
      <c r="B2178" s="2" t="str">
        <f>IFERROR(__xludf.DUMMYFUNCTION("GOOGLETRANSLATE(A2178,""en"", ""mt"")"),"L-ewwelnett, ċerti spejjeż huma diffiċli biex jiġu evitati u huma maqsuma minn kulħadd, bħall-ispejjeż tad-djar, il-pensjonijiet, l-edukazzjoni u l-kura tas-saħħa. Jekk l-istat ma jipprovdix dawn is-servizzi, allura għal dawk bi dħul aktar baxx, l-ispejje"&amp;"ż għandhom jiġu mislufa u ħafna drabi dawk bi dħul aktar baxx huma dawk li huma agħar mgħammra biex jimmaniġġjaw il-finanzi tagħhom. It-tieni, il-konsum ta 'aspirazzjoni jiddeskrivi l-proċess ta' dawk li jaqilgħu dħul medju li jaspiraw li jiksbu l-istanda"&amp;"rds ta 'għajxien li jgawdu l-kontropartijiet l-aktar sinjuri tagħhom u metodu wieħed biex tinkiseb din l-aspirazzjoni huwa billi tieħu d-dejn. Ir-riżultat iwassal għal inugwaljanza saħansitra akbar u instabilità ekonomika potenzjali.")</f>
        <v>L-ewwelnett, ċerti spejjeż huma diffiċli biex jiġu evitati u huma maqsuma minn kulħadd, bħall-ispejjeż tad-djar, il-pensjonijiet, l-edukazzjoni u l-kura tas-saħħa. Jekk l-istat ma jipprovdix dawn is-servizzi, allura għal dawk bi dħul aktar baxx, l-ispejjeż għandhom jiġu mislufa u ħafna drabi dawk bi dħul aktar baxx huma dawk li huma agħar mgħammra biex jimmaniġġjaw il-finanzi tagħhom. It-tieni, il-konsum ta 'aspirazzjoni jiddeskrivi l-proċess ta' dawk li jaqilgħu dħul medju li jaspiraw li jiksbu l-istandards ta 'għajxien li jgawdu l-kontropartijiet l-aktar sinjuri tagħhom u metodu wieħed biex tinkiseb din l-aspirazzjoni huwa billi tieħu d-dejn. Ir-riżultat iwassal għal inugwaljanza saħansitra akbar u instabilità ekonomika potenzjali.</v>
      </c>
    </row>
    <row r="2179" ht="15.75" customHeight="1">
      <c r="A2179" s="2" t="s">
        <v>2179</v>
      </c>
      <c r="B2179" s="2" t="str">
        <f>IFERROR(__xludf.DUMMYFUNCTION("GOOGLETRANSLATE(A2179,""en"", ""mt"")"),"Kuntrattur identifika ordnijiet ta 'bidla jew bidliet fil-proġett li żiedu l-ispejjeż")</f>
        <v>Kuntrattur identifika ordnijiet ta 'bidla jew bidliet fil-proġett li żiedu l-ispejjeż</v>
      </c>
    </row>
    <row r="2180" ht="15.75" customHeight="1">
      <c r="A2180" s="2" t="s">
        <v>2180</v>
      </c>
      <c r="B2180" s="2" t="str">
        <f>IFERROR(__xludf.DUMMYFUNCTION("GOOGLETRANSLATE(A2180,""en"", ""mt"")"),"programmi biex tidentifika, tirrekluta u tappoġġja żgħażagħ b'talent")</f>
        <v>programmi biex tidentifika, tirrekluta u tappoġġja żgħażagħ b'talent</v>
      </c>
    </row>
    <row r="2181" ht="15.75" customHeight="1">
      <c r="A2181" s="2" t="s">
        <v>2181</v>
      </c>
      <c r="B2181" s="2" t="str">
        <f>IFERROR(__xludf.DUMMYFUNCTION("GOOGLETRANSLATE(A2181,""en"", ""mt"")"),"Il-Programm tal-Ambjent tan-Nazzjonijiet Uniti (UNEP) u l-Organizzazzjoni Meteoroloġika Dinjija (WMO)")</f>
        <v>Il-Programm tal-Ambjent tan-Nazzjonijiet Uniti (UNEP) u l-Organizzazzjoni Meteoroloġika Dinjija (WMO)</v>
      </c>
    </row>
    <row r="2182" ht="15.75" customHeight="1">
      <c r="A2182" s="2" t="s">
        <v>2182</v>
      </c>
      <c r="B2182" s="2" t="str">
        <f>IFERROR(__xludf.DUMMYFUNCTION("GOOGLETRANSLATE(A2182,""en"", ""mt"")"),"Il-kolonisti Ingliżi ma jkunux siguri")</f>
        <v>Il-kolonisti Ingliżi ma jkunux siguri</v>
      </c>
    </row>
    <row r="2183" ht="15.75" customHeight="1">
      <c r="A2183" s="2" t="s">
        <v>2183</v>
      </c>
      <c r="B2183" s="2" t="str">
        <f>IFERROR(__xludf.DUMMYFUNCTION("GOOGLETRANSLATE(A2183,""en"", ""mt"")"),"Liema pajjiż kien l-aħħar li rċieva l-marda?")</f>
        <v>Liema pajjiż kien l-aħħar li rċieva l-marda?</v>
      </c>
    </row>
    <row r="2184" ht="15.75" customHeight="1">
      <c r="A2184" s="2" t="s">
        <v>2184</v>
      </c>
      <c r="B2184" s="2" t="str">
        <f>IFERROR(__xludf.DUMMYFUNCTION("GOOGLETRANSLATE(A2184,""en"", ""mt"")"),"Dak li japplika għall-istess mozzjoni tal-veloċità kostanti kif jagħmel għall-mistrieħ.")</f>
        <v>Dak li japplika għall-istess mozzjoni tal-veloċità kostanti kif jagħmel għall-mistrieħ.</v>
      </c>
    </row>
    <row r="2185" ht="15.75" customHeight="1">
      <c r="A2185" s="2" t="s">
        <v>2185</v>
      </c>
      <c r="B2185" s="2" t="str">
        <f>IFERROR(__xludf.DUMMYFUNCTION("GOOGLETRANSLATE(A2185,""en"", ""mt"")"),"Analiżi tal-Algoritmi u t-Teorija tal-Kompjuter")</f>
        <v>Analiżi tal-Algoritmi u t-Teorija tal-Kompjuter</v>
      </c>
    </row>
    <row r="2186" ht="15.75" customHeight="1">
      <c r="A2186" s="2" t="s">
        <v>2186</v>
      </c>
      <c r="B2186" s="2" t="str">
        <f>IFERROR(__xludf.DUMMYFUNCTION("GOOGLETRANSLATE(A2186,""en"", ""mt"")"),"X'jiġri l-oqbra iżolati, spazjati barra mill-vittmi tal-pesta?")</f>
        <v>X'jiġri l-oqbra iżolati, spazjati barra mill-vittmi tal-pesta?</v>
      </c>
    </row>
    <row r="2187" ht="15.75" customHeight="1">
      <c r="A2187" s="2" t="s">
        <v>2187</v>
      </c>
      <c r="B2187" s="2" t="str">
        <f>IFERROR(__xludf.DUMMYFUNCTION("GOOGLETRANSLATE(A2187,""en"", ""mt"")"),"Dejta ta 'inklużjoni ta' fluwidi")</f>
        <v>Dejta ta 'inklużjoni ta' fluwidi</v>
      </c>
    </row>
    <row r="2188" ht="15.75" customHeight="1">
      <c r="A2188" s="2" t="s">
        <v>2188</v>
      </c>
      <c r="B2188" s="2" t="str">
        <f>IFERROR(__xludf.DUMMYFUNCTION("GOOGLETRANSLATE(A2188,""en"", ""mt"")"),"Minn April 2014, hemm 88 skejjel privati ​​fi New Zealand, li jħejju għal madwar 28,000 student jew 3.7% tal-popolazzjoni tal-istudenti kollha. In-numri ta 'skejjel privati ​​ilhom jonqsu minn nofs is-snin sebgħin bħala riżultat ta' ħafna skejjel privati "&amp;"​​li jagħżlu li jsiru skejjel integrati fl-istat, l-aktar dovuti minn diffikultajiet finanzjarji li joħorġu minn bidliet fin-numri tal-istudenti u / jew fl-ekonomija. L-iskejjel integrati fl-istat iżommu l-karattru speċjali tal-iskola privata tagħhom u ji"&amp;"rċievu fondi tal-istat biex ikollhom joperaw bħal skola tal-istat, p.e. Għandhom jgħallmu l-kurrikulu tal-istat, iridu jimpjegaw għalliema rreġistrati, u ma jistgħux jiċċarġjaw miżati ta 'tagħlim (jistgħu jiċċarġjaw ""drittijiet ta' attendenza"" għaż-żamm"&amp;"a fuq l-art u l-bini tal-iskola li għadha privata). L-akbar tnaqqis fin-numri tal-iskejjel privati ​​seħħ bejn l-1979 u l-1984, meta s-sistema skolastika Kattolika ta 'dak iż-żmien kienet integrata. Bħala riżultat, skejjel privati ​​fi New Zealand issa hu"&amp;"ma fil-biċċa l-kbira ristretti għall-ikbar bliet (Auckland, Hamilton, Wellington u Christchurch) u swieq niċċa.")</f>
        <v>Minn April 2014, hemm 88 skejjel privati ​​fi New Zealand, li jħejju għal madwar 28,000 student jew 3.7% tal-popolazzjoni tal-istudenti kollha. In-numri ta 'skejjel privati ​​ilhom jonqsu minn nofs is-snin sebgħin bħala riżultat ta' ħafna skejjel privati ​​li jagħżlu li jsiru skejjel integrati fl-istat, l-aktar dovuti minn diffikultajiet finanzjarji li joħorġu minn bidliet fin-numri tal-istudenti u / jew fl-ekonomija. L-iskejjel integrati fl-istat iżommu l-karattru speċjali tal-iskola privata tagħhom u jirċievu fondi tal-istat biex ikollhom joperaw bħal skola tal-istat, p.e. Għandhom jgħallmu l-kurrikulu tal-istat, iridu jimpjegaw għalliema rreġistrati, u ma jistgħux jiċċarġjaw miżati ta 'tagħlim (jistgħu jiċċarġjaw "drittijiet ta' attendenza" għaż-żamma fuq l-art u l-bini tal-iskola li għadha privata). L-akbar tnaqqis fin-numri tal-iskejjel privati ​​seħħ bejn l-1979 u l-1984, meta s-sistema skolastika Kattolika ta 'dak iż-żmien kienet integrata. Bħala riżultat, skejjel privati ​​fi New Zealand issa huma fil-biċċa l-kbira ristretti għall-ikbar bliet (Auckland, Hamilton, Wellington u Christchurch) u swieq niċċa.</v>
      </c>
    </row>
    <row r="2189" ht="15.75" customHeight="1">
      <c r="A2189" s="2" t="s">
        <v>2189</v>
      </c>
      <c r="B2189" s="2" t="str">
        <f>IFERROR(__xludf.DUMMYFUNCTION("GOOGLETRANSLATE(A2189,""en"", ""mt"")"),"Fejn għadu veru x-xejra ta 'ħajja ta' dħul ogħla?")</f>
        <v>Fejn għadu veru x-xejra ta 'ħajja ta' dħul ogħla?</v>
      </c>
    </row>
    <row r="2190" ht="15.75" customHeight="1">
      <c r="A2190" s="2" t="s">
        <v>2190</v>
      </c>
      <c r="B2190" s="2" t="str">
        <f>IFERROR(__xludf.DUMMYFUNCTION("GOOGLETRANSLATE(A2190,""en"", ""mt"")"),"L-immigranti waslu mid-dinja kollha biex ifittxu d-deheb, speċjalment mill-Irlanda u ċ-Ċina. Ħafna minaturi Ċiniżi ħadmu fir-Rabat, u l-wirt tagħhom huwa partikolarment qawwi f'Bendigo u l-inħawi tiegħu. Għalkemm kien hemm xi razziżmu dirett lejhom, ma ki"&amp;"enx hemm il-livell ta 'vjolenza anti-Ċiniża li kienet tidher fl-irvellijiet ċatti tal-ħaruf fi New South Wales. Madankollu, kien hemm irvellijiet fil-Wied ta 'Buckland qrib Bright fl-1857. Il-kundizzjonijiet fuq l-għelieqi tad-deheb kienu skomdi u mhux sa"&amp;"nitarji; Tfaqqigħ ta 'tifojde fil-Wied ta' Buckland fl-1854 qatel aktar minn 1,000 minatur.")</f>
        <v>L-immigranti waslu mid-dinja kollha biex ifittxu d-deheb, speċjalment mill-Irlanda u ċ-Ċina. Ħafna minaturi Ċiniżi ħadmu fir-Rabat, u l-wirt tagħhom huwa partikolarment qawwi f'Bendigo u l-inħawi tiegħu. Għalkemm kien hemm xi razziżmu dirett lejhom, ma kienx hemm il-livell ta 'vjolenza anti-Ċiniża li kienet tidher fl-irvellijiet ċatti tal-ħaruf fi New South Wales. Madankollu, kien hemm irvellijiet fil-Wied ta 'Buckland qrib Bright fl-1857. Il-kundizzjonijiet fuq l-għelieqi tad-deheb kienu skomdi u mhux sanitarji; Tfaqqigħ ta 'tifojde fil-Wied ta' Buckland fl-1854 qatel aktar minn 1,000 minatur.</v>
      </c>
    </row>
    <row r="2191" ht="15.75" customHeight="1">
      <c r="A2191" s="2" t="s">
        <v>2191</v>
      </c>
      <c r="B2191" s="2" t="str">
        <f>IFERROR(__xludf.DUMMYFUNCTION("GOOGLETRANSLATE(A2191,""en"", ""mt"")"),"bejn AD 0–1250")</f>
        <v>bejn AD 0–1250</v>
      </c>
    </row>
    <row r="2192" ht="15.75" customHeight="1">
      <c r="A2192" s="2" t="s">
        <v>2192</v>
      </c>
      <c r="B2192" s="2" t="str">
        <f>IFERROR(__xludf.DUMMYFUNCTION("GOOGLETRANSLATE(A2192,""en"", ""mt"")"),"Rebels Red Turban")</f>
        <v>Rebels Red Turban</v>
      </c>
    </row>
    <row r="2193" ht="15.75" customHeight="1">
      <c r="A2193" s="2" t="s">
        <v>2193</v>
      </c>
      <c r="B2193" s="2" t="str">
        <f>IFERROR(__xludf.DUMMYFUNCTION("GOOGLETRANSLATE(A2193,""en"", ""mt"")"),"Meta patoġen jittiekel minn fagoċita jinqabad f'liema vesicle?")</f>
        <v>Meta patoġen jittiekel minn fagoċita jinqabad f'liema vesicle?</v>
      </c>
    </row>
    <row r="2194" ht="15.75" customHeight="1">
      <c r="A2194" s="2" t="s">
        <v>2194</v>
      </c>
      <c r="B2194" s="2" t="str">
        <f>IFERROR(__xludf.DUMMYFUNCTION("GOOGLETRANSLATE(A2194,""en"", ""mt"")"),"Politiku")</f>
        <v>Politiku</v>
      </c>
    </row>
    <row r="2195" ht="15.75" customHeight="1">
      <c r="A2195" s="2" t="s">
        <v>2195</v>
      </c>
      <c r="B2195" s="2" t="str">
        <f>IFERROR(__xludf.DUMMYFUNCTION("GOOGLETRANSLATE(A2195,""en"", ""mt"")"),"X'")</f>
        <v>X'</v>
      </c>
    </row>
    <row r="2196" ht="15.75" customHeight="1">
      <c r="A2196" s="2" t="s">
        <v>2196</v>
      </c>
      <c r="B2196" s="2" t="str">
        <f>IFERROR(__xludf.DUMMYFUNCTION("GOOGLETRANSLATE(A2196,""en"", ""mt"")"),"Liema kienu l-istrutturi mibnija mis-Sovjetiċi tipiċi?")</f>
        <v>Liema kienu l-istrutturi mibnija mis-Sovjetiċi tipiċi?</v>
      </c>
    </row>
    <row r="2197" ht="15.75" customHeight="1">
      <c r="A2197" s="2" t="s">
        <v>2197</v>
      </c>
      <c r="B2197" s="2" t="str">
        <f>IFERROR(__xludf.DUMMYFUNCTION("GOOGLETRANSLATE(A2197,""en"", ""mt"")"),"X'inhi l-għażla konkreta tipikament assunta mill-iktar teoremi teoretiċi tal-kumplessità?")</f>
        <v>X'inhi l-għażla konkreta tipikament assunta mill-iktar teoremi teoretiċi tal-kumplessità?</v>
      </c>
    </row>
    <row r="2198" ht="15.75" customHeight="1">
      <c r="A2198" s="2" t="s">
        <v>2198</v>
      </c>
      <c r="B2198" s="2" t="str">
        <f>IFERROR(__xludf.DUMMYFUNCTION("GOOGLETRANSLATE(A2198,""en"", ""mt"")"),"X'tip ta 'sforz ta' konservazzjoni qed jikseb attenzjoni fl-Amażonja?")</f>
        <v>X'tip ta 'sforz ta' konservazzjoni qed jikseb attenzjoni fl-Amażonja?</v>
      </c>
    </row>
    <row r="2199" ht="15.75" customHeight="1">
      <c r="A2199" s="2" t="s">
        <v>2199</v>
      </c>
      <c r="B2199" s="2" t="str">
        <f>IFERROR(__xludf.DUMMYFUNCTION("GOOGLETRANSLATE(A2199,""en"", ""mt"")"),"Il-fagoċitosi hija karatteristika importanti tal-immunità innata ċellulari mwettqa minn ċelloli msejħa 'fagoċiti' li jaħkmu, jew jieklu, patoġeni jew partiċelli. Il-fagoċiti ġeneralment jgħassu l-ġisem li jfittex patoġeni, iżda jistgħu jissejħu għal posti"&amp;"jiet speċifiċi minn ċitokini. Ladarba patoġen ikun ġie maħkum minn fagoċita, isir maqbud fi vesikula intraċellulari msejħa fagożoma, li sussegwentement tgħaqqad ma 'vesikula oħra msejħa lisosoma biex tifforma fagolysosome. Il-patoġen jinqatel bl-attività "&amp;"ta 'enzimi diġestivi jew wara tifqigħ respiratorju li jirrilaxxa radikali ħielsa fil-fagolysosome. Il-fagoċitosi evolviet bħala mezz biex takkwista nutrijenti, iżda dan ir-rwol ġie estiż fil-fagoċiti biex jinkludi l-ħakma ta 'patoġeni bħala mekkaniżmu ta'"&amp;" difiża. Il-fagoċitosi probabbilment tirrappreżenta l-eqdem forma ta 'difiża ospitanti, peress li l-fagoċiti ġew identifikati kemm f'annimali vertebrati kif ukoll invertebrati.")</f>
        <v>Il-fagoċitosi hija karatteristika importanti tal-immunità innata ċellulari mwettqa minn ċelloli msejħa 'fagoċiti' li jaħkmu, jew jieklu, patoġeni jew partiċelli. Il-fagoċiti ġeneralment jgħassu l-ġisem li jfittex patoġeni, iżda jistgħu jissejħu għal postijiet speċifiċi minn ċitokini. Ladarba patoġen ikun ġie maħkum minn fagoċita, isir maqbud fi vesikula intraċellulari msejħa fagożoma, li sussegwentement tgħaqqad ma 'vesikula oħra msejħa lisosoma biex tifforma fagolysosome. Il-patoġen jinqatel bl-attività ta 'enzimi diġestivi jew wara tifqigħ respiratorju li jirrilaxxa radikali ħielsa fil-fagolysosome. Il-fagoċitosi evolviet bħala mezz biex takkwista nutrijenti, iżda dan ir-rwol ġie estiż fil-fagoċiti biex jinkludi l-ħakma ta 'patoġeni bħala mekkaniżmu ta' difiża. Il-fagoċitosi probabbilment tirrappreżenta l-eqdem forma ta 'difiża ospitanti, peress li l-fagoċiti ġew identifikati kemm f'annimali vertebrati kif ukoll invertebrati.</v>
      </c>
    </row>
    <row r="2200" ht="15.75" customHeight="1">
      <c r="A2200" s="2" t="s">
        <v>2200</v>
      </c>
      <c r="B2200" s="2" t="str">
        <f>IFERROR(__xludf.DUMMYFUNCTION("GOOGLETRANSLATE(A2200,""en"", ""mt"")"),"Il-fluwidu tax-xogħol f'ċiklu ta 'Rankine jista' jopera bħala sistema ta 'linja magħluqa, fejn il-fluwidu tax-xogħol jiġi riċiklat kontinwament, jew jista' jkun sistema ""linja miftuħa"", fejn il-fwar tal-egżost jiġi rilaxxat direttament fl-atmosfera, u s"&amp;"ors separat ta 'ilma It-tmigħ tal-bojler huwa fornut. Normalment l-ilma huwa l-fluwidu tal-għażla minħabba l-proprjetajiet favorevoli tiegħu, bħal kimika mhux tossika u mhux reattiva, abbundanza, bi prezz baxx, u l-proprjetajiet termodinamiċi tagħha. Merk"&amp;"urju huwa l-fluwidu tax-xogħol fit-turbina tal-fwar tal-merkurju. Idrokarburi ta 'togħlija baxxa jistgħu jintużaw f'ċiklu binarju.")</f>
        <v>Il-fluwidu tax-xogħol f'ċiklu ta 'Rankine jista' jopera bħala sistema ta 'linja magħluqa, fejn il-fluwidu tax-xogħol jiġi riċiklat kontinwament, jew jista' jkun sistema "linja miftuħa", fejn il-fwar tal-egżost jiġi rilaxxat direttament fl-atmosfera, u sors separat ta 'ilma It-tmigħ tal-bojler huwa fornut. Normalment l-ilma huwa l-fluwidu tal-għażla minħabba l-proprjetajiet favorevoli tiegħu, bħal kimika mhux tossika u mhux reattiva, abbundanza, bi prezz baxx, u l-proprjetajiet termodinamiċi tagħha. Merkurju huwa l-fluwidu tax-xogħol fit-turbina tal-fwar tal-merkurju. Idrokarburi ta 'togħlija baxxa jistgħu jintużaw f'ċiklu binarju.</v>
      </c>
    </row>
    <row r="2201" ht="15.75" customHeight="1">
      <c r="A2201" s="2" t="s">
        <v>2201</v>
      </c>
      <c r="B2201" s="2" t="str">
        <f>IFERROR(__xludf.DUMMYFUNCTION("GOOGLETRANSLATE(A2201,""en"", ""mt"")"),"Fl-1529, Varsavja għall-ewwel darba saret is-sede tal-Ġeneral SEJM, permanenti mill-1569. Fl-1573 il-belt tat isimha lill-Konfederazzjoni ta 'Varsavja, li tistabbilixxi formalment il-libertà reliġjuża fil-Commonwealth Pollakka-Litwana. Minħabba l-lok ċent"&amp;"rali tiegħu bejn il-kapitali tal-Commonwealth ta 'Kraków u Vilnius, Varsavja saret il-kapitali tal-Commonwealth u l-kuruna tar-renju tal-Polonja meta r-Re Sigismund III Vasa ressaq il-qorti tiegħu minn Kraków għal Varsavja fl-1596. Fis-snin li ġejjin il-b"&amp;"elt estiż lejn is-subborgi. Diversi distretti indipendenti privati ​​ġew stabbiliti, il-propjetà ta 'aristokratiċi u l-gentry, li kienu maħkuma mil-liġijiet tagħhom stess. Tliet darbiet bejn l-1655-1658 il-belt kienet taħt l-assedju u tliet darbiet ittieħ"&amp;"det u mħabbra mill-forzi Żvediżi, Brandenburgian u Transilvanja.")</f>
        <v>Fl-1529, Varsavja għall-ewwel darba saret is-sede tal-Ġeneral SEJM, permanenti mill-1569. Fl-1573 il-belt tat isimha lill-Konfederazzjoni ta 'Varsavja, li tistabbilixxi formalment il-libertà reliġjuża fil-Commonwealth Pollakka-Litwana. Minħabba l-lok ċentrali tiegħu bejn il-kapitali tal-Commonwealth ta 'Kraków u Vilnius, Varsavja saret il-kapitali tal-Commonwealth u l-kuruna tar-renju tal-Polonja meta r-Re Sigismund III Vasa ressaq il-qorti tiegħu minn Kraków għal Varsavja fl-1596. Fis-snin li ġejjin il-belt estiż lejn is-subborgi. Diversi distretti indipendenti privati ​​ġew stabbiliti, il-propjetà ta 'aristokratiċi u l-gentry, li kienu maħkuma mil-liġijiet tagħhom stess. Tliet darbiet bejn l-1655-1658 il-belt kienet taħt l-assedju u tliet darbiet ittieħdet u mħabbra mill-forzi Żvediżi, Brandenburgian u Transilvanja.</v>
      </c>
    </row>
    <row r="2202" ht="15.75" customHeight="1">
      <c r="A2202" s="2" t="s">
        <v>2202</v>
      </c>
      <c r="B2202" s="2" t="str">
        <f>IFERROR(__xludf.DUMMYFUNCTION("GOOGLETRANSLATE(A2202,""en"", ""mt"")"),"Fit-teorija taċ-ċirku, il-kunċett ta 'numru ġeneralment jinbidel ma' dak ta 'ideal. L-ideali ewlenin, li jiġġeneralizzaw l-elementi ewlenin fis-sens li l-ideali prinċipali ġġenerat minn element ewlieni huwa ideali ewlieni, huma għodda importanti u oġġett "&amp;"ta 'studju fl-alġebra kommutattiva, teorija ta' numri alġebriċi u ġeometrija alġebrika. L-ideali ewlenin taċ-ċirku ta 'numri interi huma l-ideali (0), (2), (3), (5), (7), (11), ... it-teorema fundamentali ta' l-aritmetika tiġġeneralizza għat-teorema Laske"&amp;"r-Noether, li Jesprimi kull ideali f'ċirku kommutattiv Noeterjan bħala intersezzjoni ta 'ideali primarji, li huma l-ġeneralizzazzjonijiet xierqa tal-poteri ewlenin.")</f>
        <v>Fit-teorija taċ-ċirku, il-kunċett ta 'numru ġeneralment jinbidel ma' dak ta 'ideal. L-ideali ewlenin, li jiġġeneralizzaw l-elementi ewlenin fis-sens li l-ideali prinċipali ġġenerat minn element ewlieni huwa ideali ewlieni, huma għodda importanti u oġġett ta 'studju fl-alġebra kommutattiva, teorija ta' numri alġebriċi u ġeometrija alġebrika. L-ideali ewlenin taċ-ċirku ta 'numri interi huma l-ideali (0), (2), (3), (5), (7), (11), ... it-teorema fundamentali ta' l-aritmetika tiġġeneralizza għat-teorema Lasker-Noether, li Jesprimi kull ideali f'ċirku kommutattiv Noeterjan bħala intersezzjoni ta 'ideali primarji, li huma l-ġeneralizzazzjonijiet xierqa tal-poteri ewlenin.</v>
      </c>
    </row>
    <row r="2203" ht="15.75" customHeight="1">
      <c r="A2203" s="2" t="s">
        <v>2203</v>
      </c>
      <c r="B2203" s="2" t="str">
        <f>IFERROR(__xludf.DUMMYFUNCTION("GOOGLETRANSLATE(A2203,""en"", ""mt"")"),"Aqta 'l-Frontier Franċiż Fortizzi Aktar lejn il-Punent u n-Nofsinhar")</f>
        <v>Aqta 'l-Frontier Franċiż Fortizzi Aktar lejn il-Punent u n-Nofsinhar</v>
      </c>
    </row>
    <row r="2204" ht="15.75" customHeight="1">
      <c r="A2204" s="2" t="s">
        <v>2204</v>
      </c>
      <c r="B2204" s="2" t="str">
        <f>IFERROR(__xludf.DUMMYFUNCTION("GOOGLETRANSLATE(A2204,""en"", ""mt"")"),"Involvi fi djalogu morali")</f>
        <v>Involvi fi djalogu morali</v>
      </c>
    </row>
    <row r="2205" ht="15.75" customHeight="1">
      <c r="A2205" s="2" t="s">
        <v>2205</v>
      </c>
      <c r="B2205" s="2" t="str">
        <f>IFERROR(__xludf.DUMMYFUNCTION("GOOGLETRANSLATE(A2205,""en"", ""mt"")"),"Oqsma relatati mill-qrib fix-xjenza teoretika tal-kompjuter huma analiżi tal-algoritmi u t-teorija tal-komputabbiltà. Distinzjoni ewlenija bejn l-analiżi tal-algoritmi u t-teorija tal-kumplessità tal-komputazzjoni hija li l-ewwel hija ddedikata għall-anal"&amp;"iżi tal-ammont ta 'riżorsi meħtieġa minn algoritmu partikolari biex issolvi problema, filwaqt li dan tal-aħħar jistaqsi mistoqsija aktar ġenerali dwar l-algoritmi kollha possibbli li jistgħu jintużaw Issolvi l-istess problema. B'mod iktar preċiż, jipprova"&amp;" jikklassifika problemi li jistgħu jew ma jistgħux jissolvew b'riżorsi ristretti kif xieraq. Min-naħa tiegħu, l-impożizzjoni ta 'restrizzjonijiet fuq ir-riżorsi disponibbli huwa dak li jiddistingwi l-kumplessità tal-komputazzjoni mit-teorija tal-komputabb"&amp;"iltà: din l-aħħar teorija tistaqsi x'tip ta' problemi jistgħu, fil-prinċipju, jiġu solvuti b'mod algoritmiku.")</f>
        <v>Oqsma relatati mill-qrib fix-xjenza teoretika tal-kompjuter huma analiżi tal-algoritmi u t-teorija tal-komputabbiltà. Distinzjoni ewlenija bejn l-analiżi tal-algoritmi u t-teorija tal-kumplessità tal-komputazzjoni hija li l-ewwel hija ddedikata għall-analiżi tal-ammont ta 'riżorsi meħtieġa minn algoritmu partikolari biex issolvi problema, filwaqt li dan tal-aħħar jistaqsi mistoqsija aktar ġenerali dwar l-algoritmi kollha possibbli li jistgħu jintużaw Issolvi l-istess problema. B'mod iktar preċiż, jipprova jikklassifika problemi li jistgħu jew ma jistgħux jissolvew b'riżorsi ristretti kif xieraq. Min-naħa tiegħu, l-impożizzjoni ta 'restrizzjonijiet fuq ir-riżorsi disponibbli huwa dak li jiddistingwi l-kumplessità tal-komputazzjoni mit-teorija tal-komputabbiltà: din l-aħħar teorija tistaqsi x'tip ta' problemi jistgħu, fil-prinċipju, jiġu solvuti b'mod algoritmiku.</v>
      </c>
    </row>
    <row r="2206" ht="15.75" customHeight="1">
      <c r="A2206" s="2" t="s">
        <v>2206</v>
      </c>
      <c r="B2206" s="2" t="str">
        <f>IFERROR(__xludf.DUMMYFUNCTION("GOOGLETRANSLATE(A2206,""en"", ""mt"")"),"Gass diatomiku tal-ossiġnu")</f>
        <v>Gass diatomiku tal-ossiġnu</v>
      </c>
    </row>
    <row r="2207" ht="15.75" customHeight="1">
      <c r="A2207" s="2" t="s">
        <v>2207</v>
      </c>
      <c r="B2207" s="2" t="str">
        <f>IFERROR(__xludf.DUMMYFUNCTION("GOOGLETRANSLATE(A2207,""en"", ""mt"")"),"L-Università ta 'Chicago kienet is-sit ta' xi esperimenti u movimenti akkademiċi importanti. Fl-ekonomija, l-università kellha rwol importanti fit-tfassil ta 'ideat dwar is-suq ħieles u hija l-isem ta' l-Iskola ta 'l-Ekonomija ta' Chicago, l-Iskola ta 'Ħs"&amp;"ieb Ekonomiku appoġġat minn Milton Friedman u ekonomisti oħra. Id-dipartiment tas-soċjoloġija tal-università kien l-ewwel dipartiment tas-soċjoloġija indipendenti fl-Istati Uniti u welldet l-Iskola tas-Soċjoloġija ta 'Chicago. Fil-fiżika, l-università kie"&amp;"net is-sit taċ-Chicago Pile-1 (l-ewwel reazzjoni nukleari magħmula mill-bniedem awto-sostnuta, parti mill-proġett Manhattan), tal-esperiment tal-qatra taż-żejt ta 'Robert Millikan li kkalkula l-ħlas tal-elettroni, u ta' L-iżvilupp tad-dating tar-radjokarb"&amp;"onju minn Willard F. Libby fl-1947. L-esperiment kimiku li ttestja kif oriġina l-ħajja fuq l-art bikrija, l-esperiment Miller-Urey, sar fl-università. L-irqad REM ġie skopert fl-università fl-1953 minn Nathaniel Kleitman u Eugene Aserinsky.")</f>
        <v>L-Università ta 'Chicago kienet is-sit ta' xi esperimenti u movimenti akkademiċi importanti. Fl-ekonomija, l-università kellha rwol importanti fit-tfassil ta 'ideat dwar is-suq ħieles u hija l-isem ta' l-Iskola ta 'l-Ekonomija ta' Chicago, l-Iskola ta 'Ħsieb Ekonomiku appoġġat minn Milton Friedman u ekonomisti oħra. Id-dipartiment tas-soċjoloġija tal-università kien l-ewwel dipartiment tas-soċjoloġija indipendenti fl-Istati Uniti u welldet l-Iskola tas-Soċjoloġija ta 'Chicago. Fil-fiżika, l-università kienet is-sit taċ-Chicago Pile-1 (l-ewwel reazzjoni nukleari magħmula mill-bniedem awto-sostnuta, parti mill-proġett Manhattan), tal-esperiment tal-qatra taż-żejt ta 'Robert Millikan li kkalkula l-ħlas tal-elettroni, u ta' L-iżvilupp tad-dating tar-radjokarbonju minn Willard F. Libby fl-1947. L-esperiment kimiku li ttestja kif oriġina l-ħajja fuq l-art bikrija, l-esperiment Miller-Urey, sar fl-università. L-irqad REM ġie skopert fl-università fl-1953 minn Nathaniel Kleitman u Eugene Aserinsky.</v>
      </c>
    </row>
    <row r="2208" ht="15.75" customHeight="1">
      <c r="A2208" s="2" t="s">
        <v>2208</v>
      </c>
      <c r="B2208" s="2" t="str">
        <f>IFERROR(__xludf.DUMMYFUNCTION("GOOGLETRANSLATE(A2208,""en"", ""mt"")"),"X’kawża s-sejba tad-deheb fir-Rabat?")</f>
        <v>X’kawża s-sejba tad-deheb fir-Rabat?</v>
      </c>
    </row>
    <row r="2209" ht="15.75" customHeight="1">
      <c r="A2209" s="2" t="s">
        <v>2209</v>
      </c>
      <c r="B2209" s="2" t="str">
        <f>IFERROR(__xludf.DUMMYFUNCTION("GOOGLETRANSLATE(A2209,""en"", ""mt"")"),"Kitba ta 'Ktieb ta' Ħames Volum")</f>
        <v>Kitba ta 'Ktieb ta' Ħames Volum</v>
      </c>
    </row>
    <row r="2210" ht="15.75" customHeight="1">
      <c r="A2210" s="2" t="s">
        <v>2210</v>
      </c>
      <c r="B2210" s="2" t="str">
        <f>IFERROR(__xludf.DUMMYFUNCTION("GOOGLETRANSLATE(A2210,""en"", ""mt"")"),"Kif jiġu ttrattati l-forzi mill-għelieqi trattati bl-istess mod?")</f>
        <v>Kif jiġu ttrattati l-forzi mill-għelieqi trattati bl-istess mod?</v>
      </c>
    </row>
    <row r="2211" ht="15.75" customHeight="1">
      <c r="A2211" s="2" t="s">
        <v>2211</v>
      </c>
      <c r="B2211" s="2" t="str">
        <f>IFERROR(__xludf.DUMMYFUNCTION("GOOGLETRANSLATE(A2211,""en"", ""mt"")"),"Kummissjoni v Italja")</f>
        <v>Kummissjoni v Italja</v>
      </c>
    </row>
    <row r="2212" ht="15.75" customHeight="1">
      <c r="A2212" s="2" t="s">
        <v>2212</v>
      </c>
      <c r="B2212" s="2" t="str">
        <f>IFERROR(__xludf.DUMMYFUNCTION("GOOGLETRANSLATE(A2212,""en"", ""mt"")"),"Liġi Internazzjonali u Liġi Pubblika")</f>
        <v>Liġi Internazzjonali u Liġi Pubblika</v>
      </c>
    </row>
    <row r="2213" ht="15.75" customHeight="1">
      <c r="A2213" s="2" t="s">
        <v>2213</v>
      </c>
      <c r="B2213" s="2" t="str">
        <f>IFERROR(__xludf.DUMMYFUNCTION("GOOGLETRANSLATE(A2213,""en"", ""mt"")"),"antropoloġiku riċenti")</f>
        <v>antropoloġiku riċenti</v>
      </c>
    </row>
    <row r="2214" ht="15.75" customHeight="1">
      <c r="A2214" s="2" t="s">
        <v>2214</v>
      </c>
      <c r="B2214" s="2" t="str">
        <f>IFERROR(__xludf.DUMMYFUNCTION("GOOGLETRANSLATE(A2214,""en"", ""mt"")"),"Ġeoloġija")</f>
        <v>Ġeoloġija</v>
      </c>
    </row>
    <row r="2215" ht="15.75" customHeight="1">
      <c r="A2215" s="2" t="s">
        <v>2215</v>
      </c>
      <c r="B2215" s="2" t="str">
        <f>IFERROR(__xludf.DUMMYFUNCTION("GOOGLETRANSLATE(A2215,""en"", ""mt"")"),"Din it-tip ta 'sistema hija magħrufa bħala")</f>
        <v>Din it-tip ta 'sistema hija magħrufa bħala</v>
      </c>
    </row>
    <row r="2216" ht="15.75" customHeight="1">
      <c r="A2216" s="2" t="s">
        <v>2216</v>
      </c>
      <c r="B2216" s="2" t="str">
        <f>IFERROR(__xludf.DUMMYFUNCTION("GOOGLETRANSLATE(A2216,""en"", ""mt"")"),"Skema ta 'aċċess multipli")</f>
        <v>Skema ta 'aċċess multipli</v>
      </c>
    </row>
    <row r="2217" ht="15.75" customHeight="1">
      <c r="A2217" s="2" t="s">
        <v>2217</v>
      </c>
      <c r="B2217" s="2" t="str">
        <f>IFERROR(__xludf.DUMMYFUNCTION("GOOGLETRANSLATE(A2217,""en"", ""mt"")"),"Suite ta 'protokolli tan-netwerk maħluqa minn Digital Equipment Corporation")</f>
        <v>Suite ta 'protokolli tan-netwerk maħluqa minn Digital Equipment Corporation</v>
      </c>
    </row>
    <row r="2218" ht="15.75" customHeight="1">
      <c r="A2218" s="2" t="s">
        <v>2218</v>
      </c>
      <c r="B2218" s="2" t="str">
        <f>IFERROR(__xludf.DUMMYFUNCTION("GOOGLETRANSLATE(A2218,""en"", ""mt"")"),"X'inhuma ż-żewġ simboli li jfissru l-ispiżerija f'pajjiżi li jitkellmu bl-Ingliż?")</f>
        <v>X'inhuma ż-żewġ simboli li jfissru l-ispiżerija f'pajjiżi li jitkellmu bl-Ingliż?</v>
      </c>
    </row>
    <row r="2219" ht="15.75" customHeight="1">
      <c r="A2219" s="2" t="s">
        <v>2219</v>
      </c>
      <c r="B2219" s="2" t="str">
        <f>IFERROR(__xludf.DUMMYFUNCTION("GOOGLETRANSLATE(A2219,""en"", ""mt"")"),"Militant estremista")</f>
        <v>Militant estremista</v>
      </c>
    </row>
    <row r="2220" ht="15.75" customHeight="1">
      <c r="A2220" s="2" t="s">
        <v>2220</v>
      </c>
      <c r="B2220" s="2" t="str">
        <f>IFERROR(__xludf.DUMMYFUNCTION("GOOGLETRANSLATE(A2220,""en"", ""mt"")"),"Diversi kuntratturi D&amp;B")</f>
        <v>Diversi kuntratturi D&amp;B</v>
      </c>
    </row>
    <row r="2221" ht="15.75" customHeight="1">
      <c r="A2221" s="2" t="s">
        <v>2221</v>
      </c>
      <c r="B2221" s="2" t="str">
        <f>IFERROR(__xludf.DUMMYFUNCTION("GOOGLETRANSLATE(A2221,""en"", ""mt"")"),"Min ta donazzjoni lill-Università ta 'Chicago?")</f>
        <v>Min ta donazzjoni lill-Università ta 'Chicago?</v>
      </c>
    </row>
    <row r="2222" ht="15.75" customHeight="1">
      <c r="A2222" s="2" t="s">
        <v>2222</v>
      </c>
      <c r="B2222" s="2" t="str">
        <f>IFERROR(__xludf.DUMMYFUNCTION("GOOGLETRANSLATE(A2222,""en"", ""mt"")"),"Ħsarat fl-Amerika ta ’Fuq")</f>
        <v>Ħsarat fl-Amerika ta ’Fuq</v>
      </c>
    </row>
    <row r="2223" ht="15.75" customHeight="1">
      <c r="A2223" s="2" t="s">
        <v>2223</v>
      </c>
      <c r="B2223" s="2" t="str">
        <f>IFERROR(__xludf.DUMMYFUNCTION("GOOGLETRANSLATE(A2223,""en"", ""mt"")"),"Kemm hemm sororitajiet apparti mill-università?")</f>
        <v>Kemm hemm sororitajiet apparti mill-università?</v>
      </c>
    </row>
    <row r="2224" ht="15.75" customHeight="1">
      <c r="A2224" s="2" t="s">
        <v>2224</v>
      </c>
      <c r="B2224" s="2" t="str">
        <f>IFERROR(__xludf.DUMMYFUNCTION("GOOGLETRANSLATE(A2224,""en"", ""mt"")"),"Matul l-eżistenza tagħha, Varsavja kienet belt multi-kulturali. Skond iċ-ċensiment tal-1901, minn 711,988 abitant 56.2% kienu Kattoliċi, 35,7% Lhud, 5% Kristjani Ortodossi Griegi u 2.8% Protestanti. Tmien snin wara, fl-1909, kien hemm 281.754 Lhud (36.9%)"&amp;", 18,189 Protestanti (2.4%) u 2,818 Mariavites (0.4%). Dan wassal għal kostruzzjoni ta ’mijiet ta’ postijiet ta ’qima reliġjuża fil-partijiet kollha tal-belt. Ħafna minnhom inqerdu wara r-rewwixta ta ’Varsavja tal-1944. Wara l-gwerra, l-awtoritajiet komun"&amp;"isti l-ġodda tal-Polonja skoraġġew il-kostruzzjoni tal-knisja u numru żgħir biss inbnew mill-ġdid.")</f>
        <v>Matul l-eżistenza tagħha, Varsavja kienet belt multi-kulturali. Skond iċ-ċensiment tal-1901, minn 711,988 abitant 56.2% kienu Kattoliċi, 35,7% Lhud, 5% Kristjani Ortodossi Griegi u 2.8% Protestanti. Tmien snin wara, fl-1909, kien hemm 281.754 Lhud (36.9%), 18,189 Protestanti (2.4%) u 2,818 Mariavites (0.4%). Dan wassal għal kostruzzjoni ta ’mijiet ta’ postijiet ta ’qima reliġjuża fil-partijiet kollha tal-belt. Ħafna minnhom inqerdu wara r-rewwixta ta ’Varsavja tal-1944. Wara l-gwerra, l-awtoritajiet komunisti l-ġodda tal-Polonja skoraġġew il-kostruzzjoni tal-knisja u numru żgħir biss inbnew mill-ġdid.</v>
      </c>
    </row>
    <row r="2225" ht="15.75" customHeight="1">
      <c r="A2225" s="2" t="s">
        <v>2225</v>
      </c>
      <c r="B2225" s="2" t="str">
        <f>IFERROR(__xludf.DUMMYFUNCTION("GOOGLETRANSLATE(A2225,""en"", ""mt"")"),"Minħabba s-saħħa tal-forzi Franċiżi fi Louisbourg, x’għamel Loudoun?")</f>
        <v>Minħabba s-saħħa tal-forzi Franċiżi fi Louisbourg, x’għamel Loudoun?</v>
      </c>
    </row>
    <row r="2226" ht="15.75" customHeight="1">
      <c r="A2226" s="2" t="s">
        <v>2226</v>
      </c>
      <c r="B2226" s="2" t="str">
        <f>IFERROR(__xludf.DUMMYFUNCTION("GOOGLETRANSLATE(A2226,""en"", ""mt"")"),"X'effett kellha l-pesta fuq il-Lvant Nofsani?")</f>
        <v>X'effett kellha l-pesta fuq il-Lvant Nofsani?</v>
      </c>
    </row>
    <row r="2227" ht="15.75" customHeight="1">
      <c r="A2227" s="2" t="s">
        <v>2227</v>
      </c>
      <c r="B2227" s="2" t="str">
        <f>IFERROR(__xludf.DUMMYFUNCTION("GOOGLETRANSLATE(A2227,""en"", ""mt"")"),"Kristjani Ortodossi")</f>
        <v>Kristjani Ortodossi</v>
      </c>
    </row>
    <row r="2228" ht="15.75" customHeight="1">
      <c r="A2228" s="2" t="s">
        <v>2228</v>
      </c>
      <c r="B2228" s="2" t="str">
        <f>IFERROR(__xludf.DUMMYFUNCTION("GOOGLETRANSLATE(A2228,""en"", ""mt"")"),"Meta Kublai attakka lil Xiangyang?")</f>
        <v>Meta Kublai attakka lil Xiangyang?</v>
      </c>
    </row>
    <row r="2229" ht="15.75" customHeight="1">
      <c r="A2229" s="2" t="s">
        <v>2229</v>
      </c>
      <c r="B2229" s="2" t="str">
        <f>IFERROR(__xludf.DUMMYFUNCTION("GOOGLETRANSLATE(A2229,""en"", ""mt"")"),"Awto nieqes")</f>
        <v>Awto nieqes</v>
      </c>
    </row>
    <row r="2230" ht="15.75" customHeight="1">
      <c r="A2230" s="2" t="s">
        <v>2230</v>
      </c>
      <c r="B2230" s="2" t="str">
        <f>IFERROR(__xludf.DUMMYFUNCTION("GOOGLETRANSLATE(A2230,""en"", ""mt"")"),"Xi jfisser l-isem oriġinali ta 'Colonia Agrippina?")</f>
        <v>Xi jfisser l-isem oriġinali ta 'Colonia Agrippina?</v>
      </c>
    </row>
    <row r="2231" ht="15.75" customHeight="1">
      <c r="A2231" s="2" t="s">
        <v>2231</v>
      </c>
      <c r="B2231" s="2" t="str">
        <f>IFERROR(__xludf.DUMMYFUNCTION("GOOGLETRANSLATE(A2231,""en"", ""mt"")"),"Xi teħtieġ l-orjentazzjoni tal-konnessjoni")</f>
        <v>Xi teħtieġ l-orjentazzjoni tal-konnessjoni</v>
      </c>
    </row>
    <row r="2232" ht="15.75" customHeight="1">
      <c r="A2232" s="2" t="s">
        <v>2232</v>
      </c>
      <c r="B2232" s="2" t="str">
        <f>IFERROR(__xludf.DUMMYFUNCTION("GOOGLETRANSLATE(A2232,""en"", ""mt"")"),"Michael Oppenheimer, parteċipant fit-tul fl-IPCC u l-awtur ewlieni tal-koordinazzjoni tal-ħames rapport ta 'valutazzjoni ammetta fl-Istat tal-Pjaneta tar-rivista tax-xjenza 2008-2009 Xi limitazzjonijiet tal-approċċ tal-kunsens tal-IPCC u jitlob għal konko"&amp;"rrenti, evalwazzjonijiet iżgħar ta' problemi speċjali minflok L-approċċ fuq skala kbira bħal fir-rapporti ta 'valutazzjoni tal-IPCC preċedenti. Sar iktar importanti li tipprovdi esplorazzjoni usa 'ta' inċertezzi. Oħrajn jaraw it-tberik imħallat sew tal-is"&amp;"pinta għal kunsens fil-proċess tal-IPCC u jitolbu li jinkludu pożizzjonijiet li ma jaqblux jew minoranza jew biex itejbu d-dikjarazzjonijiet dwar l-inċertezzi.")</f>
        <v>Michael Oppenheimer, parteċipant fit-tul fl-IPCC u l-awtur ewlieni tal-koordinazzjoni tal-ħames rapport ta 'valutazzjoni ammetta fl-Istat tal-Pjaneta tar-rivista tax-xjenza 2008-2009 Xi limitazzjonijiet tal-approċċ tal-kunsens tal-IPCC u jitlob għal konkorrenti, evalwazzjonijiet iżgħar ta' problemi speċjali minflok L-approċċ fuq skala kbira bħal fir-rapporti ta 'valutazzjoni tal-IPCC preċedenti. Sar iktar importanti li tipprovdi esplorazzjoni usa 'ta' inċertezzi. Oħrajn jaraw it-tberik imħallat sew tal-ispinta għal kunsens fil-proċess tal-IPCC u jitolbu li jinkludu pożizzjonijiet li ma jaqblux jew minoranza jew biex itejbu d-dikjarazzjonijiet dwar l-inċertezzi.</v>
      </c>
    </row>
    <row r="2233" ht="15.75" customHeight="1">
      <c r="A2233" s="2" t="s">
        <v>2233</v>
      </c>
      <c r="B2233" s="2" t="str">
        <f>IFERROR(__xludf.DUMMYFUNCTION("GOOGLETRANSLATE(A2233,""en"", ""mt"")"),"Liema messaġġ ta 'kunsinna ntuża")</f>
        <v>Liema messaġġ ta 'kunsinna ntuża</v>
      </c>
    </row>
    <row r="2234" ht="15.75" customHeight="1">
      <c r="A2234" s="2" t="s">
        <v>2234</v>
      </c>
      <c r="B2234" s="2" t="str">
        <f>IFERROR(__xludf.DUMMYFUNCTION("GOOGLETRANSLATE(A2234,""en"", ""mt"")"),"Kien hemm dibattiti dwar jekk id-diżubbidjenza ċivili għandhiex neċessarjament tkun mhux vjolenti. Id-Dizzjunarju tal-Liġi ta 'l-Iswed jinkludi n-non-vjolenza fid-definizzjoni tiegħu ta' diżubbidjenza ċivili. L-artikolu tal-Enċiklopedija ta 'Christian Bay"&amp;" jiddikjara li d-diżubbidjenza ċivili teħtieġ ""mezzi magħżula bir-reqqa u leġittima"", iżda jqis li m'għandhomx għalfejn ikunu mhux vjolenti. Ġie argumentat li, filwaqt li kemm id-diżubbidjenza ċivili kif ukoll ir-ribelljoni ċivili huma ġġustifikati bl-a"&amp;"ppell għal difetti kostituzzjonali, ir-ribelljoni hija ferm aktar distruttiva; Għalhekk, id-difetti li jiġġustifikaw ribelljoni għandhom ikunu ferm iktar serji minn dawk li jiġġustifikaw id-diżubbidjenza, u jekk wieħed ma jistax jiġġustifika ribelljoni ċi"&amp;"vili, allura wieħed ma jistax jiġġustifika l-użu ta 'forza u vjolenza ta' diżubbidjenti ċivili u rifjut li jissottometti għall-arrest. Id-diżubbidjenti ċivili joqogħdu mill-vjolenza jingħad ukoll biex jgħinu jippreservaw it-tolleranza tas-soċjetà ta 'diżu"&amp;"bbidjenza ċivili.")</f>
        <v>Kien hemm dibattiti dwar jekk id-diżubbidjenza ċivili għandhiex neċessarjament tkun mhux vjolenti. Id-Dizzjunarju tal-Liġi ta 'l-Iswed jinkludi n-non-vjolenza fid-definizzjoni tiegħu ta' diżubbidjenza ċivili. L-artikolu tal-Enċiklopedija ta 'Christian Bay jiddikjara li d-diżubbidjenza ċivili teħtieġ "mezzi magħżula bir-reqqa u leġittima", iżda jqis li m'għandhomx għalfejn ikunu mhux vjolenti. Ġie argumentat li, filwaqt li kemm id-diżubbidjenza ċivili kif ukoll ir-ribelljoni ċivili huma ġġustifikati bl-appell għal difetti kostituzzjonali, ir-ribelljoni hija ferm aktar distruttiva; Għalhekk, id-difetti li jiġġustifikaw ribelljoni għandhom ikunu ferm iktar serji minn dawk li jiġġustifikaw id-diżubbidjenza, u jekk wieħed ma jistax jiġġustifika ribelljoni ċivili, allura wieħed ma jistax jiġġustifika l-użu ta 'forza u vjolenza ta' diżubbidjenti ċivili u rifjut li jissottometti għall-arrest. Id-diżubbidjenti ċivili joqogħdu mill-vjolenza jingħad ukoll biex jgħinu jippreservaw it-tolleranza tas-soċjetà ta 'diżubbidjenza ċivili.</v>
      </c>
    </row>
    <row r="2235" ht="15.75" customHeight="1">
      <c r="A2235" s="2" t="s">
        <v>2235</v>
      </c>
      <c r="B2235" s="2" t="str">
        <f>IFERROR(__xludf.DUMMYFUNCTION("GOOGLETRANSLATE(A2235,""en"", ""mt"")"),"il-movimenti tan-natura, movimenti ta 'tul ta' żmien ħieles u mhux ugwali")</f>
        <v>il-movimenti tan-natura, movimenti ta 'tul ta' żmien ħieles u mhux ugwali</v>
      </c>
    </row>
    <row r="2236" ht="15.75" customHeight="1">
      <c r="A2236" s="2" t="s">
        <v>2236</v>
      </c>
      <c r="B2236" s="2" t="str">
        <f>IFERROR(__xludf.DUMMYFUNCTION("GOOGLETRANSLATE(A2236,""en"", ""mt"")"),"Impatta ħafna")</f>
        <v>Impatta ħafna</v>
      </c>
    </row>
    <row r="2237" ht="15.75" customHeight="1">
      <c r="A2237" s="2" t="s">
        <v>2237</v>
      </c>
      <c r="B2237" s="2" t="str">
        <f>IFERROR(__xludf.DUMMYFUNCTION("GOOGLETRANSLATE(A2237,""en"", ""mt"")"),"Liema sistema ta 'qasma żviluppat fl-orogenija alpina?")</f>
        <v>Liema sistema ta 'qasma żviluppat fl-orogenija alpina?</v>
      </c>
    </row>
    <row r="2238" ht="15.75" customHeight="1">
      <c r="A2238" s="2" t="s">
        <v>2238</v>
      </c>
      <c r="B2238" s="2" t="str">
        <f>IFERROR(__xludf.DUMMYFUNCTION("GOOGLETRANSLATE(A2238,""en"", ""mt"")"),"Meta ġiet skoperta r-Rhine l-ewwel?")</f>
        <v>Meta ġiet skoperta r-Rhine l-ewwel?</v>
      </c>
    </row>
    <row r="2239" ht="15.75" customHeight="1">
      <c r="A2239" s="2" t="s">
        <v>2239</v>
      </c>
      <c r="B2239" s="2" t="str">
        <f>IFERROR(__xludf.DUMMYFUNCTION("GOOGLETRANSLATE(A2239,""en"", ""mt"")"),"xogħol tal-magna")</f>
        <v>xogħol tal-magna</v>
      </c>
    </row>
    <row r="2240" ht="15.75" customHeight="1">
      <c r="A2240" s="2" t="s">
        <v>2240</v>
      </c>
      <c r="B2240" s="2" t="str">
        <f>IFERROR(__xludf.DUMMYFUNCTION("GOOGLETRANSLATE(A2240,""en"", ""mt"")"),"Bond doppju kovalenti li jirriżulta mill-mili ta 'orbitali molekulari ffurmati mill-orbitali atomiċi ta' l-atomi ta 'ossiġnu individwali")</f>
        <v>Bond doppju kovalenti li jirriżulta mill-mili ta 'orbitali molekulari ffurmati mill-orbitali atomiċi ta' l-atomi ta 'ossiġnu individwali</v>
      </c>
    </row>
    <row r="2241" ht="15.75" customHeight="1">
      <c r="A2241" s="2" t="s">
        <v>2241</v>
      </c>
      <c r="B2241" s="2" t="str">
        <f>IFERROR(__xludf.DUMMYFUNCTION("GOOGLETRANSLATE(A2241,""en"", ""mt"")"),"Suleiman il-magnífico,")</f>
        <v>Suleiman il-magnífico,</v>
      </c>
    </row>
    <row r="2242" ht="15.75" customHeight="1">
      <c r="A2242" s="2" t="s">
        <v>2242</v>
      </c>
      <c r="B2242" s="2" t="str">
        <f>IFERROR(__xludf.DUMMYFUNCTION("GOOGLETRANSLATE(A2242,""en"", ""mt"")"),"Kemm kontej inizjalment għamlu d-definizzjoni tan-Nofsinhar ta 'California?")</f>
        <v>Kemm kontej inizjalment għamlu d-definizzjoni tan-Nofsinhar ta 'California?</v>
      </c>
    </row>
    <row r="2243" ht="15.75" customHeight="1">
      <c r="A2243" s="2" t="s">
        <v>2243</v>
      </c>
      <c r="B2243" s="2" t="str">
        <f>IFERROR(__xludf.DUMMYFUNCTION("GOOGLETRANSLATE(A2243,""en"", ""mt"")"),"sokits tas-snien fl-iskeletri tal-bniedem")</f>
        <v>sokits tas-snien fl-iskeletri tal-bniedem</v>
      </c>
    </row>
    <row r="2244" ht="15.75" customHeight="1">
      <c r="A2244" s="2" t="s">
        <v>2244</v>
      </c>
      <c r="B2244" s="2" t="str">
        <f>IFERROR(__xludf.DUMMYFUNCTION("GOOGLETRANSLATE(A2244,""en"", ""mt"")"),"Ġermanja")</f>
        <v>Ġermanja</v>
      </c>
    </row>
    <row r="2245" ht="15.75" customHeight="1">
      <c r="A2245" s="2" t="s">
        <v>2245</v>
      </c>
      <c r="B2245" s="2" t="str">
        <f>IFERROR(__xludf.DUMMYFUNCTION("GOOGLETRANSLATE(A2245,""en"", ""mt"")"),"Fejn jinsab il-viċinat ta 'Sunnyside fi Fresno?")</f>
        <v>Fejn jinsab il-viċinat ta 'Sunnyside fi Fresno?</v>
      </c>
    </row>
    <row r="2246" ht="15.75" customHeight="1">
      <c r="A2246" s="2" t="s">
        <v>2246</v>
      </c>
      <c r="B2246" s="2" t="str">
        <f>IFERROR(__xludf.DUMMYFUNCTION("GOOGLETRANSLATE(A2246,""en"", ""mt"")"),"Orange County huwa ċentru tan-negozju li qed jiżviluppa malajr li jinkludi d-downtown ta 'Santa Ana, id-distretti taċ-Ċentru ta' South Coast u Newport; kif ukoll iċ-ċentri tan-negozju Irvine tal-Irvine Spectrum, West Irvine, u korporazzjonijiet internazzj"&amp;"onali bil-kwartjieri ġenerali fl-Università ta ’California, Irvine. West Irvine tinkludi l-Irvine Tech Centre u l-Parks tan-Negozju Jamboree.")</f>
        <v>Orange County huwa ċentru tan-negozju li qed jiżviluppa malajr li jinkludi d-downtown ta 'Santa Ana, id-distretti taċ-Ċentru ta' South Coast u Newport; kif ukoll iċ-ċentri tan-negozju Irvine tal-Irvine Spectrum, West Irvine, u korporazzjonijiet internazzjonali bil-kwartjieri ġenerali fl-Università ta ’California, Irvine. West Irvine tinkludi l-Irvine Tech Centre u l-Parks tan-Negozju Jamboree.</v>
      </c>
    </row>
    <row r="2247" ht="15.75" customHeight="1">
      <c r="A2247" s="2" t="s">
        <v>2247</v>
      </c>
      <c r="B2247" s="2" t="str">
        <f>IFERROR(__xludf.DUMMYFUNCTION("GOOGLETRANSLATE(A2247,""en"", ""mt"")"),"Minħabba d-densità akbar ta 'ilma kiesaħ")</f>
        <v>Minħabba d-densità akbar ta 'ilma kiesaħ</v>
      </c>
    </row>
    <row r="2248" ht="15.75" customHeight="1">
      <c r="A2248" s="2" t="s">
        <v>2248</v>
      </c>
      <c r="B2248" s="2" t="str">
        <f>IFERROR(__xludf.DUMMYFUNCTION("GOOGLETRANSLATE(A2248,""en"", ""mt"")"),"Immune_system")</f>
        <v>Immune_system</v>
      </c>
    </row>
    <row r="2249" ht="15.75" customHeight="1">
      <c r="A2249" s="2" t="s">
        <v>2249</v>
      </c>
      <c r="B2249" s="2" t="str">
        <f>IFERROR(__xludf.DUMMYFUNCTION("GOOGLETRANSLATE(A2249,""en"", ""mt"")"),"id-deżert ta 'Mojave")</f>
        <v>id-deżert ta 'Mojave</v>
      </c>
    </row>
    <row r="2250" ht="15.75" customHeight="1">
      <c r="A2250" s="2" t="s">
        <v>2250</v>
      </c>
      <c r="B2250" s="2" t="str">
        <f>IFERROR(__xludf.DUMMYFUNCTION("GOOGLETRANSLATE(A2250,""en"", ""mt"")"),"gass ​​ikkompressat;")</f>
        <v>gass ​​ikkompressat;</v>
      </c>
    </row>
    <row r="2251" ht="15.75" customHeight="1">
      <c r="A2251" s="2" t="s">
        <v>2251</v>
      </c>
      <c r="B2251" s="2" t="str">
        <f>IFERROR(__xludf.DUMMYFUNCTION("GOOGLETRANSLATE(A2251,""en"", ""mt"")"),"Liema reliġjonijiet Protestanti għamlu l-kontej tal-Ewropa tat-Tramuntana siguri għall-immigrazzjoni Huguenot?")</f>
        <v>Liema reliġjonijiet Protestanti għamlu l-kontej tal-Ewropa tat-Tramuntana siguri għall-immigrazzjoni Huguenot?</v>
      </c>
    </row>
    <row r="2252" ht="15.75" customHeight="1">
      <c r="A2252" s="2" t="s">
        <v>2252</v>
      </c>
      <c r="B2252" s="2" t="str">
        <f>IFERROR(__xludf.DUMMYFUNCTION("GOOGLETRANSLATE(A2252,""en"", ""mt"")"),"X'dritt għandhom skejjel privati ​​li l-iskejjel pubbliċi m'għandhomx?")</f>
        <v>X'dritt għandhom skejjel privati ​​li l-iskejjel pubbliċi m'għandhomx?</v>
      </c>
    </row>
    <row r="2253" ht="15.75" customHeight="1">
      <c r="A2253" s="2" t="s">
        <v>2253</v>
      </c>
      <c r="B2253" s="2" t="str">
        <f>IFERROR(__xludf.DUMMYFUNCTION("GOOGLETRANSLATE(A2253,""en"", ""mt"")"),"Ma 'min għamel l-internet2 ma'")</f>
        <v>Ma 'min għamel l-internet2 ma'</v>
      </c>
    </row>
    <row r="2254" ht="15.75" customHeight="1">
      <c r="A2254" s="2" t="s">
        <v>2254</v>
      </c>
      <c r="B2254" s="2" t="str">
        <f>IFERROR(__xludf.DUMMYFUNCTION("GOOGLETRANSLATE(A2254,""en"", ""mt"")"),"Fl-1700 diversi mijiet ta ’Huguenots Franċiżi emigraw mill-Ingilterra sal-kolonja ta’ Virginia, fejn il-kuruna Ingliża kienet wiegħedhom għotjiet fl-art fil-Kontea ta ’Norfolk Lower. Meta waslu, l-awtoritajiet kolonjali offrewhom minflok jillandjaw 20 mil"&amp;" 'il fuq mill-waqgħat tax-Xmara James, fil-villaġġ ta' Monacan abbandunat magħruf bħala Manakin Town, issa fil-Kontea ta 'Powhatan. Xi kolonisti żbarkaw fil-Kontea ta 'Chesterfield preżenti. Fit-12 ta 'Mejju 1705, l-Assemblea Ġenerali ta' Virginia għaddie"&amp;"t att biex timmatura l-148 Huguenots li għadhom residenti f'Manakintown. Mill-390 kolonizzaturi oriġinali fis-soluzzjoni iżolata, ħafna mietu; oħrajn għexu barra l-belt fl-irziezet fl-istil Ingliż; U oħrajn marru jgħixu f'żoni differenti. Gradwalment huma"&amp;" żżewġu mal-ġirien Ingliżi tagħhom. Matul is-sekli 18 u 19, id-dixxendenti tal-Franċiżi emigraw lejn il-punent fil-Piemonte, u madwar il-muntanji Appalaċi fil-punent ta 'dak li sar Kentucky, Tennessee, Missouri, u stati oħra. Fiż-żona ta 'Manakintown, il-"&amp;"Pont Memorial Huguenot madwar ix-Xmara James u Triq Huguenot ġew imsemmija fl-unur tagħhom, bħalma kienu bosta karatteristiċi lokali, inklużi diversi skejjel, inklużi Huguenot High School.")</f>
        <v>Fl-1700 diversi mijiet ta ’Huguenots Franċiżi emigraw mill-Ingilterra sal-kolonja ta’ Virginia, fejn il-kuruna Ingliża kienet wiegħedhom għotjiet fl-art fil-Kontea ta ’Norfolk Lower. Meta waslu, l-awtoritajiet kolonjali offrewhom minflok jillandjaw 20 mil 'il fuq mill-waqgħat tax-Xmara James, fil-villaġġ ta' Monacan abbandunat magħruf bħala Manakin Town, issa fil-Kontea ta 'Powhatan. Xi kolonisti żbarkaw fil-Kontea ta 'Chesterfield preżenti. Fit-12 ta 'Mejju 1705, l-Assemblea Ġenerali ta' Virginia għaddiet att biex timmatura l-148 Huguenots li għadhom residenti f'Manakintown. Mill-390 kolonizzaturi oriġinali fis-soluzzjoni iżolata, ħafna mietu; oħrajn għexu barra l-belt fl-irziezet fl-istil Ingliż; U oħrajn marru jgħixu f'żoni differenti. Gradwalment huma żżewġu mal-ġirien Ingliżi tagħhom. Matul is-sekli 18 u 19, id-dixxendenti tal-Franċiżi emigraw lejn il-punent fil-Piemonte, u madwar il-muntanji Appalaċi fil-punent ta 'dak li sar Kentucky, Tennessee, Missouri, u stati oħra. Fiż-żona ta 'Manakintown, il-Pont Memorial Huguenot madwar ix-Xmara James u Triq Huguenot ġew imsemmija fl-unur tagħhom, bħalma kienu bosta karatteristiċi lokali, inklużi diversi skejjel, inklużi Huguenot High School.</v>
      </c>
    </row>
    <row r="2255" ht="15.75" customHeight="1">
      <c r="A2255" s="2" t="s">
        <v>2255</v>
      </c>
      <c r="B2255" s="2" t="str">
        <f>IFERROR(__xludf.DUMMYFUNCTION("GOOGLETRANSLATE(A2255,""en"", ""mt"")"),"L-ormoni jistgħu jaġixxu bħala immunomodulaturi, u jbiddlu s-sensittività tas-sistema immunitarja. Pereżempju, l-ormoni tas-sess femminili huma immunostimulaturi magħrufa kemm ta 'risponsi immuni adattivi kif ukoll innati. Xi mard awtoimmuni bħal lupus er"&amp;"itematos jolqot lin-nisa b'mod preferenzjali, u l-bidu tagħhom spiss jikkoinċidi mal-pubertà. B'kuntrast, ormoni tas-sess maskili bħal testosterone jidhru li huma immunosoppressivi. Ormoni oħra jidhru li jirregolaw is-sistema immuni wkoll, l-aktar prolact"&amp;"in, ormon tat-tkabbir u vitamina D.")</f>
        <v>L-ormoni jistgħu jaġixxu bħala immunomodulaturi, u jbiddlu s-sensittività tas-sistema immunitarja. Pereżempju, l-ormoni tas-sess femminili huma immunostimulaturi magħrufa kemm ta 'risponsi immuni adattivi kif ukoll innati. Xi mard awtoimmuni bħal lupus eritematos jolqot lin-nisa b'mod preferenzjali, u l-bidu tagħhom spiss jikkoinċidi mal-pubertà. B'kuntrast, ormoni tas-sess maskili bħal testosterone jidhru li huma immunosoppressivi. Ormoni oħra jidhru li jirregolaw is-sistema immuni wkoll, l-aktar prolactin, ormon tat-tkabbir u vitamina D.</v>
      </c>
    </row>
    <row r="2256" ht="15.75" customHeight="1">
      <c r="A2256" s="2" t="s">
        <v>2256</v>
      </c>
      <c r="B2256" s="2" t="str">
        <f>IFERROR(__xludf.DUMMYFUNCTION("GOOGLETRANSLATE(A2256,""en"", ""mt"")"),"Ħafna nies tal-post u turisti jiffrekwentaw il-kosta tan-Nofsinhar ta 'California għall-bajjiet popolari tagħha, u l-belt tad-deżert ta' Palm Springs hija popolari għall-sensazzjoni ta 'resort tagħha u l-ispazji miftuħa fil-viċin.")</f>
        <v>Ħafna nies tal-post u turisti jiffrekwentaw il-kosta tan-Nofsinhar ta 'California għall-bajjiet popolari tagħha, u l-belt tad-deżert ta' Palm Springs hija popolari għall-sensazzjoni ta 'resort tagħha u l-ispazji miftuħa fil-viċin.</v>
      </c>
    </row>
    <row r="2257" ht="15.75" customHeight="1">
      <c r="A2257" s="2" t="s">
        <v>2257</v>
      </c>
      <c r="B2257" s="2" t="str">
        <f>IFERROR(__xludf.DUMMYFUNCTION("GOOGLETRANSLATE(A2257,""en"", ""mt"")"),"Liema parti tar-Rhine tgħaddi minn North Rhine-Westphalia?")</f>
        <v>Liema parti tar-Rhine tgħaddi minn North Rhine-Westphalia?</v>
      </c>
    </row>
    <row r="2258" ht="15.75" customHeight="1">
      <c r="A2258" s="2" t="s">
        <v>2258</v>
      </c>
      <c r="B2258" s="2" t="str">
        <f>IFERROR(__xludf.DUMMYFUNCTION("GOOGLETRANSLATE(A2258,""en"", ""mt"")"),"X'inhi problema partikolari fil-bijoloġija li tibbenefika mid-determinazzjoni ta 'dak p = np?")</f>
        <v>X'inhi problema partikolari fil-bijoloġija li tibbenefika mid-determinazzjoni ta 'dak p = np?</v>
      </c>
    </row>
    <row r="2259" ht="15.75" customHeight="1">
      <c r="A2259" s="2" t="s">
        <v>2259</v>
      </c>
      <c r="B2259" s="2" t="str">
        <f>IFERROR(__xludf.DUMMYFUNCTION("GOOGLETRANSLATE(A2259,""en"", ""mt"")"),"Fuq liema horsepower huma turbini tal-fwar ġeneralment aktar effiċjenti mill-magni tal-fwar li jużaw pistuni reċiprokanti?")</f>
        <v>Fuq liema horsepower huma turbini tal-fwar ġeneralment aktar effiċjenti mill-magni tal-fwar li jużaw pistuni reċiprokanti?</v>
      </c>
    </row>
    <row r="2260" ht="15.75" customHeight="1">
      <c r="A2260" s="2" t="s">
        <v>2260</v>
      </c>
      <c r="B2260" s="2" t="str">
        <f>IFERROR(__xludf.DUMMYFUNCTION("GOOGLETRANSLATE(A2260,""en"", ""mt"")"),"Il-partit, jew il-partijiet, li jżommu l-maġġoranza tas-siġġijiet fil-Parlament jiffurmaw il-gvern Skoċċiż. B'kuntrast ma 'ħafna sistemi parlamentari oħra, il-Parlament jeleġġi l-ewwel ministru minn numru ta' kandidati fil-bidu ta 'kull terminu parlamenta"&amp;"ri (wara elezzjoni ġenerali). Kull membru jista 'jressaq isimhom biex ikun l-ewwel ministru, u jittieħed vot mill-membri kollha tal-Parlament. Normalment, il-mexxej tal-akbar partit jiġi rritornat bħala l-Ewwel Ministru, u l-Kap tal-Gvern Skoċċiż. Teoreti"&amp;"kament, il-Parlament jagħżel ukoll il-ministri Skoċċiżi li jiffurmaw il-gvern tal-Iskozja u joqogħdu fil-kabinett Skoċċiż, iżda dawn il-ministri huma, fil-prattika, maħtura għar-rwoli tagħhom mill-Ewwel Ministru. Il-ministri tal-Junior, li ma jattendux il"&amp;"-kabinett, huma wkoll maħtura biex jgħinu lill-ministri Skoċċiżi fid-dipartimenti tagħhom. Il-biċċa l-kbira tal-ministri u l-juniors tagħhom huma meħuda minn fost l-MSPs eletti, bl-eċċezzjoni tal-uffiċjali ewlenin tal-liġi tal-Iskozja: l-Avukat tal-Mulej "&amp;"u l-avukat ġenerali. Filwaqt li l-ewwel ministru jagħżel il-ministri - u jista 'jiddeċiedi li jneħħihom fi kwalunkwe ħin - il-ħatra formali jew it-tkeċċija ssir mis-sovran.")</f>
        <v>Il-partit, jew il-partijiet, li jżommu l-maġġoranza tas-siġġijiet fil-Parlament jiffurmaw il-gvern Skoċċiż. B'kuntrast ma 'ħafna sistemi parlamentari oħra, il-Parlament jeleġġi l-ewwel ministru minn numru ta' kandidati fil-bidu ta 'kull terminu parlamentari (wara elezzjoni ġenerali). Kull membru jista 'jressaq isimhom biex ikun l-ewwel ministru, u jittieħed vot mill-membri kollha tal-Parlament. Normalment, il-mexxej tal-akbar partit jiġi rritornat bħala l-Ewwel Ministru, u l-Kap tal-Gvern Skoċċiż. Teoretikament, il-Parlament jagħżel ukoll il-ministri Skoċċiżi li jiffurmaw il-gvern tal-Iskozja u joqogħdu fil-kabinett Skoċċiż, iżda dawn il-ministri huma, fil-prattika, maħtura għar-rwoli tagħhom mill-Ewwel Ministru. Il-ministri tal-Junior, li ma jattendux il-kabinett, huma wkoll maħtura biex jgħinu lill-ministri Skoċċiżi fid-dipartimenti tagħhom. Il-biċċa l-kbira tal-ministri u l-juniors tagħhom huma meħuda minn fost l-MSPs eletti, bl-eċċezzjoni tal-uffiċjali ewlenin tal-liġi tal-Iskozja: l-Avukat tal-Mulej u l-avukat ġenerali. Filwaqt li l-ewwel ministru jagħżel il-ministri - u jista 'jiddeċiedi li jneħħihom fi kwalunkwe ħin - il-ħatra formali jew it-tkeċċija ssir mis-sovran.</v>
      </c>
    </row>
    <row r="2261" ht="15.75" customHeight="1">
      <c r="A2261" s="2" t="s">
        <v>2261</v>
      </c>
      <c r="B2261" s="2" t="str">
        <f>IFERROR(__xludf.DUMMYFUNCTION("GOOGLETRANSLATE(A2261,""en"", ""mt"")"),"Ippjanar, [ċitazzjoni meħtieġa] disinn, u finanzjament")</f>
        <v>Ippjanar, [ċitazzjoni meħtieġa] disinn, u finanzjament</v>
      </c>
    </row>
    <row r="2262" ht="15.75" customHeight="1">
      <c r="A2262" s="2" t="s">
        <v>2262</v>
      </c>
      <c r="B2262" s="2" t="str">
        <f>IFERROR(__xludf.DUMMYFUNCTION("GOOGLETRANSLATE(A2262,""en"", ""mt"")"),"Liema mużew jispeċjalizza fl-istorja kulturali u ċ-ċiviltajiet tal-emisferu tal-Punent?")</f>
        <v>Liema mużew jispeċjalizza fl-istorja kulturali u ċ-ċiviltajiet tal-emisferu tal-Punent?</v>
      </c>
    </row>
    <row r="2263" ht="15.75" customHeight="1">
      <c r="A2263" s="2" t="s">
        <v>2263</v>
      </c>
      <c r="B2263" s="2" t="str">
        <f>IFERROR(__xludf.DUMMYFUNCTION("GOOGLETRANSLATE(A2263,""en"", ""mt"")"),"Liema skola tal-politika pubblika sabet id-dar tagħha fil-bini li ddisinja Ludwig Mies van der Rohe?")</f>
        <v>Liema skola tal-politika pubblika sabet id-dar tagħha fil-bini li ddisinja Ludwig Mies van der Rohe?</v>
      </c>
    </row>
    <row r="2264" ht="15.75" customHeight="1">
      <c r="A2264" s="2" t="s">
        <v>2264</v>
      </c>
      <c r="B2264" s="2" t="str">
        <f>IFERROR(__xludf.DUMMYFUNCTION("GOOGLETRANSLATE(A2264,""en"", ""mt"")"),"Wara r-riżultati Franċiżi ġeneralment foqra fil-biċċa l-kbira tat-teatri tal-gwerra tas-seba 'snin fl-1758, il-ministru barrani l-ġdid ta' Franza, id-Duc de Choiseul, iddeċieda li jiffoka fuq invażjoni tal-Gran Brittanja, biex jiġbed riżorsi Ingliżi 'l bo"&amp;"għod mill-Amerika ta' Fuq u l-Ewropew kontinentali. L-invażjoni naqset kemm militarment kif ukoll politikament, hekk kif Pitt reġa 'ppjana kampanji sinifikanti kontra Franza l-ġdida, u bagħat fondi lill-alleat tal-Gran Brittanja fuq il-kontinent, il-Pruss"&amp;"ja, u n-Navy Franċiża fallew fil-battalji navali tal-1759 fil-Lagos u l-Bajja ta' Quiberon. F’biċċa waħda ta ’fortuna tajba, xi vapuri tal-provvista Franċiżi rnexxielhom jitilqu minn Franza, u ħadu l-imblokk Ingliż tal-kosta Franċiża.")</f>
        <v>Wara r-riżultati Franċiżi ġeneralment foqra fil-biċċa l-kbira tat-teatri tal-gwerra tas-seba 'snin fl-1758, il-ministru barrani l-ġdid ta' Franza, id-Duc de Choiseul, iddeċieda li jiffoka fuq invażjoni tal-Gran Brittanja, biex jiġbed riżorsi Ingliżi 'l bogħod mill-Amerika ta' Fuq u l-Ewropew kontinentali. L-invażjoni naqset kemm militarment kif ukoll politikament, hekk kif Pitt reġa 'ppjana kampanji sinifikanti kontra Franza l-ġdida, u bagħat fondi lill-alleat tal-Gran Brittanja fuq il-kontinent, il-Prussja, u n-Navy Franċiża fallew fil-battalji navali tal-1759 fil-Lagos u l-Bajja ta' Quiberon. F’biċċa waħda ta ’fortuna tajba, xi vapuri tal-provvista Franċiżi rnexxielhom jitilqu minn Franza, u ħadu l-imblokk Ingliż tal-kosta Franċiża.</v>
      </c>
    </row>
    <row r="2265" ht="15.75" customHeight="1">
      <c r="A2265" s="2" t="s">
        <v>2265</v>
      </c>
      <c r="B2265" s="2" t="str">
        <f>IFERROR(__xludf.DUMMYFUNCTION("GOOGLETRANSLATE(A2265,""en"", ""mt"")"),"Liema Viċi Konslu tal-Afrika t'Isfel L-istudenti ta 'Harvard imblukkaw id-diskors ta'?")</f>
        <v>Liema Viċi Konslu tal-Afrika t'Isfel L-istudenti ta 'Harvard imblukkaw id-diskors ta'?</v>
      </c>
    </row>
    <row r="2266" ht="15.75" customHeight="1">
      <c r="A2266" s="2" t="s">
        <v>2266</v>
      </c>
      <c r="B2266" s="2" t="str">
        <f>IFERROR(__xludf.DUMMYFUNCTION("GOOGLETRANSLATE(A2266,""en"", ""mt"")"),"X'jiġri meta s-sħab tal-elettroni jikkoinċidu minn atomi differenti?")</f>
        <v>X'jiġri meta s-sħab tal-elettroni jikkoinċidu minn atomi differenti?</v>
      </c>
    </row>
    <row r="2267" ht="15.75" customHeight="1">
      <c r="A2267" s="2" t="s">
        <v>2267</v>
      </c>
      <c r="B2267" s="2" t="str">
        <f>IFERROR(__xludf.DUMMYFUNCTION("GOOGLETRANSLATE(A2267,""en"", ""mt"")"),"L-iktar tnaqqis użat komunement huwa tnaqqis fil-ħin polinomjali. Dan ifisser li l-proċess ta 'tnaqqis jieħu ħin polinomjali. Pereżempju, il-problema tal-kwadru ta 'numru sħiħ tista' titnaqqas għall-problema li timmultiplika żewġ numri interi. Dan ifisser"&amp;" algoritmu għall-immultiplikazzjoni ta 'żewġ numri interi jista' jintuża biex kwadru numru sħiħ. Tassew, dan jista 'jsir billi tingħata l-istess input għaż-żewġ inputs tal-algoritmu ta' multiplikazzjoni. Għalhekk naraw li l-kwadri mhuwiex iktar diffiċli m"&amp;"ill-multiplikazzjoni, peress li l-kwadri jista 'jitnaqqas għal multiplikazzjoni.")</f>
        <v>L-iktar tnaqqis użat komunement huwa tnaqqis fil-ħin polinomjali. Dan ifisser li l-proċess ta 'tnaqqis jieħu ħin polinomjali. Pereżempju, il-problema tal-kwadru ta 'numru sħiħ tista' titnaqqas għall-problema li timmultiplika żewġ numri interi. Dan ifisser algoritmu għall-immultiplikazzjoni ta 'żewġ numri interi jista' jintuża biex kwadru numru sħiħ. Tassew, dan jista 'jsir billi tingħata l-istess input għaż-żewġ inputs tal-algoritmu ta' multiplikazzjoni. Għalhekk naraw li l-kwadri mhuwiex iktar diffiċli mill-multiplikazzjoni, peress li l-kwadri jista 'jitnaqqas għal multiplikazzjoni.</v>
      </c>
    </row>
    <row r="2268" ht="15.75" customHeight="1">
      <c r="A2268" s="2" t="s">
        <v>2268</v>
      </c>
      <c r="B2268" s="2" t="str">
        <f>IFERROR(__xludf.DUMMYFUNCTION("GOOGLETRANSLATE(A2268,""en"", ""mt"")"),"Fl-1846, il-lezzjonijiet tal-istorja naturali ta 'Louis Agassiz ġew milqugħin kemm fi New York kif ukoll fil-kampus fil-Kulleġġ ta' Harvard. L-approċċ ta 'Agassiz kien idealist b'mod distint u poġġa lill-Amerikani ""il-parteċipazzjoni fin-natura divina"" "&amp;"u l-possibbiltà li jifhmu ""eżistenzi intellettwali"". Il-perspettiva ta 'Agassiz dwar ix-xjenza kkombinat l-osservazzjoni mal-intwizzjoni u s-suppożizzjoni li persuna tista' tifhem il- ""pjan divin"" fil-fenomeni kollha. Meta ġie biex jispjega l-forom ta"&amp;"l-ħajja, Agassiz irrikorrew għal kwistjonijiet ta 'forma bbażati fuq arketip preżunt għall-evidenza tiegħu. Din il-fehma doppja tal-għarfien kienet f'kunċert mat-tagħlim tas-sens komun Il-popolarità ta 'l-isforzi ta' Agassiz biex ""jogħlew ma 'Plato"" x'a"&amp;"ktarx ukoll derivati ​​minn kitbiet oħra li l-istudenti ta' Harvard kienu esposti, inklużi trattati platoniċi minn Ralph Cudworth, John Norrisand, f'vina romantika, Samuel Coleridge. Ir-rekords tal-librerija f'Harvard jiżvelaw li l-kitbiet ta 'Platun u s-"&amp;"segwaċi moderni u romantiċi tiegħu kienu qraw regolarment matul is-seklu 19 bħal dawk tal- ""filosofija uffiċjali"" ta' l-iskola Skoċċiża aktar empirika u aktar deistika.")</f>
        <v>Fl-1846, il-lezzjonijiet tal-istorja naturali ta 'Louis Agassiz ġew milqugħin kemm fi New York kif ukoll fil-kampus fil-Kulleġġ ta' Harvard. L-approċċ ta 'Agassiz kien idealist b'mod distint u poġġa lill-Amerikani "il-parteċipazzjoni fin-natura divina" u l-possibbiltà li jifhmu "eżistenzi intellettwali". Il-perspettiva ta 'Agassiz dwar ix-xjenza kkombinat l-osservazzjoni mal-intwizzjoni u s-suppożizzjoni li persuna tista' tifhem il- "pjan divin" fil-fenomeni kollha. Meta ġie biex jispjega l-forom tal-ħajja, Agassiz irrikorrew għal kwistjonijiet ta 'forma bbażati fuq arketip preżunt għall-evidenza tiegħu. Din il-fehma doppja tal-għarfien kienet f'kunċert mat-tagħlim tas-sens komun Il-popolarità ta 'l-isforzi ta' Agassiz biex "jogħlew ma 'Plato" x'aktarx ukoll derivati ​​minn kitbiet oħra li l-istudenti ta' Harvard kienu esposti, inklużi trattati platoniċi minn Ralph Cudworth, John Norrisand, f'vina romantika, Samuel Coleridge. Ir-rekords tal-librerija f'Harvard jiżvelaw li l-kitbiet ta 'Platun u s-segwaċi moderni u romantiċi tiegħu kienu qraw regolarment matul is-seklu 19 bħal dawk tal- "filosofija uffiċjali" ta' l-iskola Skoċċiża aktar empirika u aktar deistika.</v>
      </c>
    </row>
    <row r="2269" ht="15.75" customHeight="1">
      <c r="A2269" s="2" t="s">
        <v>2269</v>
      </c>
      <c r="B2269" s="2" t="str">
        <f>IFERROR(__xludf.DUMMYFUNCTION("GOOGLETRANSLATE(A2269,""en"", ""mt"")"),"Il-preżenza ta 'min huwa probabbli ħafna anke fi proġetti żgħar?")</f>
        <v>Il-preżenza ta 'min huwa probabbli ħafna anke fi proġetti żgħar?</v>
      </c>
    </row>
    <row r="2270" ht="15.75" customHeight="1">
      <c r="A2270" s="2" t="s">
        <v>2270</v>
      </c>
      <c r="B2270" s="2" t="str">
        <f>IFERROR(__xludf.DUMMYFUNCTION("GOOGLETRANSLATE(A2270,""en"", ""mt"")"),"Skond il-paragun ta 'Sheldon Ungar mat-tisħin globali, l-atturi fil-każ tat-tnaqqis tal-ożonu kellhom għarfien aħjar tal-injoranza u l-inċertezzi xjentifiċi. Il-każ ta 'l-ożonu kkomunikat lil persuni lajċi ""b'metafori li jgħaqqdu faċli biex jinftiehmu de"&amp;"rivati ​​mill-kultura popolari"" u relatati ma' ""riskji immedjati b'relevanza ta 'kuljum"", filwaqt li l-opinjoni pubblika dwar it-tibdil fil-klima ma tara l-ebda periklu imminenti. Il-mitigazzjoni gradwali tal-isfida tas-saff tal-ożonu kienet ibbażata w"&amp;"koll fuq it-tnaqqis ta 'kunflitti ta' qsim ta 'piż reġjonali. Fil-każ tal-konklużjonijiet tal-IPCC u l-falliment tal-protokoll Kyoto, li jvarjaw l-analiżi tal-kost-benefiċċju u l-kunflitti ta 'qsim ta' piż fir-rigward tad-distribuzzjoni tat-tnaqqis tal-em"&amp;"issjonijiet jibqgħu problema mhux solvuta. Fir-Renju Unit, rapport għal Kumitat tal-House of Lords talab biex iħeġġeġ lill-IPCC biex jinvolvi valutazzjonijiet aħjar tal-ispejjeż u l-benefiċċji tal-bidla fil-klima iżda r-reviżjoni tal-poppa ordnata mill-gv"&amp;"ern tar-Renju Unit għamlet argument aktar qawwi favur il-ġlieda kontra t-tibdil fil-klima magħmul mill-bniedem Jonqos")</f>
        <v>Skond il-paragun ta 'Sheldon Ungar mat-tisħin globali, l-atturi fil-każ tat-tnaqqis tal-ożonu kellhom għarfien aħjar tal-injoranza u l-inċertezzi xjentifiċi. Il-każ ta 'l-ożonu kkomunikat lil persuni lajċi "b'metafori li jgħaqqdu faċli biex jinftiehmu derivati ​​mill-kultura popolari" u relatati ma' "riskji immedjati b'relevanza ta 'kuljum", filwaqt li l-opinjoni pubblika dwar it-tibdil fil-klima ma tara l-ebda periklu imminenti. Il-mitigazzjoni gradwali tal-isfida tas-saff tal-ożonu kienet ibbażata wkoll fuq it-tnaqqis ta 'kunflitti ta' qsim ta 'piż reġjonali. Fil-każ tal-konklużjonijiet tal-IPCC u l-falliment tal-protokoll Kyoto, li jvarjaw l-analiżi tal-kost-benefiċċju u l-kunflitti ta 'qsim ta' piż fir-rigward tad-distribuzzjoni tat-tnaqqis tal-emissjonijiet jibqgħu problema mhux solvuta. Fir-Renju Unit, rapport għal Kumitat tal-House of Lords talab biex iħeġġeġ lill-IPCC biex jinvolvi valutazzjonijiet aħjar tal-ispejjeż u l-benefiċċji tal-bidla fil-klima iżda r-reviżjoni tal-poppa ordnata mill-gvern tar-Renju Unit għamlet argument aktar qawwi favur il-ġlieda kontra t-tibdil fil-klima magħmul mill-bniedem Jonqos</v>
      </c>
    </row>
    <row r="2271" ht="15.75" customHeight="1">
      <c r="A2271" s="2" t="s">
        <v>2271</v>
      </c>
      <c r="B2271" s="2" t="str">
        <f>IFERROR(__xludf.DUMMYFUNCTION("GOOGLETRANSLATE(A2271,""en"", ""mt"")"),"Fejn hu l-Brażil ikklassifikat globalment fil-produzzjoni tas-sojja?")</f>
        <v>Fejn hu l-Brażil ikklassifikat globalment fil-produzzjoni tas-sojja?</v>
      </c>
    </row>
    <row r="2272" ht="15.75" customHeight="1">
      <c r="A2272" s="2" t="s">
        <v>2272</v>
      </c>
      <c r="B2272" s="2" t="str">
        <f>IFERROR(__xludf.DUMMYFUNCTION("GOOGLETRANSLATE(A2272,""en"", ""mt"")"),"molekuli awto u mhux awto")</f>
        <v>molekuli awto u mhux awto</v>
      </c>
    </row>
    <row r="2273" ht="15.75" customHeight="1">
      <c r="A2273" s="2" t="s">
        <v>2273</v>
      </c>
      <c r="B2273" s="2" t="str">
        <f>IFERROR(__xludf.DUMMYFUNCTION("GOOGLETRANSLATE(A2273,""en"", ""mt"")"),"Fi tmiem l-Ewwel Gwerra Dinjija, ir-Rhineland kien soġġett għat-Trattat ta 'Versailles. Dan iddikjara li se jkun okkupat mill-Alleati, sal-1935 u wara dan, kienet tkun żona demilitarizzata, bl-armata Ġermaniża tiġi pprojbita li tidħol. It-Trattat ta 'Vers"&amp;"ailles u din id-dispożizzjoni partikolari, b'mod ġenerali, ikkawżaw ħafna riżentiment fil-Ġermanja u ħafna drabi huma kkwotati bħala li jgħinu l-lok għall-poter ta' Adolf Hitler. L-Alleati ħallew ir-Rhineland, fl-1930 u l-Armata Ġermaniża reġgħet okkupath"&amp;"a fl-1936, li kienet popolari ħafna fil-Ġermanja. Għalkemm l-Alleati probabbilment setgħu żammew l-okkupazzjoni mill-ġdid, il-Gran Brittanja u Franza ma kinux inklinati li jagħmlu dan, karatteristika tal-politika tagħhom ta 'attestazzjoni għal Hitler.")</f>
        <v>Fi tmiem l-Ewwel Gwerra Dinjija, ir-Rhineland kien soġġett għat-Trattat ta 'Versailles. Dan iddikjara li se jkun okkupat mill-Alleati, sal-1935 u wara dan, kienet tkun żona demilitarizzata, bl-armata Ġermaniża tiġi pprojbita li tidħol. It-Trattat ta 'Versailles u din id-dispożizzjoni partikolari, b'mod ġenerali, ikkawżaw ħafna riżentiment fil-Ġermanja u ħafna drabi huma kkwotati bħala li jgħinu l-lok għall-poter ta' Adolf Hitler. L-Alleati ħallew ir-Rhineland, fl-1930 u l-Armata Ġermaniża reġgħet okkupatha fl-1936, li kienet popolari ħafna fil-Ġermanja. Għalkemm l-Alleati probabbilment setgħu żammew l-okkupazzjoni mill-ġdid, il-Gran Brittanja u Franza ma kinux inklinati li jagħmlu dan, karatteristika tal-politika tagħhom ta 'attestazzjoni għal Hitler.</v>
      </c>
    </row>
    <row r="2274" ht="15.75" customHeight="1">
      <c r="A2274" s="2" t="s">
        <v>2274</v>
      </c>
      <c r="B2274" s="2" t="str">
        <f>IFERROR(__xludf.DUMMYFUNCTION("GOOGLETRANSLATE(A2274,""en"", ""mt"")"),"sid tal-proprjetà")</f>
        <v>sid tal-proprjetà</v>
      </c>
    </row>
    <row r="2275" ht="15.75" customHeight="1">
      <c r="A2275" s="2" t="s">
        <v>2275</v>
      </c>
      <c r="B2275" s="2" t="str">
        <f>IFERROR(__xludf.DUMMYFUNCTION("GOOGLETRANSLATE(A2275,""en"", ""mt"")"),"Gżejjer Channel")</f>
        <v>Gżejjer Channel</v>
      </c>
    </row>
    <row r="2276" ht="15.75" customHeight="1">
      <c r="A2276" s="2" t="s">
        <v>2276</v>
      </c>
      <c r="B2276" s="2" t="str">
        <f>IFERROR(__xludf.DUMMYFUNCTION("GOOGLETRANSLATE(A2276,""en"", ""mt"")"),"kapaċi jiffinanzjaw vjaġġaturi")</f>
        <v>kapaċi jiffinanzjaw vjaġġaturi</v>
      </c>
    </row>
    <row r="2277" ht="15.75" customHeight="1">
      <c r="A2277" s="2" t="s">
        <v>2277</v>
      </c>
      <c r="B2277" s="2" t="str">
        <f>IFERROR(__xludf.DUMMYFUNCTION("GOOGLETRANSLATE(A2277,""en"", ""mt"")"),"X'inhu l-iskop tal-ASER?")</f>
        <v>X'inhu l-iskop tal-ASER?</v>
      </c>
    </row>
    <row r="2278" ht="15.75" customHeight="1">
      <c r="A2278" s="2" t="s">
        <v>2278</v>
      </c>
      <c r="B2278" s="2" t="str">
        <f>IFERROR(__xludf.DUMMYFUNCTION("GOOGLETRANSLATE(A2278,""en"", ""mt"")"),"Liema distinzjoni għandha t-torri tal-Bank of America?")</f>
        <v>Liema distinzjoni għandha t-torri tal-Bank of America?</v>
      </c>
    </row>
    <row r="2279" ht="15.75" customHeight="1">
      <c r="A2279" s="2" t="s">
        <v>2279</v>
      </c>
      <c r="B2279" s="2" t="str">
        <f>IFERROR(__xludf.DUMMYFUNCTION("GOOGLETRANSLATE(A2279,""en"", ""mt"")"),"X’kienu jagħmlu l-pajjiżi Ewropej matul is-1700?")</f>
        <v>X’kienu jagħmlu l-pajjiżi Ewropej matul is-1700?</v>
      </c>
    </row>
    <row r="2280" ht="15.75" customHeight="1">
      <c r="A2280" s="2" t="s">
        <v>2280</v>
      </c>
      <c r="B2280" s="2" t="str">
        <f>IFERROR(__xludf.DUMMYFUNCTION("GOOGLETRANSLATE(A2280,""en"", ""mt"")"),"It-terz l-ieħor tal-ilma jgħaddi minn ġol-Pannerdens Kanaal u jqassam mill-ġdid fl-IJSSEL u Nederrijn. Il-fergħa IJSSEL ġġorr disa 'mill-fluss tal-ilma tar-Rhine fit-tramuntana lejn l-ijsselmeer (ex-bajja), filwaqt li n-Nederrijn iġorr madwar żewġ disa' t"&amp;"ad-disa 'tal-fluss lejn il-punent tul rotta parallela mal-waal. Madankollu, f'Wijk Bij Duurstede, in-Nederrijn jibdel isimha u jsir il-lek. Jidher 'il bogħod lejn il-punent, biex jerġa' jerġa 'jmur ix-Xmara Noord lejn in-Nieuwe Maas u lejn il-Baħar tat-Tr"&amp;"amuntana.")</f>
        <v>It-terz l-ieħor tal-ilma jgħaddi minn ġol-Pannerdens Kanaal u jqassam mill-ġdid fl-IJSSEL u Nederrijn. Il-fergħa IJSSEL ġġorr disa 'mill-fluss tal-ilma tar-Rhine fit-tramuntana lejn l-ijsselmeer (ex-bajja), filwaqt li n-Nederrijn iġorr madwar żewġ disa' tad-disa 'tal-fluss lejn il-punent tul rotta parallela mal-waal. Madankollu, f'Wijk Bij Duurstede, in-Nederrijn jibdel isimha u jsir il-lek. Jidher 'il bogħod lejn il-punent, biex jerġa' jerġa 'jmur ix-Xmara Noord lejn in-Nieuwe Maas u lejn il-Baħar tat-Tramuntana.</v>
      </c>
    </row>
    <row r="2281" ht="15.75" customHeight="1">
      <c r="A2281" s="2" t="s">
        <v>2281</v>
      </c>
      <c r="B2281" s="2" t="str">
        <f>IFERROR(__xludf.DUMMYFUNCTION("GOOGLETRANSLATE(A2281,""en"", ""mt"")"),"Problema hija meqjusa bħala inerenti diffiċli jekk is-soluzzjoni tagħha teħtieġ riżorsi sinifikanti, ikun xi jkun l-algoritmu użat. It-teorija tifformalizza din l-intwizzjoni, billi tintroduċi mudelli matematiċi ta 'komputazzjoni biex tistudja dawn il-pro"&amp;"blemi u tikkwantifika l-ammont ta' riżorsi meħtieġa biex issolvihom, bħal ħin u ħażna. Miżuri oħra ta 'kumplessità jintużaw ukoll, bħall-ammont ta' komunikazzjoni (użat fil-kumplessità tal-komunikazzjoni), in-numru ta 'xtiebi f'ċirkwit (użat fil-kumplessi"&amp;"tà taċ-ċirkwit) u n-numru ta' proċessuri (użati fil-kompjuters paralleli). Wieħed mir-rwoli tat-teorija tal-kumplessità tal-komputazzjoni huwa li jiddetermina l-limiti prattiċi fuq dak li l-kompjuters jistgħu u ma jistgħux jagħmlu.")</f>
        <v>Problema hija meqjusa bħala inerenti diffiċli jekk is-soluzzjoni tagħha teħtieġ riżorsi sinifikanti, ikun xi jkun l-algoritmu użat. It-teorija tifformalizza din l-intwizzjoni, billi tintroduċi mudelli matematiċi ta 'komputazzjoni biex tistudja dawn il-problemi u tikkwantifika l-ammont ta' riżorsi meħtieġa biex issolvihom, bħal ħin u ħażna. Miżuri oħra ta 'kumplessità jintużaw ukoll, bħall-ammont ta' komunikazzjoni (użat fil-kumplessità tal-komunikazzjoni), in-numru ta 'xtiebi f'ċirkwit (użat fil-kumplessità taċ-ċirkwit) u n-numru ta' proċessuri (użati fil-kompjuters paralleli). Wieħed mir-rwoli tat-teorija tal-kumplessità tal-komputazzjoni huwa li jiddetermina l-limiti prattiċi fuq dak li l-kompjuters jistgħu u ma jistgħux jagħmlu.</v>
      </c>
    </row>
    <row r="2282" ht="15.75" customHeight="1">
      <c r="A2282" s="2" t="s">
        <v>2282</v>
      </c>
      <c r="B2282" s="2" t="str">
        <f>IFERROR(__xludf.DUMMYFUNCTION("GOOGLETRANSLATE(A2282,""en"", ""mt"")"),"Il-proċedura tkompli sa liema?")</f>
        <v>Il-proċedura tkompli sa liema?</v>
      </c>
    </row>
    <row r="2283" ht="15.75" customHeight="1">
      <c r="A2283" s="2" t="s">
        <v>2283</v>
      </c>
      <c r="B2283" s="2" t="str">
        <f>IFERROR(__xludf.DUMMYFUNCTION("GOOGLETRANSLATE(A2283,""en"", ""mt"")"),"F’Ottubru 2010, il-ġurnal xjentifiku b’aċċess miftuħ PLOS PATHOGENS ippubblika dokument minn tim multinazzjonali li wettaq investigazzjoni ġdida dwar ir-rwol ta ’Yersinia pestis fil-mewt sewda wara l-identifikazzjoni kkontestata minn Drancourt u Raoult fl"&amp;"-1998. Huma evalwaw il-preżenza ta’ DNA / RNA b'tekniki ta 'reazzjoni fil-katina tal-polimerażi (PCR) għal Y. pestis mis-sokits tas-snien fl-iskeletri umani mill-oqbra tal-massa fit-tramuntana, l-Ewropa ċentrali u fin-nofsinhar li kienu assoċjati arkeoloġ"&amp;"ikament mal-mewt sewda u r-qawmien mill-ġdid sussegwenti. L-awturi kkonkludew li din ir-riċerka l-ġdida, flimkien ma 'analiżi minn qabel min-nofsinhar ta' Franza u l-Ġermanja, ""... itemm id-dibattitu dwar l-etjoloġija tal-mewt sewda, u mingħajr ambigwità"&amp;" turi li Y. pestis kien l-aġent kawżattiv tal-pesta epidemika li ħerba l-Ewropa matul il-Medju Evu "".")</f>
        <v>F’Ottubru 2010, il-ġurnal xjentifiku b’aċċess miftuħ PLOS PATHOGENS ippubblika dokument minn tim multinazzjonali li wettaq investigazzjoni ġdida dwar ir-rwol ta ’Yersinia pestis fil-mewt sewda wara l-identifikazzjoni kkontestata minn Drancourt u Raoult fl-1998. Huma evalwaw il-preżenza ta’ DNA / RNA b'tekniki ta 'reazzjoni fil-katina tal-polimerażi (PCR) għal Y. pestis mis-sokits tas-snien fl-iskeletri umani mill-oqbra tal-massa fit-tramuntana, l-Ewropa ċentrali u fin-nofsinhar li kienu assoċjati arkeoloġikament mal-mewt sewda u r-qawmien mill-ġdid sussegwenti. L-awturi kkonkludew li din ir-riċerka l-ġdida, flimkien ma 'analiżi minn qabel min-nofsinhar ta' Franza u l-Ġermanja, "... itemm id-dibattitu dwar l-etjoloġija tal-mewt sewda, u mingħajr ambigwità turi li Y. pestis kien l-aġent kawżattiv tal-pesta epidemika li ħerba l-Ewropa matul il-Medju Evu ".</v>
      </c>
    </row>
    <row r="2284" ht="15.75" customHeight="1">
      <c r="A2284" s="2" t="s">
        <v>2284</v>
      </c>
      <c r="B2284" s="2" t="str">
        <f>IFERROR(__xludf.DUMMYFUNCTION("GOOGLETRANSLATE(A2284,""en"", ""mt"")"),"Uża l-proċeduri bħala forum biex tinforma lill-ġurija u lill-pubbliku dwar iċ-ċirkostanzi politiċi")</f>
        <v>Uża l-proċeduri bħala forum biex tinforma lill-ġurija u lill-pubbliku dwar iċ-ċirkostanzi politiċi</v>
      </c>
    </row>
    <row r="2285" ht="15.75" customHeight="1">
      <c r="A2285" s="2" t="s">
        <v>2285</v>
      </c>
      <c r="B2285" s="2" t="str">
        <f>IFERROR(__xludf.DUMMYFUNCTION("GOOGLETRANSLATE(A2285,""en"", ""mt"")"),"X'kien l-isem tal-battalja li mmarkat l-ewwel rebħa Konfederata fi Florida?")</f>
        <v>X'kien l-isem tal-battalja li mmarkat l-ewwel rebħa Konfederata fi Florida?</v>
      </c>
    </row>
    <row r="2286" ht="15.75" customHeight="1">
      <c r="A2286" s="2" t="s">
        <v>2286</v>
      </c>
      <c r="B2286" s="2" t="str">
        <f>IFERROR(__xludf.DUMMYFUNCTION("GOOGLETRANSLATE(A2286,""en"", ""mt"")"),"Liema pont il-Ġermaniżi naqsu milli jitwaqqa '?")</f>
        <v>Liema pont il-Ġermaniżi naqsu milli jitwaqqa '?</v>
      </c>
    </row>
    <row r="2287" ht="15.75" customHeight="1">
      <c r="A2287" s="2" t="s">
        <v>2287</v>
      </c>
      <c r="B2287" s="2" t="str">
        <f>IFERROR(__xludf.DUMMYFUNCTION("GOOGLETRANSLATE(A2287,""en"", ""mt"")"),"In-Netwerk tal-Fondazzjoni Nazzjonali tax-Xjenza (NSFNET) kien programm ta 'proġetti kkoordinati u li qed jevolvu sponsorjati mill-Fondazzjoni Nazzjonali tax-Xjenza (NSF) li jibdew fl-1985 biex jippromwovu netwerking avvanzat ta' riċerka u edukazzjoni fl-"&amp;"Istati Uniti. NSFNET kien ukoll l-isem mogħti lil diversi netwerks tas-sinsla tal-pajjiż li joperaw b'veloċitajiet ta '56 kbit / s, 1.5 mbit / s (T1), u 45 mbit / s (T3) li ġew mibnija biex jappoġġjaw inizjattivi ta 'netwerking ta' NSF mill-1985-1995. Ini"&amp;"zjalment maħluqa biex jgħaqqdu r-riċerkaturi maċ-ċentri tas-superkompjuters iffinanzjati mill-NSF tan-nazzjon, permezz ta 'fondi pubbliċi u sħubijiet ta' l-industrija privata li żviluppaw f'parti ewlenija tas-sinsla tal-internet.")</f>
        <v>In-Netwerk tal-Fondazzjoni Nazzjonali tax-Xjenza (NSFNET) kien programm ta 'proġetti kkoordinati u li qed jevolvu sponsorjati mill-Fondazzjoni Nazzjonali tax-Xjenza (NSF) li jibdew fl-1985 biex jippromwovu netwerking avvanzat ta' riċerka u edukazzjoni fl-Istati Uniti. NSFNET kien ukoll l-isem mogħti lil diversi netwerks tas-sinsla tal-pajjiż li joperaw b'veloċitajiet ta '56 kbit / s, 1.5 mbit / s (T1), u 45 mbit / s (T3) li ġew mibnija biex jappoġġjaw inizjattivi ta 'netwerking ta' NSF mill-1985-1995. Inizjalment maħluqa biex jgħaqqdu r-riċerkaturi maċ-ċentri tas-superkompjuters iffinanzjati mill-NSF tan-nazzjon, permezz ta 'fondi pubbliċi u sħubijiet ta' l-industrija privata li żviluppaw f'parti ewlenija tas-sinsla tal-internet.</v>
      </c>
    </row>
    <row r="2288" ht="15.75" customHeight="1">
      <c r="A2288" s="2" t="s">
        <v>2288</v>
      </c>
      <c r="B2288" s="2" t="str">
        <f>IFERROR(__xludf.DUMMYFUNCTION("GOOGLETRANSLATE(A2288,""en"", ""mt"")"),"Xi jfisser is-Salafiżmu fl-agħar forma tiegħu li jħeġġeġ lis-segwaċi tiegħu biex jaraw ir-reliġjon ta 'ħaddieħor?")</f>
        <v>Xi jfisser is-Salafiżmu fl-agħar forma tiegħu li jħeġġeġ lis-segwaċi tiegħu biex jaraw ir-reliġjon ta 'ħaddieħor?</v>
      </c>
    </row>
    <row r="2289" ht="15.75" customHeight="1">
      <c r="A2289" s="2" t="s">
        <v>2289</v>
      </c>
      <c r="B2289" s="2" t="str">
        <f>IFERROR(__xludf.DUMMYFUNCTION("GOOGLETRANSLATE(A2289,""en"", ""mt"")"),"Sħubija ma 'komunikazzjonijiet ta' Livell 3 biex tniedi netwerk ġdid fjamant fuq livell nazzjonali")</f>
        <v>Sħubija ma 'komunikazzjonijiet ta' Livell 3 biex tniedi netwerk ġdid fjamant fuq livell nazzjonali</v>
      </c>
    </row>
    <row r="2290" ht="15.75" customHeight="1">
      <c r="A2290" s="2" t="s">
        <v>2290</v>
      </c>
      <c r="B2290" s="2" t="str">
        <f>IFERROR(__xludf.DUMMYFUNCTION("GOOGLETRANSLATE(A2290,""en"", ""mt"")"),"Bl-istess linji, il-KO-NP hija l-klassi li fiha l-problemi ta 'komplement (i.e. problemi bit-tweġibiet iva / le maqluba) ta' problemi ta 'NP. Huwa maħsub li l-NP mhuwiex daqs il-KO-NP; Madankollu, għadu ma ġiex ippruvat. Intwera li jekk dawn iż-żewġ klass"&amp;"ijiet ta 'kumplessità mhumiex ugwali allura P mhux daqs NP.")</f>
        <v>Bl-istess linji, il-KO-NP hija l-klassi li fiha l-problemi ta 'komplement (i.e. problemi bit-tweġibiet iva / le maqluba) ta' problemi ta 'NP. Huwa maħsub li l-NP mhuwiex daqs il-KO-NP; Madankollu, għadu ma ġiex ippruvat. Intwera li jekk dawn iż-żewġ klassijiet ta 'kumplessità mhumiex ugwali allura P mhux daqs NP.</v>
      </c>
    </row>
    <row r="2291" ht="15.75" customHeight="1">
      <c r="A2291" s="2" t="s">
        <v>2291</v>
      </c>
      <c r="B2291" s="2" t="str">
        <f>IFERROR(__xludf.DUMMYFUNCTION("GOOGLETRANSLATE(A2291,""en"", ""mt"")"),"Liema sess huwa aktar popolat fil-gruppi kollha f'Jacksonville?")</f>
        <v>Liema sess huwa aktar popolat fil-gruppi kollha f'Jacksonville?</v>
      </c>
    </row>
    <row r="2292" ht="15.75" customHeight="1">
      <c r="A2292" s="2" t="s">
        <v>2292</v>
      </c>
      <c r="B2292" s="2" t="str">
        <f>IFERROR(__xludf.DUMMYFUNCTION("GOOGLETRANSLATE(A2292,""en"", ""mt"")"),"Jittrasformaw il-konfini")</f>
        <v>Jittrasformaw il-konfini</v>
      </c>
    </row>
    <row r="2293" ht="15.75" customHeight="1">
      <c r="A2293" s="2" t="s">
        <v>2293</v>
      </c>
      <c r="B2293" s="2" t="str">
        <f>IFERROR(__xludf.DUMMYFUNCTION("GOOGLETRANSLATE(A2293,""en"", ""mt"")"),"Economic_inequality")</f>
        <v>Economic_inequality</v>
      </c>
    </row>
    <row r="2294" ht="15.75" customHeight="1">
      <c r="A2294" s="2" t="s">
        <v>2294</v>
      </c>
      <c r="B2294" s="2" t="str">
        <f>IFERROR(__xludf.DUMMYFUNCTION("GOOGLETRANSLATE(A2294,""en"", ""mt"")"),"Każ tal-Qorti Suprema tal-Fondazzjoni FCC v. Pacifica")</f>
        <v>Każ tal-Qorti Suprema tal-Fondazzjoni FCC v. Pacifica</v>
      </c>
    </row>
    <row r="2295" ht="15.75" customHeight="1">
      <c r="A2295" s="2" t="s">
        <v>2295</v>
      </c>
      <c r="B2295" s="2" t="str">
        <f>IFERROR(__xludf.DUMMYFUNCTION("GOOGLETRANSLATE(A2295,""en"", ""mt"")"),"Tliet azzjonijiet offensivi ewlenin li jinvolvu numru kbir ta 'truppi regolari")</f>
        <v>Tliet azzjonijiet offensivi ewlenin li jinvolvu numru kbir ta 'truppi regolari</v>
      </c>
    </row>
    <row r="2296" ht="15.75" customHeight="1">
      <c r="A2296" s="2" t="s">
        <v>2296</v>
      </c>
      <c r="B2296" s="2" t="str">
        <f>IFERROR(__xludf.DUMMYFUNCTION("GOOGLETRANSLATE(A2296,""en"", ""mt"")"),"X'inhi l-liġi msemmija li tiddefinixxi ħlas li jiċċaqlaq minn kamp manjetiku?")</f>
        <v>X'inhi l-liġi msemmija li tiddefinixxi ħlas li jiċċaqlaq minn kamp manjetiku?</v>
      </c>
    </row>
    <row r="2297" ht="15.75" customHeight="1">
      <c r="A2297" s="2" t="s">
        <v>2297</v>
      </c>
      <c r="B2297" s="2" t="str">
        <f>IFERROR(__xludf.DUMMYFUNCTION("GOOGLETRANSLATE(A2297,""en"", ""mt"")"),"Liema artikoli jiddikjaraw li sakemm ma jingħatawx, il-poteri jibqgħu mal-istati membri?")</f>
        <v>Liema artikoli jiddikjaraw li sakemm ma jingħatawx, il-poteri jibqgħu mal-istati membri?</v>
      </c>
    </row>
    <row r="2298" ht="15.75" customHeight="1">
      <c r="A2298" s="2" t="s">
        <v>2298</v>
      </c>
      <c r="B2298" s="2" t="str">
        <f>IFERROR(__xludf.DUMMYFUNCTION("GOOGLETRANSLATE(A2298,""en"", ""mt"")"),"tipi ta 'tnaqqis")</f>
        <v>tipi ta 'tnaqqis</v>
      </c>
    </row>
    <row r="2299" ht="15.75" customHeight="1">
      <c r="A2299" s="2" t="s">
        <v>2299</v>
      </c>
      <c r="B2299" s="2" t="str">
        <f>IFERROR(__xludf.DUMMYFUNCTION("GOOGLETRANSLATE(A2299,""en"", ""mt"")"),"Moviment tad-Drittijiet Ċivili")</f>
        <v>Moviment tad-Drittijiet Ċivili</v>
      </c>
    </row>
    <row r="2300" ht="15.75" customHeight="1">
      <c r="A2300" s="2" t="s">
        <v>2300</v>
      </c>
      <c r="B2300" s="2" t="str">
        <f>IFERROR(__xludf.DUMMYFUNCTION("GOOGLETRANSLATE(A2300,""en"", ""mt"")"),"Liema liġijiet imsemmija qabel il-liġi tal-UE?")</f>
        <v>Liema liġijiet imsemmija qabel il-liġi tal-UE?</v>
      </c>
    </row>
    <row r="2301" ht="15.75" customHeight="1">
      <c r="A2301" s="2" t="s">
        <v>2301</v>
      </c>
      <c r="B2301" s="2" t="str">
        <f>IFERROR(__xludf.DUMMYFUNCTION("GOOGLETRANSLATE(A2301,""en"", ""mt"")"),"X'tip ta 'sistema tirrilaxxa l-fwar tal-egżost fl-atmosfera?")</f>
        <v>X'tip ta 'sistema tirrilaxxa l-fwar tal-egżost fl-atmosfera?</v>
      </c>
    </row>
    <row r="2302" ht="15.75" customHeight="1">
      <c r="A2302" s="2" t="s">
        <v>2302</v>
      </c>
      <c r="B2302" s="2" t="str">
        <f>IFERROR(__xludf.DUMMYFUNCTION("GOOGLETRANSLATE(A2302,""en"", ""mt"")"),"Matul liema perjodu x'aktarx il-baċin tad-drenaġġ tal-Amazon jinqasam?")</f>
        <v>Matul liema perjodu x'aktarx il-baċin tad-drenaġġ tal-Amazon jinqasam?</v>
      </c>
    </row>
    <row r="2303" ht="15.75" customHeight="1">
      <c r="A2303" s="2" t="s">
        <v>2303</v>
      </c>
      <c r="B2303" s="2" t="str">
        <f>IFERROR(__xludf.DUMMYFUNCTION("GOOGLETRANSLATE(A2303,""en"", ""mt"")"),"Min inħatar bħala s-sostitut għad-Duka Yansheng Kong Duanyou?")</f>
        <v>Min inħatar bħala s-sostitut għad-Duka Yansheng Kong Duanyou?</v>
      </c>
    </row>
    <row r="2304" ht="15.75" customHeight="1">
      <c r="A2304" s="2" t="s">
        <v>2304</v>
      </c>
      <c r="B2304" s="2" t="str">
        <f>IFERROR(__xludf.DUMMYFUNCTION("GOOGLETRANSLATE(A2304,""en"", ""mt"")"),"imqassam")</f>
        <v>imqassam</v>
      </c>
    </row>
    <row r="2305" ht="15.75" customHeight="1">
      <c r="A2305" s="2" t="s">
        <v>2305</v>
      </c>
      <c r="B2305" s="2" t="str">
        <f>IFERROR(__xludf.DUMMYFUNCTION("GOOGLETRANSLATE(A2305,""en"", ""mt"")"),"fil-biċċa l-kbira numru ewlieni")</f>
        <v>fil-biċċa l-kbira numru ewlieni</v>
      </c>
    </row>
    <row r="2306" ht="15.75" customHeight="1">
      <c r="A2306" s="2" t="s">
        <v>2306</v>
      </c>
      <c r="B2306" s="2" t="str">
        <f>IFERROR(__xludf.DUMMYFUNCTION("GOOGLETRANSLATE(A2306,""en"", ""mt"")"),"Ipproteġi l-art tar-re fil-wied ta 'Ohio mill-Ingliżi")</f>
        <v>Ipproteġi l-art tar-re fil-wied ta 'Ohio mill-Ingliżi</v>
      </c>
    </row>
    <row r="2307" ht="15.75" customHeight="1">
      <c r="A2307" s="2" t="s">
        <v>2307</v>
      </c>
      <c r="B2307" s="2" t="str">
        <f>IFERROR(__xludf.DUMMYFUNCTION("GOOGLETRANSLATE(A2307,""en"", ""mt"")"),"Rajthom bħala Ċiniżi wisq")</f>
        <v>Rajthom bħala Ċiniżi wisq</v>
      </c>
    </row>
    <row r="2308" ht="15.75" customHeight="1">
      <c r="A2308" s="2" t="s">
        <v>2308</v>
      </c>
      <c r="B2308" s="2" t="str">
        <f>IFERROR(__xludf.DUMMYFUNCTION("GOOGLETRANSLATE(A2308,""en"", ""mt"")"),"Kunsinna sekwenzjata ta 'dejta lill-host")</f>
        <v>Kunsinna sekwenzjata ta 'dejta lill-host</v>
      </c>
    </row>
    <row r="2309" ht="15.75" customHeight="1">
      <c r="A2309" s="2" t="s">
        <v>2309</v>
      </c>
      <c r="B2309" s="2" t="str">
        <f>IFERROR(__xludf.DUMMYFUNCTION("GOOGLETRANSLATE(A2309,""en"", ""mt"")"),"Metodoloġija tar-rotta tal-messaġġi")</f>
        <v>Metodoloġija tar-rotta tal-messaġġi</v>
      </c>
    </row>
    <row r="2310" ht="15.75" customHeight="1">
      <c r="A2310" s="2" t="s">
        <v>2310</v>
      </c>
      <c r="B2310" s="2" t="str">
        <f>IFERROR(__xludf.DUMMYFUNCTION("GOOGLETRANSLATE(A2310,""en"", ""mt"")"),"bagħat lil Dieskau fil-Fort San Frédéric biex jiltaqa 'ma' dik it-theddida")</f>
        <v>bagħat lil Dieskau fil-Fort San Frédéric biex jiltaqa 'ma' dik it-theddida</v>
      </c>
    </row>
    <row r="2311" ht="15.75" customHeight="1">
      <c r="A2311" s="2" t="s">
        <v>2311</v>
      </c>
      <c r="B2311" s="2" t="str">
        <f>IFERROR(__xludf.DUMMYFUNCTION("GOOGLETRANSLATE(A2311,""en"", ""mt"")"),"in-netwerk")</f>
        <v>in-netwerk</v>
      </c>
    </row>
    <row r="2312" ht="15.75" customHeight="1">
      <c r="A2312" s="2" t="s">
        <v>2312</v>
      </c>
      <c r="B2312" s="2" t="str">
        <f>IFERROR(__xludf.DUMMYFUNCTION("GOOGLETRANSLATE(A2312,""en"", ""mt"")"),"L-Università ta 'Chicago (Uchicago, Chicago, jew U ta' C) hija università ta 'riċerka privata f'Chicago. L-università, stabbilita fl-1890, tikkonsisti fil-Kulleġġ, diversi programmi ta ’gradwati, kumitati interdixxiplinarji organizzati f’erba’ diviżjoniji"&amp;"et ta ’riċerka akkademiċi u seba’ skejjel professjonali. Lil hinn mill-Arti u x-Xjenzi, Chicago hija magħrufa wkoll għall-iskejjel professjonali tagħha, li jinkludu l-Iskola tal-Mediċina Pritzker, l-Iskola tan-Negozju tal-Università ta 'Chicago, l-Iskola "&amp;"tal-Liġi, l-Iskola tas-Servizz Soċjali, l-Iskola Harris tal-Politika Pubblika Studji, l-Iskola Graham ta ’Studji Liberali u Professjonali kontinwi u l-Iskola Divinità. L-università bħalissa tirreġistra madwar 5,000 student fil-kulleġġ u madwar 15,000 stud"&amp;"ent ġenerali.")</f>
        <v>L-Università ta 'Chicago (Uchicago, Chicago, jew U ta' C) hija università ta 'riċerka privata f'Chicago. L-università, stabbilita fl-1890, tikkonsisti fil-Kulleġġ, diversi programmi ta ’gradwati, kumitati interdixxiplinarji organizzati f’erba’ diviżjonijiet ta ’riċerka akkademiċi u seba’ skejjel professjonali. Lil hinn mill-Arti u x-Xjenzi, Chicago hija magħrufa wkoll għall-iskejjel professjonali tagħha, li jinkludu l-Iskola tal-Mediċina Pritzker, l-Iskola tan-Negozju tal-Università ta 'Chicago, l-Iskola tal-Liġi, l-Iskola tas-Servizz Soċjali, l-Iskola Harris tal-Politika Pubblika Studji, l-Iskola Graham ta ’Studji Liberali u Professjonali kontinwi u l-Iskola Divinità. L-università bħalissa tirreġistra madwar 5,000 student fil-kulleġġ u madwar 15,000 student ġenerali.</v>
      </c>
    </row>
    <row r="2313" ht="15.75" customHeight="1">
      <c r="A2313" s="2" t="s">
        <v>2313</v>
      </c>
      <c r="B2313" s="2" t="str">
        <f>IFERROR(__xludf.DUMMYFUNCTION("GOOGLETRANSLATE(A2313,""en"", ""mt"")"),"Liema ekwazzjoni bħalissa tonqos il-fiżika tal-forza.")</f>
        <v>Liema ekwazzjoni bħalissa tonqos il-fiżika tal-forza.</v>
      </c>
    </row>
    <row r="2314" ht="15.75" customHeight="1">
      <c r="A2314" s="2" t="s">
        <v>2314</v>
      </c>
      <c r="B2314" s="2" t="str">
        <f>IFERROR(__xludf.DUMMYFUNCTION("GOOGLETRANSLATE(A2314,""en"", ""mt"")"),"Kif hija l-fergħa ġudizzjarja tal-UE fattur importanti fl-iżvilupp tal-liġi tal-UE?")</f>
        <v>Kif hija l-fergħa ġudizzjarja tal-UE fattur importanti fl-iżvilupp tal-liġi tal-UE?</v>
      </c>
    </row>
    <row r="2315" ht="15.75" customHeight="1">
      <c r="A2315" s="2" t="s">
        <v>2315</v>
      </c>
      <c r="B2315" s="2" t="str">
        <f>IFERROR(__xludf.DUMMYFUNCTION("GOOGLETRANSLATE(A2315,""en"", ""mt"")"),"Fl-Irlanda, l-iskejjel privati ​​(Irlandiżi: Scoil phríobháideach) mhumiex tas-soltu minħabba li ċertu numru ta ’salarji tal-għalliema jitħallsu mill-istat. Jekk l-iskola tixtieq timpjega għalliema żejda huma jitħallsu bi ħlasijiet tal-iskola, li għandhom"&amp;" tendenza li jkunu relattivament baxxi fl-Irlanda meta mqabbla mal-bqija tad-dinja. Madankollu, hemm element limitat ta 'valutazzjoni tal-istat ta' skejjel privati, minħabba r-rekwiżit li l-istat jiżgura li t-tfal jirċievu ċerta edukazzjoni minima; L-iske"&amp;"jjel privati ​​Irlandiżi għandhom xorta jaħdmu lejn iċ-ċertifikat tal-junior u ċ-ċertifikat tat-tluq, eż. Bosta skejjel privati ​​fl-Irlanda jirdoppjaw ukoll bħala skejjel tal-imbark. Il-ħlas medju huwa ta 'madwar € 5,000 kull sena għal ħafna skejjel, iżd"&amp;"a wħud minn dawn l-iskejjel jipprovdu wkoll imbark u t-tariffi jistgħu mbagħad jogħlew sa € 25,000 fis-sena. L-iskejjel li jħallsu t-tariffi huma ġeneralment immexxija minn ordni reliġjuża, i.e., is-Soċjetà ta ’Ġesù jew kongregazzjoni ta’ aħwa Kristjani, "&amp;"eċċ.")</f>
        <v>Fl-Irlanda, l-iskejjel privati ​​(Irlandiżi: Scoil phríobháideach) mhumiex tas-soltu minħabba li ċertu numru ta ’salarji tal-għalliema jitħallsu mill-istat. Jekk l-iskola tixtieq timpjega għalliema żejda huma jitħallsu bi ħlasijiet tal-iskola, li għandhom tendenza li jkunu relattivament baxxi fl-Irlanda meta mqabbla mal-bqija tad-dinja. Madankollu, hemm element limitat ta 'valutazzjoni tal-istat ta' skejjel privati, minħabba r-rekwiżit li l-istat jiżgura li t-tfal jirċievu ċerta edukazzjoni minima; L-iskejjel privati ​​Irlandiżi għandhom xorta jaħdmu lejn iċ-ċertifikat tal-junior u ċ-ċertifikat tat-tluq, eż. Bosta skejjel privati ​​fl-Irlanda jirdoppjaw ukoll bħala skejjel tal-imbark. Il-ħlas medju huwa ta 'madwar € 5,000 kull sena għal ħafna skejjel, iżda wħud minn dawn l-iskejjel jipprovdu wkoll imbark u t-tariffi jistgħu mbagħad jogħlew sa € 25,000 fis-sena. L-iskejjel li jħallsu t-tariffi huma ġeneralment immexxija minn ordni reliġjuża, i.e., is-Soċjetà ta ’Ġesù jew kongregazzjoni ta’ aħwa Kristjani, eċċ.</v>
      </c>
    </row>
    <row r="2316" ht="15.75" customHeight="1">
      <c r="A2316" s="2" t="s">
        <v>2316</v>
      </c>
      <c r="B2316" s="2" t="str">
        <f>IFERROR(__xludf.DUMMYFUNCTION("GOOGLETRANSLATE(A2316,""en"", ""mt"")"),"X'inhu l-istatus attwali tal-istudju Haensch?")</f>
        <v>X'inhu l-istatus attwali tal-istudju Haensch?</v>
      </c>
    </row>
    <row r="2317" ht="15.75" customHeight="1">
      <c r="A2317" s="2" t="s">
        <v>2317</v>
      </c>
      <c r="B2317" s="2" t="str">
        <f>IFERROR(__xludf.DUMMYFUNCTION("GOOGLETRANSLATE(A2317,""en"", ""mt"")"),"F’liema ktieb Betty Meggers iddeskriva l-idea li l-Amażonja tkun popolata ftit?")</f>
        <v>F’liema ktieb Betty Meggers iddeskriva l-idea li l-Amażonja tkun popolata ftit?</v>
      </c>
    </row>
    <row r="2318" ht="15.75" customHeight="1">
      <c r="A2318" s="2" t="s">
        <v>2318</v>
      </c>
      <c r="B2318" s="2" t="str">
        <f>IFERROR(__xludf.DUMMYFUNCTION("GOOGLETRANSLATE(A2318,""en"", ""mt"")"),"Ipprovdi operazzjonijiet orjentati lejn il-konnessjoni")</f>
        <v>Ipprovdi operazzjonijiet orjentati lejn il-konnessjoni</v>
      </c>
    </row>
    <row r="2319" ht="15.75" customHeight="1">
      <c r="A2319" s="2" t="s">
        <v>2319</v>
      </c>
      <c r="B2319" s="2" t="str">
        <f>IFERROR(__xludf.DUMMYFUNCTION("GOOGLETRANSLATE(A2319,""en"", ""mt"")"),"Dan jikkawża li l-unità tal-blat kollha kemm hi ssir itwal u irqaq.")</f>
        <v>Dan jikkawża li l-unità tal-blat kollha kemm hi ssir itwal u irqaq.</v>
      </c>
    </row>
    <row r="2320" ht="15.75" customHeight="1">
      <c r="A2320" s="2" t="s">
        <v>2320</v>
      </c>
      <c r="B2320" s="2" t="str">
        <f>IFERROR(__xludf.DUMMYFUNCTION("GOOGLETRANSLATE(A2320,""en"", ""mt"")"),"l-istudju ta 'saffi sedimentarji")</f>
        <v>l-istudju ta 'saffi sedimentarji</v>
      </c>
    </row>
    <row r="2321" ht="15.75" customHeight="1">
      <c r="A2321" s="2" t="s">
        <v>2321</v>
      </c>
      <c r="B2321" s="2" t="str">
        <f>IFERROR(__xludf.DUMMYFUNCTION("GOOGLETRANSLATE(A2321,""en"", ""mt"")"),"Skond The Princeton Review fejn Harvard ikklassifika bħala ""Dream College"" fl-2013")</f>
        <v>Skond The Princeton Review fejn Harvard ikklassifika bħala "Dream College" fl-2013</v>
      </c>
    </row>
    <row r="2322" ht="15.75" customHeight="1">
      <c r="A2322" s="2" t="s">
        <v>2322</v>
      </c>
      <c r="B2322" s="2" t="str">
        <f>IFERROR(__xludf.DUMMYFUNCTION("GOOGLETRANSLATE(A2322,""en"", ""mt"")"),"Vosges Mountains,")</f>
        <v>Vosges Mountains,</v>
      </c>
    </row>
    <row r="2323" ht="15.75" customHeight="1">
      <c r="A2323" s="2" t="s">
        <v>2323</v>
      </c>
      <c r="B2323" s="2" t="str">
        <f>IFERROR(__xludf.DUMMYFUNCTION("GOOGLETRANSLATE(A2323,""en"", ""mt"")"),"Hemm ukoll numru dejjem jikber ta 'forom ġodda ta' akkwist li jinvolvu kuntratti ta 'relazzjoni fejn l-enfasi hija fuq relazzjoni kooperattiva bejn il-prinċipal u l-kuntrattur u partijiet interessati oħra fi proġett ta' kostruzzjoni. Formoli ġodda jinklud"&amp;"u sħubija bħalma huma s-sħubija pubblika-privata (PPPs) magħruf ukoll bħala inizjattivi ta 'finanzi privati ​​(PFIs) u alleanzi bħal alleanzi ""puri"" jew ""proġett"" u alleanzi ""impuri"" jew ""strateġiċi"". L-enfasi fuq il-kooperazzjoni hija li ttejjeb "&amp;"il-ħafna problemi li jinħolqu mill-prattiki ta 'spiss kompetittivi u kontradittorji fl-industrija tal-kostruzzjoni.")</f>
        <v>Hemm ukoll numru dejjem jikber ta 'forom ġodda ta' akkwist li jinvolvu kuntratti ta 'relazzjoni fejn l-enfasi hija fuq relazzjoni kooperattiva bejn il-prinċipal u l-kuntrattur u partijiet interessati oħra fi proġett ta' kostruzzjoni. Formoli ġodda jinkludu sħubija bħalma huma s-sħubija pubblika-privata (PPPs) magħruf ukoll bħala inizjattivi ta 'finanzi privati ​​(PFIs) u alleanzi bħal alleanzi "puri" jew "proġett" u alleanzi "impuri" jew "strateġiċi". L-enfasi fuq il-kooperazzjoni hija li ttejjeb il-ħafna problemi li jinħolqu mill-prattiki ta 'spiss kompetittivi u kontradittorji fl-industrija tal-kostruzzjoni.</v>
      </c>
    </row>
    <row r="2324" ht="15.75" customHeight="1">
      <c r="A2324" s="2" t="s">
        <v>2324</v>
      </c>
      <c r="B2324" s="2" t="str">
        <f>IFERROR(__xludf.DUMMYFUNCTION("GOOGLETRANSLATE(A2324,""en"", ""mt"")"),"Kumitat tas-Senat tal-Istati Uniti dwar il-Kummerċ, ix-Xjenza u t-Trasport")</f>
        <v>Kumitat tas-Senat tal-Istati Uniti dwar il-Kummerċ, ix-Xjenza u t-Trasport</v>
      </c>
    </row>
    <row r="2325" ht="15.75" customHeight="1">
      <c r="A2325" s="2" t="s">
        <v>2325</v>
      </c>
      <c r="B2325" s="2" t="str">
        <f>IFERROR(__xludf.DUMMYFUNCTION("GOOGLETRANSLATE(A2325,""en"", ""mt"")"),"Monument tar-rewwixta ta 'Varsavja")</f>
        <v>Monument tar-rewwixta ta 'Varsavja</v>
      </c>
    </row>
    <row r="2326" ht="15.75" customHeight="1">
      <c r="A2326" s="2" t="s">
        <v>2326</v>
      </c>
      <c r="B2326" s="2" t="str">
        <f>IFERROR(__xludf.DUMMYFUNCTION("GOOGLETRANSLATE(A2326,""en"", ""mt"")"),"Il-magni tal-fwar ibbażati fuq l-art jistgħu jeżawrixxu ħafna mill-fwar tagħhom, peress li l-ilma tal-għalf ġeneralment kien disponibbli faċilment. Qabel u matul l-Ewwel Gwerra Dinjija, il-magna ta 'espansjoni ddominat applikazzjonijiet tal-baħar fejn il-"&amp;"veloċità għolja tal-bastiment ma kinitx essenzjali. Madankollu ġie sostitwit mit-turbina tal-fwar tal-invenzjoni Ingliża fejn kienet meħtieġa l-veloċità, pereżempju f'bastimenti tal-gwerra, bħalma huma l-vapuri tal-vapuri Dreadnought, u l-inforor tal-oċea"&amp;"ni. HMS Dreadnought tal-1905 kien l-ewwel bastiment tal-gwerra maġġuri li ħa post it-teknoloġija ppruvata tal-magna reċiprokanti bit-turbina tal-fwar ta 'dak iż-żmien. [Ċitazzjoni meħtieġa]")</f>
        <v>Il-magni tal-fwar ibbażati fuq l-art jistgħu jeżawrixxu ħafna mill-fwar tagħhom, peress li l-ilma tal-għalf ġeneralment kien disponibbli faċilment. Qabel u matul l-Ewwel Gwerra Dinjija, il-magna ta 'espansjoni ddominat applikazzjonijiet tal-baħar fejn il-veloċità għolja tal-bastiment ma kinitx essenzjali. Madankollu ġie sostitwit mit-turbina tal-fwar tal-invenzjoni Ingliża fejn kienet meħtieġa l-veloċità, pereżempju f'bastimenti tal-gwerra, bħalma huma l-vapuri tal-vapuri Dreadnought, u l-inforor tal-oċeani. HMS Dreadnought tal-1905 kien l-ewwel bastiment tal-gwerra maġġuri li ħa post it-teknoloġija ppruvata tal-magna reċiprokanti bit-turbina tal-fwar ta 'dak iż-żmien. [Ċitazzjoni meħtieġa]</v>
      </c>
    </row>
    <row r="2327" ht="15.75" customHeight="1">
      <c r="A2327" s="2" t="s">
        <v>2327</v>
      </c>
      <c r="B2327" s="2" t="str">
        <f>IFERROR(__xludf.DUMMYFUNCTION("GOOGLETRANSLATE(A2327,""en"", ""mt"")"),"Loudoun, amministratur kapaċi iżda kmandant kawt tal-qasam, ippjana operazzjoni waħda kbira għall-1757: attakk fuq il-kapital ġdid ta 'Franza, Quebec. Meta ħalla forza mdaqqsa fil-Fort William Henry biex jaljena lil Montcalm, huwa beda jorganizza għall-is"&amp;"pedizzjoni lejn il-Quebec. Imbagħad ġie ordnat minn William Pitt, is-Segretarju tal-Istat responsabbli għall-Kolonji, biex jattakka l-ewwel Louisbourg. Beset minn dewmien ta 'kull tip, l-ispedizzjoni kienet finalment lesta biex tbaħħar minn Halifax, in-No"&amp;"va Scotia fil-bidu ta' Awwissu. Sadanittant il-vapuri Franċiżi ħarbu mill-imblokk Ingliż tal-kosta Franċiża, u flotta li qabżet lill-Brittaniku wieħed jistenna l-loudoun fi Louisbourg. Quddiem din is-saħħa, Loudoun irritorna fi New York fost aħbarijiet li"&amp;" seħħ massakru fil-Fort William Henry.")</f>
        <v>Loudoun, amministratur kapaċi iżda kmandant kawt tal-qasam, ippjana operazzjoni waħda kbira għall-1757: attakk fuq il-kapital ġdid ta 'Franza, Quebec. Meta ħalla forza mdaqqsa fil-Fort William Henry biex jaljena lil Montcalm, huwa beda jorganizza għall-ispedizzjoni lejn il-Quebec. Imbagħad ġie ordnat minn William Pitt, is-Segretarju tal-Istat responsabbli għall-Kolonji, biex jattakka l-ewwel Louisbourg. Beset minn dewmien ta 'kull tip, l-ispedizzjoni kienet finalment lesta biex tbaħħar minn Halifax, in-Nova Scotia fil-bidu ta' Awwissu. Sadanittant il-vapuri Franċiżi ħarbu mill-imblokk Ingliż tal-kosta Franċiża, u flotta li qabżet lill-Brittaniku wieħed jistenna l-loudoun fi Louisbourg. Quddiem din is-saħħa, Loudoun irritorna fi New York fost aħbarijiet li seħħ massakru fil-Fort William Henry.</v>
      </c>
    </row>
    <row r="2328" ht="15.75" customHeight="1">
      <c r="A2328" s="2" t="s">
        <v>2328</v>
      </c>
      <c r="B2328" s="2" t="str">
        <f>IFERROR(__xludf.DUMMYFUNCTION("GOOGLETRANSLATE(A2328,""en"", ""mt"")"),"Matul is-seklu 10, l-inkursjonijiet inizjalment distruttivi tal-baned tal-gwerra Norveġiżi fix-xmajjar ta 'Franza evolvew f'kampji aktar permanenti li kienu jinkludu nisa lokali u proprjetà personali. Id-Dukat tan-Normandija, li beda fl-911 bħala fiefdom,"&amp;" ġie stabbilit mit-Trattat ta 'Saint-Clair-sur-Epte bejn ir-Re Charles III ta' West Francia u l-famuż ħakkiem Viking Rollo, u kien jinsab fir-renju Frankish ta 'Neustria ta' qabel Jonqos It-trattat offra lil Rollo u l-irġiel tiegħu l-artijiet Franċiżi bej"&amp;"n ix-Xmara Epte u l-Kosta tal-Atlantiku bi skambju għall-protezzjoni tagħhom kontra aktar inkursjonijiet fil-Viking. Iż-żona kienet tikkorrispondi mal-parti tat-tramuntana tan-Normandija ta 'fuq tal-lum' l isfel lejn ix-Xmara Seine, iżda l-dukat eventwalm"&amp;"ent jestendi lejn il-punent lil hinn mis-Seine. It-territorju kien bejn wieħed u ieħor ekwivalenti għall-provinċja l-qadima ta 'Rouen, u rriproduċiet l-istruttura amministrattiva Rumana ta' Gallia lugdunensis II (parti mill-ex Gallia Lugdunensis).")</f>
        <v>Matul is-seklu 10, l-inkursjonijiet inizjalment distruttivi tal-baned tal-gwerra Norveġiżi fix-xmajjar ta 'Franza evolvew f'kampji aktar permanenti li kienu jinkludu nisa lokali u proprjetà personali. Id-Dukat tan-Normandija, li beda fl-911 bħala fiefdom, ġie stabbilit mit-Trattat ta 'Saint-Clair-sur-Epte bejn ir-Re Charles III ta' West Francia u l-famuż ħakkiem Viking Rollo, u kien jinsab fir-renju Frankish ta 'Neustria ta' qabel Jonqos It-trattat offra lil Rollo u l-irġiel tiegħu l-artijiet Franċiżi bejn ix-Xmara Epte u l-Kosta tal-Atlantiku bi skambju għall-protezzjoni tagħhom kontra aktar inkursjonijiet fil-Viking. Iż-żona kienet tikkorrispondi mal-parti tat-tramuntana tan-Normandija ta 'fuq tal-lum' l isfel lejn ix-Xmara Seine, iżda l-dukat eventwalment jestendi lejn il-punent lil hinn mis-Seine. It-territorju kien bejn wieħed u ieħor ekwivalenti għall-provinċja l-qadima ta 'Rouen, u rriproduċiet l-istruttura amministrattiva Rumana ta' Gallia lugdunensis II (parti mill-ex Gallia Lugdunensis).</v>
      </c>
    </row>
    <row r="2329" ht="15.75" customHeight="1">
      <c r="A2329" s="2" t="s">
        <v>2329</v>
      </c>
      <c r="B2329" s="2" t="str">
        <f>IFERROR(__xludf.DUMMYFUNCTION("GOOGLETRANSLATE(A2329,""en"", ""mt"")"),"L-ewwel, jekk l-iskadenza ta 'direttiva għall-implimentazzjoni ma tintlaħaqx, l-Istat Membru ma jistax jinforza liġijiet konfliġġenti, u ċittadin jista' jiddependi fuq id-direttiva f'tali azzjoni (hekk imsejjaħ effett dirett ""vertikali""). Allura, fil-Pu"&amp;"bblico Ministru v Ratti minħabba li l-gvern Taljan naqas milli jimplimenta direttiva 73/173 / KEE fuq l-imballaġġ u l-ittikkettjar tas-solventi sal-iskadenza, ġie estopped mill-infurzar ta 'liġi nazzjonali konfliġġenti mill-1963 kontra s-solvent tas-Sur R"&amp;"atti u n-negozju tal-verniċ. Stat membru jista '""ma jiddependix, kontra individwi, min-nuqqas tiegħu stess li jwettaq l-obbligi li tinvolvi d-direttiva."" It-tieni, ċittadin jew kumpanija jistgħu jinvokaw direttiva, mhux biss f'tilwima ma 'awtorità pubbl"&amp;"ika, iżda f'tilwima ma' ċittadin jew kumpanija oħra. Allura, fis-CIA Security vs Signalson u Securitel Il-Qorti tal-Ġustizzja ddeċidiet li negozju msejjaħ CIA Securit Notifikat lill-Kummissjoni bħala Direttiva meħtieġa. It-tielet, jekk direttiva tagħti es"&amp;"pressjoni lil ""prinċipju ġenerali"" tal-liġi tal-UE, tista 'tiġi invokata bejn partijiet privati ​​mhux statali qabel l-iskadenza tagħha għall-implimentazzjoni. Dan isegwi minn Kücükdeveci vs Swedex GmbH &amp; Co KG fejn il-Kodiċi Ċivili Ġermaniż §622 iddikj"&amp;"ara li s-snin li n-nies ħadmu taħt l-età ta '25 sena ma jgħoddux lejn l-avviż statutorju dejjem jiżdied qabel it-tkeċċija. Is-Sinjura Kücükdeveci ħadmet għal 10 snin, mill-età ta '18 sa 28, għall-Swedex GmbH &amp; Co KG qabel it-tkeċċija tagħha. Hija sostniet"&amp;" li l-liġi li ma tgħoddx is-snin tagħha taħt l-età ta '25 sena kienet diskriminazzjoni illegali fl-età taħt id-Direttiva Qafas ta 'l-Ugwaljanza fl-Impjiegi. Il-Qorti tal-Ġustizzja ddeċidiet li d-direttiva tista 'tiġi invokata minnha minħabba li l-ugwaljan"&amp;"za kienet ukoll prinċipju ġenerali tal-liġi tal-UE. It-tielet, jekk l-imputat huwa emanazzjoni tal-istat, anke jekk mhux gvern ċentrali, xorta jista 'jkun marbut minn direttivi. Fil-Foster V British Gas Plc il-Qorti tal-Ġustizzja ddeċidiet li s-Sinjura Fo"&amp;"ster kellha dritt li ġġib talba ta 'diskriminazzjoni sesswali kontra min iħaddemha, British Gas Plc, li għamlet lin-nisa jirtiraw fl-età ta '60 sena u rġiel ta '65 sena, jekk (1) skond stat Miżura, (2) ipprovda servizz pubbliku, u (3) kellu poteri speċjal"&amp;"i. Dan jista 'jkun minnu wkoll jekk l-intrapriża tkun privatizzata, peress li kienet miżmuma ma' kumpanija tal-ilma li kienet responsabbli għall-provvista bażika tal-ilma.")</f>
        <v>L-ewwel, jekk l-iskadenza ta 'direttiva għall-implimentazzjoni ma tintlaħaqx, l-Istat Membru ma jistax jinforza liġijiet konfliġġenti, u ċittadin jista' jiddependi fuq id-direttiva f'tali azzjoni (hekk imsejjaħ effett dirett "vertikali"). Allura, fil-Pubblico Ministru v Ratti minħabba li l-gvern Taljan naqas milli jimplimenta direttiva 73/173 / KEE fuq l-imballaġġ u l-ittikkettjar tas-solventi sal-iskadenza, ġie estopped mill-infurzar ta 'liġi nazzjonali konfliġġenti mill-1963 kontra s-solvent tas-Sur Ratti u n-negozju tal-verniċ. Stat membru jista '"ma jiddependix, kontra individwi, min-nuqqas tiegħu stess li jwettaq l-obbligi li tinvolvi d-direttiva." It-tieni, ċittadin jew kumpanija jistgħu jinvokaw direttiva, mhux biss f'tilwima ma 'awtorità pubblika, iżda f'tilwima ma' ċittadin jew kumpanija oħra. Allura, fis-CIA Security vs Signalson u Securitel Il-Qorti tal-Ġustizzja ddeċidiet li negozju msejjaħ CIA Securit Notifikat lill-Kummissjoni bħala Direttiva meħtieġa. It-tielet, jekk direttiva tagħti espressjoni lil "prinċipju ġenerali" tal-liġi tal-UE, tista 'tiġi invokata bejn partijiet privati ​​mhux statali qabel l-iskadenza tagħha għall-implimentazzjoni. Dan isegwi minn Kücükdeveci vs Swedex GmbH &amp; Co KG fejn il-Kodiċi Ċivili Ġermaniż §622 iddikjara li s-snin li n-nies ħadmu taħt l-età ta '25 sena ma jgħoddux lejn l-avviż statutorju dejjem jiżdied qabel it-tkeċċija. Is-Sinjura Kücükdeveci ħadmet għal 10 snin, mill-età ta '18 sa 28, għall-Swedex GmbH &amp; Co KG qabel it-tkeċċija tagħha. Hija sostniet li l-liġi li ma tgħoddx is-snin tagħha taħt l-età ta '25 sena kienet diskriminazzjoni illegali fl-età taħt id-Direttiva Qafas ta 'l-Ugwaljanza fl-Impjiegi. Il-Qorti tal-Ġustizzja ddeċidiet li d-direttiva tista 'tiġi invokata minnha minħabba li l-ugwaljanza kienet ukoll prinċipju ġenerali tal-liġi tal-UE. It-tielet, jekk l-imputat huwa emanazzjoni tal-istat, anke jekk mhux gvern ċentrali, xorta jista 'jkun marbut minn direttivi. Fil-Foster V British Gas Plc il-Qorti tal-Ġustizzja ddeċidiet li s-Sinjura Foster kellha dritt li ġġib talba ta 'diskriminazzjoni sesswali kontra min iħaddemha, British Gas Plc, li għamlet lin-nisa jirtiraw fl-età ta '60 sena u rġiel ta '65 sena, jekk (1) skond stat Miżura, (2) ipprovda servizz pubbliku, u (3) kellu poteri speċjali. Dan jista 'jkun minnu wkoll jekk l-intrapriża tkun privatizzata, peress li kienet miżmuma ma' kumpanija tal-ilma li kienet responsabbli għall-provvista bażika tal-ilma.</v>
      </c>
    </row>
    <row r="2330" ht="15.75" customHeight="1">
      <c r="A2330" s="2" t="s">
        <v>2330</v>
      </c>
      <c r="B2330" s="2" t="str">
        <f>IFERROR(__xludf.DUMMYFUNCTION("GOOGLETRANSLATE(A2330,""en"", ""mt"")"),"FCC v. Pacifica Foundation")</f>
        <v>FCC v. Pacifica Foundation</v>
      </c>
    </row>
    <row r="2331" ht="15.75" customHeight="1">
      <c r="A2331" s="2" t="s">
        <v>2331</v>
      </c>
      <c r="B2331" s="2" t="str">
        <f>IFERROR(__xludf.DUMMYFUNCTION("GOOGLETRANSLATE(A2331,""en"", ""mt"")"),"sħun u niexef")</f>
        <v>sħun u niexef</v>
      </c>
    </row>
    <row r="2332" ht="15.75" customHeight="1">
      <c r="A2332" s="2" t="s">
        <v>2332</v>
      </c>
      <c r="B2332" s="2" t="str">
        <f>IFERROR(__xludf.DUMMYFUNCTION("GOOGLETRANSLATE(A2332,""en"", ""mt"")"),"it-titwil tal-uċuħ tal-ħakk")</f>
        <v>it-titwil tal-uċuħ tal-ħakk</v>
      </c>
    </row>
    <row r="2333" ht="15.75" customHeight="1">
      <c r="A2333" s="2" t="s">
        <v>2333</v>
      </c>
      <c r="B2333" s="2" t="str">
        <f>IFERROR(__xludf.DUMMYFUNCTION("GOOGLETRANSLATE(A2333,""en"", ""mt"")"),"WETTER")</f>
        <v>WETTER</v>
      </c>
    </row>
    <row r="2334" ht="15.75" customHeight="1">
      <c r="A2334" s="2" t="s">
        <v>2334</v>
      </c>
      <c r="B2334" s="2" t="str">
        <f>IFERROR(__xludf.DUMMYFUNCTION("GOOGLETRANSLATE(A2334,""en"", ""mt"")"),"Madankollu, fl-1883–84 il-Ġermanja bdiet tibni imperu kolonjali fl-Afrika u fil-Paċifiku t'Isfel, qabel ma tilfet l-interess fl-imperjalizmu. L-istoriċi ddiskutew eżattament għaliex il-Ġermanja għamlet din il-mossa f'daqqa u b'ħajja qasira. [Verifika meħt"&amp;"ieġa] Bismarck kienet konxja li l-opinjoni pubblika kienet bdiet titlob kolonji għal raġunijiet ta 'prestiġju Ġermaniż. Huwa kien influwenzat minn negozjanti u negozjanti ta 'Hamburg, il-ġirien tiegħu fi Friedrichsruh. It-twaqqif tal-Imperu Kolonjali Ġerm"&amp;"aniż ipproċeda bla xkiel, u beda bil-Guinea Ġermaniża Ġermaniża fl-1884.")</f>
        <v>Madankollu, fl-1883–84 il-Ġermanja bdiet tibni imperu kolonjali fl-Afrika u fil-Paċifiku t'Isfel, qabel ma tilfet l-interess fl-imperjalizmu. L-istoriċi ddiskutew eżattament għaliex il-Ġermanja għamlet din il-mossa f'daqqa u b'ħajja qasira. [Verifika meħtieġa] Bismarck kienet konxja li l-opinjoni pubblika kienet bdiet titlob kolonji għal raġunijiet ta 'prestiġju Ġermaniż. Huwa kien influwenzat minn negozjanti u negozjanti ta 'Hamburg, il-ġirien tiegħu fi Friedrichsruh. It-twaqqif tal-Imperu Kolonjali Ġermaniż ipproċeda bla xkiel, u beda bil-Guinea Ġermaniża Ġermaniża fl-1884.</v>
      </c>
    </row>
    <row r="2335" ht="15.75" customHeight="1">
      <c r="A2335" s="2" t="s">
        <v>2335</v>
      </c>
      <c r="B2335" s="2" t="str">
        <f>IFERROR(__xludf.DUMMYFUNCTION("GOOGLETRANSLATE(A2335,""en"", ""mt"")"),"Ir-riżultati tal-istudju Haensch minn dakinhar ġew ikkonfermati u emendati. Ibbażat fuq evidenza ġenetika derivata minn vittmi tal-mewt iswed fis-sit tad-dfin tal-Lvant ta 'Smithfield fl-Ingilterra, Schuenemann et al. ikkonkluda fl-2011 ""li l-mewt sewda "&amp;"fl-Ewropa medjevali kienet ikkawżata minn varjant ta 'Y. pestis li jista' ma jibqax jeżisti."" Studju ppubblikat fin-Natura f'Ottubru 2011 sekwenzja l-ġenoma ta 'Y. pestis mill-vittmi tal-pesta u indika li r-razza li kkawżat il-mewt sewda hija antenata għ"&amp;"all-aktar razez moderni tal-marda.")</f>
        <v>Ir-riżultati tal-istudju Haensch minn dakinhar ġew ikkonfermati u emendati. Ibbażat fuq evidenza ġenetika derivata minn vittmi tal-mewt iswed fis-sit tad-dfin tal-Lvant ta 'Smithfield fl-Ingilterra, Schuenemann et al. ikkonkluda fl-2011 "li l-mewt sewda fl-Ewropa medjevali kienet ikkawżata minn varjant ta 'Y. pestis li jista' ma jibqax jeżisti." Studju ppubblikat fin-Natura f'Ottubru 2011 sekwenzja l-ġenoma ta 'Y. pestis mill-vittmi tal-pesta u indika li r-razza li kkawżat il-mewt sewda hija antenata għall-aktar razez moderni tal-marda.</v>
      </c>
    </row>
    <row r="2336" ht="15.75" customHeight="1">
      <c r="A2336" s="2" t="s">
        <v>2336</v>
      </c>
      <c r="B2336" s="2" t="str">
        <f>IFERROR(__xludf.DUMMYFUNCTION("GOOGLETRANSLATE(A2336,""en"", ""mt"")"),"Huma kellhom il-pajjiż ta 'Ohio u li kienu jinnegozjaw mal-Ingliżi irrispettivament mill-Franċiżi")</f>
        <v>Huma kellhom il-pajjiż ta 'Ohio u li kienu jinnegozjaw mal-Ingliżi irrispettivament mill-Franċiżi</v>
      </c>
    </row>
    <row r="2337" ht="15.75" customHeight="1">
      <c r="A2337" s="2" t="s">
        <v>2337</v>
      </c>
      <c r="B2337" s="2" t="str">
        <f>IFERROR(__xludf.DUMMYFUNCTION("GOOGLETRANSLATE(A2337,""en"", ""mt"")"),"Ċiklu prattiku ta 'Carnot")</f>
        <v>Ċiklu prattiku ta 'Carnot</v>
      </c>
    </row>
    <row r="2338" ht="15.75" customHeight="1">
      <c r="A2338" s="2" t="s">
        <v>2338</v>
      </c>
      <c r="B2338" s="2" t="str">
        <f>IFERROR(__xludf.DUMMYFUNCTION("GOOGLETRANSLATE(A2338,""en"", ""mt"")"),"Migrazzjoni u Urbanizzazzjoni")</f>
        <v>Migrazzjoni u Urbanizzazzjoni</v>
      </c>
    </row>
    <row r="2339" ht="15.75" customHeight="1">
      <c r="A2339" s="2" t="s">
        <v>2339</v>
      </c>
      <c r="B2339" s="2" t="str">
        <f>IFERROR(__xludf.DUMMYFUNCTION("GOOGLETRANSLATE(A2339,""en"", ""mt"")"),"L-aħħar evoluzzjoni ewlenija tad-disinn tal-magna bil-fwar kienet l-użu ta 'turbini tal-fwar li jibdew fil-parti tard tas-seklu 19. It-turbini tal-fwar huma ġeneralment aktar effiċjenti minn magni tal-fwar tat-tip pistun reċiprokanti (għal outputs 'il fuq"&amp;" minn bosta mijiet ta' horsepower), għandhom inqas partijiet li jiċċaqalqu, u jipprovdu enerġija li jdur direttament minflok permezz ta 'sistema ta' virga ta 'konnessjoni jew mezzi simili. It-turbini tal-fwar prattikament issostitwixxew magni reċiprokanti"&amp;" fl-istazzjonijiet li jiġġeneraw l-elettriku kmieni fis-seklu 20, fejn l-effiċjenza tagħhom, veloċità ogħla xierqa għas-servizz tal-ġeneratur, u rotazzjoni bla xkiel kienu vantaġġi. Illum il-biċċa l-kbira tal-enerġija elettrika hija pprovduta minn turbini"&amp;" tal-fwar. Fl-Istati Uniti 90% tal-enerġija elettrika hija prodotta b'dan il-mod bl-użu ta 'varjetà ta' sorsi tas-sħana. It-turbini tal-fwar ġew applikati b'mod estensiv għall-propulsjoni ta 'vapuri kbar matul il-biċċa l-kbira tas-seklu 20.")</f>
        <v>L-aħħar evoluzzjoni ewlenija tad-disinn tal-magna bil-fwar kienet l-użu ta 'turbini tal-fwar li jibdew fil-parti tard tas-seklu 19. It-turbini tal-fwar huma ġeneralment aktar effiċjenti minn magni tal-fwar tat-tip pistun reċiprokanti (għal outputs 'il fuq minn bosta mijiet ta' horsepower), għandhom inqas partijiet li jiċċaqalqu, u jipprovdu enerġija li jdur direttament minflok permezz ta 'sistema ta' virga ta 'konnessjoni jew mezzi simili. It-turbini tal-fwar prattikament issostitwixxew magni reċiprokanti fl-istazzjonijiet li jiġġeneraw l-elettriku kmieni fis-seklu 20, fejn l-effiċjenza tagħhom, veloċità ogħla xierqa għas-servizz tal-ġeneratur, u rotazzjoni bla xkiel kienu vantaġġi. Illum il-biċċa l-kbira tal-enerġija elettrika hija pprovduta minn turbini tal-fwar. Fl-Istati Uniti 90% tal-enerġija elettrika hija prodotta b'dan il-mod bl-użu ta 'varjetà ta' sorsi tas-sħana. It-turbini tal-fwar ġew applikati b'mod estensiv għall-propulsjoni ta 'vapuri kbar matul il-biċċa l-kbira tas-seklu 20.</v>
      </c>
    </row>
    <row r="2340" ht="15.75" customHeight="1">
      <c r="A2340" s="2" t="s">
        <v>2340</v>
      </c>
      <c r="B2340" s="2" t="str">
        <f>IFERROR(__xludf.DUMMYFUNCTION("GOOGLETRANSLATE(A2340,""en"", ""mt"")"),"X'inhi l-iktar kawża komuni ta 'korriment fuq il-post?")</f>
        <v>X'inhi l-iktar kawża komuni ta 'korriment fuq il-post?</v>
      </c>
    </row>
    <row r="2341" ht="15.75" customHeight="1">
      <c r="A2341" s="2" t="s">
        <v>2341</v>
      </c>
      <c r="B2341" s="2" t="str">
        <f>IFERROR(__xludf.DUMMYFUNCTION("GOOGLETRANSLATE(A2341,""en"", ""mt"")"),"timu u mudullun")</f>
        <v>timu u mudullun</v>
      </c>
    </row>
    <row r="2342" ht="15.75" customHeight="1">
      <c r="A2342" s="2" t="s">
        <v>2342</v>
      </c>
      <c r="B2342" s="2" t="str">
        <f>IFERROR(__xludf.DUMMYFUNCTION("GOOGLETRANSLATE(A2342,""en"", ""mt"")"),"Qlib ta 'blokka ta' messaġġi adattivi distribwiti")</f>
        <v>Qlib ta 'blokka ta' messaġġi adattivi distribwiti</v>
      </c>
    </row>
    <row r="2343" ht="15.75" customHeight="1">
      <c r="A2343" s="2" t="s">
        <v>2343</v>
      </c>
      <c r="B2343" s="2" t="str">
        <f>IFERROR(__xludf.DUMMYFUNCTION("GOOGLETRANSLATE(A2343,""en"", ""mt"")"),"L-evoluzzjoni ġeokimika tal-unitajiet tal-blat")</f>
        <v>L-evoluzzjoni ġeokimika tal-unitajiet tal-blat</v>
      </c>
    </row>
    <row r="2344" ht="15.75" customHeight="1">
      <c r="A2344" s="2" t="s">
        <v>2344</v>
      </c>
      <c r="B2344" s="2" t="str">
        <f>IFERROR(__xludf.DUMMYFUNCTION("GOOGLETRANSLATE(A2344,""en"", ""mt"")"),"L-Istati Uniti / il-Kanada")</f>
        <v>L-Istati Uniti / il-Kanada</v>
      </c>
    </row>
    <row r="2345" ht="15.75" customHeight="1">
      <c r="A2345" s="2" t="s">
        <v>2345</v>
      </c>
      <c r="B2345" s="2" t="str">
        <f>IFERROR(__xludf.DUMMYFUNCTION("GOOGLETRANSLATE(A2345,""en"", ""mt"")"),"il-wan kbir")</f>
        <v>il-wan kbir</v>
      </c>
    </row>
    <row r="2346" ht="15.75" customHeight="1">
      <c r="A2346" s="2" t="s">
        <v>2346</v>
      </c>
      <c r="B2346" s="2" t="str">
        <f>IFERROR(__xludf.DUMMYFUNCTION("GOOGLETRANSLATE(A2346,""en"", ""mt"")"),"X’sejjaħ Davies is-sistema")</f>
        <v>X’sejjaħ Davies is-sistema</v>
      </c>
    </row>
    <row r="2347" ht="15.75" customHeight="1">
      <c r="A2347" s="2" t="s">
        <v>2347</v>
      </c>
      <c r="B2347" s="2" t="str">
        <f>IFERROR(__xludf.DUMMYFUNCTION("GOOGLETRANSLATE(A2347,""en"", ""mt"")"),"Ħafna mix-xogħol tal-Parlament Skoċċiż isir fil-kumitat. Ir-rwol tal-kumitati huwa aktar b'saħħtu fil-Parlament Skoċċiż milli f'sistemi parlamentari oħra, parzjalment bħala mezz biex isaħħaħ ir-rwol ta 'backbenchers fl-iskrutinju tagħhom tal-gvern u parzj"&amp;"alment biex jikkumpensaw għall-fatt li m'hemm l-ebda kamra ta' reviżjoni. Ir-rwol ewlieni tal-kumitati fil-Parlament Skoċċiż huwa li tieħu xhieda minn xhieda, twettaq inkjesti u tifli l-leġiżlazzjoni. Il-laqgħat tal-kumitat isiru nhar it-Tlieta, l-Erbgħa "&amp;"u l-Ħamis filgħodu meta l-Parlament ikun bilqiegħda. Il-kumitati jistgħu wkoll jiltaqgħu f’postijiet oħra madwar l-Iskozja.")</f>
        <v>Ħafna mix-xogħol tal-Parlament Skoċċiż isir fil-kumitat. Ir-rwol tal-kumitati huwa aktar b'saħħtu fil-Parlament Skoċċiż milli f'sistemi parlamentari oħra, parzjalment bħala mezz biex isaħħaħ ir-rwol ta 'backbenchers fl-iskrutinju tagħhom tal-gvern u parzjalment biex jikkumpensaw għall-fatt li m'hemm l-ebda kamra ta' reviżjoni. Ir-rwol ewlieni tal-kumitati fil-Parlament Skoċċiż huwa li tieħu xhieda minn xhieda, twettaq inkjesti u tifli l-leġiżlazzjoni. Il-laqgħat tal-kumitat isiru nhar it-Tlieta, l-Erbgħa u l-Ħamis filgħodu meta l-Parlament ikun bilqiegħda. Il-kumitati jistgħu wkoll jiltaqgħu f’postijiet oħra madwar l-Iskozja.</v>
      </c>
    </row>
    <row r="2348" ht="15.75" customHeight="1">
      <c r="A2348" s="2" t="s">
        <v>2348</v>
      </c>
      <c r="B2348" s="2" t="str">
        <f>IFERROR(__xludf.DUMMYFUNCTION("GOOGLETRANSLATE(A2348,""en"", ""mt"")"),"X'jista 'jibqa' problemi mhux solvuti bil-protokoll ta 'Kyoto?")</f>
        <v>X'jista 'jibqa' problemi mhux solvuti bil-protokoll ta 'Kyoto?</v>
      </c>
    </row>
    <row r="2349" ht="15.75" customHeight="1">
      <c r="A2349" s="2" t="s">
        <v>2349</v>
      </c>
      <c r="B2349" s="2" t="str">
        <f>IFERROR(__xludf.DUMMYFUNCTION("GOOGLETRANSLATE(A2349,""en"", ""mt"")"),"New York u l-Ohio")</f>
        <v>New York u l-Ohio</v>
      </c>
    </row>
    <row r="2350" ht="15.75" customHeight="1">
      <c r="A2350" s="2" t="s">
        <v>2350</v>
      </c>
      <c r="B2350" s="2" t="str">
        <f>IFERROR(__xludf.DUMMYFUNCTION("GOOGLETRANSLATE(A2350,""en"", ""mt"")"),"mitħna tad-dqiq")</f>
        <v>mitħna tad-dqiq</v>
      </c>
    </row>
    <row r="2351" ht="15.75" customHeight="1">
      <c r="A2351" s="2" t="s">
        <v>2351</v>
      </c>
      <c r="B2351" s="2" t="str">
        <f>IFERROR(__xludf.DUMMYFUNCTION("GOOGLETRANSLATE(A2351,""en"", ""mt"")"),"X'inhi l-Liġi tal-Unjoni Ewropea?")</f>
        <v>X'inhi l-Liġi tal-Unjoni Ewropea?</v>
      </c>
    </row>
    <row r="2352" ht="15.75" customHeight="1">
      <c r="A2352" s="2" t="s">
        <v>2352</v>
      </c>
      <c r="B2352" s="2" t="str">
        <f>IFERROR(__xludf.DUMMYFUNCTION("GOOGLETRANSLATE(A2352,""en"", ""mt"")"),"Preżentazzjoni tal-antiġen")</f>
        <v>Preżentazzjoni tal-antiġen</v>
      </c>
    </row>
    <row r="2353" ht="15.75" customHeight="1">
      <c r="A2353" s="2" t="s">
        <v>2353</v>
      </c>
      <c r="B2353" s="2" t="str">
        <f>IFERROR(__xludf.DUMMYFUNCTION("GOOGLETRANSLATE(A2353,""en"", ""mt"")"),"in-netwerk u l-utenti konnessi")</f>
        <v>in-netwerk u l-utenti konnessi</v>
      </c>
    </row>
    <row r="2354" ht="15.75" customHeight="1">
      <c r="A2354" s="2" t="s">
        <v>2354</v>
      </c>
      <c r="B2354" s="2" t="str">
        <f>IFERROR(__xludf.DUMMYFUNCTION("GOOGLETRANSLATE(A2354,""en"", ""mt"")"),"Telekomunikazzjonijiet MCI")</f>
        <v>Telekomunikazzjonijiet MCI</v>
      </c>
    </row>
    <row r="2355" ht="15.75" customHeight="1">
      <c r="A2355" s="2" t="s">
        <v>2355</v>
      </c>
      <c r="B2355" s="2" t="str">
        <f>IFERROR(__xludf.DUMMYFUNCTION("GOOGLETRANSLATE(A2355,""en"", ""mt"")"),"L-Università ta ’Chicago ġiet maħluqa u inkorporata bħala istituzzjoni koeducazzjonali u sekulari fl-1890 mill-American Baptist Education Society u donazzjoni mill-magnate taż-żejt u l-filantropista John D. Rockefeller fuq art mogħtija minn Marshall Field"&amp;". Filwaqt li d-donazzjoni ta 'Rockefeller ipprovdiet flus għal operazzjonijiet akkademiċi u dotazzjoni fit-tul, ġie stipulat li tali flus ma jistgħux jintużaw għall-bini. Il-kampus fiżiku oriġinali kien iffinanzjat minn donazzjonijiet minn Chicagoans għon"&amp;"ja bħal Silas B. Cobb li pprovda l-fondi għall-ewwel bini tal-kampus, Cobb Lecture Hall, u l-wegħda ta 'Marshall Field ta' $ 100,000. Benefatturi bikrija oħra kienu jinkludu n-negozjanti Charles L. Hutchinson (trustee, teżorier u donatur ta 'Hutchinson Co"&amp;"mmons), Martin A. Ryerson (president tal-Bord tal-Fiduċjarji u donatur tal-Laboratorju Fiżiku Ryerson) Adolphus Clay Bartlett u Leon Mandel, li ffinanzjaw il-kostruzzjoni tal-ġinnasju u s-sala tal-assemblea, u George C. Walker tal-Mużew Walker, qarib ta '"&amp;"Cobb li ħeġġeġ id-donazzjoni inawgurali tiegħu għall-faċilitajiet.")</f>
        <v>L-Università ta ’Chicago ġiet maħluqa u inkorporata bħala istituzzjoni koeducazzjonali u sekulari fl-1890 mill-American Baptist Education Society u donazzjoni mill-magnate taż-żejt u l-filantropista John D. Rockefeller fuq art mogħtija minn Marshall Field. Filwaqt li d-donazzjoni ta 'Rockefeller ipprovdiet flus għal operazzjonijiet akkademiċi u dotazzjoni fit-tul, ġie stipulat li tali flus ma jistgħux jintużaw għall-bini. Il-kampus fiżiku oriġinali kien iffinanzjat minn donazzjonijiet minn Chicagoans għonja bħal Silas B. Cobb li pprovda l-fondi għall-ewwel bini tal-kampus, Cobb Lecture Hall, u l-wegħda ta 'Marshall Field ta' $ 100,000. Benefatturi bikrija oħra kienu jinkludu n-negozjanti Charles L. Hutchinson (trustee, teżorier u donatur ta 'Hutchinson Commons), Martin A. Ryerson (president tal-Bord tal-Fiduċjarji u donatur tal-Laboratorju Fiżiku Ryerson) Adolphus Clay Bartlett u Leon Mandel, li ffinanzjaw il-kostruzzjoni tal-ġinnasju u s-sala tal-assemblea, u George C. Walker tal-Mużew Walker, qarib ta 'Cobb li ħeġġeġ id-donazzjoni inawgurali tiegħu għall-faċilitajiet.</v>
      </c>
    </row>
    <row r="2356" ht="15.75" customHeight="1">
      <c r="A2356" s="2" t="s">
        <v>2356</v>
      </c>
      <c r="B2356" s="2" t="str">
        <f>IFERROR(__xludf.DUMMYFUNCTION("GOOGLETRANSLATE(A2356,""en"", ""mt"")"),"Il-Lega Musulmana kollha tal-Indja")</f>
        <v>Il-Lega Musulmana kollha tal-Indja</v>
      </c>
    </row>
    <row r="2357" ht="15.75" customHeight="1">
      <c r="A2357" s="2" t="s">
        <v>2357</v>
      </c>
      <c r="B2357" s="2" t="str">
        <f>IFERROR(__xludf.DUMMYFUNCTION("GOOGLETRANSLATE(A2357,""en"", ""mt"")"),"Liema arċidjoċesi hija s-sede ta 'Varsavja?")</f>
        <v>Liema arċidjoċesi hija s-sede ta 'Varsavja?</v>
      </c>
    </row>
    <row r="2358" ht="15.75" customHeight="1">
      <c r="A2358" s="2" t="s">
        <v>2358</v>
      </c>
      <c r="B2358" s="2" t="str">
        <f>IFERROR(__xludf.DUMMYFUNCTION("GOOGLETRANSLATE(A2358,""en"", ""mt"")"),"Fl-2010 stħarriġ dwar is-salarji żvela d-differenzi fir-rimunerazzjoni bejn rwoli, setturi u postijiet differenti fl-industrija tal-kostruzzjoni u l-ambjent mibnija. Ir-riżultati wrew li żoni ta 'tkabbir partikolarment qawwi fl-industrija tal-kostruzzjoni"&amp;", bħall-Lvant Nofsani, jagħtu salarji medji ogħla milli fir-Renju Unit per eżempju. Il-qligħ medju għal professjonist fl-industrija tal-kostruzzjoni fil-Lvant Nofsani, fis-setturi kollha, tipi ta 'impjiegi u livelli ta' esperjenza, huwa ta '£ 42,090, meta"&amp;" mqabbel ma' £ 26,719 fir-Renju Unit. Din ix-xejra mhix neċessarjament dovuta għall-fatt li huma disponibbli rwoli aktar sinjuri, peress li periti b'14-il sena jew aktar esperjenza li jaħdmu fil-Lvant Nofsani jaqilgħu medja ta '£ 43,389 fis-sena, meta mqa"&amp;"bbla ma' £ 40,000 fir-Renju Unit. Xi ħaddiema tal-kostruzzjoni fl-Istati Uniti / Kanada għamlu aktar minn $ 100,000 kull sena, skont il-kummerċ tagħhom.")</f>
        <v>Fl-2010 stħarriġ dwar is-salarji żvela d-differenzi fir-rimunerazzjoni bejn rwoli, setturi u postijiet differenti fl-industrija tal-kostruzzjoni u l-ambjent mibnija. Ir-riżultati wrew li żoni ta 'tkabbir partikolarment qawwi fl-industrija tal-kostruzzjoni, bħall-Lvant Nofsani, jagħtu salarji medji ogħla milli fir-Renju Unit per eżempju. Il-qligħ medju għal professjonist fl-industrija tal-kostruzzjoni fil-Lvant Nofsani, fis-setturi kollha, tipi ta 'impjiegi u livelli ta' esperjenza, huwa ta '£ 42,090, meta mqabbel ma' £ 26,719 fir-Renju Unit. Din ix-xejra mhix neċessarjament dovuta għall-fatt li huma disponibbli rwoli aktar sinjuri, peress li periti b'14-il sena jew aktar esperjenza li jaħdmu fil-Lvant Nofsani jaqilgħu medja ta '£ 43,389 fis-sena, meta mqabbla ma' £ 40,000 fir-Renju Unit. Xi ħaddiema tal-kostruzzjoni fl-Istati Uniti / Kanada għamlu aktar minn $ 100,000 kull sena, skont il-kummerċ tagħhom.</v>
      </c>
    </row>
    <row r="2359" ht="15.75" customHeight="1">
      <c r="A2359" s="2" t="s">
        <v>2359</v>
      </c>
      <c r="B2359" s="2" t="str">
        <f>IFERROR(__xludf.DUMMYFUNCTION("GOOGLETRANSLATE(A2359,""en"", ""mt"")"),"F'liema każ ġie kkonstatat li d-dispożizzjonijiet tat-trattati huma effettivi direttament jekk huma ċari, inkondizzjonati, u m'għandhomx bżonn aktar azzjoni mill-UE jew mill-awtoritajiet nazzjonali?")</f>
        <v>F'liema każ ġie kkonstatat li d-dispożizzjonijiet tat-trattati huma effettivi direttament jekk huma ċari, inkondizzjonati, u m'għandhomx bżonn aktar azzjoni mill-UE jew mill-awtoritajiet nazzjonali?</v>
      </c>
    </row>
    <row r="2360" ht="15.75" customHeight="1">
      <c r="A2360" s="2" t="s">
        <v>2360</v>
      </c>
      <c r="B2360" s="2" t="str">
        <f>IFERROR(__xludf.DUMMYFUNCTION("GOOGLETRANSLATE(A2360,""en"", ""mt"")"),"BSKYB inizjalment iċċarġja miżati ta 'abbonament addizzjonali għall-użu ta' Sky + PVR bis-servizz tagħhom; It-tneħħija tal-ħlas għall-abbonati li l-pakkett tagħhom kien jinkludi żewġ kanali premium jew aktar. Dan inbidel mill-1 ta 'Lulju 2007, u issa l-kl"&amp;"ijenti li għandhom Sky + u jissottoskrivu għal kwalunkwe pakkett ta' abbonament BSKYB jiksbu Sky + inklużi mingħajr ħlas żejjed. Klijenti li ma jissottoskrivux għall-kanali ta 'BSKYB xorta jistgħu jħallsu miżata kull xahar biex jippermettu funzjonijiet Sk"&amp;"y +. F'Jannar 2010 BSKYB waqqaf il-kaxxa Sky +, illimitat il-kaxxa tas-sema standard għal upgrade multiroom biss u beda joħroġ il-kaxxa Sky + HD bħala standard, u b'hekk tagħti lill-abbonati l-ġodda kollha l-funzjonijiet ta 'Sky +. Fi Frar 2011 BSKYB waqq"&amp;"fet il-varjant mhux HD tal-kaxxa multiroom tagħha, li toffri verżjoni iżgħar tal-kaxxa SkyHD mingħajr Sky + Funzjonalità. F’Settembru 2007, Sky nediet kampanja ta ’reklamar tat-TV ġdida mmirata lejn Sky + fuq in-nisa. Mill-31 ta 'Marzu 2008, Sky kellha 3,"&amp;"393,000 utent Sky +.")</f>
        <v>BSKYB inizjalment iċċarġja miżati ta 'abbonament addizzjonali għall-użu ta' Sky + PVR bis-servizz tagħhom; It-tneħħija tal-ħlas għall-abbonati li l-pakkett tagħhom kien jinkludi żewġ kanali premium jew aktar. Dan inbidel mill-1 ta 'Lulju 2007, u issa l-klijenti li għandhom Sky + u jissottoskrivu għal kwalunkwe pakkett ta' abbonament BSKYB jiksbu Sky + inklużi mingħajr ħlas żejjed. Klijenti li ma jissottoskrivux għall-kanali ta 'BSKYB xorta jistgħu jħallsu miżata kull xahar biex jippermettu funzjonijiet Sky +. F'Jannar 2010 BSKYB waqqaf il-kaxxa Sky +, illimitat il-kaxxa tas-sema standard għal upgrade multiroom biss u beda joħroġ il-kaxxa Sky + HD bħala standard, u b'hekk tagħti lill-abbonati l-ġodda kollha l-funzjonijiet ta 'Sky +. Fi Frar 2011 BSKYB waqqfet il-varjant mhux HD tal-kaxxa multiroom tagħha, li toffri verżjoni iżgħar tal-kaxxa SkyHD mingħajr Sky + Funzjonalità. F’Settembru 2007, Sky nediet kampanja ta ’reklamar tat-TV ġdida mmirata lejn Sky + fuq in-nisa. Mill-31 ta 'Marzu 2008, Sky kellha 3,393,000 utent Sky +.</v>
      </c>
    </row>
    <row r="2361" ht="15.75" customHeight="1">
      <c r="A2361" s="2" t="s">
        <v>2361</v>
      </c>
      <c r="B2361" s="2" t="str">
        <f>IFERROR(__xludf.DUMMYFUNCTION("GOOGLETRANSLATE(A2361,""en"", ""mt"")"),"Otter, kastur u mijiet ta 'speċi ta' għasafar.")</f>
        <v>Otter, kastur u mijiet ta 'speċi ta' għasafar.</v>
      </c>
    </row>
    <row r="2362" ht="15.75" customHeight="1">
      <c r="A2362" s="2" t="s">
        <v>2362</v>
      </c>
      <c r="B2362" s="2" t="str">
        <f>IFERROR(__xludf.DUMMYFUNCTION("GOOGLETRANSLATE(A2362,""en"", ""mt"")"),"Ġieħ tajjeb għall-waqgħa ta 'Varsavja u l-Istorja tal-Polonja jista' jinstab fil-Mużew tar-Rebbiegħa ta 'Varsavja u fil-Mużew Katyń li jippreserva l-memorja tal-kriminalità. Il-Mużew tar-Reviżjoni ta 'Varsavja jopera wkoll teatru sterjoskopiku storiku ppr"&amp;"eservat u rari, il-Varsavja Fotoplastikon. Il-Mużew tal-Indipendenza jippreserva oġġetti patrijottiċi u politiċi konnessi mal-ġlidiet tal-Polonja għall-indipendenza. Li tmur lura għall-1936 Il-Mużew Storiku ta ’Varsavja fih 60 kmamar li jospitaw wirja per"&amp;"manenti tal-istorja ta’ Varsavja mill-oriġini tagħha sal-lum.")</f>
        <v>Ġieħ tajjeb għall-waqgħa ta 'Varsavja u l-Istorja tal-Polonja jista' jinstab fil-Mużew tar-Rebbiegħa ta 'Varsavja u fil-Mużew Katyń li jippreserva l-memorja tal-kriminalità. Il-Mużew tar-Reviżjoni ta 'Varsavja jopera wkoll teatru sterjoskopiku storiku ppreservat u rari, il-Varsavja Fotoplastikon. Il-Mużew tal-Indipendenza jippreserva oġġetti patrijottiċi u politiċi konnessi mal-ġlidiet tal-Polonja għall-indipendenza. Li tmur lura għall-1936 Il-Mużew Storiku ta ’Varsavja fih 60 kmamar li jospitaw wirja permanenti tal-istorja ta’ Varsavja mill-oriġini tagħha sal-lum.</v>
      </c>
    </row>
    <row r="2363" ht="15.75" customHeight="1">
      <c r="A2363" s="2" t="s">
        <v>2363</v>
      </c>
      <c r="B2363" s="2" t="str">
        <f>IFERROR(__xludf.DUMMYFUNCTION("GOOGLETRANSLATE(A2363,""en"", ""mt"")"),"intuwizzjoni")</f>
        <v>intuwizzjoni</v>
      </c>
    </row>
    <row r="2364" ht="15.75" customHeight="1">
      <c r="A2364" s="2" t="s">
        <v>2364</v>
      </c>
      <c r="B2364" s="2" t="str">
        <f>IFERROR(__xludf.DUMMYFUNCTION("GOOGLETRANSLATE(A2364,""en"", ""mt"")"),"tjieb sew")</f>
        <v>tjieb sew</v>
      </c>
    </row>
    <row r="2365" ht="15.75" customHeight="1">
      <c r="A2365" s="2" t="s">
        <v>2365</v>
      </c>
      <c r="B2365" s="2" t="str">
        <f>IFERROR(__xludf.DUMMYFUNCTION("GOOGLETRANSLATE(A2365,""en"", ""mt"")"),"Kif kienet differenti l-edukazzjoni matul il-moviment tal-edukazzjoni tal-iskola għolja mill-edukazzjoni sussegwenti tal-iskola sekondarja?")</f>
        <v>Kif kienet differenti l-edukazzjoni matul il-moviment tal-edukazzjoni tal-iskola għolja mill-edukazzjoni sussegwenti tal-iskola sekondarja?</v>
      </c>
    </row>
    <row r="2366" ht="15.75" customHeight="1">
      <c r="A2366" s="2" t="s">
        <v>2366</v>
      </c>
      <c r="B2366" s="2" t="str">
        <f>IFERROR(__xludf.DUMMYFUNCTION("GOOGLETRANSLATE(A2366,""en"", ""mt"")"),"X'inhu l-isem tal-fundatur tal-Bungie Inc. li huwa wkoll gradwat universitarju?")</f>
        <v>X'inhu l-isem tal-fundatur tal-Bungie Inc. li huwa wkoll gradwat universitarju?</v>
      </c>
    </row>
    <row r="2367" ht="15.75" customHeight="1">
      <c r="A2367" s="2" t="s">
        <v>2367</v>
      </c>
      <c r="B2367" s="2" t="str">
        <f>IFERROR(__xludf.DUMMYFUNCTION("GOOGLETRANSLATE(A2367,""en"", ""mt"")"),"Nederrijn fil-Angeren")</f>
        <v>Nederrijn fil-Angeren</v>
      </c>
    </row>
    <row r="2368" ht="15.75" customHeight="1">
      <c r="A2368" s="2" t="s">
        <v>2368</v>
      </c>
      <c r="B2368" s="2" t="str">
        <f>IFERROR(__xludf.DUMMYFUNCTION("GOOGLETRANSLATE(A2368,""en"", ""mt"")"),"Liema kundizzjonijiet għandhom jiġu sodisfatti għal riċetta biex sustanza kkontrollata tkun valida?")</f>
        <v>Liema kundizzjonijiet għandhom jiġu sodisfatti għal riċetta biex sustanza kkontrollata tkun valida?</v>
      </c>
    </row>
    <row r="2369" ht="15.75" customHeight="1">
      <c r="A2369" s="2" t="s">
        <v>2369</v>
      </c>
      <c r="B2369" s="2" t="str">
        <f>IFERROR(__xludf.DUMMYFUNCTION("GOOGLETRANSLATE(A2369,""en"", ""mt"")"),"jagħti tfittxija ta 'kunsens tal-propjetà tiegħu,")</f>
        <v>jagħti tfittxija ta 'kunsens tal-propjetà tiegħu,</v>
      </c>
    </row>
    <row r="2370" ht="15.75" customHeight="1">
      <c r="A2370" s="2" t="s">
        <v>2370</v>
      </c>
      <c r="B2370" s="2" t="str">
        <f>IFERROR(__xludf.DUMMYFUNCTION("GOOGLETRANSLATE(A2370,""en"", ""mt"")"),"Wara li saħħaħ il-gvern tiegħu fit-Tramuntana taċ-Ċina, Kublai segwa politika espansjonista f'konformità mat-tradizzjoni tal-Mongolja u l-imperjalizmu Ċiniż. Huwa ġedded sewqan massiv kontra d-dinastija tal-kanzunetta fin-nofsinhar. Kublai assedja lil Xia"&amp;"ngyang bejn l-1268 u l-1273, l-aħħar ostaklu fi triqtu biex jaqbad il-baċin tax-Xmara Rich Yangzi. Sar spedizzjoni navali li ma rnexxietx kontra l-Ġappun fl-1274. Kublai qabad il-kanzunetta tal-kapitali ta 'Hangzhou fl-1276, l-iktar belt sinjura taċ-Ċina."&amp;" Kanzunetta Loyalists ħarbu mill-kapitali u enfasizzaw tifel żgħir bħala l-Imperatur Bing tal-Kanzunetta. Il-Mongoli għelbu lill-Loyalists fil-Battalja ta ’Yamen fl-1279. L-aħħar kanzunetta imperatur għerqet, u ġab fi tmiem id-dinastija tal-kanzunetta. Il"&amp;"-konkwista tal-kanzunetta reġgħet ingħaqdet iċ-Ċina tat-Tramuntana u tan-Nofsinhar għall-ewwel darba fi tliet mitt sena.")</f>
        <v>Wara li saħħaħ il-gvern tiegħu fit-Tramuntana taċ-Ċina, Kublai segwa politika espansjonista f'konformità mat-tradizzjoni tal-Mongolja u l-imperjalizmu Ċiniż. Huwa ġedded sewqan massiv kontra d-dinastija tal-kanzunetta fin-nofsinhar. Kublai assedja lil Xiangyang bejn l-1268 u l-1273, l-aħħar ostaklu fi triqtu biex jaqbad il-baċin tax-Xmara Rich Yangzi. Sar spedizzjoni navali li ma rnexxietx kontra l-Ġappun fl-1274. Kublai qabad il-kanzunetta tal-kapitali ta 'Hangzhou fl-1276, l-iktar belt sinjura taċ-Ċina. Kanzunetta Loyalists ħarbu mill-kapitali u enfasizzaw tifel żgħir bħala l-Imperatur Bing tal-Kanzunetta. Il-Mongoli għelbu lill-Loyalists fil-Battalja ta ’Yamen fl-1279. L-aħħar kanzunetta imperatur għerqet, u ġab fi tmiem id-dinastija tal-kanzunetta. Il-konkwista tal-kanzunetta reġgħet ingħaqdet iċ-Ċina tat-Tramuntana u tan-Nofsinhar għall-ewwel darba fi tliet mitt sena.</v>
      </c>
    </row>
    <row r="2371" ht="15.75" customHeight="1">
      <c r="A2371" s="2" t="s">
        <v>2371</v>
      </c>
      <c r="B2371" s="2" t="str">
        <f>IFERROR(__xludf.DUMMYFUNCTION("GOOGLETRANSLATE(A2371,""en"", ""mt"")"),"VA, is-Servizz tas-Saħħa Indjana, u NIH")</f>
        <v>VA, is-Servizz tas-Saħħa Indjana, u NIH</v>
      </c>
    </row>
    <row r="2372" ht="15.75" customHeight="1">
      <c r="A2372" s="2" t="s">
        <v>2372</v>
      </c>
      <c r="B2372" s="2" t="str">
        <f>IFERROR(__xludf.DUMMYFUNCTION("GOOGLETRANSLATE(A2372,""en"", ""mt"")"),"1695–1696")</f>
        <v>1695–1696</v>
      </c>
    </row>
    <row r="2373" ht="15.75" customHeight="1">
      <c r="A2373" s="2" t="s">
        <v>2373</v>
      </c>
      <c r="B2373" s="2" t="str">
        <f>IFERROR(__xludf.DUMMYFUNCTION("GOOGLETRANSLATE(A2373,""en"", ""mt"")"),"Li skopra li l-kampi elettriċi u manjetiċi jistgħu jkunu ""konxji minnu nnifsu""")</f>
        <v>Li skopra li l-kampi elettriċi u manjetiċi jistgħu jkunu "konxji minnu nnifsu"</v>
      </c>
    </row>
    <row r="2374" ht="15.75" customHeight="1">
      <c r="A2374" s="2" t="s">
        <v>2374</v>
      </c>
      <c r="B2374" s="2" t="str">
        <f>IFERROR(__xludf.DUMMYFUNCTION("GOOGLETRANSLATE(A2374,""en"", ""mt"")"),"Minn min kienu aktar tard l-imperaturi tal-wan iżolati?")</f>
        <v>Minn min kienu aktar tard l-imperaturi tal-wan iżolati?</v>
      </c>
    </row>
    <row r="2375" ht="15.75" customHeight="1">
      <c r="A2375" s="2" t="s">
        <v>2375</v>
      </c>
      <c r="B2375" s="2" t="str">
        <f>IFERROR(__xludf.DUMMYFUNCTION("GOOGLETRANSLATE(A2375,""en"", ""mt"")"),"""zip"" il-ħalq jingħalaq meta l-annimal ma jkunx qed jitma '")</f>
        <v>"zip" il-ħalq jingħalaq meta l-annimal ma jkunx qed jitma '</v>
      </c>
    </row>
    <row r="2376" ht="15.75" customHeight="1">
      <c r="A2376" s="2" t="s">
        <v>2376</v>
      </c>
      <c r="B2376" s="2" t="str">
        <f>IFERROR(__xludf.DUMMYFUNCTION("GOOGLETRANSLATE(A2376,""en"", ""mt"")"),"Fit-23 ta 'Ġunju 2005, ir-Rep. Joe Barton, president tal-Kumitat tal-Kamra dwar l-Enerġija u l-Kummerċ kiteb ittri konġunti ma' Ed Whitfield, president tas-Sottokumitat dwar is-Superviżjoni u l-Investigazzjonijiet li jitolbu rekords sħaħ dwar ir-riċerka d"&amp;"war il-klima, kif ukoll informazzjoni personali dwar il-finanzi tagħhom u karrieri, minn Mann, Bradley u Hughes. Sherwood Boehlert, president tal-Kumitat tax-Xjenza tal-Kamra, qalet li din kienet ""investigazzjoni żbaljata u illeġittima"" apparentement im"&amp;"mirata biex tintimida xjenzati, u fuq talba tiegħu l-Akkademja Nazzjonali tax-Xjenzi tal-Istati Uniti rranġat biex il-Kunsill Nazzjonali tar-Riċerka tiegħu jistabbilixxi investigazzjoni speċjali. Ir-rapport tal-Kunsill Nazzjonali tar-Riċerka qabel li kien"&amp;" hemm xi nuqqasijiet statistiċi, iżda dawn ftit kellhom effett fuq il-graff, li ġeneralment kien korrett. F'ittra ta 'l-2006 lil Nature, Mann, Bradley, u Hughes irrimarkaw li l-artikolu oriġinali tagħhom qalu li ""hemm bżonn ta' dejta ta 'riżoluzzjoni għo"&amp;"lja aktar mifruxa qabel ma jistgħu jintlaħqu konklużjonijiet aktar kunfidenti"" u li l-inċertezzi kienu ""l-punt ta' l-artiklu "".")</f>
        <v>Fit-23 ta 'Ġunju 2005, ir-Rep. Joe Barton, president tal-Kumitat tal-Kamra dwar l-Enerġija u l-Kummerċ kiteb ittri konġunti ma' Ed Whitfield, president tas-Sottokumitat dwar is-Superviżjoni u l-Investigazzjonijiet li jitolbu rekords sħaħ dwar ir-riċerka dwar il-klima, kif ukoll informazzjoni personali dwar il-finanzi tagħhom u karrieri, minn Mann, Bradley u Hughes. Sherwood Boehlert, president tal-Kumitat tax-Xjenza tal-Kamra, qalet li din kienet "investigazzjoni żbaljata u illeġittima" apparentement immirata biex tintimida xjenzati, u fuq talba tiegħu l-Akkademja Nazzjonali tax-Xjenzi tal-Istati Uniti rranġat biex il-Kunsill Nazzjonali tar-Riċerka tiegħu jistabbilixxi investigazzjoni speċjali. Ir-rapport tal-Kunsill Nazzjonali tar-Riċerka qabel li kien hemm xi nuqqasijiet statistiċi, iżda dawn ftit kellhom effett fuq il-graff, li ġeneralment kien korrett. F'ittra ta 'l-2006 lil Nature, Mann, Bradley, u Hughes irrimarkaw li l-artikolu oriġinali tagħhom qalu li "hemm bżonn ta' dejta ta 'riżoluzzjoni għolja aktar mifruxa qabel ma jistgħu jintlaħqu konklużjonijiet aktar kunfidenti" u li l-inċertezzi kienu "l-punt ta' l-artiklu ".</v>
      </c>
    </row>
    <row r="2377" ht="15.75" customHeight="1">
      <c r="A2377" s="2" t="s">
        <v>2377</v>
      </c>
      <c r="B2377" s="2" t="str">
        <f>IFERROR(__xludf.DUMMYFUNCTION("GOOGLETRANSLATE(A2377,""en"", ""mt"")"),"Hemm tmien ringieli ta 'pettnijiet li jimxu minn ħdejn il-ħalq sat-tarf oppost, u huma spazjati b'mod uniformi mal-ġisem. Il- ""Combs"" jegħlbu f'ritmu metakronali pjuttost bħal dak ta 'mewġa Messikana. Minn kull balancer fl-istatocyst, kanal ciliary jisp"&amp;"iċċa taħt il-koppla u mbagħad jinqasam biex jgħaqqad ma 'żewġ ringieli tal-moxt li jmissu magħhom, u f'xi speċi jimxu fit-triq kollha tul ir-ringieli tal-moxt. Dan jifforma sistema mekkanika għat-trasmissjoni tar-ritmu ta 'taħbit mill-pettnijiet lill-bila"&amp;"nċjaturi, permezz ta' disturbi fl-ilma maħluqa miċ-ċili.")</f>
        <v>Hemm tmien ringieli ta 'pettnijiet li jimxu minn ħdejn il-ħalq sat-tarf oppost, u huma spazjati b'mod uniformi mal-ġisem. Il- "Combs" jegħlbu f'ritmu metakronali pjuttost bħal dak ta 'mewġa Messikana. Minn kull balancer fl-istatocyst, kanal ciliary jispiċċa taħt il-koppla u mbagħad jinqasam biex jgħaqqad ma 'żewġ ringieli tal-moxt li jmissu magħhom, u f'xi speċi jimxu fit-triq kollha tul ir-ringieli tal-moxt. Dan jifforma sistema mekkanika għat-trasmissjoni tar-ritmu ta 'taħbit mill-pettnijiet lill-bilanċjaturi, permezz ta' disturbi fl-ilma maħluqa miċ-ċili.</v>
      </c>
    </row>
    <row r="2378" ht="15.75" customHeight="1">
      <c r="A2378" s="2" t="s">
        <v>2378</v>
      </c>
      <c r="B2378" s="2" t="str">
        <f>IFERROR(__xludf.DUMMYFUNCTION("GOOGLETRANSLATE(A2378,""en"", ""mt"")"),"pala")</f>
        <v>pala</v>
      </c>
    </row>
    <row r="2379" ht="15.75" customHeight="1">
      <c r="A2379" s="2" t="s">
        <v>2379</v>
      </c>
      <c r="B2379" s="2" t="str">
        <f>IFERROR(__xludf.DUMMYFUNCTION("GOOGLETRANSLATE(A2379,""en"", ""mt"")"),"Bini tad-Dawl u tal-Enerġija San Joaquin")</f>
        <v>Bini tad-Dawl u tal-Enerġija San Joaquin</v>
      </c>
    </row>
    <row r="2380" ht="15.75" customHeight="1">
      <c r="A2380" s="2" t="s">
        <v>2380</v>
      </c>
      <c r="B2380" s="2" t="str">
        <f>IFERROR(__xludf.DUMMYFUNCTION("GOOGLETRANSLATE(A2380,""en"", ""mt"")"),"X'inhu l-isem tal-iskema li tipprovdi tagħlim u għajnuna għall-ħlas lill-istudenti minħabba l-iskrizzjoni żejda?")</f>
        <v>X'inhu l-isem tal-iskema li tipprovdi tagħlim u għajnuna għall-ħlas lill-istudenti minħabba l-iskrizzjoni żejda?</v>
      </c>
    </row>
    <row r="2381" ht="15.75" customHeight="1">
      <c r="A2381" s="2" t="s">
        <v>2381</v>
      </c>
      <c r="B2381" s="2" t="str">
        <f>IFERROR(__xludf.DUMMYFUNCTION("GOOGLETRANSLATE(A2381,""en"", ""mt"")"),"Għaliex l-ispeċi kostali huma iebsa?")</f>
        <v>Għaliex l-ispeċi kostali huma iebsa?</v>
      </c>
    </row>
    <row r="2382" ht="15.75" customHeight="1">
      <c r="A2382" s="2" t="s">
        <v>2382</v>
      </c>
      <c r="B2382" s="2" t="str">
        <f>IFERROR(__xludf.DUMMYFUNCTION("GOOGLETRANSLATE(A2382,""en"", ""mt"")"),"wieħed mill-aktar movimenti influwenti")</f>
        <v>wieħed mill-aktar movimenti influwenti</v>
      </c>
    </row>
    <row r="2383" ht="15.75" customHeight="1">
      <c r="A2383" s="2" t="s">
        <v>2383</v>
      </c>
      <c r="B2383" s="2" t="str">
        <f>IFERROR(__xludf.DUMMYFUNCTION("GOOGLETRANSLATE(A2383,""en"", ""mt"")"),"diffiċli għall-predaturi biex jevolvu li jistgħu jispeċjalizzaw bħala predaturi fuq magicicadas")</f>
        <v>diffiċli għall-predaturi biex jevolvu li jistgħu jispeċjalizzaw bħala predaturi fuq magicicadas</v>
      </c>
    </row>
    <row r="2384" ht="15.75" customHeight="1">
      <c r="A2384" s="2" t="s">
        <v>2384</v>
      </c>
      <c r="B2384" s="2" t="str">
        <f>IFERROR(__xludf.DUMMYFUNCTION("GOOGLETRANSLATE(A2384,""en"", ""mt"")"),"Kemm hemm formazzjonijiet ġeomorfoloġiċi fuq Varsavja?")</f>
        <v>Kemm hemm formazzjonijiet ġeomorfoloġiċi fuq Varsavja?</v>
      </c>
    </row>
    <row r="2385" ht="15.75" customHeight="1">
      <c r="A2385" s="2" t="s">
        <v>2385</v>
      </c>
      <c r="B2385" s="2" t="str">
        <f>IFERROR(__xludf.DUMMYFUNCTION("GOOGLETRANSLATE(A2385,""en"", ""mt"")"),"X'inhuma żewġ molekuli anti-infjammatorji li l-quċċata matul is-sigħat imqajmin?")</f>
        <v>X'inhuma żewġ molekuli anti-infjammatorji li l-quċċata matul is-sigħat imqajmin?</v>
      </c>
    </row>
    <row r="2386" ht="15.75" customHeight="1">
      <c r="A2386" s="2" t="s">
        <v>2386</v>
      </c>
      <c r="B2386" s="2" t="str">
        <f>IFERROR(__xludf.DUMMYFUNCTION("GOOGLETRANSLATE(A2386,""en"", ""mt"")"),"gwerra, ġuħ, u temp")</f>
        <v>gwerra, ġuħ, u temp</v>
      </c>
    </row>
    <row r="2387" ht="15.75" customHeight="1">
      <c r="A2387" s="2" t="s">
        <v>2387</v>
      </c>
      <c r="B2387" s="2" t="str">
        <f>IFERROR(__xludf.DUMMYFUNCTION("GOOGLETRANSLATE(A2387,""en"", ""mt"")"),"Tmien Presidenti tal-Istati Uniti")</f>
        <v>Tmien Presidenti tal-Istati Uniti</v>
      </c>
    </row>
    <row r="2388" ht="15.75" customHeight="1">
      <c r="A2388" s="2" t="s">
        <v>2388</v>
      </c>
      <c r="B2388" s="2" t="str">
        <f>IFERROR(__xludf.DUMMYFUNCTION("GOOGLETRANSLATE(A2388,""en"", ""mt"")"),"Kemm ġonna botaniċi għandu Varsavja?")</f>
        <v>Kemm ġonna botaniċi għandu Varsavja?</v>
      </c>
    </row>
    <row r="2389" ht="15.75" customHeight="1">
      <c r="A2389" s="2" t="s">
        <v>2389</v>
      </c>
      <c r="B2389" s="2" t="str">
        <f>IFERROR(__xludf.DUMMYFUNCTION("GOOGLETRANSLATE(A2389,""en"", ""mt"")"),"werqa tal-irmied")</f>
        <v>werqa tal-irmied</v>
      </c>
    </row>
    <row r="2390" ht="15.75" customHeight="1">
      <c r="A2390" s="2" t="s">
        <v>2390</v>
      </c>
      <c r="B2390" s="2" t="str">
        <f>IFERROR(__xludf.DUMMYFUNCTION("GOOGLETRANSLATE(A2390,""en"", ""mt"")"),"X'inhuma ż-żewġ tipi differenti ta 'immunità?")</f>
        <v>X'inhuma ż-żewġ tipi differenti ta 'immunità?</v>
      </c>
    </row>
    <row r="2391" ht="15.75" customHeight="1">
      <c r="A2391" s="2" t="s">
        <v>2391</v>
      </c>
      <c r="B2391" s="2" t="str">
        <f>IFERROR(__xludf.DUMMYFUNCTION("GOOGLETRANSLATE(A2391,""en"", ""mt"")"),"Il-granari ġew ordnati mibnija madwar l-imperu")</f>
        <v>Il-granari ġew ordnati mibnija madwar l-imperu</v>
      </c>
    </row>
    <row r="2392" ht="15.75" customHeight="1">
      <c r="A2392" s="2" t="s">
        <v>2392</v>
      </c>
      <c r="B2392" s="2" t="str">
        <f>IFERROR(__xludf.DUMMYFUNCTION("GOOGLETRANSLATE(A2392,""en"", ""mt"")"),"Liema nazzjonalità huma r-riċerkaturi Richard G. Wilkinson u Kate Pickett?")</f>
        <v>Liema nazzjonalità huma r-riċerkaturi Richard G. Wilkinson u Kate Pickett?</v>
      </c>
    </row>
    <row r="2393" ht="15.75" customHeight="1">
      <c r="A2393" s="2" t="s">
        <v>2393</v>
      </c>
      <c r="B2393" s="2" t="str">
        <f>IFERROR(__xludf.DUMMYFUNCTION("GOOGLETRANSLATE(A2393,""en"", ""mt"")"),"B'liema dokument il-Huguenots stqarr il-fidi tagħhom lill-Portugiż fil-Brażil?")</f>
        <v>B'liema dokument il-Huguenots stqarr il-fidi tagħhom lill-Portugiż fil-Brażil?</v>
      </c>
    </row>
    <row r="2394" ht="15.75" customHeight="1">
      <c r="A2394" s="2" t="s">
        <v>2394</v>
      </c>
      <c r="B2394" s="2" t="str">
        <f>IFERROR(__xludf.DUMMYFUNCTION("GOOGLETRANSLATE(A2394,""en"", ""mt"")"),"Kemm qabel kif ukoll wara s-silta tal-1708 tal-Att dwar in-Naturalizzazzjoni tal-Protestanti Barranin, huwa stmat li 50,000 walloon Protestanti u Huguenots ħarbu lejn l-Ingilterra, b'ħafna jimxu lejn l-Irlanda u x'imkien ieħor. F'termini relattivi, dan ki"&amp;"en wieħed mill-ikbar mewġ ta 'immigrazzjoni li qatt kien hemm komunità etnika waħda lejn il-Gran Brittanja. Andrew Lortie (imwieled André Lortie), teologu u kittieb ewlieni ta 'Huguenot li mexxa l-komunità eżiljata f'Londra, sar magħruf għall-artikolazzjo"&amp;"ni tal-kritika tagħhom dwar il-Papa u d-duttrina ta' trans-swaba waqt il-massa.")</f>
        <v>Kemm qabel kif ukoll wara s-silta tal-1708 tal-Att dwar in-Naturalizzazzjoni tal-Protestanti Barranin, huwa stmat li 50,000 walloon Protestanti u Huguenots ħarbu lejn l-Ingilterra, b'ħafna jimxu lejn l-Irlanda u x'imkien ieħor. F'termini relattivi, dan kien wieħed mill-ikbar mewġ ta 'immigrazzjoni li qatt kien hemm komunità etnika waħda lejn il-Gran Brittanja. Andrew Lortie (imwieled André Lortie), teologu u kittieb ewlieni ta 'Huguenot li mexxa l-komunità eżiljata f'Londra, sar magħruf għall-artikolazzjoni tal-kritika tagħhom dwar il-Papa u d-duttrina ta' trans-swaba waqt il-massa.</v>
      </c>
    </row>
    <row r="2395" ht="15.75" customHeight="1">
      <c r="A2395" s="2" t="s">
        <v>2395</v>
      </c>
      <c r="B2395" s="2" t="str">
        <f>IFERROR(__xludf.DUMMYFUNCTION("GOOGLETRANSLATE(A2395,""en"", ""mt"")"),"Kemm trattati oriġinali jistabbilixxu d-drittijiet fundamentali protetti mill-UE?")</f>
        <v>Kemm trattati oriġinali jistabbilixxu d-drittijiet fundamentali protetti mill-UE?</v>
      </c>
    </row>
    <row r="2396" ht="15.75" customHeight="1">
      <c r="A2396" s="2" t="s">
        <v>2396</v>
      </c>
      <c r="B2396" s="2" t="str">
        <f>IFERROR(__xludf.DUMMYFUNCTION("GOOGLETRANSLATE(A2396,""en"", ""mt"")"),"Ix-xjentisti ma jaqblux ma 'kif inbidlet il-foresta tropikali tal-Amażonja maż-żmien ma' xi wħud billi argumentaw li kienet imnaqqsa għal refugia iżolata separata minn xiex?")</f>
        <v>Ix-xjentisti ma jaqblux ma 'kif inbidlet il-foresta tropikali tal-Amażonja maż-żmien ma' xi wħud billi argumentaw li kienet imnaqqsa għal refugia iżolata separata minn xiex?</v>
      </c>
    </row>
    <row r="2397" ht="15.75" customHeight="1">
      <c r="A2397" s="2" t="s">
        <v>2397</v>
      </c>
      <c r="B2397" s="2" t="str">
        <f>IFERROR(__xludf.DUMMYFUNCTION("GOOGLETRANSLATE(A2397,""en"", ""mt"")"),"X'inhu l-isem tad-deżert ħdejn il-fruntiera ta 'Nevada?")</f>
        <v>X'inhu l-isem tad-deżert ħdejn il-fruntiera ta 'Nevada?</v>
      </c>
    </row>
    <row r="2398" ht="15.75" customHeight="1">
      <c r="A2398" s="2" t="s">
        <v>2398</v>
      </c>
      <c r="B2398" s="2" t="str">
        <f>IFERROR(__xludf.DUMMYFUNCTION("GOOGLETRANSLATE(A2398,""en"", ""mt"")"),"Ma 'min iffirma Rollo t-Trattat ta' Saint-Clair-sur-Epte?")</f>
        <v>Ma 'min iffirma Rollo t-Trattat ta' Saint-Clair-sur-Epte?</v>
      </c>
    </row>
    <row r="2399" ht="15.75" customHeight="1">
      <c r="A2399" s="2" t="s">
        <v>2399</v>
      </c>
      <c r="B2399" s="2" t="str">
        <f>IFERROR(__xludf.DUMMYFUNCTION("GOOGLETRANSLATE(A2399,""en"", ""mt"")"),"Eżempju ieħor ta 'riċerka xjentifika li tissuġġerixxi li stimi preċedenti mill-IPCC,' il bogħod mill-perikli u r-riskji eċċessivi, fil-fatt issottovalutawhom huwa studju dwar żidiet ipproġettati fil-livelli tal-baħar. Meta l-analiżi tar-riċerkaturi ġiet "&amp;"""applikata għax-xenarji possibbli deskritti mill-pannell intergovernattiv dwar it-tibdil fil-klima (IPCC), ir-riċerkaturi sabu li f'2100 livell tal-baħar ikun 0.5-11.4 m [50-140 cm] 'l fuq mil-livelli tal-1990. Dawn il-valuri. huma ħafna akbar mid-9-88 c"&amp;"m kif ipproġettat mill-IPCC innifsu fit-tielet rapport ta 'valutazzjoni tiegħu, ippubblikat fl-2001 "". Dan seta 'kien dovut, parzjalment, għall-fehim tal-bniedem li qed jespandi tal-klima.")</f>
        <v>Eżempju ieħor ta 'riċerka xjentifika li tissuġġerixxi li stimi preċedenti mill-IPCC,' il bogħod mill-perikli u r-riskji eċċessivi, fil-fatt issottovalutawhom huwa studju dwar żidiet ipproġettati fil-livelli tal-baħar. Meta l-analiżi tar-riċerkaturi ġiet "applikata għax-xenarji possibbli deskritti mill-pannell intergovernattiv dwar it-tibdil fil-klima (IPCC), ir-riċerkaturi sabu li f'2100 livell tal-baħar ikun 0.5-11.4 m [50-140 cm] 'l fuq mil-livelli tal-1990. Dawn il-valuri. huma ħafna akbar mid-9-88 cm kif ipproġettat mill-IPCC innifsu fit-tielet rapport ta 'valutazzjoni tiegħu, ippubblikat fl-2001 ". Dan seta 'kien dovut, parzjalment, għall-fehim tal-bniedem li qed jespandi tal-klima.</v>
      </c>
    </row>
    <row r="2400" ht="15.75" customHeight="1">
      <c r="A2400" s="2" t="s">
        <v>2400</v>
      </c>
      <c r="B2400" s="2" t="str">
        <f>IFERROR(__xludf.DUMMYFUNCTION("GOOGLETRANSLATE(A2400,""en"", ""mt"")"),"Steam jaħrab,")</f>
        <v>Steam jaħrab,</v>
      </c>
    </row>
    <row r="2401" ht="15.75" customHeight="1">
      <c r="A2401" s="2" t="s">
        <v>2401</v>
      </c>
      <c r="B2401" s="2" t="str">
        <f>IFERROR(__xludf.DUMMYFUNCTION("GOOGLETRANSLATE(A2401,""en"", ""mt"")"),"It-Tapizzerija ta 'Bayeux")</f>
        <v>It-Tapizzerija ta 'Bayeux</v>
      </c>
    </row>
    <row r="2402" ht="15.75" customHeight="1">
      <c r="A2402" s="2" t="s">
        <v>2402</v>
      </c>
      <c r="B2402" s="2" t="str">
        <f>IFERROR(__xludf.DUMMYFUNCTION("GOOGLETRANSLATE(A2402,""en"", ""mt"")"),"Alġerija")</f>
        <v>Alġerija</v>
      </c>
    </row>
    <row r="2403" ht="15.75" customHeight="1">
      <c r="A2403" s="2" t="s">
        <v>2403</v>
      </c>
      <c r="B2403" s="2" t="str">
        <f>IFERROR(__xludf.DUMMYFUNCTION("GOOGLETRANSLATE(A2403,""en"", ""mt"")"),"aktar riżorsi mhux tas-soltu")</f>
        <v>aktar riżorsi mhux tas-soltu</v>
      </c>
    </row>
    <row r="2404" ht="15.75" customHeight="1">
      <c r="A2404" s="2" t="s">
        <v>2404</v>
      </c>
      <c r="B2404" s="2" t="str">
        <f>IFERROR(__xludf.DUMMYFUNCTION("GOOGLETRANSLATE(A2404,""en"", ""mt"")"),"Prinċipji ta 'pre-allokazzjoni ta' bandwidth tan-netwerk")</f>
        <v>Prinċipji ta 'pre-allokazzjoni ta' bandwidth tan-netwerk</v>
      </c>
    </row>
    <row r="2405" ht="15.75" customHeight="1">
      <c r="A2405" s="2" t="s">
        <v>2405</v>
      </c>
      <c r="B2405" s="2" t="str">
        <f>IFERROR(__xludf.DUMMYFUNCTION("GOOGLETRANSLATE(A2405,""en"", ""mt"")"),"Firxa ta 'diviżjoni kbira")</f>
        <v>Firxa ta 'diviżjoni kbira</v>
      </c>
    </row>
    <row r="2406" ht="15.75" customHeight="1">
      <c r="A2406" s="2" t="s">
        <v>2406</v>
      </c>
      <c r="B2406" s="2" t="str">
        <f>IFERROR(__xludf.DUMMYFUNCTION("GOOGLETRANSLATE(A2406,""en"", ""mt"")"),"Ċentru tar-Riċerka dwar il-Woods Hole")</f>
        <v>Ċentru tar-Riċerka dwar il-Woods Hole</v>
      </c>
    </row>
    <row r="2407" ht="15.75" customHeight="1">
      <c r="A2407" s="2" t="s">
        <v>2407</v>
      </c>
      <c r="B2407" s="2" t="str">
        <f>IFERROR(__xludf.DUMMYFUNCTION("GOOGLETRANSLATE(A2407,""en"", ""mt"")"),"F’liema direzzjoni qalu Watson li daħal l-iżball?")</f>
        <v>F’liema direzzjoni qalu Watson li daħal l-iżball?</v>
      </c>
    </row>
    <row r="2408" ht="15.75" customHeight="1">
      <c r="A2408" s="2" t="s">
        <v>2408</v>
      </c>
      <c r="B2408" s="2" t="str">
        <f>IFERROR(__xludf.DUMMYFUNCTION("GOOGLETRANSLATE(A2408,""en"", ""mt"")"),"Thomas de Maiziere jservi liema rwol fil-kabinett Ġermaniż?")</f>
        <v>Thomas de Maiziere jservi liema rwol fil-kabinett Ġermaniż?</v>
      </c>
    </row>
    <row r="2409" ht="15.75" customHeight="1">
      <c r="A2409" s="2" t="s">
        <v>2409</v>
      </c>
      <c r="B2409" s="2" t="str">
        <f>IFERROR(__xludf.DUMMYFUNCTION("GOOGLETRANSLATE(A2409,""en"", ""mt"")"),"VBNS installa waħda mill-ewwel produzzjoni ta ’links IP OC-48C (2.5 GBIT / S) fi Frar 1999 u kompliet taġġorna s-sinsla kollha għal OC-48C")</f>
        <v>VBNS installa waħda mill-ewwel produzzjoni ta ’links IP OC-48C (2.5 GBIT / S) fi Frar 1999 u kompliet taġġorna s-sinsla kollha għal OC-48C</v>
      </c>
    </row>
    <row r="2410" ht="15.75" customHeight="1">
      <c r="A2410" s="2" t="s">
        <v>2410</v>
      </c>
      <c r="B2410" s="2" t="str">
        <f>IFERROR(__xludf.DUMMYFUNCTION("GOOGLETRANSLATE(A2410,""en"", ""mt"")"),"X'inhu PPP?")</f>
        <v>X'inhu PPP?</v>
      </c>
    </row>
    <row r="2411" ht="15.75" customHeight="1">
      <c r="A2411" s="2" t="s">
        <v>2411</v>
      </c>
      <c r="B2411" s="2" t="str">
        <f>IFERROR(__xludf.DUMMYFUNCTION("GOOGLETRANSLATE(A2411,""en"", ""mt"")"),"Kooperazzjoni")</f>
        <v>Kooperazzjoni</v>
      </c>
    </row>
    <row r="2412" ht="15.75" customHeight="1">
      <c r="A2412" s="2" t="s">
        <v>2412</v>
      </c>
      <c r="B2412" s="2" t="str">
        <f>IFERROR(__xludf.DUMMYFUNCTION("GOOGLETRANSLATE(A2412,""en"", ""mt"")"),"Sky UK Limited (li qabel kienet British Sky Broadcasting jew BSKYB) hija kumpanija Ingliża tat-telekomunikazzjoni li sservi r-Renju Unit. Sky jipprovdi servizzi tal-internet tat-televiżjoni u tal-broadband u servizzi tat-telefon tal-linja fissa lill-konsu"&amp;"maturi u n-negozji fir-Renju Unit. Huwa l-ikbar xandar tat-TV Pay tar-Renju Unit bi 11-il miljun klijent mill-2015. Kien is-servizz tat-TV diġitali l-aktar popolari tar-Renju Unit sakemm inqabeż minn Freeview f'April 2007. Il-kwartieri ġenerali korporatti"&amp;"vi tiegħu huma bbażati f'Isleworth.")</f>
        <v>Sky UK Limited (li qabel kienet British Sky Broadcasting jew BSKYB) hija kumpanija Ingliża tat-telekomunikazzjoni li sservi r-Renju Unit. Sky jipprovdi servizzi tal-internet tat-televiżjoni u tal-broadband u servizzi tat-telefon tal-linja fissa lill-konsumaturi u n-negozji fir-Renju Unit. Huwa l-ikbar xandar tat-TV Pay tar-Renju Unit bi 11-il miljun klijent mill-2015. Kien is-servizz tat-TV diġitali l-aktar popolari tar-Renju Unit sakemm inqabeż minn Freeview f'April 2007. Il-kwartieri ġenerali korporattivi tiegħu huma bbażati f'Isleworth.</v>
      </c>
    </row>
    <row r="2413" ht="15.75" customHeight="1">
      <c r="A2413" s="2" t="s">
        <v>2413</v>
      </c>
      <c r="B2413" s="2" t="str">
        <f>IFERROR(__xludf.DUMMYFUNCTION("GOOGLETRANSLATE(A2413,""en"", ""mt"")"),"Tang, Song, kif ukoll Khitan Liao u Jurchen Jin Dynasties")</f>
        <v>Tang, Song, kif ukoll Khitan Liao u Jurchen Jin Dynasties</v>
      </c>
    </row>
    <row r="2414" ht="15.75" customHeight="1">
      <c r="A2414" s="2" t="s">
        <v>2414</v>
      </c>
      <c r="B2414" s="2" t="str">
        <f>IFERROR(__xludf.DUMMYFUNCTION("GOOGLETRANSLATE(A2414,""en"", ""mt"")"),"Il-magni tal-fwar tat-tip tal-pistuni reċiprokanti baqgħu s-sors dominanti ta 'enerġija sal-bidu tas-seklu 20, meta l-avvanzi fid-disinn ta' muturi elettriċi u magni ta 'kombustjoni interna rriżultaw gradwalment fis-sostituzzjoni ta' magni tal-fwar reċipr"&amp;"okanti (pistuni) f'użu kummerċjali, u l-axxendenza tal-fwar Turbini fil-ġenerazzjoni tal-enerġija. Meta wieħed iqis li l-maġġoranza kbira tal-ġenerazzjoni elettrika dinjija hija prodotta minn magni tal-fwar tat-tip turbina, l- ""età tal-fwar"" qed tkompli"&amp;" b'livelli ta 'enerġija lil hinn minn dawk tad-dawra tas-seklu 19.")</f>
        <v>Il-magni tal-fwar tat-tip tal-pistuni reċiprokanti baqgħu s-sors dominanti ta 'enerġija sal-bidu tas-seklu 20, meta l-avvanzi fid-disinn ta' muturi elettriċi u magni ta 'kombustjoni interna rriżultaw gradwalment fis-sostituzzjoni ta' magni tal-fwar reċiprokanti (pistuni) f'użu kummerċjali, u l-axxendenza tal-fwar Turbini fil-ġenerazzjoni tal-enerġija. Meta wieħed iqis li l-maġġoranza kbira tal-ġenerazzjoni elettrika dinjija hija prodotta minn magni tal-fwar tat-tip turbina, l- "età tal-fwar" qed tkompli b'livelli ta 'enerġija lil hinn minn dawk tad-dawra tas-seklu 19.</v>
      </c>
    </row>
    <row r="2415" ht="15.75" customHeight="1">
      <c r="A2415" s="2" t="s">
        <v>2415</v>
      </c>
      <c r="B2415" s="2" t="str">
        <f>IFERROR(__xludf.DUMMYFUNCTION("GOOGLETRANSLATE(A2415,""en"", ""mt"")"),"Eicosanoids u ċitokini")</f>
        <v>Eicosanoids u ċitokini</v>
      </c>
    </row>
    <row r="2416" ht="15.75" customHeight="1">
      <c r="A2416" s="2" t="s">
        <v>2416</v>
      </c>
      <c r="B2416" s="2" t="str">
        <f>IFERROR(__xludf.DUMMYFUNCTION("GOOGLETRANSLATE(A2416,""en"", ""mt"")"),"In-netwerk kien inġinerija u mħaddem minn telekomunikazzjonijiet MCI taħt ftehim kooperattiv mal-NSF")</f>
        <v>In-netwerk kien inġinerija u mħaddem minn telekomunikazzjonijiet MCI taħt ftehim kooperattiv mal-NSF</v>
      </c>
    </row>
    <row r="2417" ht="15.75" customHeight="1">
      <c r="A2417" s="2" t="s">
        <v>2417</v>
      </c>
      <c r="B2417" s="2" t="str">
        <f>IFERROR(__xludf.DUMMYFUNCTION("GOOGLETRANSLATE(A2417,""en"", ""mt"")"),"plott u għaqqad")</f>
        <v>plott u għaqqad</v>
      </c>
    </row>
    <row r="2418" ht="15.75" customHeight="1">
      <c r="A2418" s="2" t="s">
        <v>2418</v>
      </c>
      <c r="B2418" s="2" t="str">
        <f>IFERROR(__xludf.DUMMYFUNCTION("GOOGLETRANSLATE(A2418,""en"", ""mt"")"),"King Malcolm III")</f>
        <v>King Malcolm III</v>
      </c>
    </row>
    <row r="2419" ht="15.75" customHeight="1">
      <c r="A2419" s="2" t="s">
        <v>2419</v>
      </c>
      <c r="B2419" s="2" t="str">
        <f>IFERROR(__xludf.DUMMYFUNCTION("GOOGLETRANSLATE(A2419,""en"", ""mt"")"),"Sitt reġimenti għal Franza Ġdida")</f>
        <v>Sitt reġimenti għal Franza Ġdida</v>
      </c>
    </row>
    <row r="2420" ht="15.75" customHeight="1">
      <c r="A2420" s="2" t="s">
        <v>2420</v>
      </c>
      <c r="B2420" s="2" t="str">
        <f>IFERROR(__xludf.DUMMYFUNCTION("GOOGLETRANSLATE(A2420,""en"", ""mt"")"),"F'liema reġjun ta 'California jinsab Palm Springs?")</f>
        <v>F'liema reġjun ta 'California jinsab Palm Springs?</v>
      </c>
    </row>
    <row r="2421" ht="15.75" customHeight="1">
      <c r="A2421" s="2" t="s">
        <v>2421</v>
      </c>
      <c r="B2421" s="2" t="str">
        <f>IFERROR(__xludf.DUMMYFUNCTION("GOOGLETRANSLATE(A2421,""en"", ""mt"")"),"Il-kompetenza leġiżlattiva tal-ispeċi tal-parlament liema oqsma?")</f>
        <v>Il-kompetenza leġiżlattiva tal-ispeċi tal-parlament liema oqsma?</v>
      </c>
    </row>
    <row r="2422" ht="15.75" customHeight="1">
      <c r="A2422" s="2" t="s">
        <v>2422</v>
      </c>
      <c r="B2422" s="2" t="str">
        <f>IFERROR(__xludf.DUMMYFUNCTION("GOOGLETRANSLATE(A2422,""en"", ""mt"")"),"konkorrenti, valutazzjonijiet iżgħar ta 'problemi speċjali")</f>
        <v>konkorrenti, valutazzjonijiet iżgħar ta 'problemi speċjali</v>
      </c>
    </row>
    <row r="2423" ht="15.75" customHeight="1">
      <c r="A2423" s="2" t="s">
        <v>2423</v>
      </c>
      <c r="B2423" s="2" t="str">
        <f>IFERROR(__xludf.DUMMYFUNCTION("GOOGLETRANSLATE(A2423,""en"", ""mt"")"),"X'inhu l-Wied Alpin li jgħaddi r-Rhine?")</f>
        <v>X'inhu l-Wied Alpin li jgħaddi r-Rhine?</v>
      </c>
    </row>
    <row r="2424" ht="15.75" customHeight="1">
      <c r="A2424" s="2" t="s">
        <v>2424</v>
      </c>
      <c r="B2424" s="2" t="str">
        <f>IFERROR(__xludf.DUMMYFUNCTION("GOOGLETRANSLATE(A2424,""en"", ""mt"")"),"In-nisġa")</f>
        <v>In-nisġa</v>
      </c>
    </row>
    <row r="2425" ht="15.75" customHeight="1">
      <c r="A2425" s="2" t="s">
        <v>2425</v>
      </c>
      <c r="B2425" s="2" t="str">
        <f>IFERROR(__xludf.DUMMYFUNCTION("GOOGLETRANSLATE(A2425,""en"", ""mt"")"),"Hughes Hotel")</f>
        <v>Hughes Hotel</v>
      </c>
    </row>
    <row r="2426" ht="15.75" customHeight="1">
      <c r="A2426" s="2" t="s">
        <v>2426</v>
      </c>
      <c r="B2426" s="2" t="str">
        <f>IFERROR(__xludf.DUMMYFUNCTION("GOOGLETRANSLATE(A2426,""en"", ""mt"")"),"netwerk nazzjonali")</f>
        <v>netwerk nazzjonali</v>
      </c>
    </row>
    <row r="2427" ht="15.75" customHeight="1">
      <c r="A2427" s="2" t="s">
        <v>2427</v>
      </c>
      <c r="B2427" s="2" t="str">
        <f>IFERROR(__xludf.DUMMYFUNCTION("GOOGLETRANSLATE(A2427,""en"", ""mt"")"),"Iż-żewġ timijiet elenkati jilagħbu għal liema grupp NCAA?")</f>
        <v>Iż-żewġ timijiet elenkati jilagħbu għal liema grupp NCAA?</v>
      </c>
    </row>
    <row r="2428" ht="15.75" customHeight="1">
      <c r="A2428" s="2" t="s">
        <v>2428</v>
      </c>
      <c r="B2428" s="2" t="str">
        <f>IFERROR(__xludf.DUMMYFUNCTION("GOOGLETRANSLATE(A2428,""en"", ""mt"")"),"Dokumenti li jakkumpanjaw - Noti ta 'Spjegazzjoni")</f>
        <v>Dokumenti li jakkumpanjaw - Noti ta 'Spjegazzjoni</v>
      </c>
    </row>
    <row r="2429" ht="15.75" customHeight="1">
      <c r="A2429" s="2" t="s">
        <v>2429</v>
      </c>
      <c r="B2429" s="2" t="str">
        <f>IFERROR(__xludf.DUMMYFUNCTION("GOOGLETRANSLATE(A2429,""en"", ""mt"")"),"numru Prim")</f>
        <v>numru Prim</v>
      </c>
    </row>
    <row r="2430" ht="15.75" customHeight="1">
      <c r="A2430" s="2" t="s">
        <v>2430</v>
      </c>
      <c r="B2430" s="2" t="str">
        <f>IFERROR(__xludf.DUMMYFUNCTION("GOOGLETRANSLATE(A2430,""en"", ""mt"")"),"Sistema immuni innata kontra s-sistema immuni adatta")</f>
        <v>Sistema immuni innata kontra s-sistema immuni adatta</v>
      </c>
    </row>
    <row r="2431" ht="15.75" customHeight="1">
      <c r="A2431" s="2" t="s">
        <v>2431</v>
      </c>
      <c r="B2431" s="2" t="str">
        <f>IFERROR(__xludf.DUMMYFUNCTION("GOOGLETRANSLATE(A2431,""en"", ""mt"")"),"Fejn huma l-aktar komuni s-saħħa u l-problemi soċjali?")</f>
        <v>Fejn huma l-aktar komuni s-saħħa u l-problemi soċjali?</v>
      </c>
    </row>
    <row r="2432" ht="15.75" customHeight="1">
      <c r="A2432" s="2" t="s">
        <v>2432</v>
      </c>
      <c r="B2432" s="2" t="str">
        <f>IFERROR(__xludf.DUMMYFUNCTION("GOOGLETRANSLATE(A2432,""en"", ""mt"")"),"X'jiġri jekk membru ma jivvotax il-linja tal-partit?")</f>
        <v>X'jiġri jekk membru ma jivvotax il-linja tal-partit?</v>
      </c>
    </row>
    <row r="2433" ht="15.75" customHeight="1">
      <c r="A2433" s="2" t="s">
        <v>2433</v>
      </c>
      <c r="B2433" s="2" t="str">
        <f>IFERROR(__xludf.DUMMYFUNCTION("GOOGLETRANSLATE(A2433,""en"", ""mt"")"),"biex sistema tiffunzjona")</f>
        <v>biex sistema tiffunzjona</v>
      </c>
    </row>
    <row r="2434" ht="15.75" customHeight="1">
      <c r="A2434" s="2" t="s">
        <v>2434</v>
      </c>
      <c r="B2434" s="2" t="str">
        <f>IFERROR(__xludf.DUMMYFUNCTION("GOOGLETRANSLATE(A2434,""en"", ""mt"")"),"Fattur ieħor fil-bidu tas-snin disgħin li ħadem biex jirradikalizza l-moviment Iżlamista kien il-Gwerra tal-Golf, li ġabet diversi mijiet ta 'eluf ta' l-Istati Uniti u alleat persunal militari mhux Musulman lejn il-ħamrija Għarab Sawdita biex itemmu l-okk"&amp;"upazzjoni ta 'Saddam Hussein fil-Kuwajt. Qabel l-1990 l-Arabja Sawdita kellha rwol importanti fit-trażżin tal-ħafna gruppi Iżlamisti li rċevew l-għajnuna tiegħu. Imma meta Saddam, sekularist u dittatur Ba'athist tal-Iraq ġirien, attakkaw l-Arabja Sawdija "&amp;"(l-għadu tiegħu fil-gwerra), it-truppi tal-Punent ġew biex jipproteġu l-monarkija Sawdita. L-Iżlamisti akkużaw lir-reġim Sawdi li kien pupazz tal-Punent.")</f>
        <v>Fattur ieħor fil-bidu tas-snin disgħin li ħadem biex jirradikalizza l-moviment Iżlamista kien il-Gwerra tal-Golf, li ġabet diversi mijiet ta 'eluf ta' l-Istati Uniti u alleat persunal militari mhux Musulman lejn il-ħamrija Għarab Sawdita biex itemmu l-okkupazzjoni ta 'Saddam Hussein fil-Kuwajt. Qabel l-1990 l-Arabja Sawdita kellha rwol importanti fit-trażżin tal-ħafna gruppi Iżlamisti li rċevew l-għajnuna tiegħu. Imma meta Saddam, sekularist u dittatur Ba'athist tal-Iraq ġirien, attakkaw l-Arabja Sawdija (l-għadu tiegħu fil-gwerra), it-truppi tal-Punent ġew biex jipproteġu l-monarkija Sawdita. L-Iżlamisti akkużaw lir-reġim Sawdi li kien pupazz tal-Punent.</v>
      </c>
    </row>
    <row r="2435" ht="15.75" customHeight="1">
      <c r="A2435" s="2" t="s">
        <v>2435</v>
      </c>
      <c r="B2435" s="2" t="str">
        <f>IFERROR(__xludf.DUMMYFUNCTION("GOOGLETRANSLATE(A2435,""en"", ""mt"")"),"Kriżi Finanzjarja tal-2007–08")</f>
        <v>Kriżi Finanzjarja tal-2007–08</v>
      </c>
    </row>
    <row r="2436" ht="15.75" customHeight="1">
      <c r="A2436" s="2" t="s">
        <v>2436</v>
      </c>
      <c r="B2436" s="2" t="str">
        <f>IFERROR(__xludf.DUMMYFUNCTION("GOOGLETRANSLATE(A2436,""en"", ""mt"")"),"It-terminu ""imperjalizmu"" ħafna drabi huwa magħluq ma '""kolonjaliżmu"", madankollu ħafna studjużi argumentaw li kull wieħed għandu d-definizzjoni distinta tagħhom stess. L-imperjalizmu u l-kolonjaliżmu intużaw sabiex jiddeskrivu s-superjorità, il-ħakma"&amp;" u l-influwenza ta 'wieħed fuq persuna jew grupp ta' nies. Robert Young jikteb li filwaqt li l-imperjalizmu jopera miċ-Ċentru, huwa politika tal-istat u huwa żviluppat għal raġunijiet ideoloġiċi kif ukoll finanzjarji, il-kolonjaliżmu huwa sempliċement l-i"&amp;"żvilupp għal soluzzjoni jew intenzjonijiet kummerċjali. Il-kolonjaliżmu fl-użu modern għandu wkoll it-tendenza li jimplika grad ta 'separazzjoni ġeografika bejn il-kolonja u l-qawwa imperjali. Partikolarment, Edward qal li jiddistingwi d-differenza bejn l"&amp;"-imperjalizmu u l-kolonjaliżmu billi jiddikjara; ""L-imperjalizmu kien jinvolvi"" l-prattika, it-teorija u l-attitudnijiet ta 'ċentru metropolitani dominanti li jiddeċiedi territorju' l bogħod "", filwaqt li l-kolonjaliżmu jirreferi għall-impjant ta 'l-in"&amp;"sedjamenti fuq territorju' l bogħod."" Imperi tal-art kontigwi bħar-Russu jew l-Ottoman huma ġeneralment esklużi minn diskussjonijiet dwar il-kolonjaliżmu. Spjegazzjoni meħtieġa]")</f>
        <v>It-terminu "imperjalizmu" ħafna drabi huwa magħluq ma '"kolonjaliżmu", madankollu ħafna studjużi argumentaw li kull wieħed għandu d-definizzjoni distinta tagħhom stess. L-imperjalizmu u l-kolonjaliżmu intużaw sabiex jiddeskrivu s-superjorità, il-ħakma u l-influwenza ta 'wieħed fuq persuna jew grupp ta' nies. Robert Young jikteb li filwaqt li l-imperjalizmu jopera miċ-Ċentru, huwa politika tal-istat u huwa żviluppat għal raġunijiet ideoloġiċi kif ukoll finanzjarji, il-kolonjaliżmu huwa sempliċement l-iżvilupp għal soluzzjoni jew intenzjonijiet kummerċjali. Il-kolonjaliżmu fl-użu modern għandu wkoll it-tendenza li jimplika grad ta 'separazzjoni ġeografika bejn il-kolonja u l-qawwa imperjali. Partikolarment, Edward qal li jiddistingwi d-differenza bejn l-imperjalizmu u l-kolonjaliżmu billi jiddikjara; "L-imperjalizmu kien jinvolvi" l-prattika, it-teorija u l-attitudnijiet ta 'ċentru metropolitani dominanti li jiddeċiedi territorju' l bogħod ", filwaqt li l-kolonjaliżmu jirreferi għall-impjant ta 'l-insedjamenti fuq territorju' l bogħod." Imperi tal-art kontigwi bħar-Russu jew l-Ottoman huma ġeneralment esklużi minn diskussjonijiet dwar il-kolonjaliżmu. Spjegazzjoni meħtieġa]</v>
      </c>
    </row>
    <row r="2437" ht="15.75" customHeight="1">
      <c r="A2437" s="2" t="s">
        <v>2437</v>
      </c>
      <c r="B2437" s="2" t="str">
        <f>IFERROR(__xludf.DUMMYFUNCTION("GOOGLETRANSLATE(A2437,""en"", ""mt"")"),"Żewġ differenzi fundamentali kienu jinvolvu d-diviżjoni tal-funzjonijiet u l-kompiti bejn l-ospiti fit-tarf tan-netwerk u l-qalba tan-netwerk")</f>
        <v>Żewġ differenzi fundamentali kienu jinvolvu d-diviżjoni tal-funzjonijiet u l-kompiti bejn l-ospiti fit-tarf tan-netwerk u l-qalba tan-netwerk</v>
      </c>
    </row>
    <row r="2438" ht="15.75" customHeight="1">
      <c r="A2438" s="2" t="s">
        <v>2438</v>
      </c>
      <c r="B2438" s="2" t="str">
        <f>IFERROR(__xludf.DUMMYFUNCTION("GOOGLETRANSLATE(A2438,""en"", ""mt"")"),"X'inhi konfigurazzjoni tipika")</f>
        <v>X'inhi konfigurazzjoni tipika</v>
      </c>
    </row>
    <row r="2439" ht="15.75" customHeight="1">
      <c r="A2439" s="2" t="s">
        <v>2439</v>
      </c>
      <c r="B2439" s="2" t="str">
        <f>IFERROR(__xludf.DUMMYFUNCTION("GOOGLETRANSLATE(A2439,""en"", ""mt"")"),"Prattika tal-Ispiżerija tax-Xjenza u x-Xjenza tal-Informazzjoni Applikata")</f>
        <v>Prattika tal-Ispiżerija tax-Xjenza u x-Xjenza tal-Informazzjoni Applikata</v>
      </c>
    </row>
    <row r="2440" ht="15.75" customHeight="1">
      <c r="A2440" s="2" t="s">
        <v>2440</v>
      </c>
      <c r="B2440" s="2" t="str">
        <f>IFERROR(__xludf.DUMMYFUNCTION("GOOGLETRANSLATE(A2440,""en"", ""mt"")"),"""L-Istat Iżlamiku"", li qabel kien magħruf bħala ""l-Istat Iżlamiku ta 'l-Iraq u l-Levant"" u qabel dak bħala ""l-Istat Iżlamiku ta' l-Iraq"", (u sejjaħ l-akronimu Daesh mill-ħafna detractors tiegħu), huwa estremista jihadist Wahhabi / Salafi Grupp milit"&amp;"anti li huwa mmexxi minn u prinċipalment magħmul minn Għarab Sunni mill-Iraq u s-Sirja. Fl-2014, il-grupp ipproklama lilu nnifsu kalifat, b'awtorità reliġjuża, politika u militari matul il-Musulmani kollha mad-dinja kollha. Minn Marzu 2015 [aġġornament], "&amp;"kellu kontroll fuq territorju okkupat minn għaxar miljun persuna fl-Iraq u s-Sirja, u għandu kontroll nominali fuq żoni żgħar tal-Libja, in-Niġerja u l-Afganistan. (Filwaqt li stat deskritt minnu nnifsu, huwa nieqes mir-rikonoxximent internazzjonali.) Il-"&amp;"grupp jopera wkoll jew għandu affiljati f'partijiet oħra tad-dinja, inklużi l-Afrika ta 'Fuq u l-Asja t'Isfel.")</f>
        <v>"L-Istat Iżlamiku", li qabel kien magħruf bħala "l-Istat Iżlamiku ta 'l-Iraq u l-Levant" u qabel dak bħala "l-Istat Iżlamiku ta' l-Iraq", (u sejjaħ l-akronimu Daesh mill-ħafna detractors tiegħu), huwa estremista jihadist Wahhabi / Salafi Grupp militanti li huwa mmexxi minn u prinċipalment magħmul minn Għarab Sunni mill-Iraq u s-Sirja. Fl-2014, il-grupp ipproklama lilu nnifsu kalifat, b'awtorità reliġjuża, politika u militari matul il-Musulmani kollha mad-dinja kollha. Minn Marzu 2015 [aġġornament], kellu kontroll fuq territorju okkupat minn għaxar miljun persuna fl-Iraq u s-Sirja, u għandu kontroll nominali fuq żoni żgħar tal-Libja, in-Niġerja u l-Afganistan. (Filwaqt li stat deskritt minnu nnifsu, huwa nieqes mir-rikonoxximent internazzjonali.) Il-grupp jopera wkoll jew għandu affiljati f'partijiet oħra tad-dinja, inklużi l-Afrika ta 'Fuq u l-Asja t'Isfel.</v>
      </c>
    </row>
    <row r="2441" ht="15.75" customHeight="1">
      <c r="A2441" s="2" t="s">
        <v>2441</v>
      </c>
      <c r="B2441" s="2" t="str">
        <f>IFERROR(__xludf.DUMMYFUNCTION("GOOGLETRANSLATE(A2441,""en"", ""mt"")"),"Evoluzzjoni ġeokimika ta 'unitajiet tal-blat")</f>
        <v>Evoluzzjoni ġeokimika ta 'unitajiet tal-blat</v>
      </c>
    </row>
    <row r="2442" ht="15.75" customHeight="1">
      <c r="A2442" s="2" t="s">
        <v>2442</v>
      </c>
      <c r="B2442" s="2" t="str">
        <f>IFERROR(__xludf.DUMMYFUNCTION("GOOGLETRANSLATE(A2442,""en"", ""mt"")"),"X'inhu l-livell ta 'inugwaljanza ta' ekonomija li qed tiżviluppa msejħa?")</f>
        <v>X'inhu l-livell ta 'inugwaljanza ta' ekonomija li qed tiżviluppa msejħa?</v>
      </c>
    </row>
    <row r="2443" ht="15.75" customHeight="1">
      <c r="A2443" s="2" t="s">
        <v>2443</v>
      </c>
      <c r="B2443" s="2" t="str">
        <f>IFERROR(__xludf.DUMMYFUNCTION("GOOGLETRANSLATE(A2443,""en"", ""mt"")"),"Għaliex Varsavja saret il-kapitali tal-Commonwealth?")</f>
        <v>Għaliex Varsavja saret il-kapitali tal-Commonwealth?</v>
      </c>
    </row>
    <row r="2444" ht="15.75" customHeight="1">
      <c r="A2444" s="2" t="s">
        <v>2444</v>
      </c>
      <c r="B2444" s="2" t="str">
        <f>IFERROR(__xludf.DUMMYFUNCTION("GOOGLETRANSLATE(A2444,""en"", ""mt"")"),"Kemm għandha diviżjonijiet ta 'riċerka akkademika l-Università ta' Chicago?")</f>
        <v>Kemm għandha diviżjonijiet ta 'riċerka akkademika l-Università ta' Chicago?</v>
      </c>
    </row>
    <row r="2445" ht="15.75" customHeight="1">
      <c r="A2445" s="2" t="s">
        <v>2445</v>
      </c>
      <c r="B2445" s="2" t="str">
        <f>IFERROR(__xludf.DUMMYFUNCTION("GOOGLETRANSLATE(A2445,""en"", ""mt"")"),"importanza dejjem tiżdied tal-kapital uman")</f>
        <v>importanza dejjem tiżdied tal-kapital uman</v>
      </c>
    </row>
    <row r="2446" ht="15.75" customHeight="1">
      <c r="A2446" s="2" t="s">
        <v>2446</v>
      </c>
      <c r="B2446" s="2" t="str">
        <f>IFERROR(__xludf.DUMMYFUNCTION("GOOGLETRANSLATE(A2446,""en"", ""mt"")"),"Liema żewġ affarijiet l-informatika tal-ispiżerija tiġbor flimkien?")</f>
        <v>Liema żewġ affarijiet l-informatika tal-ispiżerija tiġbor flimkien?</v>
      </c>
    </row>
    <row r="2447" ht="15.75" customHeight="1">
      <c r="A2447" s="2" t="s">
        <v>2447</v>
      </c>
      <c r="B2447" s="2" t="str">
        <f>IFERROR(__xludf.DUMMYFUNCTION("GOOGLETRANSLATE(A2447,""en"", ""mt"")"),"Taxxa fuq il-bejgħ nofs-penny")</f>
        <v>Taxxa fuq il-bejgħ nofs-penny</v>
      </c>
    </row>
    <row r="2448" ht="15.75" customHeight="1">
      <c r="A2448" s="2" t="s">
        <v>2448</v>
      </c>
      <c r="B2448" s="2" t="str">
        <f>IFERROR(__xludf.DUMMYFUNCTION("GOOGLETRANSLATE(A2448,""en"", ""mt"")"),"Lagos u Quiberon Bay.")</f>
        <v>Lagos u Quiberon Bay.</v>
      </c>
    </row>
    <row r="2449" ht="15.75" customHeight="1">
      <c r="A2449" s="2" t="s">
        <v>2449</v>
      </c>
      <c r="B2449" s="2" t="str">
        <f>IFERROR(__xludf.DUMMYFUNCTION("GOOGLETRANSLATE(A2449,""en"", ""mt"")"),"Creon, ir-re attwali ta 'Thebes, li qed jipprova jwaqqafha milli tagħti lil ħuha Polynices dfin xieraq")</f>
        <v>Creon, ir-re attwali ta 'Thebes, li qed jipprova jwaqqafha milli tagħti lil ħuha Polynices dfin xieraq</v>
      </c>
    </row>
    <row r="2450" ht="15.75" customHeight="1">
      <c r="A2450" s="2" t="s">
        <v>2450</v>
      </c>
      <c r="B2450" s="2" t="str">
        <f>IFERROR(__xludf.DUMMYFUNCTION("GOOGLETRANSLATE(A2450,""en"", ""mt"")"),"X'kien ippjanat Bhutto li jipprojbixxi fi żmien sitt xhur, qabel ma ġie mwaqqa '?")</f>
        <v>X'kien ippjanat Bhutto li jipprojbixxi fi żmien sitt xhur, qabel ma ġie mwaqqa '?</v>
      </c>
    </row>
    <row r="2451" ht="15.75" customHeight="1">
      <c r="A2451" s="2" t="s">
        <v>2451</v>
      </c>
      <c r="B2451" s="2" t="str">
        <f>IFERROR(__xludf.DUMMYFUNCTION("GOOGLETRANSLATE(A2451,""en"", ""mt"")"),"X'inhuma t-tliet espressjonijiet primarji użati biex jirrappreżentaw il-kumplessità tal-każijiet?")</f>
        <v>X'inhuma t-tliet espressjonijiet primarji użati biex jirrappreżentaw il-kumplessità tal-każijiet?</v>
      </c>
    </row>
    <row r="2452" ht="15.75" customHeight="1">
      <c r="A2452" s="2" t="s">
        <v>2452</v>
      </c>
      <c r="B2452" s="2" t="str">
        <f>IFERROR(__xludf.DUMMYFUNCTION("GOOGLETRANSLATE(A2452,""en"", ""mt"")"),"Iċ-ċiklu ta 'Rankine xi kultant jissejjaħ ċiklu ta' Carnot prattiku għaliex, meta tintuża turbina effiċjenti, id-dijagramma TS tibda tixbah iċ-ċiklu Carnot. Id-differenza ewlenija hija li ż-żieda tas-sħana (fil-bojler) u ċ-ċaħda (fil-kondensatur) huma pro"&amp;"ċessi iżobariċi (pressjoni kostanti) fiċ-ċiklu ta 'rankine u proċessi iżotermiċi (temperatura kostanti) fiċ-ċiklu teoretiku tal-karnot. F’dan iċ-ċiklu tintuża pompa biex tippressa l-fluwidu tax-xogħol li jiġi riċevut mill-kondensatur bħala likwidu mhux bħ"&amp;"ala gass. L-ippumpjar tal-fluwidu tax-xogħol f'forma likwida matul iċ-ċiklu jeħtieġ frazzjoni żgħira ta 'l-enerġija biex tittrasportaha meta mqabbel ma' l-enerġija meħtieġa biex tikkompressa l-fluwidu tax-xogħol f'forma gassuża f'kompressur (bħal fiċ-ċikl"&amp;"u ta 'Carnot). Iċ-ċiklu ta 'magna tal-fwar reċiprokanti huwa differenti minn dak tat-turbini minħabba l-kondensazzjoni u l-evaporazzjoni mill-ġdid li jseħħu fiċ-ċilindru jew fil-passaġġi tad-dħul tal-fwar.")</f>
        <v>Iċ-ċiklu ta 'Rankine xi kultant jissejjaħ ċiklu ta' Carnot prattiku għaliex, meta tintuża turbina effiċjenti, id-dijagramma TS tibda tixbah iċ-ċiklu Carnot. Id-differenza ewlenija hija li ż-żieda tas-sħana (fil-bojler) u ċ-ċaħda (fil-kondensatur) huma proċessi iżobariċi (pressjoni kostanti) fiċ-ċiklu ta 'rankine u proċessi iżotermiċi (temperatura kostanti) fiċ-ċiklu teoretiku tal-karnot. F’dan iċ-ċiklu tintuża pompa biex tippressa l-fluwidu tax-xogħol li jiġi riċevut mill-kondensatur bħala likwidu mhux bħala gass. L-ippumpjar tal-fluwidu tax-xogħol f'forma likwida matul iċ-ċiklu jeħtieġ frazzjoni żgħira ta 'l-enerġija biex tittrasportaha meta mqabbel ma' l-enerġija meħtieġa biex tikkompressa l-fluwidu tax-xogħol f'forma gassuża f'kompressur (bħal fiċ-ċiklu ta 'Carnot). Iċ-ċiklu ta 'magna tal-fwar reċiprokanti huwa differenti minn dak tat-turbini minħabba l-kondensazzjoni u l-evaporazzjoni mill-ġdid li jseħħu fiċ-ċilindru jew fil-passaġġi tad-dħul tal-fwar.</v>
      </c>
    </row>
    <row r="2453" ht="15.75" customHeight="1">
      <c r="A2453" s="2" t="s">
        <v>2453</v>
      </c>
      <c r="B2453" s="2" t="str">
        <f>IFERROR(__xludf.DUMMYFUNCTION("GOOGLETRANSLATE(A2453,""en"", ""mt"")"),"X’għamel Kublai biex jipprevjeni l-ġuħ?")</f>
        <v>X’għamel Kublai biex jipprevjeni l-ġuħ?</v>
      </c>
    </row>
    <row r="2454" ht="15.75" customHeight="1">
      <c r="A2454" s="2" t="s">
        <v>2454</v>
      </c>
      <c r="B2454" s="2" t="str">
        <f>IFERROR(__xludf.DUMMYFUNCTION("GOOGLETRANSLATE(A2454,""en"", ""mt"")"),"X'tipi ta 'djar huma ddisinjati minn Fresno Architects?")</f>
        <v>X'tipi ta 'djar huma ddisinjati minn Fresno Architects?</v>
      </c>
    </row>
    <row r="2455" ht="15.75" customHeight="1">
      <c r="A2455" s="2" t="s">
        <v>2455</v>
      </c>
      <c r="B2455" s="2" t="str">
        <f>IFERROR(__xludf.DUMMYFUNCTION("GOOGLETRANSLATE(A2455,""en"", ""mt"")"),"Kemm kanali BSKYB kienu disponibbli għall-klijenti qabel Ottubru 2005?")</f>
        <v>Kemm kanali BSKYB kienu disponibbli għall-klijenti qabel Ottubru 2005?</v>
      </c>
    </row>
    <row r="2456" ht="15.75" customHeight="1">
      <c r="A2456" s="2" t="s">
        <v>2456</v>
      </c>
      <c r="B2456" s="2" t="str">
        <f>IFERROR(__xludf.DUMMYFUNCTION("GOOGLETRANSLATE(A2456,""en"", ""mt"")"),"Liema industrija rnexxielha tibqa 'ħajja ta' tnaqqis kbir fl-infiq militari?")</f>
        <v>Liema industrija rnexxielha tibqa 'ħajja ta' tnaqqis kbir fl-infiq militari?</v>
      </c>
    </row>
    <row r="2457" ht="15.75" customHeight="1">
      <c r="A2457" s="2" t="s">
        <v>2457</v>
      </c>
      <c r="B2457" s="2" t="str">
        <f>IFERROR(__xludf.DUMMYFUNCTION("GOOGLETRANSLATE(A2457,""en"", ""mt"")"),"Sensing mill-bogħod")</f>
        <v>Sensing mill-bogħod</v>
      </c>
    </row>
    <row r="2458" ht="15.75" customHeight="1">
      <c r="A2458" s="2" t="s">
        <v>2458</v>
      </c>
      <c r="B2458" s="2" t="str">
        <f>IFERROR(__xludf.DUMMYFUNCTION("GOOGLETRANSLATE(A2458,""en"", ""mt"")"),"Il-prinċipju ta 'relazzjonijiet ta' qtugħ ta 'qtugħ jappartjeni għall-formazzjoni ta' ħsarat u l-età tas-sekwenzi li minnhom jinqatgħu. Ħsarat huma iżgħar mill-blat li qatgħu; Għaldaqstant, jekk jinstab tort li jippenetra xi formazzjonijiet iżda mhux dawk"&amp;" fuqha, allura l-formazzjonijiet li kienu maqtugħin huma eqdem mill-ħsara, u dawk li mhumiex maqtugħin għandhom ikunu iżgħar mill-ħsara. Is-sejba tas-sodda ewlenija f'dawn is-sitwazzjonijiet tista 'tgħin tiddetermina jekk it-tort huwiex difett normali jew"&amp;" tort tal-ġibda.")</f>
        <v>Il-prinċipju ta 'relazzjonijiet ta' qtugħ ta 'qtugħ jappartjeni għall-formazzjoni ta' ħsarat u l-età tas-sekwenzi li minnhom jinqatgħu. Ħsarat huma iżgħar mill-blat li qatgħu; Għaldaqstant, jekk jinstab tort li jippenetra xi formazzjonijiet iżda mhux dawk fuqha, allura l-formazzjonijiet li kienu maqtugħin huma eqdem mill-ħsara, u dawk li mhumiex maqtugħin għandhom ikunu iżgħar mill-ħsara. Is-sejba tas-sodda ewlenija f'dawn is-sitwazzjonijiet tista 'tgħin tiddetermina jekk it-tort huwiex difett normali jew tort tal-ġibda.</v>
      </c>
    </row>
    <row r="2459" ht="15.75" customHeight="1">
      <c r="A2459" s="2" t="s">
        <v>2459</v>
      </c>
      <c r="B2459" s="2" t="str">
        <f>IFERROR(__xludf.DUMMYFUNCTION("GOOGLETRANSLATE(A2459,""en"", ""mt"")"),"Illum, Varsavja għandha wħud mill-aqwa faċilitajiet mediċi fil-Polonja u l-Ewropa tal-Lvant-Ċentrali. Il-belt hija dar għall-Istitut tas-Saħħa tat-Tfal tat-Tfal (CMHI), l-isptar bl-ogħla referenza fil-Polonja kollha, kif ukoll ċentru ta 'riċerka u edukazz"&amp;"joni attiv. Filwaqt li l-Istitut ta 'l-Onkoloġija ta' Maria Skłodowska-Curie hija waħda mill-ikbar u l-aktar istituzzjonijiet onkoloġiċi moderni fl-Ewropa. Is-sezzjoni klinika tinsab f'bini ta '10 sulari b'700 sodda, 10 teatri operattivi, unità ta 'kura i"&amp;"ntensiva, diversi dipartimenti dijanjostiċi kif ukoll klinika outpatients. L-infrastruttura żviluppat ħafna matul l-aħħar snin.")</f>
        <v>Illum, Varsavja għandha wħud mill-aqwa faċilitajiet mediċi fil-Polonja u l-Ewropa tal-Lvant-Ċentrali. Il-belt hija dar għall-Istitut tas-Saħħa tat-Tfal tat-Tfal (CMHI), l-isptar bl-ogħla referenza fil-Polonja kollha, kif ukoll ċentru ta 'riċerka u edukazzjoni attiv. Filwaqt li l-Istitut ta 'l-Onkoloġija ta' Maria Skłodowska-Curie hija waħda mill-ikbar u l-aktar istituzzjonijiet onkoloġiċi moderni fl-Ewropa. Is-sezzjoni klinika tinsab f'bini ta '10 sulari b'700 sodda, 10 teatri operattivi, unità ta 'kura intensiva, diversi dipartimenti dijanjostiċi kif ukoll klinika outpatients. L-infrastruttura żviluppat ħafna matul l-aħħar snin.</v>
      </c>
    </row>
    <row r="2460" ht="15.75" customHeight="1">
      <c r="A2460" s="2" t="s">
        <v>2460</v>
      </c>
      <c r="B2460" s="2" t="str">
        <f>IFERROR(__xludf.DUMMYFUNCTION("GOOGLETRANSLATE(A2460,""en"", ""mt"")"),"mibgħuta sitt reġimenti lil Franza Ġdida")</f>
        <v>mibgħuta sitt reġimenti lil Franza Ġdida</v>
      </c>
    </row>
    <row r="2461" ht="15.75" customHeight="1">
      <c r="A2461" s="2" t="s">
        <v>2461</v>
      </c>
      <c r="B2461" s="2" t="str">
        <f>IFERROR(__xludf.DUMMYFUNCTION("GOOGLETRANSLATE(A2461,""en"", ""mt"")"),"vleġeġ, xwabel, u tarki tal-ġilda")</f>
        <v>vleġeġ, xwabel, u tarki tal-ġilda</v>
      </c>
    </row>
    <row r="2462" ht="15.75" customHeight="1">
      <c r="A2462" s="2" t="s">
        <v>2462</v>
      </c>
      <c r="B2462" s="2" t="str">
        <f>IFERROR(__xludf.DUMMYFUNCTION("GOOGLETRANSLATE(A2462,""en"", ""mt"")"),"X'kienet ir-raġuni li l-Qorti Kostituzzjonali Taljana tat li rriżultat fis-Sur Costa li jitlef it-talba tiegħu kontra Enel?")</f>
        <v>X'kienet ir-raġuni li l-Qorti Kostituzzjonali Taljana tat li rriżultat fis-Sur Costa li jitlef it-talba tiegħu kontra Enel?</v>
      </c>
    </row>
    <row r="2463" ht="15.75" customHeight="1">
      <c r="A2463" s="2" t="s">
        <v>2463</v>
      </c>
      <c r="B2463" s="2" t="str">
        <f>IFERROR(__xludf.DUMMYFUNCTION("GOOGLETRANSLATE(A2463,""en"", ""mt"")"),"Kumitati tal-Abbozzi Privati")</f>
        <v>Kumitati tal-Abbozzi Privati</v>
      </c>
    </row>
    <row r="2464" ht="15.75" customHeight="1">
      <c r="A2464" s="2" t="s">
        <v>2464</v>
      </c>
      <c r="B2464" s="2" t="str">
        <f>IFERROR(__xludf.DUMMYFUNCTION("GOOGLETRANSLATE(A2464,""en"", ""mt"")"),"Għaliex il-parti dejqa tax-Xmara San Ġwann imsejħa Cowford?")</f>
        <v>Għaliex il-parti dejqa tax-Xmara San Ġwann imsejħa Cowford?</v>
      </c>
    </row>
    <row r="2465" ht="15.75" customHeight="1">
      <c r="A2465" s="2" t="s">
        <v>2465</v>
      </c>
      <c r="B2465" s="2" t="str">
        <f>IFERROR(__xludf.DUMMYFUNCTION("GOOGLETRANSLATE(A2465,""en"", ""mt"")"),"Kif ingħatat il-popolazzjoni ta 'Mnemiopsis fil-Baħar l-Iswed u l-Baħar ta' Azov li ġab taħt kontroll?")</f>
        <v>Kif ingħatat il-popolazzjoni ta 'Mnemiopsis fil-Baħar l-Iswed u l-Baħar ta' Azov li ġab taħt kontroll?</v>
      </c>
    </row>
    <row r="2466" ht="15.75" customHeight="1">
      <c r="A2466" s="2" t="s">
        <v>2466</v>
      </c>
      <c r="B2466" s="2" t="str">
        <f>IFERROR(__xludf.DUMMYFUNCTION("GOOGLETRANSLATE(A2466,""en"", ""mt"")"),"Fl-analiżi Marxjana, id-ditti kapitalisti dejjem aktar jissostitwixxu tagħmir kapitali għall-inputs tax-xogħol (ħaddiema) taħt pressjoni kompetittiva biex inaqqsu l-ispejjeż u jimmassimizzaw il-profitti. Fuq medda twila ta 'żmien, din ix-xejra żżid il-kom"&amp;"pożizzjoni organika tal-kapital, u dan ifisser li inqas ħaddiema huma meħtieġa fi proporzjon għall-inputs tal-kapital, u jżidu l-qgħad (l- ""armata ta' riżerva ta 'xogħol""). Dan il-proċess jeżerċita pressjoni 'l isfel fuq il-pagi. Is-sostituzzjoni ta 'ta"&amp;"għmir kapitali għal xogħol (mekkanizzazzjoni u awtomazzjoni) tqajjem il-produttività ta' kull ħaddiem, li tirriżulta f'sitwazzjoni ta 'pagi relattivament staġnati għall-klassi tal-ħaddiema f'nofs livelli dejjem jiżdiedu ta' dħul mill-proprjetà għall-klass"&amp;"i kapitalista.")</f>
        <v>Fl-analiżi Marxjana, id-ditti kapitalisti dejjem aktar jissostitwixxu tagħmir kapitali għall-inputs tax-xogħol (ħaddiema) taħt pressjoni kompetittiva biex inaqqsu l-ispejjeż u jimmassimizzaw il-profitti. Fuq medda twila ta 'żmien, din ix-xejra żżid il-kompożizzjoni organika tal-kapital, u dan ifisser li inqas ħaddiema huma meħtieġa fi proporzjon għall-inputs tal-kapital, u jżidu l-qgħad (l- "armata ta' riżerva ta 'xogħol"). Dan il-proċess jeżerċita pressjoni 'l isfel fuq il-pagi. Is-sostituzzjoni ta 'tagħmir kapitali għal xogħol (mekkanizzazzjoni u awtomazzjoni) tqajjem il-produttività ta' kull ħaddiem, li tirriżulta f'sitwazzjoni ta 'pagi relattivament staġnati għall-klassi tal-ħaddiema f'nofs livelli dejjem jiżdiedu ta' dħul mill-proprjetà għall-klassi kapitalista.</v>
      </c>
    </row>
    <row r="2467" ht="15.75" customHeight="1">
      <c r="A2467" s="2" t="s">
        <v>2467</v>
      </c>
      <c r="B2467" s="2" t="str">
        <f>IFERROR(__xludf.DUMMYFUNCTION("GOOGLETRANSLATE(A2467,""en"", ""mt"")"),"X'inhi 'letteratura griża'?")</f>
        <v>X'inhi 'letteratura griża'?</v>
      </c>
    </row>
    <row r="2468" ht="15.75" customHeight="1">
      <c r="A2468" s="2" t="s">
        <v>2468</v>
      </c>
      <c r="B2468" s="2" t="str">
        <f>IFERROR(__xludf.DUMMYFUNCTION("GOOGLETRANSLATE(A2468,""en"", ""mt"")"),"B'mod ċar, xi tumuri jevadu s-sistema immuni u jkomplu jsiru kanċer. Iċ-ċelloli tat-tumur spiss ikollhom numru imnaqqas ta 'molekuli tal-klassi I MHC fuq il-wiċċ tagħhom, u b'hekk jevitaw is-sejbien minn ċelloli T qattiel. Xi ċelloli tat-tumur jirrilaxxaw"&amp;" ukoll prodotti li jinibixxu r-rispons immuni; Pereżempju billi tnixxi ċ-ċitokina TGF-β, li trażżan l-attività ta 'makrofaġi u limfoċiti. Barra minn hekk, it-tolleranza immunoloġika tista 'tiżviluppa kontra antiġeni tat-tumur, u għalhekk is-sistema immuni"&amp;"tarja ma tibqax tattakka ċ-ċelloli tat-tumur.")</f>
        <v>B'mod ċar, xi tumuri jevadu s-sistema immuni u jkomplu jsiru kanċer. Iċ-ċelloli tat-tumur spiss ikollhom numru imnaqqas ta 'molekuli tal-klassi I MHC fuq il-wiċċ tagħhom, u b'hekk jevitaw is-sejbien minn ċelloli T qattiel. Xi ċelloli tat-tumur jirrilaxxaw ukoll prodotti li jinibixxu r-rispons immuni; Pereżempju billi tnixxi ċ-ċitokina TGF-β, li trażżan l-attività ta 'makrofaġi u limfoċiti. Barra minn hekk, it-tolleranza immunoloġika tista 'tiżviluppa kontra antiġeni tat-tumur, u għalhekk is-sistema immunitarja ma tibqax tattakka ċ-ċelloli tat-tumur.</v>
      </c>
    </row>
    <row r="2469" ht="15.75" customHeight="1">
      <c r="A2469" s="2" t="s">
        <v>2469</v>
      </c>
      <c r="B2469" s="2" t="str">
        <f>IFERROR(__xludf.DUMMYFUNCTION("GOOGLETRANSLATE(A2469,""en"", ""mt"")"),"L-isports tal-kulleġġ huma wkoll popolari fin-Nofsinhar tal-Kalifornja. L-UCLA Bruins u l-USC Trojans iż-żewġ timijiet tal-qasam fid-Diviżjoni I tal-NCAA fil-Konferenza Pac-12, u hemm rivalità għal żmien twil bejn l-iskejjel.")</f>
        <v>L-isports tal-kulleġġ huma wkoll popolari fin-Nofsinhar tal-Kalifornja. L-UCLA Bruins u l-USC Trojans iż-żewġ timijiet tal-qasam fid-Diviżjoni I tal-NCAA fil-Konferenza Pac-12, u hemm rivalità għal żmien twil bejn l-iskejjel.</v>
      </c>
    </row>
    <row r="2470" ht="15.75" customHeight="1">
      <c r="A2470" s="2" t="s">
        <v>2470</v>
      </c>
      <c r="B2470" s="2" t="str">
        <f>IFERROR(__xludf.DUMMYFUNCTION("GOOGLETRANSLATE(A2470,""en"", ""mt"")"),"Ossiġnu diatomiku")</f>
        <v>Ossiġnu diatomiku</v>
      </c>
    </row>
    <row r="2471" ht="15.75" customHeight="1">
      <c r="A2471" s="2" t="s">
        <v>2471</v>
      </c>
      <c r="B2471" s="2" t="str">
        <f>IFERROR(__xludf.DUMMYFUNCTION("GOOGLETRANSLATE(A2471,""en"", ""mt"")"),"X'inhu t-terminu għall-għeluq tax-xmajjar li m'għadhomx konnessi?")</f>
        <v>X'inhu t-terminu għall-għeluq tax-xmajjar li m'għadhomx konnessi?</v>
      </c>
    </row>
    <row r="2472" ht="15.75" customHeight="1">
      <c r="A2472" s="2" t="s">
        <v>2472</v>
      </c>
      <c r="B2472" s="2" t="str">
        <f>IFERROR(__xludf.DUMMYFUNCTION("GOOGLETRANSLATE(A2472,""en"", ""mt"")"),"immuntat mill-ġdid")</f>
        <v>immuntat mill-ġdid</v>
      </c>
    </row>
    <row r="2473" ht="15.75" customHeight="1">
      <c r="A2473" s="2" t="s">
        <v>2473</v>
      </c>
      <c r="B2473" s="2" t="str">
        <f>IFERROR(__xludf.DUMMYFUNCTION("GOOGLETRANSLATE(A2473,""en"", ""mt"")"),"Liema parti taċ-Ċina kellha nies ikklassifikati aktar baxxi fis-sistema tal-klassi?")</f>
        <v>Liema parti taċ-Ċina kellha nies ikklassifikati aktar baxxi fis-sistema tal-klassi?</v>
      </c>
    </row>
    <row r="2474" ht="15.75" customHeight="1">
      <c r="A2474" s="2" t="s">
        <v>2474</v>
      </c>
      <c r="B2474" s="2" t="str">
        <f>IFERROR(__xludf.DUMMYFUNCTION("GOOGLETRANSLATE(A2474,""en"", ""mt"")"),"Fis-Sistema Federali tal-Kura tas-Saħħa ta 'l-Istati Uniti (inklużi l-VA, is-Servizz tas-Saħħa Indjana, u l-NIH) l-ispiżjara tal-kura ambulatorju jingħataw awtorità ta' preskrizzjoni indipendenti sħiħa. F’xi stati bħal North Carolina u New Mexico dawn il-"&amp;"kliniċi tal-ispiżjar jingħataw awtorità preskrittiva u dijanjostika kollaborattiva. Fl-2011 il-Bord tal-Ispeċjalitajiet Farmaċewtiċi approva l-prattika tal-ispiżerija tal-kura ambulatorja bħala ċertifikazzjoni separata tal-bord. In-nomina uffiċjali għall-"&amp;"ispiżjara li jgħaddu l-eżami taċ-ċertifikazzjoni tal-ispiżerija tal-ispiżerija tal-kura tal-ispiżerija se jkunu l-ispiżjar tal-kura ambulatorja ċċertifikata u dawn l-ispiżjara se jġorru l-inizjali tal-BCACP.")</f>
        <v>Fis-Sistema Federali tal-Kura tas-Saħħa ta 'l-Istati Uniti (inklużi l-VA, is-Servizz tas-Saħħa Indjana, u l-NIH) l-ispiżjara tal-kura ambulatorju jingħataw awtorità ta' preskrizzjoni indipendenti sħiħa. F’xi stati bħal North Carolina u New Mexico dawn il-kliniċi tal-ispiżjar jingħataw awtorità preskrittiva u dijanjostika kollaborattiva. Fl-2011 il-Bord tal-Ispeċjalitajiet Farmaċewtiċi approva l-prattika tal-ispiżerija tal-kura ambulatorja bħala ċertifikazzjoni separata tal-bord. In-nomina uffiċjali għall-ispiżjara li jgħaddu l-eżami taċ-ċertifikazzjoni tal-ispiżerija tal-ispiżerija tal-kura tal-ispiżerija se jkunu l-ispiżjar tal-kura ambulatorja ċċertifikata u dawn l-ispiżjara se jġorru l-inizjali tal-BCACP.</v>
      </c>
    </row>
    <row r="2475" ht="15.75" customHeight="1">
      <c r="A2475" s="2" t="s">
        <v>2475</v>
      </c>
      <c r="B2475" s="2" t="str">
        <f>IFERROR(__xludf.DUMMYFUNCTION("GOOGLETRANSLATE(A2475,""en"", ""mt"")"),"100–106 ° F.")</f>
        <v>100–106 ° F.</v>
      </c>
    </row>
    <row r="2476" ht="15.75" customHeight="1">
      <c r="A2476" s="2" t="s">
        <v>2476</v>
      </c>
      <c r="B2476" s="2" t="str">
        <f>IFERROR(__xludf.DUMMYFUNCTION("GOOGLETRANSLATE(A2476,""en"", ""mt"")"),"Il-Mongoli lil hinn mir-Renju Nofsani rawhom bħala Ċiniżi wisq")</f>
        <v>Il-Mongoli lil hinn mir-Renju Nofsani rawhom bħala Ċiniżi wisq</v>
      </c>
    </row>
    <row r="2477" ht="15.75" customHeight="1">
      <c r="A2477" s="2" t="s">
        <v>2477</v>
      </c>
      <c r="B2477" s="2" t="str">
        <f>IFERROR(__xludf.DUMMYFUNCTION("GOOGLETRANSLATE(A2477,""en"", ""mt"")"),"Bħala somma konnessa ta 'għoqiedi ewlenin")</f>
        <v>Bħala somma konnessa ta 'għoqiedi ewlenin</v>
      </c>
    </row>
    <row r="2478" ht="15.75" customHeight="1">
      <c r="A2478" s="2" t="s">
        <v>2478</v>
      </c>
      <c r="B2478" s="2" t="str">
        <f>IFERROR(__xludf.DUMMYFUNCTION("GOOGLETRANSLATE(A2478,""en"", ""mt"")"),"Liema kunsilli jassenjaw kompiti lill-IPCC?")</f>
        <v>Liema kunsilli jassenjaw kompiti lill-IPCC?</v>
      </c>
    </row>
    <row r="2479" ht="15.75" customHeight="1">
      <c r="A2479" s="2" t="s">
        <v>2479</v>
      </c>
      <c r="B2479" s="2" t="str">
        <f>IFERROR(__xludf.DUMMYFUNCTION("GOOGLETRANSLATE(A2479,""en"", ""mt"")"),"aktar imqassam bl-istess mod")</f>
        <v>aktar imqassam bl-istess mod</v>
      </c>
    </row>
    <row r="2480" ht="15.75" customHeight="1">
      <c r="A2480" s="2" t="s">
        <v>2480</v>
      </c>
      <c r="B2480" s="2" t="str">
        <f>IFERROR(__xludf.DUMMYFUNCTION("GOOGLETRANSLATE(A2480,""en"", ""mt"")"),"Min rebaħ il-battalja tal-Lag George?")</f>
        <v>Min rebaħ il-battalja tal-Lag George?</v>
      </c>
    </row>
    <row r="2481" ht="15.75" customHeight="1">
      <c r="A2481" s="2" t="s">
        <v>2481</v>
      </c>
      <c r="B2481" s="2" t="str">
        <f>IFERROR(__xludf.DUMMYFUNCTION("GOOGLETRANSLATE(A2481,""en"", ""mt"")"),"Maududi jemmen ukoll li s-soċjetà Musulmana ma tistax tkun Iżlamika mingħajr sharia, u l-Iżlam kien jeħtieġ it-twaqqif ta 'stat Iżlamiku. Dan l-istat għandu jkun ""Theo-Democracy"", ibbażat fuq il-prinċipji ta ': Tawhid (Unità ta' Alla), Risala (Prophetho"&amp;"od) u Khilafa (Kalifat). Għalkemm Maududi tkellem dwar ir-rivoluzzjoni Iżlamika, permezz ta '""rivoluzzjoni"" huwa fisser mhux il-vjolenza jew il-politiki populisti tar-rivoluzzjoni Iranjana, iżda l-bidla gradwali li tbiddel il-qlub u l-imħuħ ta' individw"&amp;"i mill-quċċata tas-soċjetà 'l isfel permezz ta' proċess edukattiv jew da'wah.")</f>
        <v>Maududi jemmen ukoll li s-soċjetà Musulmana ma tistax tkun Iżlamika mingħajr sharia, u l-Iżlam kien jeħtieġ it-twaqqif ta 'stat Iżlamiku. Dan l-istat għandu jkun "Theo-Democracy", ibbażat fuq il-prinċipji ta ': Tawhid (Unità ta' Alla), Risala (Prophethood) u Khilafa (Kalifat). Għalkemm Maududi tkellem dwar ir-rivoluzzjoni Iżlamika, permezz ta '"rivoluzzjoni" huwa fisser mhux il-vjolenza jew il-politiki populisti tar-rivoluzzjoni Iranjana, iżda l-bidla gradwali li tbiddel il-qlub u l-imħuħ ta' individwi mill-quċċata tas-soċjetà 'l isfel permezz ta' proċess edukattiv jew da'wah.</v>
      </c>
    </row>
    <row r="2482" ht="15.75" customHeight="1">
      <c r="A2482" s="2" t="s">
        <v>2482</v>
      </c>
      <c r="B2482" s="2" t="str">
        <f>IFERROR(__xludf.DUMMYFUNCTION("GOOGLETRANSLATE(A2482,""en"", ""mt"")"),"Ipproteġi l-Art tar-Re fil-Wied ta 'Ohio")</f>
        <v>Ipproteġi l-Art tar-Re fil-Wied ta 'Ohio</v>
      </c>
    </row>
    <row r="2483" ht="15.75" customHeight="1">
      <c r="A2483" s="2" t="s">
        <v>2483</v>
      </c>
      <c r="B2483" s="2" t="str">
        <f>IFERROR(__xludf.DUMMYFUNCTION("GOOGLETRANSLATE(A2483,""en"", ""mt"")"),"igneous, sedimentarju, u metamorfiku")</f>
        <v>igneous, sedimentarju, u metamorfiku</v>
      </c>
    </row>
    <row r="2484" ht="15.75" customHeight="1">
      <c r="A2484" s="2" t="s">
        <v>2484</v>
      </c>
      <c r="B2484" s="2" t="str">
        <f>IFERROR(__xludf.DUMMYFUNCTION("GOOGLETRANSLATE(A2484,""en"", ""mt"")"),"Iffinanzjat bis-sħiħ minn partijiet privati")</f>
        <v>Iffinanzjat bis-sħiħ minn partijiet privati</v>
      </c>
    </row>
    <row r="2485" ht="15.75" customHeight="1">
      <c r="A2485" s="2" t="s">
        <v>2485</v>
      </c>
      <c r="B2485" s="2" t="str">
        <f>IFERROR(__xludf.DUMMYFUNCTION("GOOGLETRANSLATE(A2485,""en"", ""mt"")"),"Kif tiġi implimentata l-komunikazzjoni tal-modalità tal-pakketti")</f>
        <v>Kif tiġi implimentata l-komunikazzjoni tal-modalità tal-pakketti</v>
      </c>
    </row>
    <row r="2486" ht="15.75" customHeight="1">
      <c r="A2486" s="2" t="s">
        <v>2486</v>
      </c>
      <c r="B2486" s="2" t="str">
        <f>IFERROR(__xludf.DUMMYFUNCTION("GOOGLETRANSLATE(A2486,""en"", ""mt"")"),"Ir-rivali lokali tagħhom, Polonia Warsaw, għandhom inqas partitarji, iżda rnexxielhom jirbħu l-Kampjonat Ekstraklasa fl-2000. Huma rebħu wkoll il-kampjonat tal-pajjiż fl-1946, u rebħu t-tazza darbtejn ukoll. Il-post tad-dar ta 'Polonia jinsab fi Triq Konw"&amp;"iktorska, għaxar minuti mixi fit-tramuntana mill-belt il-qadima. Polonia ġiet relegata mill-aqwa titjira tal-pajjiż fl-2013 minħabba s-sitwazzjoni finanzjarja diżastruża tagħhom. Issa qegħdin jilagħbu fir-4 kampjonat (il-5 livell fil-Polonja) - il-kampjon"&amp;"at professjonali tal-qiegħ fl-istruttura Nazzjonali - Pollakka tal-Futbol (PZPN).")</f>
        <v>Ir-rivali lokali tagħhom, Polonia Warsaw, għandhom inqas partitarji, iżda rnexxielhom jirbħu l-Kampjonat Ekstraklasa fl-2000. Huma rebħu wkoll il-kampjonat tal-pajjiż fl-1946, u rebħu t-tazza darbtejn ukoll. Il-post tad-dar ta 'Polonia jinsab fi Triq Konwiktorska, għaxar minuti mixi fit-tramuntana mill-belt il-qadima. Polonia ġiet relegata mill-aqwa titjira tal-pajjiż fl-2013 minħabba s-sitwazzjoni finanzjarja diżastruża tagħhom. Issa qegħdin jilagħbu fir-4 kampjonat (il-5 livell fil-Polonja) - il-kampjonat professjonali tal-qiegħ fl-istruttura Nazzjonali - Pollakka tal-Futbol (PZPN).</v>
      </c>
    </row>
    <row r="2487" ht="15.75" customHeight="1">
      <c r="A2487" s="2" t="s">
        <v>2487</v>
      </c>
      <c r="B2487" s="2" t="str">
        <f>IFERROR(__xludf.DUMMYFUNCTION("GOOGLETRANSLATE(A2487,""en"", ""mt"")"),"Negozjar tal-motiv")</f>
        <v>Negozjar tal-motiv</v>
      </c>
    </row>
    <row r="2488" ht="15.75" customHeight="1">
      <c r="A2488" s="2" t="s">
        <v>2488</v>
      </c>
      <c r="B2488" s="2" t="str">
        <f>IFERROR(__xludf.DUMMYFUNCTION("GOOGLETRANSLATE(A2488,""en"", ""mt"")"),"L-imperjalizmu huwa definit bħala ""politika li testendi l-poter u l-influwenza ta 'pajjiż permezz tad-diplomazija jew il-forza militari."" L-imperjalizmu huwa partikolarment iffokat fuq il-kontroll li grupp wieħed, ħafna drabi għandu poter statali, għand"&amp;"u fuq grupp ieħor ta 'nies. Dan ħafna drabi permezz ta 'diversi forom ta' ""oħrajn"" (ara oħrajn) ibbażati fuq sterjotipi razzjali, reliġjużi, jew kulturali. Hemm imperjaliżmi ""formali"" jew ""informali"". ""Imperjalizmu formali"" huwa definit bħala ""ko"&amp;"ntroll fiżiku jew regola kolonjali sħiħa"". ""Imperjalizmu informali"" huwa inqas dirett; Madankollu, għadha forma qawwija ta 'dominanza.")</f>
        <v>L-imperjalizmu huwa definit bħala "politika li testendi l-poter u l-influwenza ta 'pajjiż permezz tad-diplomazija jew il-forza militari." L-imperjalizmu huwa partikolarment iffokat fuq il-kontroll li grupp wieħed, ħafna drabi għandu poter statali, għandu fuq grupp ieħor ta 'nies. Dan ħafna drabi permezz ta 'diversi forom ta' "oħrajn" (ara oħrajn) ibbażati fuq sterjotipi razzjali, reliġjużi, jew kulturali. Hemm imperjaliżmi "formali" jew "informali". "Imperjalizmu formali" huwa definit bħala "kontroll fiżiku jew regola kolonjali sħiħa". "Imperjalizmu informali" huwa inqas dirett; Madankollu, għadha forma qawwija ta 'dominanza.</v>
      </c>
    </row>
    <row r="2489" ht="15.75" customHeight="1">
      <c r="A2489" s="2" t="s">
        <v>2489</v>
      </c>
      <c r="B2489" s="2" t="str">
        <f>IFERROR(__xludf.DUMMYFUNCTION("GOOGLETRANSLATE(A2489,""en"", ""mt"")"),"ditti tas-servizz")</f>
        <v>ditti tas-servizz</v>
      </c>
    </row>
    <row r="2490" ht="15.75" customHeight="1">
      <c r="A2490" s="2" t="s">
        <v>2490</v>
      </c>
      <c r="B2490" s="2" t="str">
        <f>IFERROR(__xludf.DUMMYFUNCTION("GOOGLETRANSLATE(A2490,""en"", ""mt"")"),"Semmi mudell ta 'lussu li sar popolari f'nofs is-snin sebgħin.")</f>
        <v>Semmi mudell ta 'lussu li sar popolari f'nofs is-snin sebgħin.</v>
      </c>
    </row>
    <row r="2491" ht="15.75" customHeight="1">
      <c r="A2491" s="2" t="s">
        <v>2491</v>
      </c>
      <c r="B2491" s="2" t="str">
        <f>IFERROR(__xludf.DUMMYFUNCTION("GOOGLETRANSLATE(A2491,""en"", ""mt"")"),"Iċ-Ċiniż Han")</f>
        <v>Iċ-Ċiniż Han</v>
      </c>
    </row>
    <row r="2492" ht="15.75" customHeight="1">
      <c r="A2492" s="2" t="s">
        <v>2492</v>
      </c>
      <c r="B2492" s="2" t="str">
        <f>IFERROR(__xludf.DUMMYFUNCTION("GOOGLETRANSLATE(A2492,""en"", ""mt"")"),"Art tal-Punent mill-Medju Evu sal-Preżent")</f>
        <v>Art tal-Punent mill-Medju Evu sal-Preżent</v>
      </c>
    </row>
    <row r="2493" ht="15.75" customHeight="1">
      <c r="A2493" s="2" t="s">
        <v>2493</v>
      </c>
      <c r="B2493" s="2" t="str">
        <f>IFERROR(__xludf.DUMMYFUNCTION("GOOGLETRANSLATE(A2493,""en"", ""mt"")"),"Liema porzjon ta 'speċi ta' għasafar jiffurmaw it-total tad-dinja jgħixu fil-foresta tropikali?")</f>
        <v>Liema porzjon ta 'speċi ta' għasafar jiffurmaw it-total tad-dinja jgħixu fil-foresta tropikali?</v>
      </c>
    </row>
    <row r="2494" ht="15.75" customHeight="1">
      <c r="A2494" s="2" t="s">
        <v>2494</v>
      </c>
      <c r="B2494" s="2" t="str">
        <f>IFERROR(__xludf.DUMMYFUNCTION("GOOGLETRANSLATE(A2494,""en"", ""mt"")"),"Filwaqt li BSKYB kien ġie eskluż milli jkun parti mill-konsorzju Ondigital, u b'hekk għamilhom kompetitur awtomatikament, BSKYB kien kapaċi jingħaqad ma 'sostituzzjoni free-to-air ta' ITV Digital, Freeview, li fih iżomm sehem ugwali mal-BBC, ITV , Channel"&amp;" 4 u National Grid Wireless. Qabel Ottubru 2005, tliet stazzjonijiet BSKYB kienu disponibbli fuq din il-pjattaforma: Sky News, Sky Three, u Sky Sports News. Inizjalment BSKYB ipprovda Sema jivvjaġġa għas-servizz. Madankollu, dan ġie sostitwit minn Sky Thr"&amp;"ee fil-31 ta 'Ottubru 2005, li kien innifsu wara l-marka mill-ġdid bħala' pick TV 'fl-2011.")</f>
        <v>Filwaqt li BSKYB kien ġie eskluż milli jkun parti mill-konsorzju Ondigital, u b'hekk għamilhom kompetitur awtomatikament, BSKYB kien kapaċi jingħaqad ma 'sostituzzjoni free-to-air ta' ITV Digital, Freeview, li fih iżomm sehem ugwali mal-BBC, ITV , Channel 4 u National Grid Wireless. Qabel Ottubru 2005, tliet stazzjonijiet BSKYB kienu disponibbli fuq din il-pjattaforma: Sky News, Sky Three, u Sky Sports News. Inizjalment BSKYB ipprovda Sema jivvjaġġa għas-servizz. Madankollu, dan ġie sostitwit minn Sky Three fil-31 ta 'Ottubru 2005, li kien innifsu wara l-marka mill-ġdid bħala' pick TV 'fl-2011.</v>
      </c>
    </row>
    <row r="2495" ht="15.75" customHeight="1">
      <c r="A2495" s="2" t="s">
        <v>2495</v>
      </c>
      <c r="B2495" s="2" t="str">
        <f>IFERROR(__xludf.DUMMYFUNCTION("GOOGLETRANSLATE(A2495,""en"", ""mt"")"),"ir-raba ’gwerra interkolonjali u l-gwerra kbira għall-imperu")</f>
        <v>ir-raba ’gwerra interkolonjali u l-gwerra kbira għall-imperu</v>
      </c>
    </row>
    <row r="2496" ht="15.75" customHeight="1">
      <c r="A2496" s="2" t="s">
        <v>2496</v>
      </c>
      <c r="B2496" s="2" t="str">
        <f>IFERROR(__xludf.DUMMYFUNCTION("GOOGLETRANSLATE(A2496,""en"", ""mt"")"),"Liema organizzazzjoni kompliet tkun forza ta 'tfixkil kbira fil-Palestina?")</f>
        <v>Liema organizzazzjoni kompliet tkun forza ta 'tfixkil kbira fil-Palestina?</v>
      </c>
    </row>
    <row r="2497" ht="15.75" customHeight="1">
      <c r="A2497" s="2" t="s">
        <v>2497</v>
      </c>
      <c r="B2497" s="2" t="str">
        <f>IFERROR(__xludf.DUMMYFUNCTION("GOOGLETRANSLATE(A2497,""en"", ""mt"")"),"Il-biċċa l-kbira tal-kongregazzjonijiet Huguenot (jew individwi) fl-Amerika ta 'Fuq eventwalment affiljati ma' denominazzjonijiet Protestanti oħra ma 'membri aktar numerużi. Il-Huguenots adattaw malajr u spiss miżżewġin barra l-komunitajiet Franċiżi immed"&amp;"jati tagħhom, u dan wassal għall-assimilazzjoni tagħhom. Id-dixxendenti tagħhom f’ħafna familji komplew jużaw l-ismijiet u l-kunjomijiet Franċiżi għat-tfal tagħhom sew fis-seklu dsatax. Assimilati, il-Franċiżi għamlu bosta kontribuzzjonijiet għall-ħajja e"&amp;"konomika tal-Istati Uniti, speċjalment bħala negozjanti u artiġjani fil-perjodi kolonjali u federali bikrija tard. Pereżempju, E.I. Du Pont, ex-student ta 'Lavoisier, stabbilixxa l-Eleutherian Gunpowder Mills.")</f>
        <v>Il-biċċa l-kbira tal-kongregazzjonijiet Huguenot (jew individwi) fl-Amerika ta 'Fuq eventwalment affiljati ma' denominazzjonijiet Protestanti oħra ma 'membri aktar numerużi. Il-Huguenots adattaw malajr u spiss miżżewġin barra l-komunitajiet Franċiżi immedjati tagħhom, u dan wassal għall-assimilazzjoni tagħhom. Id-dixxendenti tagħhom f’ħafna familji komplew jużaw l-ismijiet u l-kunjomijiet Franċiżi għat-tfal tagħhom sew fis-seklu dsatax. Assimilati, il-Franċiżi għamlu bosta kontribuzzjonijiet għall-ħajja ekonomika tal-Istati Uniti, speċjalment bħala negozjanti u artiġjani fil-perjodi kolonjali u federali bikrija tard. Pereżempju, E.I. Du Pont, ex-student ta 'Lavoisier, stabbilixxa l-Eleutherian Gunpowder Mills.</v>
      </c>
    </row>
    <row r="2498" ht="15.75" customHeight="1">
      <c r="A2498" s="2" t="s">
        <v>2498</v>
      </c>
      <c r="B2498" s="2" t="str">
        <f>IFERROR(__xludf.DUMMYFUNCTION("GOOGLETRANSLATE(A2498,""en"", ""mt"")"),"Xi jwassal inqas edukazzjoni meta taħdem?")</f>
        <v>Xi jwassal inqas edukazzjoni meta taħdem?</v>
      </c>
    </row>
    <row r="2499" ht="15.75" customHeight="1">
      <c r="A2499" s="2" t="s">
        <v>2499</v>
      </c>
      <c r="B2499" s="2" t="str">
        <f>IFERROR(__xludf.DUMMYFUNCTION("GOOGLETRANSLATE(A2499,""en"", ""mt"")"),"Jacques Legardere de Saint-Pierre, li rnexxielu lil Marin bħala kmandant tal-forzi Franċiżi wara li dan tal-aħħar miet fid-29 ta 'Ottubru, stieden lil Washington biex tiekol miegħu. Matul il-pranzu, Washington ippreżenta lil Saint-Pierre bl-ittra minn Din"&amp;"widdie fejn talbet irtirar Franċiż immedjat mill-pajjiż ta 'Ohio. Saint-Pierre qal, ""Fir-rigward tat-taħrika li tibgħatli biex nirtira, ma naħsibx lili nnifsi obbligat li nobdiha."" Huwa qal lil Washington li t-talba ta 'Franza fir-reġjun kienet superjur"&amp;"i għal dik tal-Ingliżi, minn meta René-Robert Cavelier, Sieur de la Salle kien esplora l-pajjiż ta' Ohio kważi seklu qabel.")</f>
        <v>Jacques Legardere de Saint-Pierre, li rnexxielu lil Marin bħala kmandant tal-forzi Franċiżi wara li dan tal-aħħar miet fid-29 ta 'Ottubru, stieden lil Washington biex tiekol miegħu. Matul il-pranzu, Washington ippreżenta lil Saint-Pierre bl-ittra minn Dinwiddie fejn talbet irtirar Franċiż immedjat mill-pajjiż ta 'Ohio. Saint-Pierre qal, "Fir-rigward tat-taħrika li tibgħatli biex nirtira, ma naħsibx lili nnifsi obbligat li nobdiha." Huwa qal lil Washington li t-talba ta 'Franza fir-reġjun kienet superjuri għal dik tal-Ingliżi, minn meta René-Robert Cavelier, Sieur de la Salle kien esplora l-pajjiż ta' Ohio kważi seklu qabel.</v>
      </c>
    </row>
    <row r="2500" ht="15.75" customHeight="1">
      <c r="A2500" s="2" t="s">
        <v>2500</v>
      </c>
      <c r="B2500" s="2" t="str">
        <f>IFERROR(__xludf.DUMMYFUNCTION("GOOGLETRANSLATE(A2500,""en"", ""mt"")"),"Il-liġi tal-Unjoni Ewropea hija korp ta 'trattati u leġiżlazzjoni, bħal regolamenti u direttivi, li għandhom effett dirett jew effett indirett fuq il-liġijiet tal-Istati Membri tal-Unjoni Ewropea. It-tliet sorsi tal-liġi tal-Unjoni Ewropea huma l-liġi pri"&amp;"marja, il-liġi sekondarja u l-liġi supplimentari. Is-sorsi ewlenin tal-liġi primarja huma t-trattati li jistabbilixxu l-Unjoni Ewropea. Sorsi sekondarji jinkludu regolamenti u direttivi li huma bbażati fuq it-trattati. Il-leġiżlatur tal-Unjoni Ewropea huw"&amp;"a prinċipalment magħmul mill-Parlament Ewropew u l-Kunsill tal-Unjoni Ewropea, li taħt it-trattati jista 'jistabbilixxi liġi sekondarja biex issegwi l-għan stabbilit fit-trattati.")</f>
        <v>Il-liġi tal-Unjoni Ewropea hija korp ta 'trattati u leġiżlazzjoni, bħal regolamenti u direttivi, li għandhom effett dirett jew effett indirett fuq il-liġijiet tal-Istati Membri tal-Unjoni Ewropea. It-tliet sorsi tal-liġi tal-Unjoni Ewropea huma l-liġi primarja, il-liġi sekondarja u l-liġi supplimentari. Is-sorsi ewlenin tal-liġi primarja huma t-trattati li jistabbilixxu l-Unjoni Ewropea. Sorsi sekondarji jinkludu regolamenti u direttivi li huma bbażati fuq it-trattati. Il-leġiżlatur tal-Unjoni Ewropea huwa prinċipalment magħmul mill-Parlament Ewropew u l-Kunsill tal-Unjoni Ewropea, li taħt it-trattati jista 'jistabbilixxi liġi sekondarja biex issegwi l-għan stabbilit fit-trattati.</v>
      </c>
    </row>
    <row r="2501" ht="15.75" customHeight="1">
      <c r="A2501" s="2" t="s">
        <v>2501</v>
      </c>
      <c r="B2501" s="2" t="str">
        <f>IFERROR(__xludf.DUMMYFUNCTION("GOOGLETRANSLATE(A2501,""en"", ""mt"")"),"stadju introduttorju tal-kont")</f>
        <v>stadju introduttorju tal-kont</v>
      </c>
    </row>
    <row r="2502" ht="15.75" customHeight="1">
      <c r="A2502" s="2" t="s">
        <v>2502</v>
      </c>
      <c r="B2502" s="2" t="str">
        <f>IFERROR(__xludf.DUMMYFUNCTION("GOOGLETRANSLATE(A2502,""en"", ""mt"")"),"Fl-1967, Manuel Blum żviluppa teorija ta 'kumplessità axiomatic ibbażata fuq l-assijomi tiegħu u wera riżultat importanti, l-hekk imsejħa, teorema ta' veloċità. Il-qasam verament beda jiffjorixxi fl-1971 meta r-riċerkatur tal-Istati Uniti Stephen Cook u, "&amp;"jaħdem b'mod indipendenti, Leonid Levin fl-USSR, wera li jeżistu problemi prattikament rilevanti li huma kompluti NP. Fl-1972, Richard Karp ħa din l-idea qabża 'l quddiem bil-karta tal-monument tiegħu, ""Reducibility fost problemi kombinatorji"", li fiha "&amp;"wera li 21 problemi teoretiċi kombinatorji u graff differenti, kull wieħed infami għall-intrattabilità komputazzjonali tiegħu, huma NP-kompluta.")</f>
        <v>Fl-1967, Manuel Blum żviluppa teorija ta 'kumplessità axiomatic ibbażata fuq l-assijomi tiegħu u wera riżultat importanti, l-hekk imsejħa, teorema ta' veloċità. Il-qasam verament beda jiffjorixxi fl-1971 meta r-riċerkatur tal-Istati Uniti Stephen Cook u, jaħdem b'mod indipendenti, Leonid Levin fl-USSR, wera li jeżistu problemi prattikament rilevanti li huma kompluti NP. Fl-1972, Richard Karp ħa din l-idea qabża 'l quddiem bil-karta tal-monument tiegħu, "Reducibility fost problemi kombinatorji", li fiha wera li 21 problemi teoretiċi kombinatorji u graff differenti, kull wieħed infami għall-intrattabilità komputazzjonali tiegħu, huma NP-kompluta.</v>
      </c>
    </row>
    <row r="2503" ht="15.75" customHeight="1">
      <c r="A2503" s="2" t="s">
        <v>2503</v>
      </c>
      <c r="B2503" s="2" t="str">
        <f>IFERROR(__xludf.DUMMYFUNCTION("GOOGLETRANSLATE(A2503,""en"", ""mt"")"),"X'tip ta 'sistemi topoloġiċi jinstabu f'numri fir-Rabat?")</f>
        <v>X'tip ta 'sistemi topoloġiċi jinstabu f'numri fir-Rabat?</v>
      </c>
    </row>
    <row r="2504" ht="15.75" customHeight="1">
      <c r="A2504" s="2" t="s">
        <v>2504</v>
      </c>
      <c r="B2504" s="2" t="str">
        <f>IFERROR(__xludf.DUMMYFUNCTION("GOOGLETRANSLATE(A2504,""en"", ""mt"")"),"X'inhuma ż-żewġ subsistemi ewlenin tas-sistema immuni?")</f>
        <v>X'inhuma ż-żewġ subsistemi ewlenin tas-sistema immuni?</v>
      </c>
    </row>
    <row r="2505" ht="15.75" customHeight="1">
      <c r="A2505" s="2" t="s">
        <v>2505</v>
      </c>
      <c r="B2505" s="2" t="str">
        <f>IFERROR(__xludf.DUMMYFUNCTION("GOOGLETRANSLATE(A2505,""en"", ""mt"")"),"Ma 'liema kulleġġ huwa assoċjat Jake Rosenfield?")</f>
        <v>Ma 'liema kulleġġ huwa assoċjat Jake Rosenfield?</v>
      </c>
    </row>
    <row r="2506" ht="15.75" customHeight="1">
      <c r="A2506" s="2" t="s">
        <v>2506</v>
      </c>
      <c r="B2506" s="2" t="str">
        <f>IFERROR(__xludf.DUMMYFUNCTION("GOOGLETRANSLATE(A2506,""en"", ""mt"")"),"Liema reliġjon kienu n-Normanni")</f>
        <v>Liema reliġjon kienu n-Normanni</v>
      </c>
    </row>
    <row r="2507" ht="15.75" customHeight="1">
      <c r="A2507" s="2" t="s">
        <v>2507</v>
      </c>
      <c r="B2507" s="2" t="str">
        <f>IFERROR(__xludf.DUMMYFUNCTION("GOOGLETRANSLATE(A2507,""en"", ""mt"")"),"Sultan ta 'Tebes")</f>
        <v>Sultan ta 'Tebes</v>
      </c>
    </row>
    <row r="2508" ht="15.75" customHeight="1">
      <c r="A2508" s="2" t="s">
        <v>2508</v>
      </c>
      <c r="B2508" s="2" t="str">
        <f>IFERROR(__xludf.DUMMYFUNCTION("GOOGLETRANSLATE(A2508,""en"", ""mt"")"),"pagi aktar baxxi")</f>
        <v>pagi aktar baxxi</v>
      </c>
    </row>
    <row r="2509" ht="15.75" customHeight="1">
      <c r="A2509" s="2" t="s">
        <v>2509</v>
      </c>
      <c r="B2509" s="2" t="str">
        <f>IFERROR(__xludf.DUMMYFUNCTION("GOOGLETRANSLATE(A2509,""en"", ""mt"")"),"Armata u l-popolazzjoni")</f>
        <v>Armata u l-popolazzjoni</v>
      </c>
    </row>
    <row r="2510" ht="15.75" customHeight="1">
      <c r="A2510" s="2" t="s">
        <v>2510</v>
      </c>
      <c r="B2510" s="2" t="str">
        <f>IFERROR(__xludf.DUMMYFUNCTION("GOOGLETRANSLATE(A2510,""en"", ""mt"")"),"Ħalli l-awtrija ta 'l-Istati Uniti ta' 'New World' li kellha tkun ikkaratterizzata minn ordni ġeografika")</f>
        <v>Ħalli l-awtrija ta 'l-Istati Uniti ta' 'New World' li kellha tkun ikkaratterizzata minn ordni ġeografika</v>
      </c>
    </row>
    <row r="2511" ht="15.75" customHeight="1">
      <c r="A2511" s="2" t="s">
        <v>2511</v>
      </c>
      <c r="B2511" s="2" t="str">
        <f>IFERROR(__xludf.DUMMYFUNCTION("GOOGLETRANSLATE(A2511,""en"", ""mt"")"),"l-oqsma li fihom tista 'tagħmel liġijiet")</f>
        <v>l-oqsma li fihom tista 'tagħmel liġijiet</v>
      </c>
    </row>
    <row r="2512" ht="15.75" customHeight="1">
      <c r="A2512" s="2" t="s">
        <v>2512</v>
      </c>
      <c r="B2512" s="2" t="str">
        <f>IFERROR(__xludf.DUMMYFUNCTION("GOOGLETRANSLATE(A2512,""en"", ""mt"")"),"Taoism")</f>
        <v>Taoism</v>
      </c>
    </row>
    <row r="2513" ht="15.75" customHeight="1">
      <c r="A2513" s="2" t="s">
        <v>2513</v>
      </c>
      <c r="B2513" s="2" t="str">
        <f>IFERROR(__xludf.DUMMYFUNCTION("GOOGLETRANSLATE(A2513,""en"", ""mt"")"),"X'inhuma ppreżentati lill-Parlament minbarra l-abbozz innifsu?")</f>
        <v>X'inhuma ppreżentati lill-Parlament minbarra l-abbozz innifsu?</v>
      </c>
    </row>
    <row r="2514" ht="15.75" customHeight="1">
      <c r="A2514" s="2" t="s">
        <v>2514</v>
      </c>
      <c r="B2514" s="2" t="str">
        <f>IFERROR(__xludf.DUMMYFUNCTION("GOOGLETRANSLATE(A2514,""en"", ""mt"")"),"Van gend en loos v Nederlandse Administratie der Belastingen")</f>
        <v>Van gend en loos v Nederlandse Administratie der Belastingen</v>
      </c>
    </row>
    <row r="2515" ht="15.75" customHeight="1">
      <c r="A2515" s="2" t="s">
        <v>2515</v>
      </c>
      <c r="B2515" s="2" t="str">
        <f>IFERROR(__xludf.DUMMYFUNCTION("GOOGLETRANSLATE(A2515,""en"", ""mt"")"),"F'dan id-dijossiġnu, iż-żewġ atomi ta 'ossiġnu huma marbuta kimikament ma' xulxin. Il-bond jista 'jiġi deskritt b'mod varju abbażi ta' livell ta 'teorija, iżda huwa raġonevolment u sempliċement deskritt bħala rabta doppja kovalenti li tirriżulta mill-mili"&amp;" ta' orbitali molekulari ffurmati mill-orbitali atomiċi ta 'l-atomi ta' ossiġenu individwali, li l-mili tagħhom jirriżulta f'rabta Ordni ta 'tnejn. B'mod iktar speċifiku, il-bond doppju huwa r-riżultat ta 'enerġija sekwenzjali, baxxa għal għolja, jew Aufb"&amp;"au, mili ta' orbitali, u l-kanċellazzjoni li tirriżulta ta 'kontribuzzjonijiet mill-elettroni 2S, wara mili sekwenzjali tal-orbital σ u σ *; σ sovrappożizzjoni taż-żewġ orbitali atomiċi 2p li jinsabu tul l-assi molekulari O-O u l-koinċidenza π ta 'żewġ pa"&amp;"ri ta' orbitali 2P atomiċi perpendikulari mal-assi molekulari O-O, u mbagħad il-kanċellazzjoni tal-kontribuzzjonijiet mis-sitt tnejn mill-elettroni parzjali wara l-mili parzjali tagħhom wara l-mili parzjali tagħhom wara l-mili parzjali tagħhom ta 'l-inqas"&amp;" π u π * orbitali.")</f>
        <v>F'dan id-dijossiġnu, iż-żewġ atomi ta 'ossiġnu huma marbuta kimikament ma' xulxin. Il-bond jista 'jiġi deskritt b'mod varju abbażi ta' livell ta 'teorija, iżda huwa raġonevolment u sempliċement deskritt bħala rabta doppja kovalenti li tirriżulta mill-mili ta' orbitali molekulari ffurmati mill-orbitali atomiċi ta 'l-atomi ta' ossiġenu individwali, li l-mili tagħhom jirriżulta f'rabta Ordni ta 'tnejn. B'mod iktar speċifiku, il-bond doppju huwa r-riżultat ta 'enerġija sekwenzjali, baxxa għal għolja, jew Aufbau, mili ta' orbitali, u l-kanċellazzjoni li tirriżulta ta 'kontribuzzjonijiet mill-elettroni 2S, wara mili sekwenzjali tal-orbital σ u σ *; σ sovrappożizzjoni taż-żewġ orbitali atomiċi 2p li jinsabu tul l-assi molekulari O-O u l-koinċidenza π ta 'żewġ pari ta' orbitali 2P atomiċi perpendikulari mal-assi molekulari O-O, u mbagħad il-kanċellazzjoni tal-kontribuzzjonijiet mis-sitt tnejn mill-elettroni parzjali wara l-mili parzjali tagħhom wara l-mili parzjali tagħhom wara l-mili parzjali tagħhom ta 'l-inqas π u π * orbitali.</v>
      </c>
    </row>
    <row r="2516" ht="15.75" customHeight="1">
      <c r="A2516" s="2" t="s">
        <v>2516</v>
      </c>
      <c r="B2516" s="2" t="str">
        <f>IFERROR(__xludf.DUMMYFUNCTION("GOOGLETRANSLATE(A2516,""en"", ""mt"")"),"Il-messaġġ / dejta oriġinali hija mmuntata mill-ġdid fl-ordni t-tajba")</f>
        <v>Il-messaġġ / dejta oriġinali hija mmuntata mill-ġdid fl-ordni t-tajba</v>
      </c>
    </row>
    <row r="2517" ht="15.75" customHeight="1">
      <c r="A2517" s="2" t="s">
        <v>2517</v>
      </c>
      <c r="B2517" s="2" t="str">
        <f>IFERROR(__xludf.DUMMYFUNCTION("GOOGLETRANSLATE(A2517,""en"", ""mt"")"),"Skond l-ekonomisti internazzjonali tal-fond monetarju, l-inugwaljanza fil-ġid u d-dħul hija korrelata b'mod negattiv mat-tul ta 'perjodi ta' tkabbir ekonomiku (mhux ir-rata ta 'tkabbir). Livelli għoljin ta 'inugwaljanza jipprevjenu mhux biss il-prosperità"&amp;" ekonomika, iżda wkoll il-kwalità ta' istituzzjonijiet ta 'pajjiż u livelli għoljin ta' edukazzjoni. Skond l-ekonomisti tal-persunal tal-FMI, ""jekk is-sehem tad-dħul tal-aqwa 20 fil-mija (is-sinjur) jiżdied, allura t-tkabbir tal-PGD fil-fatt jonqos fuq m"&amp;"edda medja ta 'żmien, li jissuġġerixxi li l-benefiċċji ma jinqatgħux. B'kuntrast, żieda fis-sehem tad-dħul tal-qiegħ 20 fil-mija (il-foqra) huwa assoċjat ma 'tkabbir ogħla tal-PGD. Il-foqra u l-klassi tan-nofs huma l-iktar għat-tkabbir permezz ta' numru t"&amp;"a 'kanali ekonomiċi, soċjali u politiċi interrelatati. """)</f>
        <v>Skond l-ekonomisti internazzjonali tal-fond monetarju, l-inugwaljanza fil-ġid u d-dħul hija korrelata b'mod negattiv mat-tul ta 'perjodi ta' tkabbir ekonomiku (mhux ir-rata ta 'tkabbir). Livelli għoljin ta 'inugwaljanza jipprevjenu mhux biss il-prosperità ekonomika, iżda wkoll il-kwalità ta' istituzzjonijiet ta 'pajjiż u livelli għoljin ta' edukazzjoni. Skond l-ekonomisti tal-persunal tal-FMI, "jekk is-sehem tad-dħul tal-aqwa 20 fil-mija (is-sinjur) jiżdied, allura t-tkabbir tal-PGD fil-fatt jonqos fuq medda medja ta 'żmien, li jissuġġerixxi li l-benefiċċji ma jinqatgħux. B'kuntrast, żieda fis-sehem tad-dħul tal-qiegħ 20 fil-mija (il-foqra) huwa assoċjat ma 'tkabbir ogħla tal-PGD. Il-foqra u l-klassi tan-nofs huma l-iktar għat-tkabbir permezz ta' numru ta 'kanali ekonomiċi, soċjali u politiċi interrelatati. "</v>
      </c>
    </row>
    <row r="2518" ht="15.75" customHeight="1">
      <c r="A2518" s="2" t="s">
        <v>2518</v>
      </c>
      <c r="B2518" s="2" t="str">
        <f>IFERROR(__xludf.DUMMYFUNCTION("GOOGLETRANSLATE(A2518,""en"", ""mt"")"),"L-ewwel binjiet tal-kampus tal-Università ta ’Chicago, li jiffurmaw dak li issa huwa magħruf bħala l-kwadrangles ewlenin, kienu parti minn"" pjan ewlieni ”maħsub minn żewġ trustees tal-Università ta’ Chicago u mpinġija mill-perit ta ’Chicago Henry Ives Co"&amp;"bb. Il-kwadrangles ewlenin jikkonsistu minn sitt kwadrangles, kull wieħed imdawwar minn bini, li jmissu ma 'kwadrangle ikbar. Il-bini tal-kwadrangles ewlenin kienu ddisinjati minn Cobb, Shepley, Rutan u Coolidge, Holabird &amp; Roche, u ditti arkitettoniċi oħ"&amp;"ra f'taħlita ta 'l-istili Gotiċi Gotiċi u kolleġjali Vittorjani, b'disinn fuq il-kulleġġi ta' l-Università ta 'Oxford. (Mitchell Tower, pereżempju, huwa mfassal wara t-Torri Magdalen ta 'Oxford, u l-Università Commons, Hutchinson Hall, jirreplikaw lil Chr"&amp;"ist Church Hall.)")</f>
        <v>L-ewwel binjiet tal-kampus tal-Università ta ’Chicago, li jiffurmaw dak li issa huwa magħruf bħala l-kwadrangles ewlenin, kienu parti minn" pjan ewlieni ”maħsub minn żewġ trustees tal-Università ta’ Chicago u mpinġija mill-perit ta ’Chicago Henry Ives Cobb. Il-kwadrangles ewlenin jikkonsistu minn sitt kwadrangles, kull wieħed imdawwar minn bini, li jmissu ma 'kwadrangle ikbar. Il-bini tal-kwadrangles ewlenin kienu ddisinjati minn Cobb, Shepley, Rutan u Coolidge, Holabird &amp; Roche, u ditti arkitettoniċi oħra f'taħlita ta 'l-istili Gotiċi Gotiċi u kolleġjali Vittorjani, b'disinn fuq il-kulleġġi ta' l-Università ta 'Oxford. (Mitchell Tower, pereżempju, huwa mfassal wara t-Torri Magdalen ta 'Oxford, u l-Università Commons, Hutchinson Hall, jirreplikaw lil Christ Church Hall.)</v>
      </c>
    </row>
    <row r="2519" ht="15.75" customHeight="1">
      <c r="A2519" s="2" t="s">
        <v>2519</v>
      </c>
      <c r="B2519" s="2" t="str">
        <f>IFERROR(__xludf.DUMMYFUNCTION("GOOGLETRANSLATE(A2519,""en"", ""mt"")"),"kandidati fuq il-post")</f>
        <v>kandidati fuq il-post</v>
      </c>
    </row>
    <row r="2520" ht="15.75" customHeight="1">
      <c r="A2520" s="2" t="s">
        <v>2520</v>
      </c>
      <c r="B2520" s="2" t="str">
        <f>IFERROR(__xludf.DUMMYFUNCTION("GOOGLETRANSLATE(A2520,""en"", ""mt"")"),"Dak li l-kumpaniji Amerikani huma miġbura fl-aqwa 250")</f>
        <v>Dak li l-kumpaniji Amerikani huma miġbura fl-aqwa 250</v>
      </c>
    </row>
    <row r="2521" ht="15.75" customHeight="1">
      <c r="A2521" s="2" t="s">
        <v>2521</v>
      </c>
      <c r="B2521" s="2" t="str">
        <f>IFERROR(__xludf.DUMMYFUNCTION("GOOGLETRANSLATE(A2521,""en"", ""mt"")"),"Att dwar in-Naturalizzazzjoni ta 'Protestanti Barranin")</f>
        <v>Att dwar in-Naturalizzazzjoni ta 'Protestanti Barranin</v>
      </c>
    </row>
    <row r="2522" ht="15.75" customHeight="1">
      <c r="A2522" s="2" t="s">
        <v>2522</v>
      </c>
      <c r="B2522" s="2" t="str">
        <f>IFERROR(__xludf.DUMMYFUNCTION("GOOGLETRANSLATE(A2522,""en"", ""mt"")"),"M’għandniex xi ngħidu, xi klassijiet ta ’kumplessità għandhom definizzjonijiet ikkumplikati li ma jidħlux f’dan il-qafas. Għalhekk, klassi ta 'kumplessità tipika għandha definizzjoni bħal din li ġejja:")</f>
        <v>M’għandniex xi ngħidu, xi klassijiet ta ’kumplessità għandhom definizzjonijiet ikkumplikati li ma jidħlux f’dan il-qafas. Għalhekk, klassi ta 'kumplessità tipika għandha definizzjoni bħal din li ġejja:</v>
      </c>
    </row>
    <row r="2523" ht="15.75" customHeight="1">
      <c r="A2523" s="2" t="s">
        <v>2523</v>
      </c>
      <c r="B2523" s="2" t="str">
        <f>IFERROR(__xludf.DUMMYFUNCTION("GOOGLETRANSLATE(A2523,""en"", ""mt"")"),"aċċess għall-edukazzjoni")</f>
        <v>aċċess għall-edukazzjoni</v>
      </c>
    </row>
    <row r="2524" ht="15.75" customHeight="1">
      <c r="A2524" s="2" t="s">
        <v>2524</v>
      </c>
      <c r="B2524" s="2" t="str">
        <f>IFERROR(__xludf.DUMMYFUNCTION("GOOGLETRANSLATE(A2524,""en"", ""mt"")"),"biex ma tagħtix tfittxija ta 'kunsens")</f>
        <v>biex ma tagħtix tfittxija ta 'kunsens</v>
      </c>
    </row>
    <row r="2525" ht="15.75" customHeight="1">
      <c r="A2525" s="2" t="s">
        <v>2525</v>
      </c>
      <c r="B2525" s="2" t="str">
        <f>IFERROR(__xludf.DUMMYFUNCTION("GOOGLETRANSLATE(A2525,""en"", ""mt"")"),"Għaliex ġie ffurmat in-netwerk tal-mertu fil-Michigan")</f>
        <v>Għaliex ġie ffurmat in-netwerk tal-mertu fil-Michigan</v>
      </c>
    </row>
    <row r="2526" ht="15.75" customHeight="1">
      <c r="A2526" s="2" t="s">
        <v>2526</v>
      </c>
      <c r="B2526" s="2" t="str">
        <f>IFERROR(__xludf.DUMMYFUNCTION("GOOGLETRANSLATE(A2526,""en"", ""mt"")"),"Min għamel l-għajnuna taż-żieda tal-wan fil-kummerċ?")</f>
        <v>Min għamel l-għajnuna taż-żieda tal-wan fil-kummerċ?</v>
      </c>
    </row>
    <row r="2527" ht="15.75" customHeight="1">
      <c r="A2527" s="2" t="s">
        <v>2527</v>
      </c>
      <c r="B2527" s="2" t="str">
        <f>IFERROR(__xludf.DUMMYFUNCTION("GOOGLETRANSLATE(A2527,""en"", ""mt"")"),"persuna jew grupp ta 'nies")</f>
        <v>persuna jew grupp ta 'nies</v>
      </c>
    </row>
    <row r="2528" ht="15.75" customHeight="1">
      <c r="A2528" s="2" t="s">
        <v>2528</v>
      </c>
      <c r="B2528" s="2" t="str">
        <f>IFERROR(__xludf.DUMMYFUNCTION("GOOGLETRANSLATE(A2528,""en"", ""mt"")"),"X'kien l-iskop tat-truppi ta 'Loudoun fil-Fort Henry?")</f>
        <v>X'kien l-iskop tat-truppi ta 'Loudoun fil-Fort Henry?</v>
      </c>
    </row>
    <row r="2529" ht="15.75" customHeight="1">
      <c r="A2529" s="2" t="s">
        <v>2529</v>
      </c>
      <c r="B2529" s="2" t="str">
        <f>IFERROR(__xludf.DUMMYFUNCTION("GOOGLETRANSLATE(A2529,""en"", ""mt"")"),"Klassijiet oħra ta 'kumplessità importanti jinkludu BPP, ZPP u RP, li huma definiti bl-użu ta' magni tat-Turing probabilistiċi; AC u NC, li huma definiti bl-użu ta 'ċirkwiti Boolean; u BQP u QMA, li huma definiti bl-użu ta 'magni ta' Turing Quantum. #P hi"&amp;"ja klassi ta 'kumplessità importanti ta' problemi ta 'għadd (mhux problemi ta' deċiżjoni). Klassijiet bħal IP u AM huma definiti bl-użu ta 'sistemi ta' prova interattiva. Kollha hija l-klassi tal-problemi kollha ta 'deċiżjoni.")</f>
        <v>Klassijiet oħra ta 'kumplessità importanti jinkludu BPP, ZPP u RP, li huma definiti bl-użu ta' magni tat-Turing probabilistiċi; AC u NC, li huma definiti bl-użu ta 'ċirkwiti Boolean; u BQP u QMA, li huma definiti bl-użu ta 'magni ta' Turing Quantum. #P hija klassi ta 'kumplessità importanti ta' problemi ta 'għadd (mhux problemi ta' deċiżjoni). Klassijiet bħal IP u AM huma definiti bl-użu ta 'sistemi ta' prova interattiva. Kollha hija l-klassi tal-problemi kollha ta 'deċiżjoni.</v>
      </c>
    </row>
    <row r="2530" ht="15.75" customHeight="1">
      <c r="A2530" s="2" t="s">
        <v>2530</v>
      </c>
      <c r="B2530" s="2" t="str">
        <f>IFERROR(__xludf.DUMMYFUNCTION("GOOGLETRANSLATE(A2530,""en"", ""mt"")"),"Liema Boulevard tista 'ssib ħafna djar maestużi fiż-żona?")</f>
        <v>Liema Boulevard tista 'ssib ħafna djar maestużi fiż-żona?</v>
      </c>
    </row>
    <row r="2531" ht="15.75" customHeight="1">
      <c r="A2531" s="2" t="s">
        <v>2531</v>
      </c>
      <c r="B2531" s="2" t="str">
        <f>IFERROR(__xludf.DUMMYFUNCTION("GOOGLETRANSLATE(A2531,""en"", ""mt"")"),"ditti involuti fil-ġestjoni ta 'proġetti ta' kostruzzjoni")</f>
        <v>ditti involuti fil-ġestjoni ta 'proġetti ta' kostruzzjoni</v>
      </c>
    </row>
    <row r="2532" ht="15.75" customHeight="1">
      <c r="A2532" s="2" t="s">
        <v>2532</v>
      </c>
      <c r="B2532" s="2" t="str">
        <f>IFERROR(__xludf.DUMMYFUNCTION("GOOGLETRANSLATE(A2532,""en"", ""mt"")"),"Liema fruntiera tirriżulta r-Renu min-nofsinhar?")</f>
        <v>Liema fruntiera tirriżulta r-Renu min-nofsinhar?</v>
      </c>
    </row>
    <row r="2533" ht="15.75" customHeight="1">
      <c r="A2533" s="2" t="s">
        <v>2533</v>
      </c>
      <c r="B2533" s="2" t="str">
        <f>IFERROR(__xludf.DUMMYFUNCTION("GOOGLETRANSLATE(A2533,""en"", ""mt"")"),"Nies ta 'liema nazzjonalità vvintaw it-turbina tal-fwar?")</f>
        <v>Nies ta 'liema nazzjonalità vvintaw it-turbina tal-fwar?</v>
      </c>
    </row>
    <row r="2534" ht="15.75" customHeight="1">
      <c r="A2534" s="2" t="s">
        <v>2534</v>
      </c>
      <c r="B2534" s="2" t="str">
        <f>IFERROR(__xludf.DUMMYFUNCTION("GOOGLETRANSLATE(A2534,""en"", ""mt"")"),"Sir Charles Lyell ippubblika l-ewwel ktieb famuż tiegħu, Principles of Geology, fl-1830. Dan il-ktieb, li influwenza l-ħsieb ta ’Charles Darwin, ippromwova b’suċċess id-duttrina tal-uniformitarjiżmu. Din it-teorija tgħid li proċessi ġeoloġiċi bil-mod seħħ"&amp;"ew matul l-istorja tad-Dinja u għadhom iseħħu sal-lum. B'kuntrast, il-katastrofizmu huwa t-teorija li l-karatteristiċi tad-Dinja ffurmaw f'avvenimenti singoli u katastrofiċi u baqgħu mhux mibdula wara. Għalkemm Hutton emmen fl-uniformitarjiżmu, l-idea ma "&amp;"kinitx aċċettata ħafna dak iż-żmien.")</f>
        <v>Sir Charles Lyell ippubblika l-ewwel ktieb famuż tiegħu, Principles of Geology, fl-1830. Dan il-ktieb, li influwenza l-ħsieb ta ’Charles Darwin, ippromwova b’suċċess id-duttrina tal-uniformitarjiżmu. Din it-teorija tgħid li proċessi ġeoloġiċi bil-mod seħħew matul l-istorja tad-Dinja u għadhom iseħħu sal-lum. B'kuntrast, il-katastrofizmu huwa t-teorija li l-karatteristiċi tad-Dinja ffurmaw f'avvenimenti singoli u katastrofiċi u baqgħu mhux mibdula wara. Għalkemm Hutton emmen fl-uniformitarjiżmu, l-idea ma kinitx aċċettata ħafna dak iż-żmien.</v>
      </c>
    </row>
    <row r="2535" ht="15.75" customHeight="1">
      <c r="A2535" s="2" t="s">
        <v>2535</v>
      </c>
      <c r="B2535" s="2" t="str">
        <f>IFERROR(__xludf.DUMMYFUNCTION("GOOGLETRANSLATE(A2535,""en"", ""mt"")"),"b'xejn")</f>
        <v>b'xejn</v>
      </c>
    </row>
    <row r="2536" ht="15.75" customHeight="1">
      <c r="A2536" s="2" t="s">
        <v>2536</v>
      </c>
      <c r="B2536" s="2" t="str">
        <f>IFERROR(__xludf.DUMMYFUNCTION("GOOGLETRANSLATE(A2536,""en"", ""mt"")"),"ribelli / oppożizzjoni xellug / komunista / nazzjonalista")</f>
        <v>ribelli / oppożizzjoni xellug / komunista / nazzjonalista</v>
      </c>
    </row>
    <row r="2537" ht="15.75" customHeight="1">
      <c r="A2537" s="2" t="s">
        <v>2537</v>
      </c>
      <c r="B2537" s="2" t="str">
        <f>IFERROR(__xludf.DUMMYFUNCTION("GOOGLETRANSLATE(A2537,""en"", ""mt"")"),"Min ingħata art minn government Ingliż għall-iżvilupp ta 'pajjiż ta' Ohio?")</f>
        <v>Min ingħata art minn government Ingliż għall-iżvilupp ta 'pajjiż ta' Ohio?</v>
      </c>
    </row>
    <row r="2538" ht="15.75" customHeight="1">
      <c r="A2538" s="2" t="s">
        <v>2538</v>
      </c>
      <c r="B2538" s="2" t="str">
        <f>IFERROR(__xludf.DUMMYFUNCTION("GOOGLETRANSLATE(A2538,""en"", ""mt"")"),"toqgħod id-dar")</f>
        <v>toqgħod id-dar</v>
      </c>
    </row>
    <row r="2539" ht="15.75" customHeight="1">
      <c r="A2539" s="2" t="s">
        <v>2539</v>
      </c>
      <c r="B2539" s="2" t="str">
        <f>IFERROR(__xludf.DUMMYFUNCTION("GOOGLETRANSLATE(A2539,""en"", ""mt"")"),"Hamas")</f>
        <v>Hamas</v>
      </c>
    </row>
    <row r="2540" ht="15.75" customHeight="1">
      <c r="A2540" s="2" t="s">
        <v>2540</v>
      </c>
      <c r="B2540" s="2" t="str">
        <f>IFERROR(__xludf.DUMMYFUNCTION("GOOGLETRANSLATE(A2540,""en"", ""mt"")"),"_____ jgħin lill-Biospher mill-UV.")</f>
        <v>_____ jgħin lill-Biospher mill-UV.</v>
      </c>
    </row>
    <row r="2541" ht="15.75" customHeight="1">
      <c r="A2541" s="2" t="s">
        <v>2541</v>
      </c>
      <c r="B2541" s="2" t="str">
        <f>IFERROR(__xludf.DUMMYFUNCTION("GOOGLETRANSLATE(A2541,""en"", ""mt"")"),"X'inhu l-isem tas-suppożizzjoni li kwalunkwe numru ikbar minn 2 jista 'jkun irrappreżentat bħala s-somma ta' żewġ primes?")</f>
        <v>X'inhu l-isem tas-suppożizzjoni li kwalunkwe numru ikbar minn 2 jista 'jkun irrappreżentat bħala s-somma ta' żewġ primes?</v>
      </c>
    </row>
    <row r="2542" ht="15.75" customHeight="1">
      <c r="A2542" s="2" t="s">
        <v>2542</v>
      </c>
      <c r="B2542" s="2" t="str">
        <f>IFERROR(__xludf.DUMMYFUNCTION("GOOGLETRANSLATE(A2542,""en"", ""mt"")"),"Tħeġġeġ kunsens fost il-membri eletti")</f>
        <v>Tħeġġeġ kunsens fost il-membri eletti</v>
      </c>
    </row>
    <row r="2543" ht="15.75" customHeight="1">
      <c r="A2543" s="2" t="s">
        <v>2543</v>
      </c>
      <c r="B2543" s="2" t="str">
        <f>IFERROR(__xludf.DUMMYFUNCTION("GOOGLETRANSLATE(A2543,""en"", ""mt"")"),"Minkejja l-korpi artab u ġelatinuż tagħhom, il-fossili ħasbu li jirrappreżentaw ctenophores, apparentement mingħajr tentakli iżda ħafna iktar rewwix tal-moxt minn forom moderni, instabu f'Lagerstätten kemm lura daqs il-bidu ta 'Cambrian, madwar 515 miljun"&amp;" sena ilu. Il-pożizzjoni taċ-ctenophores fis-siġra tal-familja evoluzzjonarja ta 'l-annimali ilha diskussa, u l-maġġoranza tal-veduta fil-preżent, ibbażata fuq filogenetika molekulari, hija li ċ-cnidarians u l-bilaterjani huma relatati aktar mill-qrib ma'"&amp;" xulxin milli jew huma għal ctenophores. Analiżi riċenti ta 'filogenetika molekulari kkonkludiet li l-antenat komuni taċ-ctenophores moderni kollha kien simili għal Cydippid, u li l-gruppi moderni kollha dehru relattivament reċentement, probabbilment wara"&amp;" l-avveniment ta' estinzjoni Kretaċeju-Paleogene 66 miljun sena ilu. L-evidenza li takkumula sa mis-snin 1980 tindika li ċ- ""cydippids"" mhumiex monofiletiċi, fi kliem ieħor ma jinkludux id-dixxendenti kollha u biss ta 'antenat komuni wieħed, minħabba li"&amp;" l-gruppi l-oħra kollha tradizzjonali ta' ctenophore huma dixxendenti ta 'diversi ċidippidi.")</f>
        <v>Minkejja l-korpi artab u ġelatinuż tagħhom, il-fossili ħasbu li jirrappreżentaw ctenophores, apparentement mingħajr tentakli iżda ħafna iktar rewwix tal-moxt minn forom moderni, instabu f'Lagerstätten kemm lura daqs il-bidu ta 'Cambrian, madwar 515 miljun sena ilu. Il-pożizzjoni taċ-ctenophores fis-siġra tal-familja evoluzzjonarja ta 'l-annimali ilha diskussa, u l-maġġoranza tal-veduta fil-preżent, ibbażata fuq filogenetika molekulari, hija li ċ-cnidarians u l-bilaterjani huma relatati aktar mill-qrib ma' xulxin milli jew huma għal ctenophores. Analiżi riċenti ta 'filogenetika molekulari kkonkludiet li l-antenat komuni taċ-ctenophores moderni kollha kien simili għal Cydippid, u li l-gruppi moderni kollha dehru relattivament reċentement, probabbilment wara l-avveniment ta' estinzjoni Kretaċeju-Paleogene 66 miljun sena ilu. L-evidenza li takkumula sa mis-snin 1980 tindika li ċ- "cydippids" mhumiex monofiletiċi, fi kliem ieħor ma jinkludux id-dixxendenti kollha u biss ta 'antenat komuni wieħed, minħabba li l-gruppi l-oħra kollha tradizzjonali ta' ctenophore huma dixxendenti ta 'diversi ċidippidi.</v>
      </c>
    </row>
    <row r="2544" ht="15.75" customHeight="1">
      <c r="A2544" s="2" t="s">
        <v>2544</v>
      </c>
      <c r="B2544" s="2" t="str">
        <f>IFERROR(__xludf.DUMMYFUNCTION("GOOGLETRANSLATE(A2544,""en"", ""mt"")"),"Matul il-Gwerra Ċivili Amerikana, Jacksonville kien punt ta 'provvista ewlieni biex il-qżieqeż u l-baqar jintbagħtu minn Florida biex jgħinu l-kawża Konfederata. Il-belt kienet imblukkata mill-forzi tal-unjoni, li kisbu l-kontroll tal-Fort Clinch fil-qrib"&amp;". Għalkemm ma ġew miġġielda l-ebda battalji f'Jacksonville kif suppost, il-belt biddlet idejh diversi drabi bejn il-forzi tal-Unjoni u l-Konfederati. Ix-xkiel tal-knisja tal-briks fl-1862 eżatt barra Jacksonville kif suppost irriżulta fl-ewwel rebħa Konfe"&amp;"derata fi Florida. Fi Frar tal-1864 il-forzi tal-Unjoni telqu minn Jacksonville u kkonfrontaw armata Konfederata fil-Battalja ta ’Olustee li rriżultat f’rebħa Konfederata. Il-forzi tal-Unjoni mbagħad irtiraw lejn Jacksonville u żammew il-belt għall-bqija "&amp;"tal-gwerra. F'Marzu 1864, kavallerija Konfederata kkonfrontat spedizzjoni tal-Unjoni li rriżultat fil-Battalja ta 'Cedar Creek. Il-gwerra u l-okkupazzjoni twila ħallew il-belt imħarbta wara l-gwerra.")</f>
        <v>Matul il-Gwerra Ċivili Amerikana, Jacksonville kien punt ta 'provvista ewlieni biex il-qżieqeż u l-baqar jintbagħtu minn Florida biex jgħinu l-kawża Konfederata. Il-belt kienet imblukkata mill-forzi tal-unjoni, li kisbu l-kontroll tal-Fort Clinch fil-qrib. Għalkemm ma ġew miġġielda l-ebda battalji f'Jacksonville kif suppost, il-belt biddlet idejh diversi drabi bejn il-forzi tal-Unjoni u l-Konfederati. Ix-xkiel tal-knisja tal-briks fl-1862 eżatt barra Jacksonville kif suppost irriżulta fl-ewwel rebħa Konfederata fi Florida. Fi Frar tal-1864 il-forzi tal-Unjoni telqu minn Jacksonville u kkonfrontaw armata Konfederata fil-Battalja ta ’Olustee li rriżultat f’rebħa Konfederata. Il-forzi tal-Unjoni mbagħad irtiraw lejn Jacksonville u żammew il-belt għall-bqija tal-gwerra. F'Marzu 1864, kavallerija Konfederata kkonfrontat spedizzjoni tal-Unjoni li rriżultat fil-Battalja ta 'Cedar Creek. Il-gwerra u l-okkupazzjoni twila ħallew il-belt imħarbta wara l-gwerra.</v>
      </c>
    </row>
    <row r="2545" ht="15.75" customHeight="1">
      <c r="A2545" s="2" t="s">
        <v>2545</v>
      </c>
      <c r="B2545" s="2" t="str">
        <f>IFERROR(__xludf.DUMMYFUNCTION("GOOGLETRANSLATE(A2545,""en"", ""mt"")"),"ippropona li jibni netwerk nazzjonali fir-Renju Unit")</f>
        <v>ippropona li jibni netwerk nazzjonali fir-Renju Unit</v>
      </c>
    </row>
    <row r="2546" ht="15.75" customHeight="1">
      <c r="A2546" s="2" t="s">
        <v>2546</v>
      </c>
      <c r="B2546" s="2" t="str">
        <f>IFERROR(__xludf.DUMMYFUNCTION("GOOGLETRANSLATE(A2546,""en"", ""mt"")"),"L-ekonomiji nqabdu bejn prezzijiet ogħla taż-żejt u prezzijiet aktar baxxi għall-prodotti tal-esportazzjoni tagħhom stess")</f>
        <v>L-ekonomiji nqabdu bejn prezzijiet ogħla taż-żejt u prezzijiet aktar baxxi għall-prodotti tal-esportazzjoni tagħhom stess</v>
      </c>
    </row>
    <row r="2547" ht="15.75" customHeight="1">
      <c r="A2547" s="2" t="s">
        <v>2547</v>
      </c>
      <c r="B2547" s="2" t="str">
        <f>IFERROR(__xludf.DUMMYFUNCTION("GOOGLETRANSLATE(A2547,""en"", ""mt"")"),"X'jagħmlu ħafna mill-ispiżeriji onlajn?")</f>
        <v>X'jagħmlu ħafna mill-ispiżeriji onlajn?</v>
      </c>
    </row>
    <row r="2548" ht="15.75" customHeight="1">
      <c r="A2548" s="2" t="s">
        <v>2548</v>
      </c>
      <c r="B2548" s="2" t="str">
        <f>IFERROR(__xludf.DUMMYFUNCTION("GOOGLETRANSLATE(A2548,""en"", ""mt"")"),"power steering")</f>
        <v>power steering</v>
      </c>
    </row>
    <row r="2549" ht="15.75" customHeight="1">
      <c r="A2549" s="2" t="s">
        <v>2549</v>
      </c>
      <c r="B2549" s="2" t="str">
        <f>IFERROR(__xludf.DUMMYFUNCTION("GOOGLETRANSLATE(A2549,""en"", ""mt"")"),"X'inhu terminu ieħor għas-Sena 12 tal-edukazzjoni?")</f>
        <v>X'inhu terminu ieħor għas-Sena 12 tal-edukazzjoni?</v>
      </c>
    </row>
    <row r="2550" ht="15.75" customHeight="1">
      <c r="A2550" s="2" t="s">
        <v>2550</v>
      </c>
      <c r="B2550" s="2" t="str">
        <f>IFERROR(__xludf.DUMMYFUNCTION("GOOGLETRANSLATE(A2550,""en"", ""mt"")"),"Fil-lvant hemm id-Deżert ta 'Colorado u x-Xmara Colorado fil-fruntiera ma' Arizona, u d-Deżert ta 'Mojave fil-fruntiera ma' l-istat ta 'Nevada. Fin-nofsinhar hemm il-fruntiera tal-istati tal-Messiku.")</f>
        <v>Fil-lvant hemm id-Deżert ta 'Colorado u x-Xmara Colorado fil-fruntiera ma' Arizona, u d-Deżert ta 'Mojave fil-fruntiera ma' l-istat ta 'Nevada. Fin-nofsinhar hemm il-fruntiera tal-istati tal-Messiku.</v>
      </c>
    </row>
    <row r="2551" ht="15.75" customHeight="1">
      <c r="A2551" s="2" t="s">
        <v>2551</v>
      </c>
      <c r="B2551" s="2" t="str">
        <f>IFERROR(__xludf.DUMMYFUNCTION("GOOGLETRANSLATE(A2551,""en"", ""mt"")"),"Il-foresta tropikali tnaqqset")</f>
        <v>Il-foresta tropikali tnaqqset</v>
      </c>
    </row>
    <row r="2552" ht="15.75" customHeight="1">
      <c r="A2552" s="2" t="s">
        <v>2552</v>
      </c>
      <c r="B2552" s="2" t="str">
        <f>IFERROR(__xludf.DUMMYFUNCTION("GOOGLETRANSLATE(A2552,""en"", ""mt"")"),"Liema industrija stabbilixxa n-nobbli b'din is-saldu?")</f>
        <v>Liema industrija stabbilixxa n-nobbli b'din is-saldu?</v>
      </c>
    </row>
    <row r="2553" ht="15.75" customHeight="1">
      <c r="A2553" s="2" t="s">
        <v>2553</v>
      </c>
      <c r="B2553" s="2" t="str">
        <f>IFERROR(__xludf.DUMMYFUNCTION("GOOGLETRANSLATE(A2553,""en"", ""mt"")"),"X'tagħmel l-ippumpjar tal-ilma fil-Mesoglea?")</f>
        <v>X'tagħmel l-ippumpjar tal-ilma fil-Mesoglea?</v>
      </c>
    </row>
    <row r="2554" ht="15.75" customHeight="1">
      <c r="A2554" s="2" t="s">
        <v>2554</v>
      </c>
      <c r="B2554" s="2" t="str">
        <f>IFERROR(__xludf.DUMMYFUNCTION("GOOGLETRANSLATE(A2554,""en"", ""mt"")"),"X'għamel Virgin Media BSKYB li rriżulta li Virgin ma ġġorrx il-kanali aktar?")</f>
        <v>X'għamel Virgin Media BSKYB li rriżulta li Virgin ma ġġorrx il-kanali aktar?</v>
      </c>
    </row>
    <row r="2555" ht="15.75" customHeight="1">
      <c r="A2555" s="2" t="s">
        <v>2555</v>
      </c>
      <c r="B2555" s="2" t="str">
        <f>IFERROR(__xludf.DUMMYFUNCTION("GOOGLETRANSLATE(A2555,""en"", ""mt"")"),"Skond it-tnaqqis, jekk X u Y jistgħu jissolvew bl-istess algoritmu allura X iwettaq liema funzjoni f'relazzjoni ma 'Y?")</f>
        <v>Skond it-tnaqqis, jekk X u Y jistgħu jissolvew bl-istess algoritmu allura X iwettaq liema funzjoni f'relazzjoni ma 'Y?</v>
      </c>
    </row>
    <row r="2556" ht="15.75" customHeight="1">
      <c r="A2556" s="2" t="s">
        <v>2556</v>
      </c>
      <c r="B2556" s="2" t="str">
        <f>IFERROR(__xludf.DUMMYFUNCTION("GOOGLETRANSLATE(A2556,""en"", ""mt"")"),"Vendobionta għex matul liema perjodu?")</f>
        <v>Vendobionta għex matul liema perjodu?</v>
      </c>
    </row>
    <row r="2557" ht="15.75" customHeight="1">
      <c r="A2557" s="2" t="s">
        <v>2557</v>
      </c>
      <c r="B2557" s="2" t="str">
        <f>IFERROR(__xludf.DUMMYFUNCTION("GOOGLETRANSLATE(A2557,""en"", ""mt"")"),"L-istadju 1 huwa l-ewwel, jew l-istadju introduttorju tal-abbozz, fejn il-ministru jew membru inkarigat mill-abbozz se jintroduċuh formalment lill-parlament flimkien mad-dokumenti li jakkumpanjawha - noti ta 'spjegazzjoni, memorandum ta' politika li jista"&amp;"bbilixxi l-politika li hija sottostanti l-abbozz ta 'liġi, u Memorandum finanzjarju li jistabbilixxi l-ispejjeż u l-iffrankar assoċjati miegħu. Dikjarazzjonijiet mill-uffiċjal li jippresiedi u l-membru inkarigat mill-abbozz huma wkoll ippreżentati li jind"&amp;"ikaw jekk l-abbozz huwiex fil-kompetenza leġiżlattiva tal-Parlament. L-istadju 1 ġeneralment iseħħ, inizjalment, fil-kumitat jew kumitati rilevanti u mbagħad jiġi sottomess lill-Parlament kollu għal dibattitu sħiħ fil-kamra dwar il-prinċipji ġenerali tal-"&amp;"abbozz. Jekk il-Parlament kollu jaqbel f'vot lill-prinċipji ġenerali tal-abbozz, imbagħad jipproċedi għall-istadju 2.")</f>
        <v>L-istadju 1 huwa l-ewwel, jew l-istadju introduttorju tal-abbozz, fejn il-ministru jew membru inkarigat mill-abbozz se jintroduċuh formalment lill-parlament flimkien mad-dokumenti li jakkumpanjawha - noti ta 'spjegazzjoni, memorandum ta' politika li jistabbilixxi l-politika li hija sottostanti l-abbozz ta 'liġi, u Memorandum finanzjarju li jistabbilixxi l-ispejjeż u l-iffrankar assoċjati miegħu. Dikjarazzjonijiet mill-uffiċjal li jippresiedi u l-membru inkarigat mill-abbozz huma wkoll ippreżentati li jindikaw jekk l-abbozz huwiex fil-kompetenza leġiżlattiva tal-Parlament. L-istadju 1 ġeneralment iseħħ, inizjalment, fil-kumitat jew kumitati rilevanti u mbagħad jiġi sottomess lill-Parlament kollu għal dibattitu sħiħ fil-kamra dwar il-prinċipji ġenerali tal-abbozz. Jekk il-Parlament kollu jaqbel f'vot lill-prinċipji ġenerali tal-abbozz, imbagħad jipproċedi għall-istadju 2.</v>
      </c>
    </row>
    <row r="2558" ht="15.75" customHeight="1">
      <c r="A2558" s="2" t="s">
        <v>2558</v>
      </c>
      <c r="B2558" s="2" t="str">
        <f>IFERROR(__xludf.DUMMYFUNCTION("GOOGLETRANSLATE(A2558,""en"", ""mt"")"),"Netwerk Internazzjonali tal-Komunikazzjonijiet tad-Dejta bil-kwartjieri ġenerali f'San Jose, CA")</f>
        <v>Netwerk Internazzjonali tal-Komunikazzjonijiet tad-Dejta bil-kwartjieri ġenerali f'San Jose, CA</v>
      </c>
    </row>
    <row r="2559" ht="15.75" customHeight="1">
      <c r="A2559" s="2" t="s">
        <v>2559</v>
      </c>
      <c r="B2559" s="2" t="str">
        <f>IFERROR(__xludf.DUMMYFUNCTION("GOOGLETRANSLATE(A2559,""en"", ""mt"")"),"Meta seħħ it-tkabbir taż-żona ta 'Varsavja?")</f>
        <v>Meta seħħ it-tkabbir taż-żona ta 'Varsavja?</v>
      </c>
    </row>
    <row r="2560" ht="15.75" customHeight="1">
      <c r="A2560" s="2" t="s">
        <v>2560</v>
      </c>
      <c r="B2560" s="2" t="str">
        <f>IFERROR(__xludf.DUMMYFUNCTION("GOOGLETRANSLATE(A2560,""en"", ""mt"")"),"Għal żmien twil, in-numru tat-teorija b'mod ġenerali, u l-istudju tan-numri ewlenin b'mod partikolari, kien meqjus bħala l-eżempju kanoniku tal-matematika pura, mingħajr l-ebda applikazzjoni barra mill-interess innifsu li tistudja s-suġġett bl-eċċezzjoni "&amp;"tal-użu tal-użu tal-prim numerat Snien tal-irkaptu biex iqassmu l-ilbies b'mod uniformi. B'mod partikolari, teoriċi tan-numru bħall-matematiku Ingliż G. H. Hardy kburin lilhom infushom li jagħmlu xogħol li ma kellu l-ebda sinifikat militari. Madankollu, d"&amp;"in il-viżjoni ġiet għebet fis-snin sebgħin, meta ġie mħabbar pubblikament li n-numri ewlenin jistgħu jintużaw bħala l-bażi għall-ħolqien ta 'algoritmi ta' kriptografija ewlenija pubblika. In-numri ewlenin jintużaw ukoll għat-tabelli tal-hash u l-ġeneratur"&amp;"i tan-numri tal-pseudorandom.")</f>
        <v>Għal żmien twil, in-numru tat-teorija b'mod ġenerali, u l-istudju tan-numri ewlenin b'mod partikolari, kien meqjus bħala l-eżempju kanoniku tal-matematika pura, mingħajr l-ebda applikazzjoni barra mill-interess innifsu li tistudja s-suġġett bl-eċċezzjoni tal-użu tal-użu tal-prim numerat Snien tal-irkaptu biex iqassmu l-ilbies b'mod uniformi. B'mod partikolari, teoriċi tan-numru bħall-matematiku Ingliż G. H. Hardy kburin lilhom infushom li jagħmlu xogħol li ma kellu l-ebda sinifikat militari. Madankollu, din il-viżjoni ġiet għebet fis-snin sebgħin, meta ġie mħabbar pubblikament li n-numri ewlenin jistgħu jintużaw bħala l-bażi għall-ħolqien ta 'algoritmi ta' kriptografija ewlenija pubblika. In-numri ewlenin jintużaw ukoll għat-tabelli tal-hash u l-ġeneraturi tan-numri tal-pseudorandom.</v>
      </c>
    </row>
    <row r="2561" ht="15.75" customHeight="1">
      <c r="A2561" s="2" t="s">
        <v>2561</v>
      </c>
      <c r="B2561" s="2" t="str">
        <f>IFERROR(__xludf.DUMMYFUNCTION("GOOGLETRANSLATE(A2561,""en"", ""mt"")"),"Minbarra r-rapporti tal-valutazzjoni tal-klima, l-IPCC qed tippubblika rapporti speċjali dwar suġġetti speċifiċi. Il-proċess ta 'preparazzjoni u approvazzjoni għar-rapporti speċjali kollha tal-IPCC isegwi l-istess proċeduri bħal għar-rapporti ta' valutazz"&amp;"joni tal-IPCC. Fis-sena 2011 ġew finalizzati żewġ rapport speċjali tal-IPCC, ir-Rapport Speċjali dwar is-Sorsi tal-Enerġija Rinnovabbli u l-Mitigazzjoni tat-Tibdil fil-Klima (SREN) u r-Rapport Speċjali dwar il-Ġestjoni tar-Riskji ta 'Avvenimenti u Diżastr"&amp;"i estremi biex javvanzaw l-Adattament tal-Bidla fil-Klima (SREX). Iż-żewġ rapporti speċjali ntalbu mill-gvernijiet.")</f>
        <v>Minbarra r-rapporti tal-valutazzjoni tal-klima, l-IPCC qed tippubblika rapporti speċjali dwar suġġetti speċifiċi. Il-proċess ta 'preparazzjoni u approvazzjoni għar-rapporti speċjali kollha tal-IPCC isegwi l-istess proċeduri bħal għar-rapporti ta' valutazzjoni tal-IPCC. Fis-sena 2011 ġew finalizzati żewġ rapport speċjali tal-IPCC, ir-Rapport Speċjali dwar is-Sorsi tal-Enerġija Rinnovabbli u l-Mitigazzjoni tat-Tibdil fil-Klima (SREN) u r-Rapport Speċjali dwar il-Ġestjoni tar-Riskji ta 'Avvenimenti u Diżastri estremi biex javvanzaw l-Adattament tal-Bidla fil-Klima (SREX). Iż-żewġ rapporti speċjali ntalbu mill-gvernijiet.</v>
      </c>
    </row>
    <row r="2562" ht="15.75" customHeight="1">
      <c r="A2562" s="2" t="s">
        <v>2562</v>
      </c>
      <c r="B2562" s="2" t="str">
        <f>IFERROR(__xludf.DUMMYFUNCTION("GOOGLETRANSLATE(A2562,""en"", ""mt"")"),"1300")</f>
        <v>1300</v>
      </c>
    </row>
    <row r="2563" ht="15.75" customHeight="1">
      <c r="A2563" s="2" t="s">
        <v>2563</v>
      </c>
      <c r="B2563" s="2" t="str">
        <f>IFERROR(__xludf.DUMMYFUNCTION("GOOGLETRANSLATE(A2563,""en"", ""mt"")"),"il-gvern tar-Renju Unit")</f>
        <v>il-gvern tar-Renju Unit</v>
      </c>
    </row>
    <row r="2564" ht="15.75" customHeight="1">
      <c r="A2564" s="2" t="s">
        <v>2564</v>
      </c>
      <c r="B2564" s="2" t="str">
        <f>IFERROR(__xludf.DUMMYFUNCTION("GOOGLETRANSLATE(A2564,""en"", ""mt"")"),"L-università esperjenzat is-sehem tagħha ta 'inkwiet ta' studenti matul is-snin 1960, li bdiet fl-1962, meta l-istudenti okkupaw l-uffiċċju tal-President George Beadle fi protesta fuq il-politiki ta 'kiri ta' kampus barra mill-kampus. Wara t-taqlib kontin"&amp;"wu, kumitat universitarju fl-1967 ħareġ dak li sar magħruf bħala r-Rapport Kalven. Ir-rapport, dikjarazzjoni ta 'żewġ paġni tal-politika tal-università f' ""azzjoni soċjali u politika,"" iddikjara li ""biex twettaq il-missjoni tagħha fis-soċjetà, universi"&amp;"tà trid issostni ambjent straordinarju ta 'libertà ta' inkjesta u żżomm indipendenza mill-moda politika, passjonijiet, u pressjonijiet. "" Ir-rapport minn dakinhar intuża biex jiġġustifika deċiżjonijiet bħar-rifjut tal-università li jinvesti mill-Afrika t"&amp;"'Isfel fis-snin 80 u d-Darfur fl-aħħar tas-snin 2000.")</f>
        <v>L-università esperjenzat is-sehem tagħha ta 'inkwiet ta' studenti matul is-snin 1960, li bdiet fl-1962, meta l-istudenti okkupaw l-uffiċċju tal-President George Beadle fi protesta fuq il-politiki ta 'kiri ta' kampus barra mill-kampus. Wara t-taqlib kontinwu, kumitat universitarju fl-1967 ħareġ dak li sar magħruf bħala r-Rapport Kalven. Ir-rapport, dikjarazzjoni ta 'żewġ paġni tal-politika tal-università f' "azzjoni soċjali u politika," iddikjara li "biex twettaq il-missjoni tagħha fis-soċjetà, università trid issostni ambjent straordinarju ta 'libertà ta' inkjesta u żżomm indipendenza mill-moda politika, passjonijiet, u pressjonijiet. " Ir-rapport minn dakinhar intuża biex jiġġustifika deċiżjonijiet bħar-rifjut tal-università li jinvesti mill-Afrika t'Isfel fis-snin 80 u d-Darfur fl-aħħar tas-snin 2000.</v>
      </c>
    </row>
    <row r="2565" ht="15.75" customHeight="1">
      <c r="A2565" s="2" t="s">
        <v>2565</v>
      </c>
      <c r="B2565" s="2" t="str">
        <f>IFERROR(__xludf.DUMMYFUNCTION("GOOGLETRANSLATE(A2565,""en"", ""mt"")"),"l-aħjar, l-agħar u l-medja tal-każ")</f>
        <v>l-aħjar, l-agħar u l-medja tal-każ</v>
      </c>
    </row>
    <row r="2566" ht="15.75" customHeight="1">
      <c r="A2566" s="2" t="s">
        <v>2566</v>
      </c>
      <c r="B2566" s="2" t="str">
        <f>IFERROR(__xludf.DUMMYFUNCTION("GOOGLETRANSLATE(A2566,""en"", ""mt"")"),"Nofs l-Eġen")</f>
        <v>Nofs l-Eġen</v>
      </c>
    </row>
    <row r="2567" ht="15.75" customHeight="1">
      <c r="A2567" s="2" t="s">
        <v>2567</v>
      </c>
      <c r="B2567" s="2" t="str">
        <f>IFERROR(__xludf.DUMMYFUNCTION("GOOGLETRANSLATE(A2567,""en"", ""mt"")"),"Liema battalji navali tilfet Franza fl-1759?")</f>
        <v>Liema battalji navali tilfet Franza fl-1759?</v>
      </c>
    </row>
    <row r="2568" ht="15.75" customHeight="1">
      <c r="A2568" s="2" t="s">
        <v>2568</v>
      </c>
      <c r="B2568" s="2" t="str">
        <f>IFERROR(__xludf.DUMMYFUNCTION("GOOGLETRANSLATE(A2568,""en"", ""mt"")")," J. A. Hobson ried liema tiġrijiet tiżviluppa d-dinja?")</f>
        <v> J. A. Hobson ried liema tiġrijiet tiżviluppa d-dinja?</v>
      </c>
    </row>
    <row r="2569" ht="15.75" customHeight="1">
      <c r="A2569" s="2" t="s">
        <v>2569</v>
      </c>
      <c r="B2569" s="2" t="str">
        <f>IFERROR(__xludf.DUMMYFUNCTION("GOOGLETRANSLATE(A2569,""en"", ""mt"")"),"X'jiġri t-tieni jekk l-iskadenza ta 'direttiva ma tintlaħaqx?")</f>
        <v>X'jiġri t-tieni jekk l-iskadenza ta 'direttiva ma tintlaħaqx?</v>
      </c>
    </row>
    <row r="2570" ht="15.75" customHeight="1">
      <c r="A2570" s="2" t="s">
        <v>2570</v>
      </c>
      <c r="B2570" s="2" t="str">
        <f>IFERROR(__xludf.DUMMYFUNCTION("GOOGLETRANSLATE(A2570,""en"", ""mt"")"),"Mill-aħħar tas-snin 1950, ix-xjentist Amerikan tal-kompjuter Paul Baran żviluppa l-kunċett distribwit blokka ta 'messaġġi adattivi li qalbu bl-għan li jipprovdi metodu ta' rotta tolleranti għall-ħsarat għal messaġġi tat-telekomunikazzjoni bħala parti minn"&amp;" programm ta 'riċerka fil-Korporazzjoni RAND, iffinanzjat mill-Istati Uniti Dipartiment tad-Difiża. Dan il-kunċett jikkuntrasta u jikkontradixxi l-prinċipji stabbiliti minn qabel ta 'allokazzjoni minn qabel ta' bandwidth tan-netwerk, imsaħħaħ fil-biċċa l-"&amp;"kbira mill-iżvilupp ta 'telekomunikazzjonijiet fis-sistema tal-qanpiena. Il-kunċett il-ġdid sab ftit reżonanza fost l-implimentaturi tan-netwerk sakemm ix-xogħol indipendenti ta 'Donald Davies fil-Laboratorju Fiżiku Nazzjonali (ir-Renju Unit) (NPL) fl-aħħ"&amp;"ar tas-snin 1960. Davies huwa kkreditat li jgħaqqad il-bdil tal-pakketti tal-isem modern u jispira bosta netwerks ta ’bidla fil-pakketti fl-Ewropa fid-deċennju li ġej, inkluż l-inkorporazzjoni tal-kunċett fil-bidu ta’ Arpanet fl-Istati Uniti.")</f>
        <v>Mill-aħħar tas-snin 1950, ix-xjentist Amerikan tal-kompjuter Paul Baran żviluppa l-kunċett distribwit blokka ta 'messaġġi adattivi li qalbu bl-għan li jipprovdi metodu ta' rotta tolleranti għall-ħsarat għal messaġġi tat-telekomunikazzjoni bħala parti minn programm ta 'riċerka fil-Korporazzjoni RAND, iffinanzjat mill-Istati Uniti Dipartiment tad-Difiża. Dan il-kunċett jikkuntrasta u jikkontradixxi l-prinċipji stabbiliti minn qabel ta 'allokazzjoni minn qabel ta' bandwidth tan-netwerk, imsaħħaħ fil-biċċa l-kbira mill-iżvilupp ta 'telekomunikazzjonijiet fis-sistema tal-qanpiena. Il-kunċett il-ġdid sab ftit reżonanza fost l-implimentaturi tan-netwerk sakemm ix-xogħol indipendenti ta 'Donald Davies fil-Laboratorju Fiżiku Nazzjonali (ir-Renju Unit) (NPL) fl-aħħar tas-snin 1960. Davies huwa kkreditat li jgħaqqad il-bdil tal-pakketti tal-isem modern u jispira bosta netwerks ta ’bidla fil-pakketti fl-Ewropa fid-deċennju li ġej, inkluż l-inkorporazzjoni tal-kunċett fil-bidu ta’ Arpanet fl-Istati Uniti.</v>
      </c>
    </row>
    <row r="2571" ht="15.75" customHeight="1">
      <c r="A2571" s="2" t="s">
        <v>2571</v>
      </c>
      <c r="B2571" s="2" t="str">
        <f>IFERROR(__xludf.DUMMYFUNCTION("GOOGLETRANSLATE(A2571,""en"", ""mt"")"),"X'inhu t-terminu użat biex tidentifika magna tat-Turing deterministika li għandha bits każwali addizzjonali?")</f>
        <v>X'inhu t-terminu użat biex tidentifika magna tat-Turing deterministika li għandha bits każwali addizzjonali?</v>
      </c>
    </row>
    <row r="2572" ht="15.75" customHeight="1">
      <c r="A2572" s="2" t="s">
        <v>2572</v>
      </c>
      <c r="B2572" s="2" t="str">
        <f>IFERROR(__xludf.DUMMYFUNCTION("GOOGLETRANSLATE(A2572,""en"", ""mt"")"),"Sema attiva")</f>
        <v>Sema attiva</v>
      </c>
    </row>
    <row r="2573" ht="15.75" customHeight="1">
      <c r="A2573" s="2" t="s">
        <v>2573</v>
      </c>
      <c r="B2573" s="2" t="str">
        <f>IFERROR(__xludf.DUMMYFUNCTION("GOOGLETRANSLATE(A2573,""en"", ""mt"")"),"it-tarf oppost minn ħalq")</f>
        <v>it-tarf oppost minn ħalq</v>
      </c>
    </row>
    <row r="2574" ht="15.75" customHeight="1">
      <c r="A2574" s="2" t="s">
        <v>2574</v>
      </c>
      <c r="B2574" s="2" t="str">
        <f>IFERROR(__xludf.DUMMYFUNCTION("GOOGLETRANSLATE(A2574,""en"", ""mt"")"),"funzjoni ta 'sostenn")</f>
        <v>funzjoni ta 'sostenn</v>
      </c>
    </row>
    <row r="2575" ht="15.75" customHeight="1">
      <c r="A2575" s="2" t="s">
        <v>2575</v>
      </c>
      <c r="B2575" s="2" t="str">
        <f>IFERROR(__xludf.DUMMYFUNCTION("GOOGLETRANSLATE(A2575,""en"", ""mt"")"),"Massachusetts Bay Colony")</f>
        <v>Massachusetts Bay Colony</v>
      </c>
    </row>
    <row r="2576" ht="15.75" customHeight="1">
      <c r="A2576" s="2" t="s">
        <v>2576</v>
      </c>
      <c r="B2576" s="2" t="str">
        <f>IFERROR(__xludf.DUMMYFUNCTION("GOOGLETRANSLATE(A2576,""en"", ""mt"")"),"Manifatturi u negozjanti Ċiniżi tan-Nofsinhar")</f>
        <v>Manifatturi u negozjanti Ċiniżi tan-Nofsinhar</v>
      </c>
    </row>
    <row r="2577" ht="15.75" customHeight="1">
      <c r="A2577" s="2" t="s">
        <v>2577</v>
      </c>
      <c r="B2577" s="2" t="str">
        <f>IFERROR(__xludf.DUMMYFUNCTION("GOOGLETRANSLATE(A2577,""en"", ""mt"")"),"Minbarra l-ipoteżi ta 'Riemann, ħafna iktar konġetturi li jduru dwar il-primes ġew maħluqa. Ħafna drabi jkollhom formulazzjoni elementari, ħafna minn dawn il-konġetturi rreżistew prova għal għexieren ta 'snin: l-erba' problemi ta 'Landau mill-1912 għadhom"&amp;" mhux solvuti. Waħda minnhom hija l-konġettura ta 'Goldbach, li tafferma li kull numru sħiħ n akbar minn 2 jista' jinkiteb bħala somma ta 'żewġ primes. Minn Frar 2011 [aġġornament], din il-konġettura ġiet ivverifikata għan-numri kollha sa n = 2 · 1017. Di"&amp;"kjarazzjonijiet aktar dgħajfa minn dan ġew ippruvati, pereżempju t-teorema ta 'Vinogradov tgħid li kull numru sħiħ fard kbir biżżejjed jista' jinkiteb bħala somma ta ' tliet primes. It-teorema ta 'Chen tgħid li kull numru kbir biżżejjed uniformi jista' ji"&amp;"ġi espress bħala s-somma ta 'prim u semiprime, il-prodott ta' żewġ primes. Ukoll, kwalunkwe numru sħiħ jista 'jinkiteb bħala s-somma ta' sitt primes. Il-fergħa tat-teorija tan-numri li tistudja dawn il-mistoqsijiet tissejjaħ teorija tan-numru tal-addittiv"&amp;".")</f>
        <v>Minbarra l-ipoteżi ta 'Riemann, ħafna iktar konġetturi li jduru dwar il-primes ġew maħluqa. Ħafna drabi jkollhom formulazzjoni elementari, ħafna minn dawn il-konġetturi rreżistew prova għal għexieren ta 'snin: l-erba' problemi ta 'Landau mill-1912 għadhom mhux solvuti. Waħda minnhom hija l-konġettura ta 'Goldbach, li tafferma li kull numru sħiħ n akbar minn 2 jista' jinkiteb bħala somma ta 'żewġ primes. Minn Frar 2011 [aġġornament], din il-konġettura ġiet ivverifikata għan-numri kollha sa n = 2 · 1017. Dikjarazzjonijiet aktar dgħajfa minn dan ġew ippruvati, pereżempju t-teorema ta 'Vinogradov tgħid li kull numru sħiħ fard kbir biżżejjed jista' jinkiteb bħala somma ta ' tliet primes. It-teorema ta 'Chen tgħid li kull numru kbir biżżejjed uniformi jista' jiġi espress bħala s-somma ta 'prim u semiprime, il-prodott ta' żewġ primes. Ukoll, kwalunkwe numru sħiħ jista 'jinkiteb bħala s-somma ta' sitt primes. Il-fergħa tat-teorija tan-numri li tistudja dawn il-mistoqsijiet tissejjaħ teorija tan-numru tal-addittiv.</v>
      </c>
    </row>
    <row r="2578" ht="15.75" customHeight="1">
      <c r="A2578" s="2" t="s">
        <v>2578</v>
      </c>
      <c r="B2578" s="2" t="str">
        <f>IFERROR(__xludf.DUMMYFUNCTION("GOOGLETRANSLATE(A2578,""en"", ""mt"")"),"Islam kwietist / mhux politiku")</f>
        <v>Islam kwietist / mhux politiku</v>
      </c>
    </row>
    <row r="2579" ht="15.75" customHeight="1">
      <c r="A2579" s="2" t="s">
        <v>2579</v>
      </c>
      <c r="B2579" s="2" t="str">
        <f>IFERROR(__xludf.DUMMYFUNCTION("GOOGLETRANSLATE(A2579,""en"", ""mt"")"),"Il-kunċett determiniżmu ambjentali serva bħala ġustifikazzjoni morali għad-dominazzjoni ta 'ċerti territorji u popli. Kien maħsub li l-imġieba ta 'ċerta persuna kienu determinati mill-ambjent li kienu jgħixu u b'hekk ivvalidaw il-ħakma tagħhom. Pereżempju"&amp;", nies li jgħixu f'ambjenti tropikali kienu meqjusa bħala ""inqas ċivilizzati"" u għalhekk jiġġustifikaw il-kontroll kolonjali bħala missjoni ċivilizzanti. Madwar it-tliet mewġ ta 'kolonjaliżmu Ewropew (l-ewwel fl-Amerika, it-tieni fl-Asja u fl-aħħar fl-A"&amp;"frika), id-determiniżmu ambjentali ntuża biex ipoġġi kategorikament nies indiġeni f'ġerarkija razzjali. Dan jieħu żewġ forom, l-orjentaliżmu u t-tropiċità.")</f>
        <v>Il-kunċett determiniżmu ambjentali serva bħala ġustifikazzjoni morali għad-dominazzjoni ta 'ċerti territorji u popli. Kien maħsub li l-imġieba ta 'ċerta persuna kienu determinati mill-ambjent li kienu jgħixu u b'hekk ivvalidaw il-ħakma tagħhom. Pereżempju, nies li jgħixu f'ambjenti tropikali kienu meqjusa bħala "inqas ċivilizzati" u għalhekk jiġġustifikaw il-kontroll kolonjali bħala missjoni ċivilizzanti. Madwar it-tliet mewġ ta 'kolonjaliżmu Ewropew (l-ewwel fl-Amerika, it-tieni fl-Asja u fl-aħħar fl-Afrika), id-determiniżmu ambjentali ntuża biex ipoġġi kategorikament nies indiġeni f'ġerarkija razzjali. Dan jieħu żewġ forom, l-orjentaliżmu u t-tropiċità.</v>
      </c>
    </row>
    <row r="2580" ht="15.75" customHeight="1">
      <c r="A2580" s="2" t="s">
        <v>2580</v>
      </c>
      <c r="B2580" s="2" t="str">
        <f>IFERROR(__xludf.DUMMYFUNCTION("GOOGLETRANSLATE(A2580,""en"", ""mt"")"),"Dan in-netwerk influwenzat mudelli aktar tard ta '")</f>
        <v>Dan in-netwerk influwenzat mudelli aktar tard ta '</v>
      </c>
    </row>
    <row r="2581" ht="15.75" customHeight="1">
      <c r="A2581" s="2" t="s">
        <v>2581</v>
      </c>
      <c r="B2581" s="2" t="str">
        <f>IFERROR(__xludf.DUMMYFUNCTION("GOOGLETRANSLATE(A2581,""en"", ""mt"")"),"In-Normanni (Norman: Nourmands; Franċiżi: Normands; Latin: Normanni) kienu n-nies li fis-sekli 10 u 11 taw isimhom għan-Normandija, reġjun fi Franza. Kienu dixxendenti minn Norveġja (""Norman"" ġej minn ""Norseman"") Raiders u Pirati mid-Danimarka, l-Isla"&amp;"nda u n-Norveġja li, taħt il-mexxej tagħhom Rollo, qablu li jaħlef il-fealty lir-Re Charles III ta 'West Francia. Permezz ta 'ġenerazzjonijiet ta' assimilazzjoni u taħlit mal-popolazzjonijiet indiġeni ta 'Frankish u Rumani-gaulish, id-dixxendenti tagħhom "&amp;"jingħaqdu gradwalment mal-kulturi bbażati fil-Karolingja tal-Punent ta' Francia. L-identità kulturali u etnika distinta tan-Normanni ħarġet inizjalment fl-ewwel nofs tas-seklu 10, u kompliet tevolvi matul is-sekli suċċessivi.")</f>
        <v>In-Normanni (Norman: Nourmands; Franċiżi: Normands; Latin: Normanni) kienu n-nies li fis-sekli 10 u 11 taw isimhom għan-Normandija, reġjun fi Franza. Kienu dixxendenti minn Norveġja ("Norman" ġej minn "Norseman") Raiders u Pirati mid-Danimarka, l-Islanda u n-Norveġja li, taħt il-mexxej tagħhom Rollo, qablu li jaħlef il-fealty lir-Re Charles III ta 'West Francia. Permezz ta 'ġenerazzjonijiet ta' assimilazzjoni u taħlit mal-popolazzjonijiet indiġeni ta 'Frankish u Rumani-gaulish, id-dixxendenti tagħhom jingħaqdu gradwalment mal-kulturi bbażati fil-Karolingja tal-Punent ta' Francia. L-identità kulturali u etnika distinta tan-Normanni ħarġet inizjalment fl-ewwel nofs tas-seklu 10, u kompliet tevolvi matul is-sekli suċċessivi.</v>
      </c>
    </row>
    <row r="2582" ht="15.75" customHeight="1">
      <c r="A2582" s="2" t="s">
        <v>2582</v>
      </c>
      <c r="B2582" s="2" t="str">
        <f>IFERROR(__xludf.DUMMYFUNCTION("GOOGLETRANSLATE(A2582,""en"", ""mt"")"),"Lincoln Continental,")</f>
        <v>Lincoln Continental,</v>
      </c>
    </row>
    <row r="2583" ht="15.75" customHeight="1">
      <c r="A2583" s="2" t="s">
        <v>2583</v>
      </c>
      <c r="B2583" s="2" t="str">
        <f>IFERROR(__xludf.DUMMYFUNCTION("GOOGLETRANSLATE(A2583,""en"", ""mt"")"),"Sal-1998, il-VBNs kibru biex jgħaqqdu aktar minn 100 università u istituzzjonijiet ta 'riċerka u inġinerija permezz ta '12 -il punt nazzjonali ta' preżenza ma 'DS-3")</f>
        <v>Sal-1998, il-VBNs kibru biex jgħaqqdu aktar minn 100 università u istituzzjonijiet ta 'riċerka u inġinerija permezz ta '12 -il punt nazzjonali ta' preżenza ma 'DS-3</v>
      </c>
    </row>
    <row r="2584" ht="15.75" customHeight="1">
      <c r="A2584" s="2" t="s">
        <v>2584</v>
      </c>
      <c r="B2584" s="2" t="str">
        <f>IFERROR(__xludf.DUMMYFUNCTION("GOOGLETRANSLATE(A2584,""en"", ""mt"")"),"rispettat ħafna")</f>
        <v>rispettat ħafna</v>
      </c>
    </row>
    <row r="2585" ht="15.75" customHeight="1">
      <c r="A2585" s="2" t="s">
        <v>2585</v>
      </c>
      <c r="B2585" s="2" t="str">
        <f>IFERROR(__xludf.DUMMYFUNCTION("GOOGLETRANSLATE(A2585,""en"", ""mt"")"),"Miċ-Ċensiment tal-Istati Uniti tal-2010, in-Nofsinhar tal-Kalifornja għandha popolazzjoni ta '22, 680,010. Minkejja reputazzjoni għal rati ta 'tkabbir għoljin, ir-rata tan-Nofsinhar ta' California kibret inqas mill-medja tal-istat ta '10.0% fis-snin 2000 "&amp;"hekk kif it-tkabbir ta' California sar ikkonċentrat fil-parti tat-tramuntana ta 'l-istat minħabba ekonomija aktar b'saħħitha u orjentata lejn it-teknoloġija fiż-żona tal-bajja u Reġjun ta 'Sacramento Greater Emerging.")</f>
        <v>Miċ-Ċensiment tal-Istati Uniti tal-2010, in-Nofsinhar tal-Kalifornja għandha popolazzjoni ta '22, 680,010. Minkejja reputazzjoni għal rati ta 'tkabbir għoljin, ir-rata tan-Nofsinhar ta' California kibret inqas mill-medja tal-istat ta '10.0% fis-snin 2000 hekk kif it-tkabbir ta' California sar ikkonċentrat fil-parti tat-tramuntana ta 'l-istat minħabba ekonomija aktar b'saħħitha u orjentata lejn it-teknoloġija fiż-żona tal-bajja u Reġjun ta 'Sacramento Greater Emerging.</v>
      </c>
    </row>
    <row r="2586" ht="15.75" customHeight="1">
      <c r="A2586" s="2" t="s">
        <v>2586</v>
      </c>
      <c r="B2586" s="2" t="str">
        <f>IFERROR(__xludf.DUMMYFUNCTION("GOOGLETRANSLATE(A2586,""en"", ""mt"")"),"X'inhi l-unika forma ta 'enerġija potenzjali li tista' tinbidel?")</f>
        <v>X'inhi l-unika forma ta 'enerġija potenzjali li tista' tinbidel?</v>
      </c>
    </row>
    <row r="2587" ht="15.75" customHeight="1">
      <c r="A2587" s="2" t="s">
        <v>2587</v>
      </c>
      <c r="B2587" s="2" t="str">
        <f>IFERROR(__xludf.DUMMYFUNCTION("GOOGLETRANSLATE(A2587,""en"", ""mt"")"),"Newton waslet biex tirrealizza li l-effetti tal-gravità jistgħu jiġu osservati b’modi differenti f’distanzi akbar. B'mod partikolari, Newton iddetermina li l-aċċellerazzjoni tal-qamar madwar id-dinja tista 'tiġi attribwita għall-istess forza tal-gravità j"&amp;"ekk l-aċċellerazzjoni minħabba l-gravità naqset bħala liġi kwadra inversa. Barra minn hekk, Newton induna li l-aċċellerazzjoni minħabba l-gravità hija proporzjonali għall-massa tal-korp li jattira. Li tgħaqqad dawn l-ideat tagħti formula li tirrelata l-ma"&amp;"ssa () u r-raġġ () tad-dinja mal-aċċelerazzjoni gravitazzjonali:")</f>
        <v>Newton waslet biex tirrealizza li l-effetti tal-gravità jistgħu jiġu osservati b’modi differenti f’distanzi akbar. B'mod partikolari, Newton iddetermina li l-aċċellerazzjoni tal-qamar madwar id-dinja tista 'tiġi attribwita għall-istess forza tal-gravità jekk l-aċċellerazzjoni minħabba l-gravità naqset bħala liġi kwadra inversa. Barra minn hekk, Newton induna li l-aċċellerazzjoni minħabba l-gravità hija proporzjonali għall-massa tal-korp li jattira. Li tgħaqqad dawn l-ideat tagħti formula li tirrelata l-massa () u r-raġġ () tad-dinja mal-aċċelerazzjoni gravitazzjonali:</v>
      </c>
    </row>
    <row r="2588" ht="15.75" customHeight="1">
      <c r="A2588" s="2" t="s">
        <v>2588</v>
      </c>
      <c r="B2588" s="2" t="str">
        <f>IFERROR(__xludf.DUMMYFUNCTION("GOOGLETRANSLATE(A2588,""en"", ""mt"")"),"Überseering bv v construction nordic gmbH")</f>
        <v>Überseering bv v construction nordic gmbH</v>
      </c>
    </row>
    <row r="2589" ht="15.75" customHeight="1">
      <c r="A2589" s="2" t="s">
        <v>2589</v>
      </c>
      <c r="B2589" s="2" t="str">
        <f>IFERROR(__xludf.DUMMYFUNCTION("GOOGLETRANSLATE(A2589,""en"", ""mt"")"),"Dak li ġie ssuġġerit fis-simpożju fl-1967")</f>
        <v>Dak li ġie ssuġġerit fis-simpożju fl-1967</v>
      </c>
    </row>
    <row r="2590" ht="15.75" customHeight="1">
      <c r="A2590" s="2" t="s">
        <v>2590</v>
      </c>
      <c r="B2590" s="2" t="str">
        <f>IFERROR(__xludf.DUMMYFUNCTION("GOOGLETRANSLATE(A2590,""en"", ""mt"")"),"Mill-2010 [aġġornament], kien hemm 366,273 djar li minnhom 11.8% kienu vakanti. 23.9% tad-djar kellhom tfal taħt it-18-il sena li jgħixu magħhom, 43.8% kienu koppji miżżewġin, 15.2% kellhom familja femminili mingħajr l-ebda raġel preżenti, u 36.4% ma kinu"&amp;"x familji. 29.7% tad-djar kollha kienu magħmula minn individwi u 7.9% kellhom lil xi ħadd li jgħix waħdu li kellu 65 sena jew aktar. Id-daqs medju tad-dar kien 2.55 u d-daqs medju tal-familja kien 3.21. Fil-belt, il-popolazzjoni kienet mifruxa bi 23.9% ta"&amp;"ħt l-età ta '18, 10.5% minn 18 sa 24, 28.5% minn 25 għal 44, 26.2% minn 45 għal 64, u 10.9% li kellhom 65 sena jew aktar Jonqos L-età medjana kienet ta ’35 .5 snin. Għal kull 100 mara kien hemm 94.1 irġiel. Għal kull 100 mara ta '18 -il sena 'l fuq, kien "&amp;"hemm 91.3 irġiel.")</f>
        <v>Mill-2010 [aġġornament], kien hemm 366,273 djar li minnhom 11.8% kienu vakanti. 23.9% tad-djar kellhom tfal taħt it-18-il sena li jgħixu magħhom, 43.8% kienu koppji miżżewġin, 15.2% kellhom familja femminili mingħajr l-ebda raġel preżenti, u 36.4% ma kinux familji. 29.7% tad-djar kollha kienu magħmula minn individwi u 7.9% kellhom lil xi ħadd li jgħix waħdu li kellu 65 sena jew aktar. Id-daqs medju tad-dar kien 2.55 u d-daqs medju tal-familja kien 3.21. Fil-belt, il-popolazzjoni kienet mifruxa bi 23.9% taħt l-età ta '18, 10.5% minn 18 sa 24, 28.5% minn 25 għal 44, 26.2% minn 45 għal 64, u 10.9% li kellhom 65 sena jew aktar Jonqos L-età medjana kienet ta ’35 .5 snin. Għal kull 100 mara kien hemm 94.1 irġiel. Għal kull 100 mara ta '18 -il sena 'l fuq, kien hemm 91.3 irġiel.</v>
      </c>
    </row>
    <row r="2591" ht="15.75" customHeight="1">
      <c r="A2591" s="2" t="s">
        <v>2591</v>
      </c>
      <c r="B2591" s="2" t="str">
        <f>IFERROR(__xludf.DUMMYFUNCTION("GOOGLETRANSLATE(A2591,""en"", ""mt"")"),"X'inhu konsiderazzjonijiet ta 'Malum f'SE?")</f>
        <v>X'inhu konsiderazzjonijiet ta 'Malum f'SE?</v>
      </c>
    </row>
    <row r="2592" ht="15.75" customHeight="1">
      <c r="A2592" s="2" t="s">
        <v>2592</v>
      </c>
      <c r="B2592" s="2" t="str">
        <f>IFERROR(__xludf.DUMMYFUNCTION("GOOGLETRANSLATE(A2592,""en"", ""mt"")"),"Il-ġeografu ta 'Wilson.")</f>
        <v>Il-ġeografu ta 'Wilson.</v>
      </c>
    </row>
    <row r="2593" ht="15.75" customHeight="1">
      <c r="A2593" s="2" t="s">
        <v>2593</v>
      </c>
      <c r="B2593" s="2" t="str">
        <f>IFERROR(__xludf.DUMMYFUNCTION("GOOGLETRANSLATE(A2593,""en"", ""mt"")"),"Id-dilemma ffaċċjata minn ċittadini Ġermaniżi")</f>
        <v>Id-dilemma ffaċċjata minn ċittadini Ġermaniżi</v>
      </c>
    </row>
    <row r="2594" ht="15.75" customHeight="1">
      <c r="A2594" s="2" t="s">
        <v>2594</v>
      </c>
      <c r="B2594" s="2" t="str">
        <f>IFERROR(__xludf.DUMMYFUNCTION("GOOGLETRANSLATE(A2594,""en"", ""mt"")"),"X'inhi r-raġuni ewlenija li l-ispiżjara li jikkonsultaw qed jaħdmu dejjem aktar direttament mal-pazjenti?")</f>
        <v>X'inhi r-raġuni ewlenija li l-ispiżjara li jikkonsultaw qed jaħdmu dejjem aktar direttament mal-pazjenti?</v>
      </c>
    </row>
    <row r="2595" ht="15.75" customHeight="1">
      <c r="A2595" s="2" t="s">
        <v>2595</v>
      </c>
      <c r="B2595" s="2" t="str">
        <f>IFERROR(__xludf.DUMMYFUNCTION("GOOGLETRANSLATE(A2595,""en"", ""mt"")"),"Sensing fuq il-post qed jintuża minn tribujiet indiġeni għal xiex")</f>
        <v>Sensing fuq il-post qed jintuża minn tribujiet indiġeni għal xiex</v>
      </c>
    </row>
    <row r="2596" ht="15.75" customHeight="1">
      <c r="A2596" s="2" t="s">
        <v>2596</v>
      </c>
      <c r="B2596" s="2" t="str">
        <f>IFERROR(__xludf.DUMMYFUNCTION("GOOGLETRANSLATE(A2596,""en"", ""mt"")"),"it-tieni l-akbar")</f>
        <v>it-tieni l-akbar</v>
      </c>
    </row>
    <row r="2597" ht="15.75" customHeight="1">
      <c r="A2597" s="2" t="s">
        <v>2597</v>
      </c>
      <c r="B2597" s="2" t="str">
        <f>IFERROR(__xludf.DUMMYFUNCTION("GOOGLETRANSLATE(A2597,""en"", ""mt"")"),"Wara l-mewt ta 'Tugh Temür fl-1332 u l-mewt sussegwenti ta' Rinchinbal (Imperatur Ningzong) fl-istess sena, it-Togun Togür ta '13 -il sena (l-Imperatur Huizong), l-aħħar wieħed mid-disa 'suċċessuri ta' Kublai Khan, ġie mħarrek lura minn Guangxi u irnexxie"&amp;"lu fit-tron. Wara l-mewt ta 'El Temür, Bayan sar uffiċjali daqshekk qawwi daqs El Temür kien ilu fil-bidu tar-renju twil tiegħu. Hekk kif Togun Temür kiber, huwa ġie biex ma japprovax ir-regola awtokratika ta 'Bayan. Fl-1340 huwa alleat lilu nnifsu man-ne"&amp;"puti ta 'Bayan Toqto'a, li kien f'diskordja ma' Bayan, u mkeċċi lil Bayan mill-kolp ta 'stat. Bit-tkeċċija ta ’Bayan, Toghtogha ħatfet il-poter tal-qorti. L-ewwel amministrazzjoni tiegħu esibita b'mod ċar spirtu ġdid ġdid. Huwa ta wkoll ftit sinjali bikri"&amp;"ja ta 'direzzjoni ġdida u pożittiva fil-gvern ċentrali. Wieħed mill-proġetti ta 'suċċess tiegħu kien li jintemm l-istoriji uffiċjali staljati fit-tul tad-dinastiji ta' Liao, Jin, u Song, li eventwalment tlestew fl-1345. Madankollu, Toghtogha rriżenja mill"&amp;"-kariga tiegħu bl-approvazzjoni ta 'Toghun Temür, li mmarka t-tmiem tal-ewwel tiegħu Amministrazzjoni, u hu ma kienx imsejjaħ lura sal-1349.")</f>
        <v>Wara l-mewt ta 'Tugh Temür fl-1332 u l-mewt sussegwenti ta' Rinchinbal (Imperatur Ningzong) fl-istess sena, it-Togun Togür ta '13 -il sena (l-Imperatur Huizong), l-aħħar wieħed mid-disa 'suċċessuri ta' Kublai Khan, ġie mħarrek lura minn Guangxi u irnexxielu fit-tron. Wara l-mewt ta 'El Temür, Bayan sar uffiċjali daqshekk qawwi daqs El Temür kien ilu fil-bidu tar-renju twil tiegħu. Hekk kif Togun Temür kiber, huwa ġie biex ma japprovax ir-regola awtokratika ta 'Bayan. Fl-1340 huwa alleat lilu nnifsu man-neputi ta 'Bayan Toqto'a, li kien f'diskordja ma' Bayan, u mkeċċi lil Bayan mill-kolp ta 'stat. Bit-tkeċċija ta ’Bayan, Toghtogha ħatfet il-poter tal-qorti. L-ewwel amministrazzjoni tiegħu esibita b'mod ċar spirtu ġdid ġdid. Huwa ta wkoll ftit sinjali bikrija ta 'direzzjoni ġdida u pożittiva fil-gvern ċentrali. Wieħed mill-proġetti ta 'suċċess tiegħu kien li jintemm l-istoriji uffiċjali staljati fit-tul tad-dinastiji ta' Liao, Jin, u Song, li eventwalment tlestew fl-1345. Madankollu, Toghtogha rriżenja mill-kariga tiegħu bl-approvazzjoni ta 'Toghun Temür, li mmarka t-tmiem tal-ewwel tiegħu Amministrazzjoni, u hu ma kienx imsejjaħ lura sal-1349.</v>
      </c>
    </row>
    <row r="2598" ht="15.75" customHeight="1">
      <c r="A2598" s="2" t="s">
        <v>2598</v>
      </c>
      <c r="B2598" s="2" t="str">
        <f>IFERROR(__xludf.DUMMYFUNCTION("GOOGLETRANSLATE(A2598,""en"", ""mt"")"),"Att dwar l-Iskozja")</f>
        <v>Att dwar l-Iskozja</v>
      </c>
    </row>
    <row r="2599" ht="15.75" customHeight="1">
      <c r="A2599" s="2" t="s">
        <v>2599</v>
      </c>
      <c r="B2599" s="2" t="str">
        <f>IFERROR(__xludf.DUMMYFUNCTION("GOOGLETRANSLATE(A2599,""en"", ""mt"")"),"Northern San Diego")</f>
        <v>Northern San Diego</v>
      </c>
    </row>
    <row r="2600" ht="15.75" customHeight="1">
      <c r="A2600" s="2" t="s">
        <v>2600</v>
      </c>
      <c r="B2600" s="2" t="str">
        <f>IFERROR(__xludf.DUMMYFUNCTION("GOOGLETRANSLATE(A2600,""en"", ""mt"")"),"X'inhi settiċemija?")</f>
        <v>X'inhi settiċemija?</v>
      </c>
    </row>
    <row r="2601" ht="15.75" customHeight="1">
      <c r="A2601" s="2" t="s">
        <v>2601</v>
      </c>
      <c r="B2601" s="2" t="str">
        <f>IFERROR(__xludf.DUMMYFUNCTION("GOOGLETRANSLATE(A2601,""en"", ""mt"")"),"It-Teorema tan-Numru Prim")</f>
        <v>It-Teorema tan-Numru Prim</v>
      </c>
    </row>
    <row r="2602" ht="15.75" customHeight="1">
      <c r="A2602" s="2" t="s">
        <v>2602</v>
      </c>
      <c r="B2602" s="2" t="str">
        <f>IFERROR(__xludf.DUMMYFUNCTION("GOOGLETRANSLATE(A2602,""en"", ""mt"")"),"Minħabba li l-liġi tan-nazzjonalizzazzjoni kienet mill-1962, u t-trattat kien fis-seħħ mill-1958, Costa ma kellha l-ebda talba")</f>
        <v>Minħabba li l-liġi tan-nazzjonalizzazzjoni kienet mill-1962, u t-trattat kien fis-seħħ mill-1958, Costa ma kellha l-ebda talba</v>
      </c>
    </row>
    <row r="2603" ht="15.75" customHeight="1">
      <c r="A2603" s="2" t="s">
        <v>2603</v>
      </c>
      <c r="B2603" s="2" t="str">
        <f>IFERROR(__xludf.DUMMYFUNCTION("GOOGLETRANSLATE(A2603,""en"", ""mt"")"),"In-Netwerk tad-Dejta Qaleb Pubbliku Mħaddem mill-PTT Telecom Olandiż")</f>
        <v>In-Netwerk tad-Dejta Qaleb Pubbliku Mħaddem mill-PTT Telecom Olandiż</v>
      </c>
    </row>
    <row r="2604" ht="15.75" customHeight="1">
      <c r="A2604" s="2" t="s">
        <v>2604</v>
      </c>
      <c r="B2604" s="2" t="str">
        <f>IFERROR(__xludf.DUMMYFUNCTION("GOOGLETRANSLATE(A2604,""en"", ""mt"")"),"Għaliex Varsavja kisbet it-titlu tal- ""Phoenix City""?")</f>
        <v>Għaliex Varsavja kisbet it-titlu tal- "Phoenix City"?</v>
      </c>
    </row>
    <row r="2605" ht="15.75" customHeight="1">
      <c r="A2605" s="2" t="s">
        <v>2605</v>
      </c>
      <c r="B2605" s="2" t="str">
        <f>IFERROR(__xludf.DUMMYFUNCTION("GOOGLETRANSLATE(A2605,""en"", ""mt"")"),"1702 u 1709")</f>
        <v>1702 u 1709</v>
      </c>
    </row>
    <row r="2606" ht="15.75" customHeight="1">
      <c r="A2606" s="2" t="s">
        <v>2606</v>
      </c>
      <c r="B2606" s="2" t="str">
        <f>IFERROR(__xludf.DUMMYFUNCTION("GOOGLETRANSLATE(A2606,""en"", ""mt"")"),"Il-bini huwa lest biex jokkupa")</f>
        <v>Il-bini huwa lest biex jokkupa</v>
      </c>
    </row>
    <row r="2607" ht="15.75" customHeight="1">
      <c r="A2607" s="2" t="s">
        <v>2607</v>
      </c>
      <c r="B2607" s="2" t="str">
        <f>IFERROR(__xludf.DUMMYFUNCTION("GOOGLETRANSLATE(A2607,""en"", ""mt"")"),"Doża tal-Unità")</f>
        <v>Doża tal-Unità</v>
      </c>
    </row>
    <row r="2608" ht="15.75" customHeight="1">
      <c r="A2608" s="2" t="s">
        <v>2608</v>
      </c>
      <c r="B2608" s="2" t="str">
        <f>IFERROR(__xludf.DUMMYFUNCTION("GOOGLETRANSLATE(A2608,""en"", ""mt"")"),"Ma 'x'tip ta' siġar huwa miksi bil-Kearney Boulevard?")</f>
        <v>Ma 'x'tip ta' siġar huwa miksi bil-Kearney Boulevard?</v>
      </c>
    </row>
    <row r="2609" ht="15.75" customHeight="1">
      <c r="A2609" s="2" t="s">
        <v>2609</v>
      </c>
      <c r="B2609" s="2" t="str">
        <f>IFERROR(__xludf.DUMMYFUNCTION("GOOGLETRANSLATE(A2609,""en"", ""mt"")"),"Kull pakkett huwa ttikkettjat b'indirizz ta 'destinazzjoni, indirizz tas-sors, u numri tal-port. Jista 'jkun ukoll ittikkettat bin-numru tas-sekwenza tal-pakkett")</f>
        <v>Kull pakkett huwa ttikkettjat b'indirizz ta 'destinazzjoni, indirizz tas-sors, u numri tal-port. Jista 'jkun ukoll ittikkettat bin-numru tas-sekwenza tal-pakkett</v>
      </c>
    </row>
    <row r="2610" ht="15.75" customHeight="1">
      <c r="A2610" s="2" t="s">
        <v>2610</v>
      </c>
      <c r="B2610" s="2" t="str">
        <f>IFERROR(__xludf.DUMMYFUNCTION("GOOGLETRANSLATE(A2610,""en"", ""mt"")"),"promossi ideat u prattiki tal-Punent / barranin f'soċjetajiet Iżlamiċi")</f>
        <v>promossi ideat u prattiki tal-Punent / barranin f'soċjetajiet Iżlamiċi</v>
      </c>
    </row>
    <row r="2611" ht="15.75" customHeight="1">
      <c r="A2611" s="2" t="s">
        <v>2611</v>
      </c>
      <c r="B2611" s="2" t="str">
        <f>IFERROR(__xludf.DUMMYFUNCTION("GOOGLETRANSLATE(A2611,""en"", ""mt"")"),"Pont Ludendorff")</f>
        <v>Pont Ludendorff</v>
      </c>
    </row>
    <row r="2612" ht="15.75" customHeight="1">
      <c r="A2612" s="2" t="s">
        <v>2612</v>
      </c>
      <c r="B2612" s="2" t="str">
        <f>IFERROR(__xludf.DUMMYFUNCTION("GOOGLETRANSLATE(A2612,""en"", ""mt"")"),"Jekk id-dispożizzjonijiet tat-trattati għandhom effett dirett u huma ċari biżżejjed, preċiżi u inkondizzjonati.")</f>
        <v>Jekk id-dispożizzjonijiet tat-trattati għandhom effett dirett u huma ċari biżżejjed, preċiżi u inkondizzjonati.</v>
      </c>
    </row>
    <row r="2613" ht="15.75" customHeight="1">
      <c r="A2613" s="2" t="s">
        <v>2613</v>
      </c>
      <c r="B2613" s="2" t="str">
        <f>IFERROR(__xludf.DUMMYFUNCTION("GOOGLETRANSLATE(A2613,""en"", ""mt"")"),"Band Ku universali LNB (9.75 / 10.600 GHz) li hija mwaħħla fl-aħħar tad-dixx u indikata lejn il-kostellazzjoni tas-satellita korretta; Il-biċċa l-kbira tar-riċevituri diġitali jirċievu l-kanali tal-ajru bla ħlas. Xi xandiriet huma bla ħlas u mhux ikkripta"&amp;"ti, uħud huma kriptati iżda ma jeħtiġux abbonament ta 'kull xahar (magħrufa bħala free-to-view), uħud huma kriptati u jeħtieġu abbonament kull xahar, u xi wħud huma servizzi ta' ħlas għal kull veduta. Biex tara l-kontenut encrypted, hemm bżonn ta 'riċevit"&amp;"ur mgħammar tar-Renju Unit (li kollha huma ddedikati għas-servizz tas-sema, u ma jistgħux jintużaw biex jiddekriptaw servizzi oħra) jeħtieġ li jintużaw. CAMs mhux uffiċjali issa huma disponibbli biex jaraw is-servizz, għalkemm l-użu tagħhom jikser il-kunt"&amp;"ratt tal-utent ma 'Sky u jinvalida d-drittijiet tal-utent biex juża l-karta.")</f>
        <v>Band Ku universali LNB (9.75 / 10.600 GHz) li hija mwaħħla fl-aħħar tad-dixx u indikata lejn il-kostellazzjoni tas-satellita korretta; Il-biċċa l-kbira tar-riċevituri diġitali jirċievu l-kanali tal-ajru bla ħlas. Xi xandiriet huma bla ħlas u mhux ikkriptati, uħud huma kriptati iżda ma jeħtiġux abbonament ta 'kull xahar (magħrufa bħala free-to-view), uħud huma kriptati u jeħtieġu abbonament kull xahar, u xi wħud huma servizzi ta' ħlas għal kull veduta. Biex tara l-kontenut encrypted, hemm bżonn ta 'riċevitur mgħammar tar-Renju Unit (li kollha huma ddedikati għas-servizz tas-sema, u ma jistgħux jintużaw biex jiddekriptaw servizzi oħra) jeħtieġ li jintużaw. CAMs mhux uffiċjali issa huma disponibbli biex jaraw is-servizz, għalkemm l-użu tagħhom jikser il-kuntratt tal-utent ma 'Sky u jinvalida d-drittijiet tal-utent biex juża l-karta.</v>
      </c>
    </row>
    <row r="2614" ht="15.75" customHeight="1">
      <c r="A2614" s="2" t="s">
        <v>2614</v>
      </c>
      <c r="B2614" s="2" t="str">
        <f>IFERROR(__xludf.DUMMYFUNCTION("GOOGLETRANSLATE(A2614,""en"", ""mt"")"),"L-intervalli tan-numru ewlieni bejn il-emerġenzi jagħmluha diffiċli ħafna għall-predaturi biex jevolvu")</f>
        <v>L-intervalli tan-numru ewlieni bejn il-emerġenzi jagħmluha diffiċli ħafna għall-predaturi biex jevolvu</v>
      </c>
    </row>
    <row r="2615" ht="15.75" customHeight="1">
      <c r="A2615" s="2" t="s">
        <v>2615</v>
      </c>
      <c r="B2615" s="2" t="str">
        <f>IFERROR(__xludf.DUMMYFUNCTION("GOOGLETRANSLATE(A2615,""en"", ""mt"")"),"Ctenophora (/ tᵻˈnɒfərə /; ctenophore singular, / ˈtɛnəfɔːr / jew / ˈtiːnəfɔːr /; mill-Grieg κτείς kteis 'comb' u φέρω pherō 'carry'; magħrufa bħala mellies tal-moxt) huwa l-phylu li jgħixu fid-dinja tal-baħar. L-iktar karatteristika distintiva tagħhom hi"&amp;"ja l- ""pettnijiet"" - gruppi ta 'ċili li jużaw għall-għawm - huma l-akbar annimali li jgħumu permezz ta' ċili. Adulti ta 'speċi varji jvarjaw minn ftit millimetri sa 1.5 m (4 ft 11 in) fid-daqs. Bħal cnidarians, ġisimhom jikkonsistu minn massa ta 'ġelati"&amp;"na, b'saff wieħed ta' ċelloli fuq barra u ieħor inforra l-kavità interna. Fis-ctenophores, dawn is-saffi huma żewġ ċelloli fil-fond, filwaqt li dawk fis-cnidarians huma ċellola waħda fil-fond biss. Xi awturi kkombinaw ctenophores u cnidarians fi phylum wi"&amp;"eħed, coelenterata, billi ż-żewġ gruppi jiddependu fuq il-fluss tal-ilma mill-kavità tal-ġisem kemm għad-diġestjoni kif ukoll għar-respirazzjoni. Iż-żieda fl-għarfien tad-differenzi kkonvinċiet lill-awturi aktar riċenti biex jikklassifikawhom bħala phyla "&amp;"separati.")</f>
        <v>Ctenophora (/ tᵻˈnɒfərə /; ctenophore singular, / ˈtɛnəfɔːr / jew / ˈtiːnəfɔːr /; mill-Grieg κτείς kteis 'comb' u φέρω pherō 'carry'; magħrufa bħala mellies tal-moxt) huwa l-phylu li jgħixu fid-dinja tal-baħar. L-iktar karatteristika distintiva tagħhom hija l- "pettnijiet" - gruppi ta 'ċili li jużaw għall-għawm - huma l-akbar annimali li jgħumu permezz ta' ċili. Adulti ta 'speċi varji jvarjaw minn ftit millimetri sa 1.5 m (4 ft 11 in) fid-daqs. Bħal cnidarians, ġisimhom jikkonsistu minn massa ta 'ġelatina, b'saff wieħed ta' ċelloli fuq barra u ieħor inforra l-kavità interna. Fis-ctenophores, dawn is-saffi huma żewġ ċelloli fil-fond, filwaqt li dawk fis-cnidarians huma ċellola waħda fil-fond biss. Xi awturi kkombinaw ctenophores u cnidarians fi phylum wieħed, coelenterata, billi ż-żewġ gruppi jiddependu fuq il-fluss tal-ilma mill-kavità tal-ġisem kemm għad-diġestjoni kif ukoll għar-respirazzjoni. Iż-żieda fl-għarfien tad-differenzi kkonvinċiet lill-awturi aktar riċenti biex jikklassifikawhom bħala phyla separati.</v>
      </c>
    </row>
    <row r="2616" ht="15.75" customHeight="1">
      <c r="A2616" s="2" t="s">
        <v>2616</v>
      </c>
      <c r="B2616" s="2" t="str">
        <f>IFERROR(__xludf.DUMMYFUNCTION("GOOGLETRANSLATE(A2616,""en"", ""mt"")"),"Alloka minn qabel il-wisa 'tal-banda tan-netwerk iddedikat speċifikament għal kull sessjoni ta' komunikazzjoni")</f>
        <v>Alloka minn qabel il-wisa 'tal-banda tan-netwerk iddedikat speċifikament għal kull sessjoni ta' komunikazzjoni</v>
      </c>
    </row>
    <row r="2617" ht="15.75" customHeight="1">
      <c r="A2617" s="2" t="s">
        <v>2617</v>
      </c>
      <c r="B2617" s="2" t="str">
        <f>IFERROR(__xludf.DUMMYFUNCTION("GOOGLETRANSLATE(A2617,""en"", ""mt"")"),"Public Pad Service Telepad (bl-użu tad-DNIC 2049")</f>
        <v>Public Pad Service Telepad (bl-użu tad-DNIC 2049</v>
      </c>
    </row>
    <row r="2618" ht="15.75" customHeight="1">
      <c r="A2618" s="2" t="s">
        <v>2618</v>
      </c>
      <c r="B2618" s="2" t="str">
        <f>IFERROR(__xludf.DUMMYFUNCTION("GOOGLETRANSLATE(A2618,""en"", ""mt"")"),"Permezz ta 'assoċjazzjonijiet varji")</f>
        <v>Permezz ta 'assoċjazzjonijiet varji</v>
      </c>
    </row>
    <row r="2619" ht="15.75" customHeight="1">
      <c r="A2619" s="2" t="s">
        <v>2619</v>
      </c>
      <c r="B2619" s="2" t="str">
        <f>IFERROR(__xludf.DUMMYFUNCTION("GOOGLETRANSLATE(A2619,""en"", ""mt"")"),"X'inhu mod ieħor kif tiddikjara l-kundizzjoni li infinitament ħafna primes jistgħu jeżistu biss jekk A u Q huma koprime?")</f>
        <v>X'inhu mod ieħor kif tiddikjara l-kundizzjoni li infinitament ħafna primes jistgħu jeżistu biss jekk A u Q huma koprime?</v>
      </c>
    </row>
    <row r="2620" ht="15.75" customHeight="1">
      <c r="A2620" s="2" t="s">
        <v>2620</v>
      </c>
      <c r="B2620" s="2" t="str">
        <f>IFERROR(__xludf.DUMMYFUNCTION("GOOGLETRANSLATE(A2620,""en"", ""mt"")"),"L-infrastruttura ta 'spiss tissejjaħ xiex?")</f>
        <v>L-infrastruttura ta 'spiss tissejjaħ xiex?</v>
      </c>
    </row>
    <row r="2621" ht="15.75" customHeight="1">
      <c r="A2621" s="2" t="s">
        <v>2621</v>
      </c>
      <c r="B2621" s="2" t="str">
        <f>IFERROR(__xludf.DUMMYFUNCTION("GOOGLETRANSLATE(A2621,""en"", ""mt"")"),"X'giżviluppa Donald Davies")</f>
        <v>X'giżviluppa Donald Davies</v>
      </c>
    </row>
    <row r="2622" ht="15.75" customHeight="1">
      <c r="A2622" s="2" t="s">
        <v>2622</v>
      </c>
      <c r="B2622" s="2" t="str">
        <f>IFERROR(__xludf.DUMMYFUNCTION("GOOGLETRANSLATE(A2622,""en"", ""mt"")"),"Fejn ġie osservat l-ewwel gvernatur ċentrifugali minn Boulton?")</f>
        <v>Fejn ġie osservat l-ewwel gvernatur ċentrifugali minn Boulton?</v>
      </c>
    </row>
    <row r="2623" ht="15.75" customHeight="1">
      <c r="A2623" s="2" t="s">
        <v>2623</v>
      </c>
      <c r="B2623" s="2" t="str">
        <f>IFERROR(__xludf.DUMMYFUNCTION("GOOGLETRANSLATE(A2623,""en"", ""mt"")"),"X'ġara fl-ilma ta 'taħt l-art fir-Renu waqt il-programm ta' l-iddrittar tar-Renu?")</f>
        <v>X'ġara fl-ilma ta 'taħt l-art fir-Renu waqt il-programm ta' l-iddrittar tar-Renu?</v>
      </c>
    </row>
    <row r="2624" ht="15.75" customHeight="1">
      <c r="A2624" s="2" t="s">
        <v>2624</v>
      </c>
      <c r="B2624" s="2" t="str">
        <f>IFERROR(__xludf.DUMMYFUNCTION("GOOGLETRANSLATE(A2624,""en"", ""mt"")"),"X'kien ir-rwol ta 'Martin Parry fl-IPCC?")</f>
        <v>X'kien ir-rwol ta 'Martin Parry fl-IPCC?</v>
      </c>
    </row>
    <row r="2625" ht="15.75" customHeight="1">
      <c r="A2625" s="2" t="s">
        <v>2625</v>
      </c>
      <c r="B2625" s="2" t="str">
        <f>IFERROR(__xludf.DUMMYFUNCTION("GOOGLETRANSLATE(A2625,""en"", ""mt"")"),"Ir-rati rrappurtati ta 'mortalità fiż-żoni rurali matul il-pandemija tas-seklu 14 kienu inkonsistenti mal-pesta bubonika moderna")</f>
        <v>Ir-rati rrappurtati ta 'mortalità fiż-żoni rurali matul il-pandemija tas-seklu 14 kienu inkonsistenti mal-pesta bubonika moderna</v>
      </c>
    </row>
    <row r="2626" ht="15.75" customHeight="1">
      <c r="A2626" s="2" t="s">
        <v>2626</v>
      </c>
      <c r="B2626" s="2" t="str">
        <f>IFERROR(__xludf.DUMMYFUNCTION("GOOGLETRANSLATE(A2626,""en"", ""mt"")"),"Strument finanzjarju li jista 'jintuża f'numru kbir ta' negozjanti u wkoll ippermetta lid-detenturi tal-kard iduru bilanċ")</f>
        <v>Strument finanzjarju li jista 'jintuża f'numru kbir ta' negozjanti u wkoll ippermetta lid-detenturi tal-kard iduru bilanċ</v>
      </c>
    </row>
    <row r="2627" ht="15.75" customHeight="1">
      <c r="A2627" s="2" t="s">
        <v>2627</v>
      </c>
      <c r="B2627" s="2" t="str">
        <f>IFERROR(__xludf.DUMMYFUNCTION("GOOGLETRANSLATE(A2627,""en"", ""mt"")"),"X'tip ta 'akkomodazzjoni nbniet f'Varsavja bħala parti mill-proċess tal-briks għall-Varsavja?")</f>
        <v>X'tip ta 'akkomodazzjoni nbniet f'Varsavja bħala parti mill-proċess tal-briks għall-Varsavja?</v>
      </c>
    </row>
    <row r="2628" ht="15.75" customHeight="1">
      <c r="A2628" s="2" t="s">
        <v>2628</v>
      </c>
      <c r="B2628" s="2" t="str">
        <f>IFERROR(__xludf.DUMMYFUNCTION("GOOGLETRANSLATE(A2628,""en"", ""mt"")"),"René-Robert Cavelier, Sieur de la Salle esplora l-pajjiż ta 'Ohio kważi seklu qabel")</f>
        <v>René-Robert Cavelier, Sieur de la Salle esplora l-pajjiż ta 'Ohio kważi seklu qabel</v>
      </c>
    </row>
    <row r="2629" ht="15.75" customHeight="1">
      <c r="A2629" s="2" t="s">
        <v>2629</v>
      </c>
      <c r="B2629" s="2" t="str">
        <f>IFERROR(__xludf.DUMMYFUNCTION("GOOGLETRANSLATE(A2629,""en"", ""mt"")"),"Għal xiex ġiet attribwita x-xita baxxa fl-Amażonja waqt l-LGM?")</f>
        <v>Għal xiex ġiet attribwita x-xita baxxa fl-Amażonja waqt l-LGM?</v>
      </c>
    </row>
    <row r="2630" ht="15.75" customHeight="1">
      <c r="A2630" s="2" t="s">
        <v>2630</v>
      </c>
      <c r="B2630" s="2" t="str">
        <f>IFERROR(__xludf.DUMMYFUNCTION("GOOGLETRANSLATE(A2630,""en"", ""mt"")"),"L-akbar megaregion tan-Nofsinhar ta ’California")</f>
        <v>L-akbar megaregion tan-Nofsinhar ta ’California</v>
      </c>
    </row>
    <row r="2631" ht="15.75" customHeight="1">
      <c r="A2631" s="2" t="s">
        <v>2631</v>
      </c>
      <c r="B2631" s="2" t="str">
        <f>IFERROR(__xludf.DUMMYFUNCTION("GOOGLETRANSLATE(A2631,""en"", ""mt"")"),"innegozjat bejn il-punti finali")</f>
        <v>innegozjat bejn il-punti finali</v>
      </c>
    </row>
    <row r="2632" ht="15.75" customHeight="1">
      <c r="A2632" s="2" t="s">
        <v>2632</v>
      </c>
      <c r="B2632" s="2" t="str">
        <f>IFERROR(__xludf.DUMMYFUNCTION("GOOGLETRANSLATE(A2632,""en"", ""mt"")"),"X'qal Joseph Haas fl-email tiegħu?")</f>
        <v>X'qal Joseph Haas fl-email tiegħu?</v>
      </c>
    </row>
    <row r="2633" ht="15.75" customHeight="1">
      <c r="A2633" s="2" t="s">
        <v>2633</v>
      </c>
      <c r="B2633" s="2" t="str">
        <f>IFERROR(__xludf.DUMMYFUNCTION("GOOGLETRANSLATE(A2633,""en"", ""mt"")"),"It-teorija tal-pesta ġiet ikkontestata b'mod sinifikanti mill-ħidma tal-batterjologu Brittaniku J. F. D. Shrewsbury fl-1970, li nnota li r-rati rrappurtati ta 'mortalità fiż-żoni rurali matul il-pandemija tas-seklu 14 kienu inkonsistenti mal-pesta moderna"&amp;" Bubonic, li wasslitu biex jikkonkludi li l-kontijiet kontemporanji kienu esaġerazzjonijiet. Fl-1984 iż-żoologu Graham Twigg ipproduċa l-ewwel xogħol ewlieni biex jikkontesta direttament it-teorija tal-pesta bubonika, u d-dubji tiegħu dwar l-identità tal-"&amp;"mewt sewda ġew meħuda minn numru ta 'awturi, inkluż Samuel K. Cohn, Jr. (2002), David Herlihy (1997), u Susan Scott u Christopher Duncan (2001).")</f>
        <v>It-teorija tal-pesta ġiet ikkontestata b'mod sinifikanti mill-ħidma tal-batterjologu Brittaniku J. F. D. Shrewsbury fl-1970, li nnota li r-rati rrappurtati ta 'mortalità fiż-żoni rurali matul il-pandemija tas-seklu 14 kienu inkonsistenti mal-pesta moderna Bubonic, li wasslitu biex jikkonkludi li l-kontijiet kontemporanji kienu esaġerazzjonijiet. Fl-1984 iż-żoologu Graham Twigg ipproduċa l-ewwel xogħol ewlieni biex jikkontesta direttament it-teorija tal-pesta bubonika, u d-dubji tiegħu dwar l-identità tal-mewt sewda ġew meħuda minn numru ta 'awturi, inkluż Samuel K. Cohn, Jr. (2002), David Herlihy (1997), u Susan Scott u Christopher Duncan (2001).</v>
      </c>
    </row>
    <row r="2634" ht="15.75" customHeight="1">
      <c r="A2634" s="2" t="s">
        <v>2634</v>
      </c>
      <c r="B2634" s="2" t="str">
        <f>IFERROR(__xludf.DUMMYFUNCTION("GOOGLETRANSLATE(A2634,""en"", ""mt"")"),"Fejn tinsab il-ħalq fuq il-Pleuobrachia?")</f>
        <v>Fejn tinsab il-ħalq fuq il-Pleuobrachia?</v>
      </c>
    </row>
    <row r="2635" ht="15.75" customHeight="1">
      <c r="A2635" s="2" t="s">
        <v>2635</v>
      </c>
      <c r="B2635" s="2" t="str">
        <f>IFERROR(__xludf.DUMMYFUNCTION("GOOGLETRANSLATE(A2635,""en"", ""mt"")"),"il-bankier tal-ipoteki")</f>
        <v>il-bankier tal-ipoteki</v>
      </c>
    </row>
    <row r="2636" ht="15.75" customHeight="1">
      <c r="A2636" s="2" t="s">
        <v>2636</v>
      </c>
      <c r="B2636" s="2" t="str">
        <f>IFERROR(__xludf.DUMMYFUNCTION("GOOGLETRANSLATE(A2636,""en"", ""mt"")"),"Iż-żona hija magħrufa wkoll għad-djar tal-bidu tas-seklu għoxrin tagħha, li ħafna minnhom ġew restawrati fl-aħħar għexieren ta ’snin. Iż-żona tinkludi ħafna djar tal-istil tal-bungalow u artiġjani Amerikani tal-Kalifornja, arkitettura tal-istil tal-qawmie"&amp;"n mill-ġdid Spanjol, arkitettura tal-istil tal-qawmien mill-ġdid tal-Mediterran, arkitettura tal-istil tal-qawmien mill-ġdid tal-missjoni, u ħafna djar tal-istejjer iddisinjati minn Fresno Architects, Hilliard, Taylor &amp; Wheeler. L-arkitettura residenzjali"&amp;" tad-distrett tat-Torri tikkuntrasta maż-żoni l-aktar ġodda tad-djar tal-passaġġ urbani fiż-żoni tat-tramuntana u tal-lvant ta 'Fresno.")</f>
        <v>Iż-żona hija magħrufa wkoll għad-djar tal-bidu tas-seklu għoxrin tagħha, li ħafna minnhom ġew restawrati fl-aħħar għexieren ta ’snin. Iż-żona tinkludi ħafna djar tal-istil tal-bungalow u artiġjani Amerikani tal-Kalifornja, arkitettura tal-istil tal-qawmien mill-ġdid Spanjol, arkitettura tal-istil tal-qawmien mill-ġdid tal-Mediterran, arkitettura tal-istil tal-qawmien mill-ġdid tal-missjoni, u ħafna djar tal-istejjer iddisinjati minn Fresno Architects, Hilliard, Taylor &amp; Wheeler. L-arkitettura residenzjali tad-distrett tat-Torri tikkuntrasta maż-żoni l-aktar ġodda tad-djar tal-passaġġ urbani fiż-żoni tat-tramuntana u tal-lvant ta 'Fresno.</v>
      </c>
    </row>
    <row r="2637" ht="15.75" customHeight="1">
      <c r="A2637" s="2" t="s">
        <v>2637</v>
      </c>
      <c r="B2637" s="2" t="str">
        <f>IFERROR(__xludf.DUMMYFUNCTION("GOOGLETRANSLATE(A2637,""en"", ""mt"")"),"L-imperjalizmu kulturali huwa meta l-influwenza ta 'pajjiż tinħass fiċ-ċrieki soċjali u kulturali, i.e. il-poter artab tiegħu, tali li tbiddel il-fehma tad-dinja morali, kulturali u tas-soċjetà ta' ieħor. Dan huwa iktar minn sempliċement mużika, televiżjo"&amp;"ni jew film ""barranin"" li qed isiru popolari maż-żgħażagħ, iżda dik il-kultura popolari tbiddel l-aspettattivi tagħhom stess tal-ħajja u x-xewqa tagħhom għal pajjiżhom stess biex isiru aktar bħall-pajjiż barrani mpinġi. Pereżempju, rappreżentazzjonijiet"&amp;" ta 'stili ta' ħajja Amerikani opulenti fis-sapun ta 'Dallas matul il-Gwerra Bierda biddlu l-aspettattivi tar-Rumeni; Eżempju aktar reċenti huwa l-influwenza tas-serje tad-drama tal-Korea t'Isfel fil-Korea ta 'Fuq. L-importanza tal-poter artab ma tintilif"&amp;"x fuq reġimi awtoritarji, tiġġieled din l-influwenza ma 'projbizzjonijiet fuq kultura popolari barranija, kontroll tal-internet u platti satellitari mhux awtorizzati eċċ. Lanqas ma jkun riċenti tali użu tal-kultura, bħala parti mill-imperjalizmu Ruman li "&amp;"l-elite lokali Esposti għall-benefiċċji u l-lussu tal-kultura u l-istil ta 'ħajja Rumani, bil-għan li mbagħad isiru parteċipanti lesti.")</f>
        <v>L-imperjalizmu kulturali huwa meta l-influwenza ta 'pajjiż tinħass fiċ-ċrieki soċjali u kulturali, i.e. il-poter artab tiegħu, tali li tbiddel il-fehma tad-dinja morali, kulturali u tas-soċjetà ta' ieħor. Dan huwa iktar minn sempliċement mużika, televiżjoni jew film "barranin" li qed isiru popolari maż-żgħażagħ, iżda dik il-kultura popolari tbiddel l-aspettattivi tagħhom stess tal-ħajja u x-xewqa tagħhom għal pajjiżhom stess biex isiru aktar bħall-pajjiż barrani mpinġi. Pereżempju, rappreżentazzjonijiet ta 'stili ta' ħajja Amerikani opulenti fis-sapun ta 'Dallas matul il-Gwerra Bierda biddlu l-aspettattivi tar-Rumeni; Eżempju aktar reċenti huwa l-influwenza tas-serje tad-drama tal-Korea t'Isfel fil-Korea ta 'Fuq. L-importanza tal-poter artab ma tintilifx fuq reġimi awtoritarji, tiġġieled din l-influwenza ma 'projbizzjonijiet fuq kultura popolari barranija, kontroll tal-internet u platti satellitari mhux awtorizzati eċċ. Lanqas ma jkun riċenti tali użu tal-kultura, bħala parti mill-imperjalizmu Ruman li l-elite lokali Esposti għall-benefiċċji u l-lussu tal-kultura u l-istil ta 'ħajja Rumani, bil-għan li mbagħad isiru parteċipanti lesti.</v>
      </c>
    </row>
    <row r="2638" ht="15.75" customHeight="1">
      <c r="A2638" s="2" t="s">
        <v>2638</v>
      </c>
      <c r="B2638" s="2" t="str">
        <f>IFERROR(__xludf.DUMMYFUNCTION("GOOGLETRANSLATE(A2638,""en"", ""mt"")"),"Gwerra u okkupazzjoni twila")</f>
        <v>Gwerra u okkupazzjoni twila</v>
      </c>
    </row>
    <row r="2639" ht="15.75" customHeight="1">
      <c r="A2639" s="2" t="s">
        <v>2639</v>
      </c>
      <c r="B2639" s="2" t="str">
        <f>IFERROR(__xludf.DUMMYFUNCTION("GOOGLETRANSLATE(A2639,""en"", ""mt"")"),"Min-naħa l-oħra, inugwaljanza ekonomika ogħla għandha tendenza li żżid ir-rati ta 'intraprenditorija fil-livell individwali (impjieg indipendenti). Madankollu, ħafna minnu ħafna drabi huma bbażati fuq il-ħtieġa aktar milli l-opportunità. L-intraprenditori"&amp;"ja bbażata fuq il-ħtieġa hija motivata mill-bżonnijiet ta 'sopravivenza bħal dħul għall-ikel u kenn (motivazzjonijiet ""push""), filwaqt li l-intraprenditorija bbażata fuq l-opportunità hija mmexxija minn motivazzjonijiet orjentati lejn il-kisba (""pull"""&amp;") bħal vokazzjoni u aktar probabbli li tinvolvi l-insegwiment ta 'prodotti ġodda, servizzi, jew bżonnijiet tas-suq li mhumiex sottovalutati. L-impatt ekonomiku tal-ewwel tip ta 'intraprenditorjaliżmu għandu tendenza li jerġa' jqassam filwaqt li dan tal-aħ"&amp;"ħar huwa mistenni li jrawwem il-progress teknoloġiku u b'hekk għandu impatt aktar pożittiv fuq it-tkabbir ekonomiku.")</f>
        <v>Min-naħa l-oħra, inugwaljanza ekonomika ogħla għandha tendenza li żżid ir-rati ta 'intraprenditorija fil-livell individwali (impjieg indipendenti). Madankollu, ħafna minnu ħafna drabi huma bbażati fuq il-ħtieġa aktar milli l-opportunità. L-intraprenditorija bbażata fuq il-ħtieġa hija motivata mill-bżonnijiet ta 'sopravivenza bħal dħul għall-ikel u kenn (motivazzjonijiet "push"), filwaqt li l-intraprenditorija bbażata fuq l-opportunità hija mmexxija minn motivazzjonijiet orjentati lejn il-kisba ("pull") bħal vokazzjoni u aktar probabbli li tinvolvi l-insegwiment ta 'prodotti ġodda, servizzi, jew bżonnijiet tas-suq li mhumiex sottovalutati. L-impatt ekonomiku tal-ewwel tip ta 'intraprenditorjaliżmu għandu tendenza li jerġa' jqassam filwaqt li dan tal-aħħar huwa mistenni li jrawwem il-progress teknoloġiku u b'hekk għandu impatt aktar pożittiv fuq it-tkabbir ekonomiku.</v>
      </c>
    </row>
    <row r="2640" ht="15.75" customHeight="1">
      <c r="A2640" s="2" t="s">
        <v>2640</v>
      </c>
      <c r="B2640" s="2" t="str">
        <f>IFERROR(__xludf.DUMMYFUNCTION("GOOGLETRANSLATE(A2640,""en"", ""mt"")"),"Ir-rugby huwa wkoll sport li qed jikber fin-Nofsinhar tal-Kalifornja, partikolarment fil-livell tal-iskola għolja, b'numru dejjem jiżdied ta 'skejjel li jżidu r-rugby bħala sport uffiċjali tal-iskola.")</f>
        <v>Ir-rugby huwa wkoll sport li qed jikber fin-Nofsinhar tal-Kalifornja, partikolarment fil-livell tal-iskola għolja, b'numru dejjem jiżdied ta 'skejjel li jżidu r-rugby bħala sport uffiċjali tal-iskola.</v>
      </c>
    </row>
    <row r="2641" ht="15.75" customHeight="1">
      <c r="A2641" s="2" t="s">
        <v>2641</v>
      </c>
      <c r="B2641" s="2" t="str">
        <f>IFERROR(__xludf.DUMMYFUNCTION("GOOGLETRANSLATE(A2641,""en"", ""mt"")"),"Imla l-informazzjoni dwar l-indirizzar")</f>
        <v>Imla l-informazzjoni dwar l-indirizzar</v>
      </c>
    </row>
    <row r="2642" ht="15.75" customHeight="1">
      <c r="A2642" s="2" t="s">
        <v>2642</v>
      </c>
      <c r="B2642" s="2" t="str">
        <f>IFERROR(__xludf.DUMMYFUNCTION("GOOGLETRANSLATE(A2642,""en"", ""mt"")"),"Il-Beroida, magħrufa wkoll bħala Nuda, m'għandhom l-ebda appendiċi ta 'l-għalf, iżda l-farinġi kbir tagħhom, eżatt ġewwa l-ħalq il-kbir u jimlew ħafna mill-ġisem tas-sakka, iġorru ""makrocilia"" fit-tarf orali. Dawn il-gzuz imdewba ta 'bosta eluf ta' ċili"&amp;" kbar huma kapaċi ""jigdem"" biċċiet ta 'priża li huma kbar wisq biex jibilgħu sħaħ - kważi dejjem ċtenofori oħra. Quddiem il-qasam tal-makrocilia, fuq il-ħalq ""xufftejn"" f'xi speċi ta 'beroe, hemm par ta' strixxi dojoq ta 'ċelloli epiteljali li jeħlu f"&amp;"uq il-ħajt tal-istonku li ""biż-żipp"" il-ħalq jingħalaq meta l-annimal ma jkunx qed jitma', billi jifforma Konnessjonijiet interċellulari mal-istrixxa tal-kolla opposta. Dan l-għeluq issikkat jissimplifika l-faċċata tal-annimal meta jkun qed isegwi l-pri"&amp;"ża.")</f>
        <v>Il-Beroida, magħrufa wkoll bħala Nuda, m'għandhom l-ebda appendiċi ta 'l-għalf, iżda l-farinġi kbir tagħhom, eżatt ġewwa l-ħalq il-kbir u jimlew ħafna mill-ġisem tas-sakka, iġorru "makrocilia" fit-tarf orali. Dawn il-gzuz imdewba ta 'bosta eluf ta' ċili kbar huma kapaċi "jigdem" biċċiet ta 'priża li huma kbar wisq biex jibilgħu sħaħ - kważi dejjem ċtenofori oħra. Quddiem il-qasam tal-makrocilia, fuq il-ħalq "xufftejn" f'xi speċi ta 'beroe, hemm par ta' strixxi dojoq ta 'ċelloli epiteljali li jeħlu fuq il-ħajt tal-istonku li "biż-żipp" il-ħalq jingħalaq meta l-annimal ma jkunx qed jitma', billi jifforma Konnessjonijiet interċellulari mal-istrixxa tal-kolla opposta. Dan l-għeluq issikkat jissimplifika l-faċċata tal-annimal meta jkun qed isegwi l-priża.</v>
      </c>
    </row>
    <row r="2643" ht="15.75" customHeight="1">
      <c r="A2643" s="2" t="s">
        <v>2643</v>
      </c>
      <c r="B2643" s="2" t="str">
        <f>IFERROR(__xludf.DUMMYFUNCTION("GOOGLETRANSLATE(A2643,""en"", ""mt"")"),"Dikjarazzjoni tal-Gwerra fl-1756 għall-iffirmar tat-Trattat ta 'Paċi fl-1763")</f>
        <v>Dikjarazzjoni tal-Gwerra fl-1756 għall-iffirmar tat-Trattat ta 'Paċi fl-1763</v>
      </c>
    </row>
    <row r="2644" ht="15.75" customHeight="1">
      <c r="A2644" s="2" t="s">
        <v>2644</v>
      </c>
      <c r="B2644" s="2" t="str">
        <f>IFERROR(__xludf.DUMMYFUNCTION("GOOGLETRANSLATE(A2644,""en"", ""mt"")"),"Fl-ekonomija, il-Premju Memorial Nobel notevoli fir-rebbieħa tax-Xjenzi Ekonomiċi Milton Friedman, konsulent ewlieni għall-President Repubblikan tal-Istati Uniti Ronald Reagan u l-Prim Ministru Brittaniku Konservattiv Margaret Thatcher, George Stigler, la"&amp;"ureat Nobel u proponent tat-teorija tal-qbid regolatorju, Gary Becker, kontributur importanti għal Il-Fergħa tal-Ekonomija tal-Familja tal-Ekonomija, Herbert A. Simon, responsabbli għall-interpretazzjoni moderna tal-kunċett ta 'teħid ta' deċiżjonijiet org"&amp;"anizzattivi, Paul Samuelson, l-ewwel Amerikan li rebaħ il-Premju Memorial Nobel fix-Xjenzi Ekonomiċi, u Eugene Fama, magħruf għax-xogħol tiegħu Dwar it-teorija tal-portafoll, l-ipprezzar tal-assi u l-imġieba tas-suq tal-ishma, huma kollha gradwati. Ekonom"&amp;"ista Amerikan, teoriku soċjali, filosfu politiku, u l-awtur Thomas Sowell huwa wkoll student.")</f>
        <v>Fl-ekonomija, il-Premju Memorial Nobel notevoli fir-rebbieħa tax-Xjenzi Ekonomiċi Milton Friedman, konsulent ewlieni għall-President Repubblikan tal-Istati Uniti Ronald Reagan u l-Prim Ministru Brittaniku Konservattiv Margaret Thatcher, George Stigler, laureat Nobel u proponent tat-teorija tal-qbid regolatorju, Gary Becker, kontributur importanti għal Il-Fergħa tal-Ekonomija tal-Familja tal-Ekonomija, Herbert A. Simon, responsabbli għall-interpretazzjoni moderna tal-kunċett ta 'teħid ta' deċiżjonijiet organizzattivi, Paul Samuelson, l-ewwel Amerikan li rebaħ il-Premju Memorial Nobel fix-Xjenzi Ekonomiċi, u Eugene Fama, magħruf għax-xogħol tiegħu Dwar it-teorija tal-portafoll, l-ipprezzar tal-assi u l-imġieba tas-suq tal-ishma, huma kollha gradwati. Ekonomista Amerikan, teoriku soċjali, filosfu politiku, u l-awtur Thomas Sowell huwa wkoll student.</v>
      </c>
    </row>
    <row r="2645" ht="15.75" customHeight="1">
      <c r="A2645" s="2" t="s">
        <v>2645</v>
      </c>
      <c r="B2645" s="2" t="str">
        <f>IFERROR(__xludf.DUMMYFUNCTION("GOOGLETRANSLATE(A2645,""en"", ""mt"")"),"Il-Liġi Kapitali Minima tad-Danimarka")</f>
        <v>Il-Liġi Kapitali Minima tad-Danimarka</v>
      </c>
    </row>
    <row r="2646" ht="15.75" customHeight="1">
      <c r="A2646" s="2" t="s">
        <v>2646</v>
      </c>
      <c r="B2646" s="2" t="str">
        <f>IFERROR(__xludf.DUMMYFUNCTION("GOOGLETRANSLATE(A2646,""en"", ""mt"")"),"biex ma nitkellmux")</f>
        <v>biex ma nitkellmux</v>
      </c>
    </row>
    <row r="2647" ht="15.75" customHeight="1">
      <c r="A2647" s="2" t="s">
        <v>2647</v>
      </c>
      <c r="B2647" s="2" t="str">
        <f>IFERROR(__xludf.DUMMYFUNCTION("GOOGLETRANSLATE(A2647,""en"", ""mt"")"),"Il-forzi jaġixxu f'direzzjoni partikolari u għandhom daqsijiet dipendenti fuq kemm hi qawwija l-imbuttatura jew il-ġibda. Minħabba dawn il-karatteristiċi, il-forzi huma kklassifikati bħala ""kwantitajiet ta 'vettur"". Dan ifisser li l-forzi jsegwu sett di"&amp;"fferenti ta 'regoli matematiċi minn kwantitajiet fiżiċi li m'għandhomx direzzjoni (kwantitajiet skalari denotati). Pereżempju, meta jiġu ddeterminati x'jiġri meta żewġ forzi jaġixxu fuq l-istess oġġett, huwa meħtieġ li tkun taf kemm il-kobor kif ukoll id-"&amp;"direzzjoni taż-żewġ forzi biex tikkalkula r-riżultat. Jekk dawn iż-żewġ biċċiet ta 'informazzjoni mhumiex magħrufa għal kull forza, is-sitwazzjoni hija ambigwa. Pereżempju, jekk taf li żewġ persuni qed jiġbdu l-istess ħabel bil-kobor tal-forza magħrufa im"&amp;"ma ma tafx liema direzzjoni qed tiġbed, huwa impossibbli li tiddetermina x'inhi l-aċċellerazzjoni tal-ħabel. Iż-żewġ persuni jistgħu jkunu qed jiġbdu kontra xulxin hekk kif fl-irmonk tal-gwerra jew iż-żewġ persuni jistgħu jiġbdu fl-istess direzzjoni. F'da"&amp;"n l-eżempju sempliċi b'dimensjoni waħda, mingħajr ma tkun taf id-direzzjoni tal-forzi huwa impossibbli li tiddeċiedi jekk il-forza netta hijiex ir-riżultat li żżid iż-żewġ kobor tal-forza jew li tnaqqas waħda mill-oħra. L-assoċjazzjoni tal-forzi ma 'vetto"&amp;"ri tevita problemi bħal dawn.")</f>
        <v>Il-forzi jaġixxu f'direzzjoni partikolari u għandhom daqsijiet dipendenti fuq kemm hi qawwija l-imbuttatura jew il-ġibda. Minħabba dawn il-karatteristiċi, il-forzi huma kklassifikati bħala "kwantitajiet ta 'vettur". Dan ifisser li l-forzi jsegwu sett differenti ta 'regoli matematiċi minn kwantitajiet fiżiċi li m'għandhomx direzzjoni (kwantitajiet skalari denotati). Pereżempju, meta jiġu ddeterminati x'jiġri meta żewġ forzi jaġixxu fuq l-istess oġġett, huwa meħtieġ li tkun taf kemm il-kobor kif ukoll id-direzzjoni taż-żewġ forzi biex tikkalkula r-riżultat. Jekk dawn iż-żewġ biċċiet ta 'informazzjoni mhumiex magħrufa għal kull forza, is-sitwazzjoni hija ambigwa. Pereżempju, jekk taf li żewġ persuni qed jiġbdu l-istess ħabel bil-kobor tal-forza magħrufa imma ma tafx liema direzzjoni qed tiġbed, huwa impossibbli li tiddetermina x'inhi l-aċċellerazzjoni tal-ħabel. Iż-żewġ persuni jistgħu jkunu qed jiġbdu kontra xulxin hekk kif fl-irmonk tal-gwerra jew iż-żewġ persuni jistgħu jiġbdu fl-istess direzzjoni. F'dan l-eżempju sempliċi b'dimensjoni waħda, mingħajr ma tkun taf id-direzzjoni tal-forzi huwa impossibbli li tiddeċiedi jekk il-forza netta hijiex ir-riżultat li żżid iż-żewġ kobor tal-forza jew li tnaqqas waħda mill-oħra. L-assoċjazzjoni tal-forzi ma 'vettori tevita problemi bħal dawn.</v>
      </c>
    </row>
    <row r="2648" ht="15.75" customHeight="1">
      <c r="A2648" s="2" t="s">
        <v>2648</v>
      </c>
      <c r="B2648" s="2" t="str">
        <f>IFERROR(__xludf.DUMMYFUNCTION("GOOGLETRANSLATE(A2648,""en"", ""mt"")"),"Ċentru Atletiku Malkin")</f>
        <v>Ċentru Atletiku Malkin</v>
      </c>
    </row>
    <row r="2649" ht="15.75" customHeight="1">
      <c r="A2649" s="2" t="s">
        <v>2649</v>
      </c>
      <c r="B2649" s="2" t="str">
        <f>IFERROR(__xludf.DUMMYFUNCTION("GOOGLETRANSLATE(A2649,""en"", ""mt"")"),"Xi tbassar il-kurva ta 'Kuznets dwar l-inugwaljanza tad-dħul minħabba l-ħin?")</f>
        <v>Xi tbassar il-kurva ta 'Kuznets dwar l-inugwaljanza tad-dħul minħabba l-ħin?</v>
      </c>
    </row>
    <row r="2650" ht="15.75" customHeight="1">
      <c r="A2650" s="2" t="s">
        <v>2650</v>
      </c>
      <c r="B2650" s="2" t="str">
        <f>IFERROR(__xludf.DUMMYFUNCTION("GOOGLETRANSLATE(A2650,""en"", ""mt"")"),"mhux sinkroniku")</f>
        <v>mhux sinkroniku</v>
      </c>
    </row>
    <row r="2651" ht="15.75" customHeight="1">
      <c r="A2651" s="2" t="s">
        <v>2651</v>
      </c>
      <c r="B2651" s="2" t="str">
        <f>IFERROR(__xludf.DUMMYFUNCTION("GOOGLETRANSLATE(A2651,""en"", ""mt"")"),"Netwerk tad-Dejta Qalba Pubblika")</f>
        <v>Netwerk tad-Dejta Qalba Pubblika</v>
      </c>
    </row>
    <row r="2652" ht="15.75" customHeight="1">
      <c r="A2652" s="2" t="s">
        <v>2652</v>
      </c>
      <c r="B2652" s="2" t="str">
        <f>IFERROR(__xludf.DUMMYFUNCTION("GOOGLETRANSLATE(A2652,""en"", ""mt"")"),"Min iġġieled fil-Gwerra Franċiża u Indjana?")</f>
        <v>Min iġġieled fil-Gwerra Franċiża u Indjana?</v>
      </c>
    </row>
    <row r="2653" ht="15.75" customHeight="1">
      <c r="A2653" s="2" t="s">
        <v>2653</v>
      </c>
      <c r="B2653" s="2" t="str">
        <f>IFERROR(__xludf.DUMMYFUNCTION("GOOGLETRANSLATE(A2653,""en"", ""mt"")"),"Liema dnub kienu l-mexxejja li l-estremisti attakkaw ħatja?")</f>
        <v>Liema dnub kienu l-mexxejja li l-estremisti attakkaw ħatja?</v>
      </c>
    </row>
    <row r="2654" ht="15.75" customHeight="1">
      <c r="A2654" s="2" t="s">
        <v>2654</v>
      </c>
      <c r="B2654" s="2" t="str">
        <f>IFERROR(__xludf.DUMMYFUNCTION("GOOGLETRANSLATE(A2654,""en"", ""mt"")"),"Ġeografikament titkellem, fejn hu l-punt tan-nofsinhar fin-nofsinhar ta 'California f'termini ta' latitudni?")</f>
        <v>Ġeografikament titkellem, fejn hu l-punt tan-nofsinhar fin-nofsinhar ta 'California f'termini ta' latitudni?</v>
      </c>
    </row>
    <row r="2655" ht="15.75" customHeight="1">
      <c r="A2655" s="2" t="s">
        <v>2655</v>
      </c>
      <c r="B2655" s="2" t="str">
        <f>IFERROR(__xludf.DUMMYFUNCTION("GOOGLETRANSLATE(A2655,""en"", ""mt"")"),"pajjiżi bi inugwaljanzi ta 'dħul akbar")</f>
        <v>pajjiżi bi inugwaljanzi ta 'dħul akbar</v>
      </c>
    </row>
    <row r="2656" ht="15.75" customHeight="1">
      <c r="A2656" s="2" t="s">
        <v>2656</v>
      </c>
      <c r="B2656" s="2" t="str">
        <f>IFERROR(__xludf.DUMMYFUNCTION("GOOGLETRANSLATE(A2656,""en"", ""mt"")"),"Intergovernall_panel_on_climate_change")</f>
        <v>Intergovernall_panel_on_climate_change</v>
      </c>
    </row>
    <row r="2657" ht="15.75" customHeight="1">
      <c r="A2657" s="2" t="s">
        <v>2657</v>
      </c>
      <c r="B2657" s="2" t="str">
        <f>IFERROR(__xludf.DUMMYFUNCTION("GOOGLETRANSLATE(A2657,""en"", ""mt"")"),"Min iqis il-Kontea ta 'Los Angeles bħala żona metropolitana separata?")</f>
        <v>Min iqis il-Kontea ta 'Los Angeles bħala żona metropolitana separata?</v>
      </c>
    </row>
    <row r="2658" ht="15.75" customHeight="1">
      <c r="A2658" s="2" t="s">
        <v>2658</v>
      </c>
      <c r="B2658" s="2" t="str">
        <f>IFERROR(__xludf.DUMMYFUNCTION("GOOGLETRANSLATE(A2658,""en"", ""mt"")"),"Ekonomija Neoklasika")</f>
        <v>Ekonomija Neoklasika</v>
      </c>
    </row>
    <row r="2659" ht="15.75" customHeight="1">
      <c r="A2659" s="2" t="s">
        <v>2659</v>
      </c>
      <c r="B2659" s="2" t="str">
        <f>IFERROR(__xludf.DUMMYFUNCTION("GOOGLETRANSLATE(A2659,""en"", ""mt"")"),"Il-petroloġi jistgħu wkoll jużaw dejta dwar l-inklużjoni tal-fluwidi u jwettqu temperatura għolja u pressjoni esperimenti fiżiċi biex jifhmu t-temperaturi u l-pressjonijiet li fihom jidhru fażijiet minerali differenti, u kif jinbidlu permezz ta 'proċessi "&amp;"igneous u metamorfiċi. Din ir-riċerka tista 'tiġi estrapolata fil-qasam biex tifhem il-proċessi metamorfiċi u l-kundizzjonijiet tal-kristallizzazzjoni ta' blat igneous. Dan ix-xogħol jista 'jgħin ukoll biex jispjega proċessi li jseħħu fid-dinja, bħas-subd"&amp;"uction u l-evoluzzjoni tal-kamra tal-magma.")</f>
        <v>Il-petroloġi jistgħu wkoll jużaw dejta dwar l-inklużjoni tal-fluwidi u jwettqu temperatura għolja u pressjoni esperimenti fiżiċi biex jifhmu t-temperaturi u l-pressjonijiet li fihom jidhru fażijiet minerali differenti, u kif jinbidlu permezz ta 'proċessi igneous u metamorfiċi. Din ir-riċerka tista 'tiġi estrapolata fil-qasam biex tifhem il-proċessi metamorfiċi u l-kundizzjonijiet tal-kristallizzazzjoni ta' blat igneous. Dan ix-xogħol jista 'jgħin ukoll biex jispjega proċessi li jseħħu fid-dinja, bħas-subduction u l-evoluzzjoni tal-kamra tal-magma.</v>
      </c>
    </row>
    <row r="2660" ht="15.75" customHeight="1">
      <c r="A2660" s="2" t="s">
        <v>2660</v>
      </c>
      <c r="B2660" s="2" t="str">
        <f>IFERROR(__xludf.DUMMYFUNCTION("GOOGLETRANSLATE(A2660,""en"", ""mt"")"),"Fost stati fl-Istati Uniti b'inugwaljanzi ta 'dħul akbar")</f>
        <v>Fost stati fl-Istati Uniti b'inugwaljanzi ta 'dħul akbar</v>
      </c>
    </row>
    <row r="2661" ht="15.75" customHeight="1">
      <c r="A2661" s="2" t="s">
        <v>2661</v>
      </c>
      <c r="B2661" s="2" t="str">
        <f>IFERROR(__xludf.DUMMYFUNCTION("GOOGLETRANSLATE(A2661,""en"", ""mt"")"),"ħażin")</f>
        <v>ħażin</v>
      </c>
    </row>
    <row r="2662" ht="15.75" customHeight="1">
      <c r="A2662" s="2" t="s">
        <v>2662</v>
      </c>
      <c r="B2662" s="2" t="str">
        <f>IFERROR(__xludf.DUMMYFUNCTION("GOOGLETRANSLATE(A2662,""en"", ""mt"")"),"Għal liema perjodu ta 'żmien il-ġeoglyphs marru lura?")</f>
        <v>Għal liema perjodu ta 'żmien il-ġeoglyphs marru lura?</v>
      </c>
    </row>
    <row r="2663" ht="15.75" customHeight="1">
      <c r="A2663" s="2" t="s">
        <v>2663</v>
      </c>
      <c r="B2663" s="2" t="str">
        <f>IFERROR(__xludf.DUMMYFUNCTION("GOOGLETRANSLATE(A2663,""en"", ""mt"")"),"Filwaqt li ħafna djar fil-viċinat imorru lura għas-snin tletin jew qabel, il-viċinat huwa wkoll dar għal diversi żviluppi ta 'akkomodazzjoni pubblika mibnija bejn is-snin 1960 u 1990 mill-Awtorità tad-Djar ta' Fresno. Id-Dipartiment tad-Djar u l-Iżvilupp "&amp;"Urban tal-Istati Uniti bena wkoll suddiviżjonijiet żgħar ta 'djar ta' familja waħda fiż-żona għax-xiri minn familji li jaħdmu bi dħul baxx. Kien hemm bosta tentattivi biex terġa 'titqajjem il-viċinat, inkluż il-kostruzzjoni ta' ċentru tax-xiri modern fil-"&amp;"kantuniera tat-toroq ta 'Fresno u B, attentat abort biex jibnu djar ta' lussu u korsa tal-golf fit-tarf tal-punent tal-viċinat, u xi sezzjoni ġdida 8 appartamenti nbnew tul il-knisja fil-punent ta 'Elm St. Cargill Meat Solutions u Foster Farms it-tnejn għ"&amp;"andhom faċilitajiet kbar ta' pproċessar fil-viċinat, u l-intiena minn dawn (u faċilitajiet industrijali żgħar oħra) ilha residenti fiż-żona. L-Ajruport Eżekuttiv ta 'Fresno Chandler jinsab ukoll fuq in-naħa tal-punent. Minħabba l-pożizzjoni tagħha fit-tar"&amp;"f tal-belt u s-snin ta 'negliġenza mill-iżviluppaturi, mhix viċinat veru ta' ""belt ta 'ġewwa"", u hemm ħafna lottijiet battala, għelieqi tal-frawli u dwieli fil-viċinat kollu. Il-viċinat għandu ftit attività bl-imnut, apparti miż-żona qrib Triq Fresno u "&amp;"l-Freeway tar-Rotta 99 tal-Istat (Ċentru tax-Xiri tal-Palm Kearney, mibni fl-aħħar tad-disgħinijiet) u swieq żgħar tal-kantuniera mxerrdin madwarhom.")</f>
        <v>Filwaqt li ħafna djar fil-viċinat imorru lura għas-snin tletin jew qabel, il-viċinat huwa wkoll dar għal diversi żviluppi ta 'akkomodazzjoni pubblika mibnija bejn is-snin 1960 u 1990 mill-Awtorità tad-Djar ta' Fresno. Id-Dipartiment tad-Djar u l-Iżvilupp Urban tal-Istati Uniti bena wkoll suddiviżjonijiet żgħar ta 'djar ta' familja waħda fiż-żona għax-xiri minn familji li jaħdmu bi dħul baxx. Kien hemm bosta tentattivi biex terġa 'titqajjem il-viċinat, inkluż il-kostruzzjoni ta' ċentru tax-xiri modern fil-kantuniera tat-toroq ta 'Fresno u B, attentat abort biex jibnu djar ta' lussu u korsa tal-golf fit-tarf tal-punent tal-viċinat, u xi sezzjoni ġdida 8 appartamenti nbnew tul il-knisja fil-punent ta 'Elm St. Cargill Meat Solutions u Foster Farms it-tnejn għandhom faċilitajiet kbar ta' pproċessar fil-viċinat, u l-intiena minn dawn (u faċilitajiet industrijali żgħar oħra) ilha residenti fiż-żona. L-Ajruport Eżekuttiv ta 'Fresno Chandler jinsab ukoll fuq in-naħa tal-punent. Minħabba l-pożizzjoni tagħha fit-tarf tal-belt u s-snin ta 'negliġenza mill-iżviluppaturi, mhix viċinat veru ta' "belt ta 'ġewwa", u hemm ħafna lottijiet battala, għelieqi tal-frawli u dwieli fil-viċinat kollu. Il-viċinat għandu ftit attività bl-imnut, apparti miż-żona qrib Triq Fresno u l-Freeway tar-Rotta 99 tal-Istat (Ċentru tax-Xiri tal-Palm Kearney, mibni fl-aħħar tad-disgħinijiet) u swieq żgħar tal-kantuniera mxerrdin madwarhom.</v>
      </c>
    </row>
    <row r="2664" ht="15.75" customHeight="1">
      <c r="A2664" s="2" t="s">
        <v>2664</v>
      </c>
      <c r="B2664" s="2" t="str">
        <f>IFERROR(__xludf.DUMMYFUNCTION("GOOGLETRANSLATE(A2664,""en"", ""mt"")"),"X’ma għamlux l-elite Mongolja?")</f>
        <v>X’ma għamlux l-elite Mongolja?</v>
      </c>
    </row>
    <row r="2665" ht="15.75" customHeight="1">
      <c r="A2665" s="2" t="s">
        <v>2665</v>
      </c>
      <c r="B2665" s="2" t="str">
        <f>IFERROR(__xludf.DUMMYFUNCTION("GOOGLETRANSLATE(A2665,""en"", ""mt"")"),"Programm għall-Ambjent tan-Nazzjonijiet Uniti (UNEP) u l-Organizzazzjoni Meteoroloġika Dinjija (WMO)")</f>
        <v>Programm għall-Ambjent tan-Nazzjonijiet Uniti (UNEP) u l-Organizzazzjoni Meteoroloġika Dinjija (WMO)</v>
      </c>
    </row>
    <row r="2666" ht="15.75" customHeight="1">
      <c r="A2666" s="2" t="s">
        <v>2666</v>
      </c>
      <c r="B2666" s="2" t="str">
        <f>IFERROR(__xludf.DUMMYFUNCTION("GOOGLETRANSLATE(A2666,""en"", ""mt"")"),"X'kienet l-idea ewlenija tal-karta ta 'James Hutton?")</f>
        <v>X'kienet l-idea ewlenija tal-karta ta 'James Hutton?</v>
      </c>
    </row>
    <row r="2667" ht="15.75" customHeight="1">
      <c r="A2667" s="2" t="s">
        <v>2667</v>
      </c>
      <c r="B2667" s="2" t="str">
        <f>IFERROR(__xludf.DUMMYFUNCTION("GOOGLETRANSLATE(A2667,""en"", ""mt"")"),"Ikkastiga lill-poplu Miami ta 'Pickawillany")</f>
        <v>Ikkastiga lill-poplu Miami ta 'Pickawillany</v>
      </c>
    </row>
    <row r="2668" ht="15.75" customHeight="1">
      <c r="A2668" s="2" t="s">
        <v>2668</v>
      </c>
      <c r="B2668" s="2" t="str">
        <f>IFERROR(__xludf.DUMMYFUNCTION("GOOGLETRANSLATE(A2668,""en"", ""mt"")"),"Il-kunċett ta 'inerzja jista' jiġi ġeneralizzat aktar biex jispjega t-tendenza ta 'oġġetti li jkomplu f'ħafna forom differenti ta' moviment kostanti, anke dawk li mhumiex veloċità strettament kostanti. L-inerzja rotazzjonali tal-pjaneta tad-Dinja hija dik"&amp;" li tiffissa l-kostanza tat-tul ta 'ġurnata u t-tul ta' sena. Albert Einstein estenda l-prinċipju ta 'l-inerzja aktar meta spjega li l-oqfsa ta' referenza soġġetti għal aċċellerazzjoni kostanti, bħal dawk li jaqgħu ħielsa lejn oġġett li jxaqilbu, kienu fi"&amp;"żikament ekwivalenti għal frejms ta 'referenza inerzjali. Din hija r-raġuni għaliex, pereżempju, l-astronawti jesperjenzaw piż żejjed meta jkunu fl-orbita tal-waqgħa ħielsa madwar id-Dinja, u għaliex il-liġijiet tal-moviment ta 'Newton huma aktar faċilmen"&amp;"t diskussi f'ambjenti bħal dawn. Jekk astronawt ipoġġi oġġett bil-massa f'nofs l-arja ħdejh innifsu, jibqa 'wieqaf fir-rigward tal-astronawt minħabba l-inerzja tiegħu. Din hija l-istess ħaġa li sseħħ jekk l-astronawt u l-oġġett kienu fi spazju intergalatt"&amp;"iku mingħajr l-ebda forza netta tal-gravità li taġixxi fuq il-qafas ta 'referenza komuni tagħhom. Dan il-prinċipju ta 'ekwivalenza kien wieħed mill-irfid fundamentali għall-iżvilupp tat-teorija ġenerali tar-relatività.")</f>
        <v>Il-kunċett ta 'inerzja jista' jiġi ġeneralizzat aktar biex jispjega t-tendenza ta 'oġġetti li jkomplu f'ħafna forom differenti ta' moviment kostanti, anke dawk li mhumiex veloċità strettament kostanti. L-inerzja rotazzjonali tal-pjaneta tad-Dinja hija dik li tiffissa l-kostanza tat-tul ta 'ġurnata u t-tul ta' sena. Albert Einstein estenda l-prinċipju ta 'l-inerzja aktar meta spjega li l-oqfsa ta' referenza soġġetti għal aċċellerazzjoni kostanti, bħal dawk li jaqgħu ħielsa lejn oġġett li jxaqilbu, kienu fiżikament ekwivalenti għal frejms ta 'referenza inerzjali. Din hija r-raġuni għaliex, pereżempju, l-astronawti jesperjenzaw piż żejjed meta jkunu fl-orbita tal-waqgħa ħielsa madwar id-Dinja, u għaliex il-liġijiet tal-moviment ta 'Newton huma aktar faċilment diskussi f'ambjenti bħal dawn. Jekk astronawt ipoġġi oġġett bil-massa f'nofs l-arja ħdejh innifsu, jibqa 'wieqaf fir-rigward tal-astronawt minħabba l-inerzja tiegħu. Din hija l-istess ħaġa li sseħħ jekk l-astronawt u l-oġġett kienu fi spazju intergalattiku mingħajr l-ebda forza netta tal-gravità li taġixxi fuq il-qafas ta 'referenza komuni tagħhom. Dan il-prinċipju ta 'ekwivalenza kien wieħed mill-irfid fundamentali għall-iżvilupp tat-teorija ġenerali tar-relatività.</v>
      </c>
    </row>
    <row r="2669" ht="15.75" customHeight="1">
      <c r="A2669" s="2" t="s">
        <v>2669</v>
      </c>
      <c r="B2669" s="2" t="str">
        <f>IFERROR(__xludf.DUMMYFUNCTION("GOOGLETRANSLATE(A2669,""en"", ""mt"")"),"Il-kors naturali tax-xmara minħabba numru ta 'proġetti ta' kanalizzazzjoni kompluti fis-seklu 19 u 20")</f>
        <v>Il-kors naturali tax-xmara minħabba numru ta 'proġetti ta' kanalizzazzjoni kompluti fis-seklu 19 u 20</v>
      </c>
    </row>
    <row r="2670" ht="15.75" customHeight="1">
      <c r="A2670" s="2" t="s">
        <v>2670</v>
      </c>
      <c r="B2670" s="2" t="str">
        <f>IFERROR(__xludf.DUMMYFUNCTION("GOOGLETRANSLATE(A2670,""en"", ""mt"")"),"L-ewwel inċidenti rreġistrati ta 'diżubbidjenza ċivili kollettiva seħħew matul l-Imperu Ruman [ċ-ċitazzjoni meħtieġa]. Lhud mhux armati nġabru fit-toroq biex jipprevjenu l-installazzjoni ta 'immaġini pagani fit-tempju f'Ġerusalemm. [Ċitazzjoni meħtieġa] ["&amp;"Riċerka oriġinali?] Fi żminijiet moderni, xi attivisti li jikkommettu diżubbidjenza ċivili bħala grupp li kollettivament jirrifjutaw li jiffirmaw il-ħelsien mill-arrest Met, bħal kundizzjonijiet ta 'ħelsien mill-arrest favorevoli, jew il-ħelsien ta' l-att"&amp;"ivisti kollha. Din hija forma ta 'solidarjetà tal-ħabs. [Paġna meħtieġa] Kien hemm ukoll ħafna każijiet ta' diżubbidjenza ċivili solitarja, bħal dik imwettqa minn Thoreau, iżda dawn xi kultant jgħaddu inosservati. Thoreau, fil-ħin tal-arrest tiegħu, kien "&amp;"għadu ma kienx awtur magħruf, u l-arrest tiegħu ma kien kopert fl-ebda gazzetti fil-jiem, ġimgħat u xhur wara li ġara. Il-kollettur tat-taxxa li arrestah tela ’għal kariga politika ogħla, u l-esej ta’ Thoreau ma ġiex ippubblikat sa wara t-tmiem tal-Gwerra"&amp;" tal-Messiku.")</f>
        <v>L-ewwel inċidenti rreġistrati ta 'diżubbidjenza ċivili kollettiva seħħew matul l-Imperu Ruman [ċ-ċitazzjoni meħtieġa]. Lhud mhux armati nġabru fit-toroq biex jipprevjenu l-installazzjoni ta 'immaġini pagani fit-tempju f'Ġerusalemm. [Ċitazzjoni meħtieġa] [Riċerka oriġinali?] Fi żminijiet moderni, xi attivisti li jikkommettu diżubbidjenza ċivili bħala grupp li kollettivament jirrifjutaw li jiffirmaw il-ħelsien mill-arrest Met, bħal kundizzjonijiet ta 'ħelsien mill-arrest favorevoli, jew il-ħelsien ta' l-attivisti kollha. Din hija forma ta 'solidarjetà tal-ħabs. [Paġna meħtieġa] Kien hemm ukoll ħafna każijiet ta' diżubbidjenza ċivili solitarja, bħal dik imwettqa minn Thoreau, iżda dawn xi kultant jgħaddu inosservati. Thoreau, fil-ħin tal-arrest tiegħu, kien għadu ma kienx awtur magħruf, u l-arrest tiegħu ma kien kopert fl-ebda gazzetti fil-jiem, ġimgħat u xhur wara li ġara. Il-kollettur tat-taxxa li arrestah tela ’għal kariga politika ogħla, u l-esej ta’ Thoreau ma ġiex ippubblikat sa wara t-tmiem tal-Gwerra tal-Messiku.</v>
      </c>
    </row>
    <row r="2671" ht="15.75" customHeight="1">
      <c r="A2671" s="2" t="s">
        <v>2671</v>
      </c>
      <c r="B2671" s="2" t="str">
        <f>IFERROR(__xludf.DUMMYFUNCTION("GOOGLETRANSLATE(A2671,""en"", ""mt"")"),"għaxra")</f>
        <v>għaxra</v>
      </c>
    </row>
    <row r="2672" ht="15.75" customHeight="1">
      <c r="A2672" s="2" t="s">
        <v>2672</v>
      </c>
      <c r="B2672" s="2" t="str">
        <f>IFERROR(__xludf.DUMMYFUNCTION("GOOGLETRANSLATE(A2672,""en"", ""mt"")"),"Dħul mhux mill-ħolqien tal-ġid imma billi taqbad sehem akbar minnu jafu lill-ekonomisti b'liema terminu?")</f>
        <v>Dħul mhux mill-ħolqien tal-ġid imma billi taqbad sehem akbar minnu jafu lill-ekonomisti b'liema terminu?</v>
      </c>
    </row>
    <row r="2673" ht="15.75" customHeight="1">
      <c r="A2673" s="2" t="s">
        <v>2673</v>
      </c>
      <c r="B2673" s="2" t="str">
        <f>IFERROR(__xludf.DUMMYFUNCTION("GOOGLETRANSLATE(A2673,""en"", ""mt"")"),"mill-Aħżen u l-Qlib tal-Quddiem")</f>
        <v>mill-Aħżen u l-Qlib tal-Quddiem</v>
      </c>
    </row>
    <row r="2674" ht="15.75" customHeight="1">
      <c r="A2674" s="2" t="s">
        <v>2674</v>
      </c>
      <c r="B2674" s="2" t="str">
        <f>IFERROR(__xludf.DUMMYFUNCTION("GOOGLETRANSLATE(A2674,""en"", ""mt"")"),"żdied b'żieda fl-inugwaljanza tad-dħul")</f>
        <v>żdied b'żieda fl-inugwaljanza tad-dħul</v>
      </c>
    </row>
    <row r="2675" ht="15.75" customHeight="1">
      <c r="A2675" s="2" t="s">
        <v>2675</v>
      </c>
      <c r="B2675" s="2" t="str">
        <f>IFERROR(__xludf.DUMMYFUNCTION("GOOGLETRANSLATE(A2675,""en"", ""mt"")"),"pixxini ta 'kumpens")</f>
        <v>pixxini ta 'kumpens</v>
      </c>
    </row>
    <row r="2676" ht="15.75" customHeight="1">
      <c r="A2676" s="2" t="s">
        <v>2676</v>
      </c>
      <c r="B2676" s="2" t="str">
        <f>IFERROR(__xludf.DUMMYFUNCTION("GOOGLETRANSLATE(A2676,""en"", ""mt"")"),"Xi teħtieġ l-ewwel Artikolu 11 tal-Liġi tal-Kumpanija?")</f>
        <v>Xi teħtieġ l-ewwel Artikolu 11 tal-Liġi tal-Kumpanija?</v>
      </c>
    </row>
    <row r="2677" ht="15.75" customHeight="1">
      <c r="A2677" s="2" t="s">
        <v>2677</v>
      </c>
      <c r="B2677" s="2" t="str">
        <f>IFERROR(__xludf.DUMMYFUNCTION("GOOGLETRANSLATE(A2677,""en"", ""mt"")"),"Jekk P = NP ma jkunx solvut, u t-tnaqqis huwa applikat għal problema magħrufa NP-kompluta vis a vis π2 sa π1, liema konklużjoni tista 'tinġibed għal π1?")</f>
        <v>Jekk P = NP ma jkunx solvut, u t-tnaqqis huwa applikat għal problema magħrufa NP-kompluta vis a vis π2 sa π1, liema konklużjoni tista 'tinġibed għal π1?</v>
      </c>
    </row>
    <row r="2678" ht="15.75" customHeight="1">
      <c r="A2678" s="2" t="s">
        <v>2678</v>
      </c>
      <c r="B2678" s="2" t="str">
        <f>IFERROR(__xludf.DUMMYFUNCTION("GOOGLETRANSLATE(A2678,""en"", ""mt"")"),"Toroq Fresno u B")</f>
        <v>Toroq Fresno u B</v>
      </c>
    </row>
    <row r="2679" ht="15.75" customHeight="1">
      <c r="A2679" s="2" t="s">
        <v>2679</v>
      </c>
      <c r="B2679" s="2" t="str">
        <f>IFERROR(__xludf.DUMMYFUNCTION("GOOGLETRANSLATE(A2679,""en"", ""mt"")"),"Kemm kien twil it-teatru tas-sajf fl-operazzjoni?")</f>
        <v>Kemm kien twil it-teatru tas-sajf fl-operazzjoni?</v>
      </c>
    </row>
    <row r="2680" ht="15.75" customHeight="1">
      <c r="A2680" s="2" t="s">
        <v>2680</v>
      </c>
      <c r="B2680" s="2" t="str">
        <f>IFERROR(__xludf.DUMMYFUNCTION("GOOGLETRANSLATE(A2680,""en"", ""mt"")"),"Li tmur il-ħabs twettaq liema għan ta 'diżubbidjenza ċivili?")</f>
        <v>Li tmur il-ħabs twettaq liema għan ta 'diżubbidjenza ċivili?</v>
      </c>
    </row>
    <row r="2681" ht="15.75" customHeight="1">
      <c r="A2681" s="2" t="s">
        <v>2681</v>
      </c>
      <c r="B2681" s="2" t="str">
        <f>IFERROR(__xludf.DUMMYFUNCTION("GOOGLETRANSLATE(A2681,""en"", ""mt"")"),"X'inhi t-temperatura rreġistrata l-iktar sħuna ta 'Jacksonville?")</f>
        <v>X'inhi t-temperatura rreġistrata l-iktar sħuna ta 'Jacksonville?</v>
      </c>
    </row>
    <row r="2682" ht="15.75" customHeight="1">
      <c r="A2682" s="2" t="s">
        <v>2682</v>
      </c>
      <c r="B2682" s="2" t="str">
        <f>IFERROR(__xludf.DUMMYFUNCTION("GOOGLETRANSLATE(A2682,""en"", ""mt"")"),"Kolonizzazzjoni, Influwenza, u Anness")</f>
        <v>Kolonizzazzjoni, Influwenza, u Anness</v>
      </c>
    </row>
    <row r="2683" ht="15.75" customHeight="1">
      <c r="A2683" s="2" t="s">
        <v>2683</v>
      </c>
      <c r="B2683" s="2" t="str">
        <f>IFERROR(__xludf.DUMMYFUNCTION("GOOGLETRANSLATE(A2683,""en"", ""mt"")"),"X'inhu l-isem uffiċjali tad-dinastija Yuan?")</f>
        <v>X'inhu l-isem uffiċjali tad-dinastija Yuan?</v>
      </c>
    </row>
    <row r="2684" ht="15.75" customHeight="1">
      <c r="A2684" s="2" t="s">
        <v>2684</v>
      </c>
      <c r="B2684" s="2" t="str">
        <f>IFERROR(__xludf.DUMMYFUNCTION("GOOGLETRANSLATE(A2684,""en"", ""mt"")"),"L-Istat Mughal")</f>
        <v>L-Istat Mughal</v>
      </c>
    </row>
    <row r="2685" ht="15.75" customHeight="1">
      <c r="A2685" s="2" t="s">
        <v>2685</v>
      </c>
      <c r="B2685" s="2" t="str">
        <f>IFERROR(__xludf.DUMMYFUNCTION("GOOGLETRANSLATE(A2685,""en"", ""mt"")"),"X'tip ta 'teknoloġija qed tissepara l-gassijiet mhux organiċi?")</f>
        <v>X'tip ta 'teknoloġija qed tissepara l-gassijiet mhux organiċi?</v>
      </c>
    </row>
    <row r="2686" ht="15.75" customHeight="1">
      <c r="A2686" s="2" t="s">
        <v>2686</v>
      </c>
      <c r="B2686" s="2" t="str">
        <f>IFERROR(__xludf.DUMMYFUNCTION("GOOGLETRANSLATE(A2686,""en"", ""mt"")"),"ożonu")</f>
        <v>ożonu</v>
      </c>
    </row>
    <row r="2687" ht="15.75" customHeight="1">
      <c r="A2687" s="2" t="s">
        <v>2687</v>
      </c>
      <c r="B2687" s="2" t="str">
        <f>IFERROR(__xludf.DUMMYFUNCTION("GOOGLETRANSLATE(A2687,""en"", ""mt"")"),"Fi żminijiet moderni, id-ditti jistgħu joffru lilhom infushom bħala dak għal proġett ta 'kostruzzjoni?")</f>
        <v>Fi żminijiet moderni, id-ditti jistgħu joffru lilhom infushom bħala dak għal proġett ta 'kostruzzjoni?</v>
      </c>
    </row>
    <row r="2688" ht="15.75" customHeight="1">
      <c r="A2688" s="2" t="s">
        <v>2688</v>
      </c>
      <c r="B2688" s="2" t="str">
        <f>IFERROR(__xludf.DUMMYFUNCTION("GOOGLETRANSLATE(A2688,""en"", ""mt"")"),"It-temperaturi u l-livelli tal-baħar kienu qed jiżdiedu fuq jew 'il fuq mir-rati massimi")</f>
        <v>It-temperaturi u l-livelli tal-baħar kienu qed jiżdiedu fuq jew 'il fuq mir-rati massimi</v>
      </c>
    </row>
    <row r="2689" ht="15.75" customHeight="1">
      <c r="A2689" s="2" t="s">
        <v>2689</v>
      </c>
      <c r="B2689" s="2" t="str">
        <f>IFERROR(__xludf.DUMMYFUNCTION("GOOGLETRANSLATE(A2689,""en"", ""mt"")"),"X'kien l-isem tal-kolonja primarja ta 'Franza fid-Dinja l-Ġdida?")</f>
        <v>X'kien l-isem tal-kolonja primarja ta 'Franza fid-Dinja l-Ġdida?</v>
      </c>
    </row>
    <row r="2690" ht="15.75" customHeight="1">
      <c r="A2690" s="2" t="s">
        <v>2690</v>
      </c>
      <c r="B2690" s="2" t="str">
        <f>IFERROR(__xludf.DUMMYFUNCTION("GOOGLETRANSLATE(A2690,""en"", ""mt"")"),"Min iġġieled fil-Gwerra l-Kbira tat-Tramuntana?")</f>
        <v>Min iġġieled fil-Gwerra l-Kbira tat-Tramuntana?</v>
      </c>
    </row>
    <row r="2691" ht="15.75" customHeight="1">
      <c r="A2691" s="2" t="s">
        <v>2691</v>
      </c>
      <c r="B2691" s="2" t="str">
        <f>IFERROR(__xludf.DUMMYFUNCTION("GOOGLETRANSLATE(A2691,""en"", ""mt"")"),"X'jagħmlu l-Auricles?")</f>
        <v>X'jagħmlu l-Auricles?</v>
      </c>
    </row>
    <row r="2692" ht="15.75" customHeight="1">
      <c r="A2692" s="2" t="s">
        <v>2692</v>
      </c>
      <c r="B2692" s="2" t="str">
        <f>IFERROR(__xludf.DUMMYFUNCTION("GOOGLETRANSLATE(A2692,""en"", ""mt"")"),"Perjodu ta ’nofs il-Kambrian")</f>
        <v>Perjodu ta ’nofs il-Kambrian</v>
      </c>
    </row>
    <row r="2693" ht="15.75" customHeight="1">
      <c r="A2693" s="2" t="s">
        <v>2693</v>
      </c>
      <c r="B2693" s="2" t="str">
        <f>IFERROR(__xludf.DUMMYFUNCTION("GOOGLETRANSLATE(A2693,""en"", ""mt"")"),"priġunerija")</f>
        <v>priġunerija</v>
      </c>
    </row>
    <row r="2694" ht="15.75" customHeight="1">
      <c r="A2694" s="2" t="s">
        <v>2694</v>
      </c>
      <c r="B2694" s="2" t="str">
        <f>IFERROR(__xludf.DUMMYFUNCTION("GOOGLETRANSLATE(A2694,""en"", ""mt"")"),"Il-sirena")</f>
        <v>Il-sirena</v>
      </c>
    </row>
    <row r="2695" ht="15.75" customHeight="1">
      <c r="A2695" s="2" t="s">
        <v>2695</v>
      </c>
      <c r="B2695" s="2" t="str">
        <f>IFERROR(__xludf.DUMMYFUNCTION("GOOGLETRANSLATE(A2695,""en"", ""mt"")"),"Konnessjonijiet tal-1972")</f>
        <v>Konnessjonijiet tal-1972</v>
      </c>
    </row>
    <row r="2696" ht="15.75" customHeight="1">
      <c r="A2696" s="2" t="s">
        <v>2696</v>
      </c>
      <c r="B2696" s="2" t="str">
        <f>IFERROR(__xludf.DUMMYFUNCTION("GOOGLETRANSLATE(A2696,""en"", ""mt"")"),"jikkostitwixxu diżubbidjenza ċivili")</f>
        <v>jikkostitwixxu diżubbidjenza ċivili</v>
      </c>
    </row>
    <row r="2697" ht="15.75" customHeight="1">
      <c r="A2697" s="2" t="s">
        <v>2697</v>
      </c>
      <c r="B2697" s="2" t="str">
        <f>IFERROR(__xludf.DUMMYFUNCTION("GOOGLETRANSLATE(A2697,""en"", ""mt"")"),"X'jistgħu jitolbu lill-gruppi ta 'fidi li jagħmlu lill-uffiċjal li jippresiedi jagħmlu għalihom?")</f>
        <v>X'jistgħu jitolbu lill-gruppi ta 'fidi li jagħmlu lill-uffiċjal li jippresiedi jagħmlu għalihom?</v>
      </c>
    </row>
    <row r="2698" ht="15.75" customHeight="1">
      <c r="A2698" s="2" t="s">
        <v>2698</v>
      </c>
      <c r="B2698" s="2" t="str">
        <f>IFERROR(__xludf.DUMMYFUNCTION("GOOGLETRANSLATE(A2698,""en"", ""mt"")"),"Minn nofs is-snin 2000, l-università bdiet numru ta 'proġetti ta' espansjoni ta 'diversi miljun dollaru. Fl-2008, l-Università ta 'Chicago ħabbret pjanijiet biex tistabbilixxi l-Istitut Milton Friedman li ġibed kemm appoġġ kif ukoll kontroversja minn memb"&amp;"ri tal-fakultà u studenti. L-istitut se jiswa madwar $ 200 miljun u jokkupa l-bini tas-Seminarju Teoloġiku ta 'Chicago. Matul l-istess sena, l-investitur David G. Booth ta donazzjoni ta '$ 300 miljun lill-Iskola tan-Negozju tal-Università, li huwa l-akbar"&amp;" rigal fl-istorja tal-università u l-akbar rigal li qatt kien għal kwalunkwe skola tan-negozju. Fl-2009, l-ippjanar jew il-kostruzzjoni fuq bosta bini ġdid, li nofshom jiswew $ 100 miljun jew aktar, kien għaddej. Mill-2011, proġetti ta 'kostruzzjoni ewlen"&amp;"in inkludew iċ-Ċentru Jules u Gwen Knapp għall-iskoperta bijomedika, ċentru ta' riċerka medika ta 'għaxar sulari, u żidiet oħra fil-kampus mediku tal-Università ta' Chicago Medical Centre. Fl-2014 l-università nediet il-fażi pubblika ta 'kampanja ta' ġbir"&amp;" ta 'fondi ta' $ 4.5 biljun. F’Settembru 2015, l-università rċeviet $ 100 miljun mill-Fondazzjoni tal-Familja Pearson biex tistabbilixxi l-Istitut Pearson għall-Istudju u r-Riżoluzzjoni tal-Kunflitti Globali u l-Forum Globali Pearson fl-Iskola Harris tal-"&amp;"Istudji tal-Politika Pubblika.")</f>
        <v>Minn nofs is-snin 2000, l-università bdiet numru ta 'proġetti ta' espansjoni ta 'diversi miljun dollaru. Fl-2008, l-Università ta 'Chicago ħabbret pjanijiet biex tistabbilixxi l-Istitut Milton Friedman li ġibed kemm appoġġ kif ukoll kontroversja minn membri tal-fakultà u studenti. L-istitut se jiswa madwar $ 200 miljun u jokkupa l-bini tas-Seminarju Teoloġiku ta 'Chicago. Matul l-istess sena, l-investitur David G. Booth ta donazzjoni ta '$ 300 miljun lill-Iskola tan-Negozju tal-Università, li huwa l-akbar rigal fl-istorja tal-università u l-akbar rigal li qatt kien għal kwalunkwe skola tan-negozju. Fl-2009, l-ippjanar jew il-kostruzzjoni fuq bosta bini ġdid, li nofshom jiswew $ 100 miljun jew aktar, kien għaddej. Mill-2011, proġetti ta 'kostruzzjoni ewlenin inkludew iċ-Ċentru Jules u Gwen Knapp għall-iskoperta bijomedika, ċentru ta' riċerka medika ta 'għaxar sulari, u żidiet oħra fil-kampus mediku tal-Università ta' Chicago Medical Centre. Fl-2014 l-università nediet il-fażi pubblika ta 'kampanja ta' ġbir ta 'fondi ta' $ 4.5 biljun. F’Settembru 2015, l-università rċeviet $ 100 miljun mill-Fondazzjoni tal-Familja Pearson biex tistabbilixxi l-Istitut Pearson għall-Istudju u r-Riżoluzzjoni tal-Kunflitti Globali u l-Forum Globali Pearson fl-Iskola Harris tal-Istudji tal-Politika Pubblika.</v>
      </c>
    </row>
    <row r="2699" ht="15.75" customHeight="1">
      <c r="A2699" s="2" t="s">
        <v>2699</v>
      </c>
      <c r="B2699" s="2" t="str">
        <f>IFERROR(__xludf.DUMMYFUNCTION("GOOGLETRANSLATE(A2699,""en"", ""mt"")"),"Elettriku, ilma, drenaġġ, telefon, u faċilitajiet tal-kejbil")</f>
        <v>Elettriku, ilma, drenaġġ, telefon, u faċilitajiet tal-kejbil</v>
      </c>
    </row>
    <row r="2700" ht="15.75" customHeight="1">
      <c r="A2700" s="2" t="s">
        <v>2700</v>
      </c>
      <c r="B2700" s="2" t="str">
        <f>IFERROR(__xludf.DUMMYFUNCTION("GOOGLETRANSLATE(A2700,""en"", ""mt"")"),"Liema prattika Lhudija pprojbixxa l-Yuan?")</f>
        <v>Liema prattika Lhudija pprojbixxa l-Yuan?</v>
      </c>
    </row>
    <row r="2701" ht="15.75" customHeight="1">
      <c r="A2701" s="2" t="s">
        <v>2701</v>
      </c>
      <c r="B2701" s="2" t="str">
        <f>IFERROR(__xludf.DUMMYFUNCTION("GOOGLETRANSLATE(A2701,""en"", ""mt"")"),"effett")</f>
        <v>effett</v>
      </c>
    </row>
    <row r="2702" ht="15.75" customHeight="1">
      <c r="A2702" s="2" t="s">
        <v>2702</v>
      </c>
      <c r="B2702" s="2" t="str">
        <f>IFERROR(__xludf.DUMMYFUNCTION("GOOGLETRANSLATE(A2702,""en"", ""mt"")"),"Fil-biċċa l-kbira tal-magni tal-pistuni reċiprokanti, il-fwar ireġġa 'lura d-direzzjoni tal-fluss tiegħu f'kull puplesija (kontro-fluss), li jidħol u jeżawrixxi miċ-ċilindru mill-istess port. Iċ-ċiklu komplet tal-magna jokkupa rotazzjoni waħda tal-krank u"&amp;" żewġ puplesiji tal-pistuni; Iċ-ċiklu jinkludi wkoll erba 'avvenimenti - ammissjoni, espansjoni, exhaust, kompressjoni. Dawn l-avvenimenti huma kkontrollati minn valvi li spiss jaħdmu ġewwa sider tal-fwar biswit iċ-ċilindru; Il-valvi jqassmu l-fwar billi "&amp;"jiftħu u jagħlqu l-portijiet tal-fwar li jikkomunikaw mat-tarf (i) taċ-ċilindru u huma mmexxija mill-irkaptu tal-valv, li minnhom hemm ħafna tipi. [Ċitazzjoni meħtieġa]")</f>
        <v>Fil-biċċa l-kbira tal-magni tal-pistuni reċiprokanti, il-fwar ireġġa 'lura d-direzzjoni tal-fluss tiegħu f'kull puplesija (kontro-fluss), li jidħol u jeżawrixxi miċ-ċilindru mill-istess port. Iċ-ċiklu komplet tal-magna jokkupa rotazzjoni waħda tal-krank u żewġ puplesiji tal-pistuni; Iċ-ċiklu jinkludi wkoll erba 'avvenimenti - ammissjoni, espansjoni, exhaust, kompressjoni. Dawn l-avvenimenti huma kkontrollati minn valvi li spiss jaħdmu ġewwa sider tal-fwar biswit iċ-ċilindru; Il-valvi jqassmu l-fwar billi jiftħu u jagħlqu l-portijiet tal-fwar li jikkomunikaw mat-tarf (i) taċ-ċilindru u huma mmexxija mill-irkaptu tal-valv, li minnhom hemm ħafna tipi. [Ċitazzjoni meħtieġa]</v>
      </c>
    </row>
    <row r="2703" ht="15.75" customHeight="1">
      <c r="A2703" s="2" t="s">
        <v>2703</v>
      </c>
      <c r="B2703" s="2" t="str">
        <f>IFERROR(__xludf.DUMMYFUNCTION("GOOGLETRANSLATE(A2703,""en"", ""mt"")"),"X'inhi tifsira addizzjonali maħsuba meta tintuża l-kelma prim?")</f>
        <v>X'inhi tifsira addizzjonali maħsuba meta tintuża l-kelma prim?</v>
      </c>
    </row>
    <row r="2704" ht="15.75" customHeight="1">
      <c r="A2704" s="2" t="s">
        <v>2704</v>
      </c>
      <c r="B2704" s="2" t="str">
        <f>IFERROR(__xludf.DUMMYFUNCTION("GOOGLETRANSLATE(A2704,""en"", ""mt"")"),"Att dwar in-Naturalizzazzjoni ta 'Protestanti Barranin,")</f>
        <v>Att dwar in-Naturalizzazzjoni ta 'Protestanti Barranin,</v>
      </c>
    </row>
    <row r="2705" ht="15.75" customHeight="1">
      <c r="A2705" s="2" t="s">
        <v>2705</v>
      </c>
      <c r="B2705" s="2" t="str">
        <f>IFERROR(__xludf.DUMMYFUNCTION("GOOGLETRANSLATE(A2705,""en"", ""mt"")"),"Jekk hemmx stat jew theddida ta 'gwerra")</f>
        <v>Jekk hemmx stat jew theddida ta 'gwerra</v>
      </c>
    </row>
    <row r="2706" ht="15.75" customHeight="1">
      <c r="A2706" s="2" t="s">
        <v>2706</v>
      </c>
      <c r="B2706" s="2" t="str">
        <f>IFERROR(__xludf.DUMMYFUNCTION("GOOGLETRANSLATE(A2706,""en"", ""mt"")"),"Il-battalja ntemmet inkonklussivament")</f>
        <v>Il-battalja ntemmet inkonklussivament</v>
      </c>
    </row>
    <row r="2707" ht="15.75" customHeight="1">
      <c r="A2707" s="2" t="s">
        <v>2707</v>
      </c>
      <c r="B2707" s="2" t="str">
        <f>IFERROR(__xludf.DUMMYFUNCTION("GOOGLETRANSLATE(A2707,""en"", ""mt"")"),"Uża Sickles biex tiddefla wieħed mill-koppli l-kbar")</f>
        <v>Uża Sickles biex tiddefla wieħed mill-koppli l-kbar</v>
      </c>
    </row>
    <row r="2708" ht="15.75" customHeight="1">
      <c r="A2708" s="2" t="s">
        <v>2708</v>
      </c>
      <c r="B2708" s="2" t="str">
        <f>IFERROR(__xludf.DUMMYFUNCTION("GOOGLETRANSLATE(A2708,""en"", ""mt"")"),"Il-bini huwa lest biex jokkupa.")</f>
        <v>Il-bini huwa lest biex jokkupa.</v>
      </c>
    </row>
    <row r="2709" ht="15.75" customHeight="1">
      <c r="A2709" s="2" t="s">
        <v>2709</v>
      </c>
      <c r="B2709" s="2" t="str">
        <f>IFERROR(__xludf.DUMMYFUNCTION("GOOGLETRANSLATE(A2709,""en"", ""mt"")"),"Meta huma ġġustifikati l-inugwaljanzi fil-ġid, skond John Rawls?")</f>
        <v>Meta huma ġġustifikati l-inugwaljanzi fil-ġid, skond John Rawls?</v>
      </c>
    </row>
    <row r="2710" ht="15.75" customHeight="1">
      <c r="A2710" s="2" t="s">
        <v>2710</v>
      </c>
      <c r="B2710" s="2" t="str">
        <f>IFERROR(__xludf.DUMMYFUNCTION("GOOGLETRANSLATE(A2710,""en"", ""mt"")"),"1⁄3 pressjoni normali")</f>
        <v>1⁄3 pressjoni normali</v>
      </c>
    </row>
    <row r="2711" ht="15.75" customHeight="1">
      <c r="A2711" s="2" t="s">
        <v>2711</v>
      </c>
      <c r="B2711" s="2" t="str">
        <f>IFERROR(__xludf.DUMMYFUNCTION("GOOGLETRANSLATE(A2711,""en"", ""mt"")"),"Il-Mermaid (Syrenka) hija s-simbolu ta ’Varsavja u tista’ tinstab fuq statwi madwar il-belt u fuq l-istemma tal-belt. Din ix-xbihat ilhom jintużaw mill-inqas f'nofs is-seklu 14. L-eqdem siġill armat eżistenti ta 'Varsavja huwa mis-sena 1390, li jikkonsist"&amp;"i minn siġill tond imdawwar bl-iskrizzjoni Latina Sigilium Civitatis varsoviensis (siġill tal-belt ta' Varsavja). City Records sa l-1609 jiddokumentaw l-użu ta 'forma mhux raffinata ta' mostru tal-baħar ma 'parti ta' fuq tal-ġisem u żżomm xabla fid-dwiefe"&amp;"r tagħha. Fl-1653 il-poeta Zygmunt Laukowski jistaqsi l-mistoqsija:")</f>
        <v>Il-Mermaid (Syrenka) hija s-simbolu ta ’Varsavja u tista’ tinstab fuq statwi madwar il-belt u fuq l-istemma tal-belt. Din ix-xbihat ilhom jintużaw mill-inqas f'nofs is-seklu 14. L-eqdem siġill armat eżistenti ta 'Varsavja huwa mis-sena 1390, li jikkonsisti minn siġill tond imdawwar bl-iskrizzjoni Latina Sigilium Civitatis varsoviensis (siġill tal-belt ta' Varsavja). City Records sa l-1609 jiddokumentaw l-użu ta 'forma mhux raffinata ta' mostru tal-baħar ma 'parti ta' fuq tal-ġisem u żżomm xabla fid-dwiefer tagħha. Fl-1653 il-poeta Zygmunt Laukowski jistaqsi l-mistoqsija:</v>
      </c>
    </row>
    <row r="2712" ht="15.75" customHeight="1">
      <c r="A2712" s="2" t="s">
        <v>2712</v>
      </c>
      <c r="B2712" s="2" t="str">
        <f>IFERROR(__xludf.DUMMYFUNCTION("GOOGLETRANSLATE(A2712,""en"", ""mt"")"),"ix-xewqa li tipprevjeni affarijiet li huma indiskutibbli ħżiena")</f>
        <v>ix-xewqa li tipprevjeni affarijiet li huma indiskutibbli ħżiena</v>
      </c>
    </row>
    <row r="2713" ht="15.75" customHeight="1">
      <c r="A2713" s="2" t="s">
        <v>2713</v>
      </c>
      <c r="B2713" s="2" t="str">
        <f>IFERROR(__xludf.DUMMYFUNCTION("GOOGLETRANSLATE(A2713,""en"", ""mt"")"),"Liema rebħa fl-isforzi mfixkla tal-vapuri tas-serħan Franċiżi.")</f>
        <v>Liema rebħa fl-isforzi mfixkla tal-vapuri tas-serħan Franċiżi.</v>
      </c>
    </row>
    <row r="2714" ht="15.75" customHeight="1">
      <c r="A2714" s="2" t="s">
        <v>2714</v>
      </c>
      <c r="B2714" s="2" t="str">
        <f>IFERROR(__xludf.DUMMYFUNCTION("GOOGLETRANSLATE(A2714,""en"", ""mt"")"),"L-ewwel Huguenots li jitilqu minn Franza fittxew il-ħelsien mill-persekuzzjoni fl-Isvizzera u l-Olanda. [Ċitazzjoni meħtieġa] Grupp ta 'Huguenots kien parti mill-kolonizzaturi Franċiżi li waslu fil-Brażil fl-1555 biex sabu Franza l-Antartiku. Koppja ta 'v"&amp;"apuri b'madwar 500 persuna waslu fil-bajja ta' Guanabara, Rio de Janeiro preżenti, u stabbilixxew fi gżira żgħira. Fort, bl-isem ta 'Fort Coligny, inbena biex jipproteġihom mill-attakk mit-truppi Portugiżi u l-Amerikani Nattivi Brażiljani. Kien attentat b"&amp;"iex tistabbilixxi kolonja Franċiża fl-Amerika t'Isfel. Il-forti nqered fl-1560 mill-Portugiż, li qabad parti mill-Huguenots. Il-Portugiż hedded lill-priġunieri bil-mewt jekk ma kkonvertux għall-Kattoliċiżmu. Il-Huguenots ta 'Guanabara, kif inhuma magħrufa"&amp;" issa, ipproduċew dikjarazzjoni ta' fidi biex jesprimu t-twemmin tagħhom lill-Portugiż. Din kienet is-sentenza tal-mewt tagħhom. Dan id-dokument, il-Qrar tal-Fidi Guanabara, sar l-ewwel konfessjoni Protestanti tal-Fidi fl-Amerika kollha. [Ċitazzjoni meħti"&amp;"eġa]")</f>
        <v>L-ewwel Huguenots li jitilqu minn Franza fittxew il-ħelsien mill-persekuzzjoni fl-Isvizzera u l-Olanda. [Ċitazzjoni meħtieġa] Grupp ta 'Huguenots kien parti mill-kolonizzaturi Franċiżi li waslu fil-Brażil fl-1555 biex sabu Franza l-Antartiku. Koppja ta 'vapuri b'madwar 500 persuna waslu fil-bajja ta' Guanabara, Rio de Janeiro preżenti, u stabbilixxew fi gżira żgħira. Fort, bl-isem ta 'Fort Coligny, inbena biex jipproteġihom mill-attakk mit-truppi Portugiżi u l-Amerikani Nattivi Brażiljani. Kien attentat biex tistabbilixxi kolonja Franċiża fl-Amerika t'Isfel. Il-forti nqered fl-1560 mill-Portugiż, li qabad parti mill-Huguenots. Il-Portugiż hedded lill-priġunieri bil-mewt jekk ma kkonvertux għall-Kattoliċiżmu. Il-Huguenots ta 'Guanabara, kif inhuma magħrufa issa, ipproduċew dikjarazzjoni ta' fidi biex jesprimu t-twemmin tagħhom lill-Portugiż. Din kienet is-sentenza tal-mewt tagħhom. Dan id-dokument, il-Qrar tal-Fidi Guanabara, sar l-ewwel konfessjoni Protestanti tal-Fidi fl-Amerika kollha. [Ċitazzjoni meħtieġa]</v>
      </c>
    </row>
    <row r="2715" ht="15.75" customHeight="1">
      <c r="A2715" s="2" t="s">
        <v>2715</v>
      </c>
      <c r="B2715" s="2" t="str">
        <f>IFERROR(__xludf.DUMMYFUNCTION("GOOGLETRANSLATE(A2715,""en"", ""mt"")"),"Moting Pictures, Petroleum u Aircraft Manufacturing kienu industriji ewlenin minn liema għaxar snin?")</f>
        <v>Moting Pictures, Petroleum u Aircraft Manufacturing kienu industriji ewlenin minn liema għaxar snin?</v>
      </c>
    </row>
    <row r="2716" ht="15.75" customHeight="1">
      <c r="A2716" s="2" t="s">
        <v>2716</v>
      </c>
      <c r="B2716" s="2" t="str">
        <f>IFERROR(__xludf.DUMMYFUNCTION("GOOGLETRANSLATE(A2716,""en"", ""mt"")"),"F'liema parti ta 'l-Istati Uniti ħafna studenti jemigraw lejn akkademji Kristjani matul il-perjodu ta' desegregazzjoni?")</f>
        <v>F'liema parti ta 'l-Istati Uniti ħafna studenti jemigraw lejn akkademji Kristjani matul il-perjodu ta' desegregazzjoni?</v>
      </c>
    </row>
    <row r="2717" ht="15.75" customHeight="1">
      <c r="A2717" s="2" t="s">
        <v>2717</v>
      </c>
      <c r="B2717" s="2" t="str">
        <f>IFERROR(__xludf.DUMMYFUNCTION("GOOGLETRANSLATE(A2717,""en"", ""mt"")"),"Min għandu potenzjal produttiv limitat meta jiffaċċja inqas aċċess għall-edukazzjoni?")</f>
        <v>Min għandu potenzjal produttiv limitat meta jiffaċċja inqas aċċess għall-edukazzjoni?</v>
      </c>
    </row>
    <row r="2718" ht="15.75" customHeight="1">
      <c r="A2718" s="2" t="s">
        <v>2718</v>
      </c>
      <c r="B2718" s="2" t="str">
        <f>IFERROR(__xludf.DUMMYFUNCTION("GOOGLETRANSLATE(A2718,""en"", ""mt"")"),"Kull pakkett jinkludi informazzjoni sħiħa dwar l-indirizzar")</f>
        <v>Kull pakkett jinkludi informazzjoni sħiħa dwar l-indirizzar</v>
      </c>
    </row>
    <row r="2719" ht="15.75" customHeight="1">
      <c r="A2719" s="2" t="s">
        <v>2719</v>
      </c>
      <c r="B2719" s="2" t="str">
        <f>IFERROR(__xludf.DUMMYFUNCTION("GOOGLETRANSLATE(A2719,""en"", ""mt"")"),"Ħsarat ta 'Puente Hills")</f>
        <v>Ħsarat ta 'Puente Hills</v>
      </c>
    </row>
    <row r="2720" ht="15.75" customHeight="1">
      <c r="A2720" s="2" t="s">
        <v>2720</v>
      </c>
      <c r="B2720" s="2" t="str">
        <f>IFERROR(__xludf.DUMMYFUNCTION("GOOGLETRANSLATE(A2720,""en"", ""mt"")"),"X'inhuma l-maniġers tal-kostruzzjoni?")</f>
        <v>X'inhuma l-maniġers tal-kostruzzjoni?</v>
      </c>
    </row>
    <row r="2721" ht="15.75" customHeight="1">
      <c r="A2721" s="2" t="s">
        <v>2721</v>
      </c>
      <c r="B2721" s="2" t="str">
        <f>IFERROR(__xludf.DUMMYFUNCTION("GOOGLETRANSLATE(A2721,""en"", ""mt"")"),"X'qed jitqies dan l-aħħar bħala status fundamentali ta 'ċittadini tal-istat membru mill-Qorti tal-Ġustizzja?")</f>
        <v>X'qed jitqies dan l-aħħar bħala status fundamentali ta 'ċittadini tal-istat membru mill-Qorti tal-Ġustizzja?</v>
      </c>
    </row>
    <row r="2722" ht="15.75" customHeight="1">
      <c r="A2722" s="2" t="s">
        <v>2722</v>
      </c>
      <c r="B2722" s="2" t="str">
        <f>IFERROR(__xludf.DUMMYFUNCTION("GOOGLETRANSLATE(A2722,""en"", ""mt"")"),"X'inhu PPP magħruf ukoll bħala?")</f>
        <v>X'inhu PPP magħruf ukoll bħala?</v>
      </c>
    </row>
    <row r="2723" ht="15.75" customHeight="1">
      <c r="A2723" s="2" t="s">
        <v>2723</v>
      </c>
      <c r="B2723" s="2" t="str">
        <f>IFERROR(__xludf.DUMMYFUNCTION("GOOGLETRANSLATE(A2723,""en"", ""mt"")"),"Skond l-istudjużi ġeografiċi taħt l-imperi kolonizzanti, id-dinja tista 'tinqasam f'żoni klimatiċi. Dawn l-istudjużi jemmnu li l-Ewropa tat-Tramuntana u l-klima moderata f'nofs l-Atlantiku pproduċew bniedem li jaħdem ħafna, morali u li jispikka. Alternatt"&amp;"ivament, klimi tropikali taw attitudnijiet għażżien, promiskuità sesswali, kultura eżotika, u deġenerazzjoni morali. In-nies ta 'dawn il-klimi kienu maħsuba li għandhom bżonn gwida u intervent mill-Imperu Ewropew biex jgħinu fil-gvern ta' struttura soċjal"&amp;"i aktar evolvuta; Kienu meqjusa bħala inkapaċi ta 'tali proeza. Bl-istess mod, l-Orjentaliżmu huwa veduta ta 'nies ibbażati fuq il-post ġeografiku tagħhom.")</f>
        <v>Skond l-istudjużi ġeografiċi taħt l-imperi kolonizzanti, id-dinja tista 'tinqasam f'żoni klimatiċi. Dawn l-istudjużi jemmnu li l-Ewropa tat-Tramuntana u l-klima moderata f'nofs l-Atlantiku pproduċew bniedem li jaħdem ħafna, morali u li jispikka. Alternattivament, klimi tropikali taw attitudnijiet għażżien, promiskuità sesswali, kultura eżotika, u deġenerazzjoni morali. In-nies ta 'dawn il-klimi kienu maħsuba li għandhom bżonn gwida u intervent mill-Imperu Ewropew biex jgħinu fil-gvern ta' struttura soċjali aktar evolvuta; Kienu meqjusa bħala inkapaċi ta 'tali proeza. Bl-istess mod, l-Orjentaliżmu huwa veduta ta 'nies ibbażati fuq il-post ġeografiku tagħhom.</v>
      </c>
    </row>
    <row r="2724" ht="15.75" customHeight="1">
      <c r="A2724" s="2" t="s">
        <v>2724</v>
      </c>
      <c r="B2724" s="2" t="str">
        <f>IFERROR(__xludf.DUMMYFUNCTION("GOOGLETRANSLATE(A2724,""en"", ""mt"")"),"Liema komunalità jagħmlu mudelli ta 'magni alternattivi, bħal magni ta' aċċess bl-addoċċ, jaqsmu ma 'magni tat-Turing?")</f>
        <v>Liema komunalità jagħmlu mudelli ta 'magni alternattivi, bħal magni ta' aċċess bl-addoċċ, jaqsmu ma 'magni tat-Turing?</v>
      </c>
    </row>
    <row r="2725" ht="15.75" customHeight="1">
      <c r="A2725" s="2" t="s">
        <v>2725</v>
      </c>
      <c r="B2725" s="2" t="str">
        <f>IFERROR(__xludf.DUMMYFUNCTION("GOOGLETRANSLATE(A2725,""en"", ""mt"")"),"Fejn sabu x-xjentisti tagħhom il-kampjun Y. pestis?")</f>
        <v>Fejn sabu x-xjentisti tagħhom il-kampjun Y. pestis?</v>
      </c>
    </row>
    <row r="2726" ht="15.75" customHeight="1">
      <c r="A2726" s="2" t="s">
        <v>2726</v>
      </c>
      <c r="B2726" s="2" t="str">
        <f>IFERROR(__xludf.DUMMYFUNCTION("GOOGLETRANSLATE(A2726,""en"", ""mt"")"),"Liema avveniment kien l-agħar eżempju ta 'persekuzzjoni Huguenot?")</f>
        <v>Liema avveniment kien l-agħar eżempju ta 'persekuzzjoni Huguenot?</v>
      </c>
    </row>
    <row r="2727" ht="15.75" customHeight="1">
      <c r="A2727" s="2" t="s">
        <v>2727</v>
      </c>
      <c r="B2727" s="2" t="str">
        <f>IFERROR(__xludf.DUMMYFUNCTION("GOOGLETRANSLATE(A2727,""en"", ""mt"")"),"Pakkett li jaqleb il-kuntrast ma 'dak il-prinċipal ieħor")</f>
        <v>Pakkett li jaqleb il-kuntrast ma 'dak il-prinċipal ieħor</v>
      </c>
    </row>
    <row r="2728" ht="15.75" customHeight="1">
      <c r="A2728" s="2" t="s">
        <v>2728</v>
      </c>
      <c r="B2728" s="2" t="str">
        <f>IFERROR(__xludf.DUMMYFUNCTION("GOOGLETRANSLATE(A2728,""en"", ""mt"")"),"Kif ħass William Shirley dwar l-avvanz Franċiż?")</f>
        <v>Kif ħass William Shirley dwar l-avvanz Franċiż?</v>
      </c>
    </row>
    <row r="2729" ht="15.75" customHeight="1">
      <c r="A2729" s="2" t="s">
        <v>2729</v>
      </c>
      <c r="B2729" s="2" t="str">
        <f>IFERROR(__xludf.DUMMYFUNCTION("GOOGLETRANSLATE(A2729,""en"", ""mt"")"),"Università Medika ta 'Varsavja")</f>
        <v>Università Medika ta 'Varsavja</v>
      </c>
    </row>
    <row r="2730" ht="15.75" customHeight="1">
      <c r="A2730" s="2" t="s">
        <v>2730</v>
      </c>
      <c r="B2730" s="2" t="str">
        <f>IFERROR(__xludf.DUMMYFUNCTION("GOOGLETRANSLATE(A2730,""en"", ""mt"")"),"Fl-Arti u d-Divertiment, il-kompożitur minimalista Philip Glass, żeffien, koreografu u mexxej fil-qasam tal-antropoloġija taż-żfin Katherine Dunham, fundatriċi tal-Bungie u żviluppatur tas-serje tal-logħob tal-vidjow Halo Alex Seropian, ospitanti tas-serj"&amp;"e Sarah Koenig, l-attur Edner Edner, Pulizer Premju għal Kritika tal-film li rebaħ il-kritika u s-suġġett tad-dokumentarju tal-film tal-2014 tal-ħajja nnifisha Roger Ebert, direttur, kittieb, u kummidjant Mike Nichols, direttur tal-films u skriptur Philip"&amp;" Kaufman, u Carl Van Vechten, fotografu u kittieb, huma gradwati.")</f>
        <v>Fl-Arti u d-Divertiment, il-kompożitur minimalista Philip Glass, żeffien, koreografu u mexxej fil-qasam tal-antropoloġija taż-żfin Katherine Dunham, fundatriċi tal-Bungie u żviluppatur tas-serje tal-logħob tal-vidjow Halo Alex Seropian, ospitanti tas-serje Sarah Koenig, l-attur Edner Edner, Pulizer Premju għal Kritika tal-film li rebaħ il-kritika u s-suġġett tad-dokumentarju tal-film tal-2014 tal-ħajja nnifisha Roger Ebert, direttur, kittieb, u kummidjant Mike Nichols, direttur tal-films u skriptur Philip Kaufman, u Carl Van Vechten, fotografu u kittieb, huma gradwati.</v>
      </c>
    </row>
    <row r="2731" ht="15.75" customHeight="1">
      <c r="A2731" s="2" t="s">
        <v>2731</v>
      </c>
      <c r="B2731" s="2" t="str">
        <f>IFERROR(__xludf.DUMMYFUNCTION("GOOGLETRANSLATE(A2731,""en"", ""mt"")"),"King Charles III")</f>
        <v>King Charles III</v>
      </c>
    </row>
    <row r="2732" ht="15.75" customHeight="1">
      <c r="A2732" s="2" t="s">
        <v>2732</v>
      </c>
      <c r="B2732" s="2" t="str">
        <f>IFERROR(__xludf.DUMMYFUNCTION("GOOGLETRANSLATE(A2732,""en"", ""mt"")"),"Il-liġi primarja tal-UE tikkonsisti prinċipalment fit-trattati fundaturi, it-trattati ""ewlenin"" huma t-Trattat dwar l-Unjoni Ewropea (TEU) u t-Trattat dwar il-Funzjonament tal-Unjoni Ewropea (TFEU). It-trattati fihom dispożizzjonijiet formali u sostanti"&amp;"vi, li jiffurmaw politiki tal-istituzzjonijiet tal-Unjoni Ewropea u jiddeterminaw id-diviżjoni tal-kompetenzi bejn l-Unjoni Ewropea u l-istati membri tagħha. It-TEU jistabbilixxi li l-liġi tal-Unjoni Ewropea tapplika għat-territorji metropolitani tal-Ista"&amp;"ti Membri, kif ukoll għal ċerti gżejjer u territorji barranin, inklużi Madeira, il-Gżejjer Kanarji u d-dipartimenti barranin Franċiżi. Il-liġi tal-Unjoni Ewropea tapplika wkoll f'territorji fejn Stat Membru huwa responsabbli għar-relazzjonijiet esterni, p"&amp;"ereżempju Ġibiltà u l-Gżejjer Åland. It-TEU jippermetti lill-Kunsill Ewropew jagħmel dispożizzjonijiet speċifiċi għar-reġjuni, bħal pereżempju magħmul għal kwistjonijiet doganali f'Ġibiltà u Saint-Pierre-et-Miquelon. It-TEU teskludi speċifikament ċerti re"&amp;"ġjuni, pereżempju l-Gżejjer Faroe, mill-ġurisdizzjoni tal-liġi tal-Unjoni Ewropea. It-trattati japplikaw malli jidħlu fis-seħħ, sakemm ma jingħadx mod ieħor, u ġeneralment jiġu konklużi għal perjodu illimitat. It-TEU jipprovdi li l-impenji mdaħħla mill-is"&amp;"tati membri bejniethom qabel ma ġie ffirmat it-trattat ma jibqgħux japplikaw. [Vag] L-istati membri kollha tal-UE huma meqjusa bħala soġġetti għall-obbligu ġenerali tal-prinċipju ta 'kooperazzjoni, kif intqal fit-TEU, fejn L-istati membri huma obbligati l"&amp;"i ma jieħdu miżura li tista 'tipperikola l-kisba tal-għanijiet tat-TEU. Il-Qorti tal-Ġustizzja tal-Unjoni Ewropea tista 'tinterpreta t-trattati, iżda ma tistax tiddeċiedi fuq il-validità tagħhom, li hija soġġetta għal-liġi internazzjonali. L-individwi jis"&amp;"tgħu jiddependu fuq il-liġi primarja fil-Qorti tal-Ġustizzja tal-Unjoni Ewropea jekk id-dispożizzjonijiet tat-trattati jkollhom effett dirett u huma ċari biżżejjed, preċiżi u inkondizzjonati.")</f>
        <v>Il-liġi primarja tal-UE tikkonsisti prinċipalment fit-trattati fundaturi, it-trattati "ewlenin" huma t-Trattat dwar l-Unjoni Ewropea (TEU) u t-Trattat dwar il-Funzjonament tal-Unjoni Ewropea (TFEU). It-trattati fihom dispożizzjonijiet formali u sostantivi, li jiffurmaw politiki tal-istituzzjonijiet tal-Unjoni Ewropea u jiddeterminaw id-diviżjoni tal-kompetenzi bejn l-Unjoni Ewropea u l-istati membri tagħha. It-TEU jistabbilixxi li l-liġi tal-Unjoni Ewropea tapplika għat-territorji metropolitani tal-Istati Membri, kif ukoll għal ċerti gżejjer u territorji barranin, inklużi Madeira, il-Gżejjer Kanarji u d-dipartimenti barranin Franċiżi. Il-liġi tal-Unjoni Ewropea tapplika wkoll f'territorji fejn Stat Membru huwa responsabbli għar-relazzjonijiet esterni, pereżempju Ġibiltà u l-Gżejjer Åland. It-TEU jippermetti lill-Kunsill Ewropew jagħmel dispożizzjonijiet speċifiċi għar-reġjuni, bħal pereżempju magħmul għal kwistjonijiet doganali f'Ġibiltà u Saint-Pierre-et-Miquelon. It-TEU teskludi speċifikament ċerti reġjuni, pereżempju l-Gżejjer Faroe, mill-ġurisdizzjoni tal-liġi tal-Unjoni Ewropea. It-trattati japplikaw malli jidħlu fis-seħħ, sakemm ma jingħadx mod ieħor, u ġeneralment jiġu konklużi għal perjodu illimitat. It-TEU jipprovdi li l-impenji mdaħħla mill-istati membri bejniethom qabel ma ġie ffirmat it-trattat ma jibqgħux japplikaw. [Vag] L-istati membri kollha tal-UE huma meqjusa bħala soġġetti għall-obbligu ġenerali tal-prinċipju ta 'kooperazzjoni, kif intqal fit-TEU, fejn L-istati membri huma obbligati li ma jieħdu miżura li tista 'tipperikola l-kisba tal-għanijiet tat-TEU. Il-Qorti tal-Ġustizzja tal-Unjoni Ewropea tista 'tinterpreta t-trattati, iżda ma tistax tiddeċiedi fuq il-validità tagħhom, li hija soġġetta għal-liġi internazzjonali. L-individwi jistgħu jiddependu fuq il-liġi primarja fil-Qorti tal-Ġustizzja tal-Unjoni Ewropea jekk id-dispożizzjonijiet tat-trattati jkollhom effett dirett u huma ċari biżżejjed, preċiżi u inkondizzjonati.</v>
      </c>
    </row>
    <row r="2733" ht="15.75" customHeight="1">
      <c r="A2733" s="2" t="s">
        <v>2733</v>
      </c>
      <c r="B2733" s="2" t="str">
        <f>IFERROR(__xludf.DUMMYFUNCTION("GOOGLETRANSLATE(A2733,""en"", ""mt"")"),"Duttrina ta 'trans-startjazzjoni matul il-massa")</f>
        <v>Duttrina ta 'trans-startjazzjoni matul il-massa</v>
      </c>
    </row>
    <row r="2734" ht="15.75" customHeight="1">
      <c r="A2734" s="2" t="s">
        <v>2734</v>
      </c>
      <c r="B2734" s="2" t="str">
        <f>IFERROR(__xludf.DUMMYFUNCTION("GOOGLETRANSLATE(A2734,""en"", ""mt"")"),"Matul id-Dinastija tal-Kanzunetta tan-Nofsinhar id-dixxendent ta ’Confucius fi Qufu, id-Duka Yansheng Kong Duanyou ħarab lejn in-nofsinhar mal-kanzunetta Imperatur għal Quzhou, filwaqt li d-Dynasty Jin li għadu kif twaqqaf (1115-1234) fit-tramuntana ħatar"&amp;" it-tramuntana ta’ Kong Duanyou, ħu Duanyou Duancao li baqa ’fi Qufu bħala Duke Yansheng. Minn dak iż-żmien sad-dinastija Yuan, kien hemm żewġ Duka Yanshengs, darba fit-tramuntana ta ’Qufu u l-ieħor fin-nofsinhar ta’ Quzhou. Matul id-dinastija Yuan, l-Imp"&amp;"eratur Kublai Khan stieden lid-duka tan-Nofsinhar Yansheng Kong Zhu biex jirritorna lejn Qufu. Kong Zhu rrifjuta, u ċeda t-titlu, u għalhekk il-fergħa tat-tramuntana tal-familja żammet it-titlu ta ’Duke Yansheng. Il-fergħa tan-Nofsinhar xorta baqgħet fi Q"&amp;"uzhou fejn għexu sal-lum. Id-dixxendenti ta ’Confucius fi Quzhou waħdu n-numru 30,000. Matul id-dinastija Yuan, wieħed mid-dixxendenti ta ’Confucius mar miċ-Ċina għall-era ta’ Goryeo u stabbilixxa fergħa tal-familja hemmhekk wara li żżewweġ mara Koreana.")</f>
        <v>Matul id-Dinastija tal-Kanzunetta tan-Nofsinhar id-dixxendent ta ’Confucius fi Qufu, id-Duka Yansheng Kong Duanyou ħarab lejn in-nofsinhar mal-kanzunetta Imperatur għal Quzhou, filwaqt li d-Dynasty Jin li għadu kif twaqqaf (1115-1234) fit-tramuntana ħatar it-tramuntana ta’ Kong Duanyou, ħu Duanyou Duancao li baqa ’fi Qufu bħala Duke Yansheng. Minn dak iż-żmien sad-dinastija Yuan, kien hemm żewġ Duka Yanshengs, darba fit-tramuntana ta ’Qufu u l-ieħor fin-nofsinhar ta’ Quzhou. Matul id-dinastija Yuan, l-Imperatur Kublai Khan stieden lid-duka tan-Nofsinhar Yansheng Kong Zhu biex jirritorna lejn Qufu. Kong Zhu rrifjuta, u ċeda t-titlu, u għalhekk il-fergħa tat-tramuntana tal-familja żammet it-titlu ta ’Duke Yansheng. Il-fergħa tan-Nofsinhar xorta baqgħet fi Quzhou fejn għexu sal-lum. Id-dixxendenti ta ’Confucius fi Quzhou waħdu n-numru 30,000. Matul id-dinastija Yuan, wieħed mid-dixxendenti ta ’Confucius mar miċ-Ċina għall-era ta’ Goryeo u stabbilixxa fergħa tal-familja hemmhekk wara li żżewweġ mara Koreana.</v>
      </c>
    </row>
    <row r="2735" ht="15.75" customHeight="1">
      <c r="A2735" s="2" t="s">
        <v>2735</v>
      </c>
      <c r="B2735" s="2" t="str">
        <f>IFERROR(__xludf.DUMMYFUNCTION("GOOGLETRANSLATE(A2735,""en"", ""mt"")"),"Kif xi wħud jissuspettaw li Polo tgħallmu dwar iċ-Ċina minflok ma żżurha fil-fatt?")</f>
        <v>Kif xi wħud jissuspettaw li Polo tgħallmu dwar iċ-Ċina minflok ma żżurha fil-fatt?</v>
      </c>
    </row>
    <row r="2736" ht="15.75" customHeight="1">
      <c r="A2736" s="2" t="s">
        <v>2736</v>
      </c>
      <c r="B2736" s="2" t="str">
        <f>IFERROR(__xludf.DUMMYFUNCTION("GOOGLETRANSLATE(A2736,""en"", ""mt"")"),"L-Organizzazzjoni Meteoroloġika Dinjija (WMO) u l-Programm tal-Ambjent tan-Nazzjonijiet Uniti (UNEP)")</f>
        <v>L-Organizzazzjoni Meteoroloġika Dinjija (WMO) u l-Programm tal-Ambjent tan-Nazzjonijiet Uniti (UNEP)</v>
      </c>
    </row>
    <row r="2737" ht="15.75" customHeight="1">
      <c r="A2737" s="2" t="s">
        <v>2737</v>
      </c>
      <c r="B2737" s="2" t="str">
        <f>IFERROR(__xludf.DUMMYFUNCTION("GOOGLETRANSLATE(A2737,""en"", ""mt"")"),"Ekwilibriju statiku bejn żewġ forzi huwa l-iktar mod tas-soltu ta 'kejl tal-forzi, bl-użu ta' apparati sempliċi bħal skali ta 'użin u bilanċi tar-rebbiegħa. Pereżempju, oġġett sospiż fuq skala tar-rebbiegħa vertikali jesperjenza l-forza tal-gravità li taġ"&amp;"ixxi fuq l-oġġett ibbilanċjat minn forza applikata mill- ""forza ta 'reazzjoni tar-rebbiegħa"", li hija daqs il-piż tal-oġġett. Bl-użu ta 'għodod bħal dawn, ġew skoperti xi liġijiet tal-forza kwantitattiva: li l-forza tal-gravità hija proporzjonali għall-"&amp;"volum għal oġġetti ta' densità kostanti (sfruttati b'mod wiesa 'għal millenji biex jiddefinixxu piżijiet standard); Prinċipju ta 'Archimedes għal galleġġjatura; L-analiżi ta 'Archimedes tal-lieva; Liġi ta 'Boyle għall-pressjoni tal-gass; u l-liġi ta 'Hook"&amp;"e għall-molol. Dawn kienu kollha fformulati u vverifikati b'mod sperimentali qabel Isaac Newton esponew it-tliet liġijiet tal-mozzjoni tiegħu.")</f>
        <v>Ekwilibriju statiku bejn żewġ forzi huwa l-iktar mod tas-soltu ta 'kejl tal-forzi, bl-użu ta' apparati sempliċi bħal skali ta 'użin u bilanċi tar-rebbiegħa. Pereżempju, oġġett sospiż fuq skala tar-rebbiegħa vertikali jesperjenza l-forza tal-gravità li taġixxi fuq l-oġġett ibbilanċjat minn forza applikata mill- "forza ta 'reazzjoni tar-rebbiegħa", li hija daqs il-piż tal-oġġett. Bl-użu ta 'għodod bħal dawn, ġew skoperti xi liġijiet tal-forza kwantitattiva: li l-forza tal-gravità hija proporzjonali għall-volum għal oġġetti ta' densità kostanti (sfruttati b'mod wiesa 'għal millenji biex jiddefinixxu piżijiet standard); Prinċipju ta 'Archimedes għal galleġġjatura; L-analiżi ta 'Archimedes tal-lieva; Liġi ta 'Boyle għall-pressjoni tal-gass; u l-liġi ta 'Hooke għall-molol. Dawn kienu kollha fformulati u vverifikati b'mod sperimentali qabel Isaac Newton esponew it-tliet liġijiet tal-mozzjoni tiegħu.</v>
      </c>
    </row>
    <row r="2738" ht="15.75" customHeight="1">
      <c r="A2738" s="2" t="s">
        <v>2738</v>
      </c>
      <c r="B2738" s="2" t="str">
        <f>IFERROR(__xludf.DUMMYFUNCTION("GOOGLETRANSLATE(A2738,""en"", ""mt"")"),"Kapaċità li jeħles ir-risponsi immuni li jospitaw")</f>
        <v>Kapaċità li jeħles ir-risponsi immuni li jospitaw</v>
      </c>
    </row>
    <row r="2739" ht="15.75" customHeight="1">
      <c r="A2739" s="2" t="s">
        <v>2739</v>
      </c>
      <c r="B2739" s="2" t="str">
        <f>IFERROR(__xludf.DUMMYFUNCTION("GOOGLETRANSLATE(A2739,""en"", ""mt"")"),"Kunsill tal-Belt ta 'Varsavja")</f>
        <v>Kunsill tal-Belt ta 'Varsavja</v>
      </c>
    </row>
    <row r="2740" ht="15.75" customHeight="1">
      <c r="A2740" s="2" t="s">
        <v>2740</v>
      </c>
      <c r="B2740" s="2" t="str">
        <f>IFERROR(__xludf.DUMMYFUNCTION("GOOGLETRANSLATE(A2740,""en"", ""mt"")"),"X'inhi kelma oħra għall-inklużjonijiet fil-blat sedimentarji?")</f>
        <v>X'inhi kelma oħra għall-inklużjonijiet fil-blat sedimentarji?</v>
      </c>
    </row>
    <row r="2741" ht="15.75" customHeight="1">
      <c r="A2741" s="2" t="s">
        <v>2741</v>
      </c>
      <c r="B2741" s="2" t="str">
        <f>IFERROR(__xludf.DUMMYFUNCTION("GOOGLETRANSLATE(A2741,""en"", ""mt"")"),"Il-moviment liberu tar-regolament tal-ħaddiema artikoli 1 sa 7 stabbilixxa d-dispożizzjonijiet ewlenin dwar trattament ugwali tal-ħaddiema. L-ewwel, l-Artikoli 1 sa 4 ġeneralment jirrikjedu li l-ħaddiema jistgħu jieħdu impjieg, jikkonkludu kuntratti, u ma"&amp;" jsofrux diskriminazzjoni meta mqabbla ma 'ċittadini ta' l-Istat Membru. F'każ famuż, l-Assoċjazzjoni Belġjana tal-Futbol V Bosman, futboler Belġjan jismu Jean-Marc Bosman iddikjara li għandu jkun jista 'jittrasferixxi minn R.F.C. De Liège lil USL Dunkerq"&amp;"ue meta l-kuntratt tiegħu spiċċa, irrispettivament minn jekk Dunkerque jistax jaffordja li jħallas lil Liège l-miżati tat-trasferiment abitwali. Il-Qorti tal-Ġustizzja għamlet ""ir-regoli ta 'trasferiment jikkostitwixxu [d] ostaklu għall-moviment liberu"""&amp;" u kienu illegali sakemm ma jkunux jistgħu jiġu ġġustifikati fl-interess pubbliku, iżda dan kien improbabbli. Fil-Ministru Groener v għall-Edukazzjoni, il-Qorti tal-Ġustizzja aċċettat li r-rekwiżit li titkellem fil-Galliku biex tgħallem f'kulleġġ tad-disi"&amp;"nn ta 'Dublin jista' jkun iġġustifikat bħala parti mill-politika pubblika tal-promozzjoni tal-lingwa Irlandiża, iżda biss jekk il-miżura ma kinitx sproporzjonata. B'kuntrast fl-Angones v Cassa di Risparmio di Bolzano Spa A Bank f'Bolzano, l-Italja, ma tħa"&amp;"llewx jirrikjedu li s-Sur Angonese jkollu ċertifikat bilingwi li jista 'jinkiseb biss f'Bolzano. Il-Qorti tal-Ġustizzja, li tagħti effett dirett ""orizzontali"" lill-Artikolu 45 tat-TFEU, irraġuna li nies minn pajjiżi oħra ma tantx ikollhom ċans li jakkwi"&amp;"staw iċ-ċertifikat, u minħabba li kien ""impossibbli li tissottometti prova tal-għarfien lingwistiku meħtieġ bi kwalunkwe mezz ieħor"" , il-miżura kienet sproporzjonata. It-tieni, l-Artikolu 7 (2) jirrikjedi trattament ugwali fir-rigward tat-taxxa. Fil-Fi"&amp;"nanzamt Köln Altstadt vs Schumacker, il-Qorti tal-Ġustizzja ddeċidiet li kienet tikser l-Art TFEU 45 biex tiċħad il-benefiċċji tat-taxxa (e.g. għal koppji miżżewġa, u tnaqqis tal-ispejjeż tal-assigurazzjoni soċjali) lil raġel li ħadem fil-Ġermanja, iżda k"&amp;"ien residenti fil-Belġju meta residenti oħra Ġermaniżi sibt il-benefiċċji. B'kuntrast f'Weigel vs Finanzlandesdirektion für Vorarlberg Il-Qorti tal-Ġustizzja ċaħdet it-talba tas-Sur Weigel li ħlas mill-ġdid ta 'reġistrazzjoni meta ressaq il-karozza tiegħu"&amp;" fl-Awstrija kiser id-dritt tiegħu għall-moviment ħieles. Għalkemm it-taxxa kienet ""x'aktarx ikollha effett negattiv fuq id-deċiżjoni tal-ħaddiema migranti li jeżerċitaw id-dritt tagħhom għal-libertà tal-moviment"", minħabba li l-ħlas applika bl-istess m"&amp;"od għall-Awstrijaċi, fin-nuqqas ta 'leġislazzjoni tal-UE dwar il-kwistjoni li kellha titqies bħala ġustifikata bħala ġustifikata Jonqos It-tielet, in-nies għandhom jirċievu trattament ugwali rigward ""vantaġġi soċjali"", għalkemm il-qorti approvat perjodi"&amp;" ta 'kwalifikazzjoni residenzjali. Fl-Istitut tal-Assigurazzjoni tal-Impjegati Hendrix vs il-Qorti tal-Ġustizzja ddeċidiet li ċittadin Olandiż ma kellux id-dritt li jkompli jirċievi benefiċċji ta 'inkapaċità meta mar il-Belġju, minħabba li l-benefiċċju ki"&amp;"en ""marbut mill-qrib mas-sitwazzjoni soċjo-ekonomika"" tal-Pajjiżi l-Baxxi. Bil-maqlub, f'Geven v Land Nordrhein-Westfalen Il-Qorti tal-Ġustizzja ddeċidiet li mara Olandiża li tgħix fl-Olanda, iżda taħdem bejn 3 u 14-il siegħa fil-ġimgħa fil-Ġermanja, ma"&amp;" kellhiex id-dritt li tirċievi benefiċċji tat-tfal Ġermaniżi, minkejja li l-mara ta 'raġel li ħadem full-time fil-Ġermanja iżda kien residenti fl-Awstrija. Il-ġustifikazzjonijiet ġenerali għall-limitazzjoni tal-moviment liberu fl-Artikolu 45 (3) huma ""po"&amp;"litika pubblika, sigurtà pubblika jew saħħa pubblika"", u hemm ukoll eċċezzjoni ġenerali fl-Artikolu 45 (4) għal ""impjieg fis-servizz pubbliku"".")</f>
        <v>Il-moviment liberu tar-regolament tal-ħaddiema artikoli 1 sa 7 stabbilixxa d-dispożizzjonijiet ewlenin dwar trattament ugwali tal-ħaddiema. L-ewwel, l-Artikoli 1 sa 4 ġeneralment jirrikjedu li l-ħaddiema jistgħu jieħdu impjieg, jikkonkludu kuntratti, u ma jsofrux diskriminazzjoni meta mqabbla ma 'ċittadini ta' l-Istat Membru. F'każ famuż, l-Assoċjazzjoni Belġjana tal-Futbol V Bosman, futboler Belġjan jismu Jean-Marc Bosman iddikjara li għandu jkun jista 'jittrasferixxi minn R.F.C. De Liège lil USL Dunkerque meta l-kuntratt tiegħu spiċċa, irrispettivament minn jekk Dunkerque jistax jaffordja li jħallas lil Liège l-miżati tat-trasferiment abitwali. Il-Qorti tal-Ġustizzja għamlet "ir-regoli ta 'trasferiment jikkostitwixxu [d] ostaklu għall-moviment liberu" u kienu illegali sakemm ma jkunux jistgħu jiġu ġġustifikati fl-interess pubbliku, iżda dan kien improbabbli. Fil-Ministru Groener v għall-Edukazzjoni, il-Qorti tal-Ġustizzja aċċettat li r-rekwiżit li titkellem fil-Galliku biex tgħallem f'kulleġġ tad-disinn ta 'Dublin jista' jkun iġġustifikat bħala parti mill-politika pubblika tal-promozzjoni tal-lingwa Irlandiża, iżda biss jekk il-miżura ma kinitx sproporzjonata. B'kuntrast fl-Angones v Cassa di Risparmio di Bolzano Spa A Bank f'Bolzano, l-Italja, ma tħallewx jirrikjedu li s-Sur Angonese jkollu ċertifikat bilingwi li jista 'jinkiseb biss f'Bolzano. Il-Qorti tal-Ġustizzja, li tagħti effett dirett "orizzontali" lill-Artikolu 45 tat-TFEU, irraġuna li nies minn pajjiżi oħra ma tantx ikollhom ċans li jakkwistaw iċ-ċertifikat, u minħabba li kien "impossibbli li tissottometti prova tal-għarfien lingwistiku meħtieġ bi kwalunkwe mezz ieħor" , il-miżura kienet sproporzjonata. It-tieni, l-Artikolu 7 (2) jirrikjedi trattament ugwali fir-rigward tat-taxxa. Fil-Finanzamt Köln Altstadt vs Schumacker, il-Qorti tal-Ġustizzja ddeċidiet li kienet tikser l-Art TFEU 45 biex tiċħad il-benefiċċji tat-taxxa (e.g. għal koppji miżżewġa, u tnaqqis tal-ispejjeż tal-assigurazzjoni soċjali) lil raġel li ħadem fil-Ġermanja, iżda kien residenti fil-Belġju meta residenti oħra Ġermaniżi sibt il-benefiċċji. B'kuntrast f'Weigel vs Finanzlandesdirektion für Vorarlberg Il-Qorti tal-Ġustizzja ċaħdet it-talba tas-Sur Weigel li ħlas mill-ġdid ta 'reġistrazzjoni meta ressaq il-karozza tiegħu fl-Awstrija kiser id-dritt tiegħu għall-moviment ħieles. Għalkemm it-taxxa kienet "x'aktarx ikollha effett negattiv fuq id-deċiżjoni tal-ħaddiema migranti li jeżerċitaw id-dritt tagħhom għal-libertà tal-moviment", minħabba li l-ħlas applika bl-istess mod għall-Awstrijaċi, fin-nuqqas ta 'leġislazzjoni tal-UE dwar il-kwistjoni li kellha titqies bħala ġustifikata bħala ġustifikata Jonqos It-tielet, in-nies għandhom jirċievu trattament ugwali rigward "vantaġġi soċjali", għalkemm il-qorti approvat perjodi ta 'kwalifikazzjoni residenzjali. Fl-Istitut tal-Assigurazzjoni tal-Impjegati Hendrix vs il-Qorti tal-Ġustizzja ddeċidiet li ċittadin Olandiż ma kellux id-dritt li jkompli jirċievi benefiċċji ta 'inkapaċità meta mar il-Belġju, minħabba li l-benefiċċju kien "marbut mill-qrib mas-sitwazzjoni soċjo-ekonomika" tal-Pajjiżi l-Baxxi. Bil-maqlub, f'Geven v Land Nordrhein-Westfalen Il-Qorti tal-Ġustizzja ddeċidiet li mara Olandiża li tgħix fl-Olanda, iżda taħdem bejn 3 u 14-il siegħa fil-ġimgħa fil-Ġermanja, ma kellhiex id-dritt li tirċievi benefiċċji tat-tfal Ġermaniżi, minkejja li l-mara ta 'raġel li ħadem full-time fil-Ġermanja iżda kien residenti fl-Awstrija. Il-ġustifikazzjonijiet ġenerali għall-limitazzjoni tal-moviment liberu fl-Artikolu 45 (3) huma "politika pubblika, sigurtà pubblika jew saħħa pubblika", u hemm ukoll eċċezzjoni ġenerali fl-Artikolu 45 (4) għal "impjieg fis-servizz pubbliku".</v>
      </c>
    </row>
    <row r="2742" ht="15.75" customHeight="1">
      <c r="A2742" s="2" t="s">
        <v>2742</v>
      </c>
      <c r="B2742" s="2" t="str">
        <f>IFERROR(__xludf.DUMMYFUNCTION("GOOGLETRANSLATE(A2742,""en"", ""mt"")"),"X'inhu t-tieni ajruport l-iktar traffikuż fl-Istati Uniti?")</f>
        <v>X'inhu t-tieni ajruport l-iktar traffikuż fl-Istati Uniti?</v>
      </c>
    </row>
    <row r="2743" ht="15.75" customHeight="1">
      <c r="A2743" s="2" t="s">
        <v>2743</v>
      </c>
      <c r="B2743" s="2" t="str">
        <f>IFERROR(__xludf.DUMMYFUNCTION("GOOGLETRANSLATE(A2743,""en"", ""mt"")"),"L-analiżi ta 'algoritmu speċifiku hija tipikament assenjata għal liema qasam tax-xjenza tal-komputazzjoni?")</f>
        <v>L-analiżi ta 'algoritmu speċifiku hija tipikament assenjata għal liema qasam tax-xjenza tal-komputazzjoni?</v>
      </c>
    </row>
    <row r="2744" ht="15.75" customHeight="1">
      <c r="A2744" s="2" t="s">
        <v>2744</v>
      </c>
      <c r="B2744" s="2" t="str">
        <f>IFERROR(__xludf.DUMMYFUNCTION("GOOGLETRANSLATE(A2744,""en"", ""mt"")"),"baqgħu ħajjin ħafna gwerer, kunflitti u invażjonijiet")</f>
        <v>baqgħu ħajjin ħafna gwerer, kunflitti u invażjonijiet</v>
      </c>
    </row>
    <row r="2745" ht="15.75" customHeight="1">
      <c r="A2745" s="2" t="s">
        <v>2745</v>
      </c>
      <c r="B2745" s="2" t="str">
        <f>IFERROR(__xludf.DUMMYFUNCTION("GOOGLETRANSLATE(A2745,""en"", ""mt"")"),"Ir-rwol fit-tixrid tal-għarfien dwar, u l-aċċess għan-netwerking nazzjonali u kien pass importanti fit-triq għall-iżvilupp tal-internet globali")</f>
        <v>Ir-rwol fit-tixrid tal-għarfien dwar, u l-aċċess għan-netwerking nazzjonali u kien pass importanti fit-triq għall-iżvilupp tal-internet globali</v>
      </c>
    </row>
    <row r="2746" ht="15.75" customHeight="1">
      <c r="A2746" s="2" t="s">
        <v>2746</v>
      </c>
      <c r="B2746" s="2" t="str">
        <f>IFERROR(__xludf.DUMMYFUNCTION("GOOGLETRANSLATE(A2746,""en"", ""mt"")"),"ir-referendum fi Franza u r-referendum fl-Olanda")</f>
        <v>ir-referendum fi Franza u r-referendum fl-Olanda</v>
      </c>
    </row>
    <row r="2747" ht="15.75" customHeight="1">
      <c r="A2747" s="2" t="s">
        <v>2747</v>
      </c>
      <c r="B2747" s="2" t="str">
        <f>IFERROR(__xludf.DUMMYFUNCTION("GOOGLETRANSLATE(A2747,""en"", ""mt"")"),"biex jagħżlu l-istudenti tagħhom")</f>
        <v>biex jagħżlu l-istudenti tagħhom</v>
      </c>
    </row>
    <row r="2748" ht="15.75" customHeight="1">
      <c r="A2748" s="2" t="s">
        <v>2748</v>
      </c>
      <c r="B2748" s="2" t="str">
        <f>IFERROR(__xludf.DUMMYFUNCTION("GOOGLETRANSLATE(A2748,""en"", ""mt"")"),"Metro jħarreġ Melbourne")</f>
        <v>Metro jħarreġ Melbourne</v>
      </c>
    </row>
    <row r="2749" ht="15.75" customHeight="1">
      <c r="A2749" s="2" t="s">
        <v>2749</v>
      </c>
      <c r="B2749" s="2" t="str">
        <f>IFERROR(__xludf.DUMMYFUNCTION("GOOGLETRANSLATE(A2749,""en"", ""mt"")"),"It-tieni u t-tielet ġirja")</f>
        <v>It-tieni u t-tielet ġirja</v>
      </c>
    </row>
    <row r="2750" ht="15.75" customHeight="1">
      <c r="A2750" s="2" t="s">
        <v>2750</v>
      </c>
      <c r="B2750" s="2" t="str">
        <f>IFERROR(__xludf.DUMMYFUNCTION("GOOGLETRANSLATE(A2750,""en"", ""mt"")"),"Fis-snin sebgħin, il-belt kienet is-suġġett ta 'kanzunetta, ""Walking In Fresno"", miktuba mill-kitarrist tas-Sala tal-Eroj Bill Aken u rrekordjat minn Bob Gallion of the World-famuż ""WWVA Jamboree"" Radju u Televiżiv Show in Wheeling, West Virginia Jonq"&amp;"os Aken, adottat mill-attriċi tal-films Messikani Lupe Mayorga, kiber fil-belt ġirien ta 'Madera u l-kanzunetta tiegħu kronikaw it-tbatijiet li jħabbtu wiċċhom magħhom il-ħaddiema tal-farm migranti li ra bħala tifel. Aken għamel ukoll l-ewwel dehra tat-TV"&amp;" tiegħu jdoqq il-kitarra fuq l-ispettaklu l-qadim tal-Punent fil-Fresno Barn.")</f>
        <v>Fis-snin sebgħin, il-belt kienet is-suġġett ta 'kanzunetta, "Walking In Fresno", miktuba mill-kitarrist tas-Sala tal-Eroj Bill Aken u rrekordjat minn Bob Gallion of the World-famuż "WWVA Jamboree" Radju u Televiżiv Show in Wheeling, West Virginia Jonqos Aken, adottat mill-attriċi tal-films Messikani Lupe Mayorga, kiber fil-belt ġirien ta 'Madera u l-kanzunetta tiegħu kronikaw it-tbatijiet li jħabbtu wiċċhom magħhom il-ħaddiema tal-farm migranti li ra bħala tifel. Aken għamel ukoll l-ewwel dehra tat-TV tiegħu jdoqq il-kitarra fuq l-ispettaklu l-qadim tal-Punent fil-Fresno Barn.</v>
      </c>
    </row>
    <row r="2751" ht="15.75" customHeight="1">
      <c r="A2751" s="2" t="s">
        <v>2751</v>
      </c>
      <c r="B2751" s="2" t="str">
        <f>IFERROR(__xludf.DUMMYFUNCTION("GOOGLETRANSLATE(A2751,""en"", ""mt"")"),"lokali-globali")</f>
        <v>lokali-globali</v>
      </c>
    </row>
    <row r="2752" ht="15.75" customHeight="1">
      <c r="A2752" s="2" t="s">
        <v>2752</v>
      </c>
      <c r="B2752" s="2" t="str">
        <f>IFERROR(__xludf.DUMMYFUNCTION("GOOGLETRANSLATE(A2752,""en"", ""mt"")"),"moxt ġelatina.")</f>
        <v>moxt ġelatina.</v>
      </c>
    </row>
    <row r="2753" ht="15.75" customHeight="1">
      <c r="A2753" s="2" t="s">
        <v>2753</v>
      </c>
      <c r="B2753" s="2" t="str">
        <f>IFERROR(__xludf.DUMMYFUNCTION("GOOGLETRANSLATE(A2753,""en"", ""mt"")"),"permess ta 'okkupazzjoni")</f>
        <v>permess ta 'okkupazzjoni</v>
      </c>
    </row>
    <row r="2754" ht="15.75" customHeight="1">
      <c r="A2754" s="2" t="s">
        <v>2754</v>
      </c>
      <c r="B2754" s="2" t="str">
        <f>IFERROR(__xludf.DUMMYFUNCTION("GOOGLETRANSLATE(A2754,""en"", ""mt"")"),"Liema koalizzjoni żdiedet biex topponi Franza ta 'Louis XIV?")</f>
        <v>Liema koalizzjoni żdiedet biex topponi Franza ta 'Louis XIV?</v>
      </c>
    </row>
    <row r="2755" ht="15.75" customHeight="1">
      <c r="A2755" s="2" t="s">
        <v>2755</v>
      </c>
      <c r="B2755" s="2" t="str">
        <f>IFERROR(__xludf.DUMMYFUNCTION("GOOGLETRANSLATE(A2755,""en"", ""mt"")"),"labirint ta 'problemi semantiċi u niceties grammatikali")</f>
        <v>labirint ta 'problemi semantiċi u niceties grammatikali</v>
      </c>
    </row>
    <row r="2756" ht="15.75" customHeight="1">
      <c r="A2756" s="2" t="s">
        <v>2756</v>
      </c>
      <c r="B2756" s="2" t="str">
        <f>IFERROR(__xludf.DUMMYFUNCTION("GOOGLETRANSLATE(A2756,""en"", ""mt"")"),"Huma proprjetà tal-pajjiż Ohio")</f>
        <v>Huma proprjetà tal-pajjiż Ohio</v>
      </c>
    </row>
    <row r="2757" ht="15.75" customHeight="1">
      <c r="A2757" s="2" t="s">
        <v>2757</v>
      </c>
      <c r="B2757" s="2" t="str">
        <f>IFERROR(__xludf.DUMMYFUNCTION("GOOGLETRANSLATE(A2757,""en"", ""mt"")"),"Feudalism patrimonial")</f>
        <v>Feudalism patrimonial</v>
      </c>
    </row>
    <row r="2758" ht="15.75" customHeight="1">
      <c r="A2758" s="2" t="s">
        <v>2758</v>
      </c>
      <c r="B2758" s="2" t="str">
        <f>IFERROR(__xludf.DUMMYFUNCTION("GOOGLETRANSLATE(A2758,""en"", ""mt"")"),"Fertilità tal-ħamrija u invażjoni tal-ħaxix ħażin")</f>
        <v>Fertilità tal-ħamrija u invażjoni tal-ħaxix ħażin</v>
      </c>
    </row>
    <row r="2759" ht="15.75" customHeight="1">
      <c r="A2759" s="2" t="s">
        <v>2759</v>
      </c>
      <c r="B2759" s="2" t="str">
        <f>IFERROR(__xludf.DUMMYFUNCTION("GOOGLETRANSLATE(A2759,""en"", ""mt"")"),"L-ekwazzjoni ta 'Schrödinger")</f>
        <v>L-ekwazzjoni ta 'Schrödinger</v>
      </c>
    </row>
    <row r="2760" ht="15.75" customHeight="1">
      <c r="A2760" s="2" t="s">
        <v>2760</v>
      </c>
      <c r="B2760" s="2" t="str">
        <f>IFERROR(__xludf.DUMMYFUNCTION("GOOGLETRANSLATE(A2760,""en"", ""mt"")"),"Tfittex kera")</f>
        <v>Tfittex kera</v>
      </c>
    </row>
    <row r="2761" ht="15.75" customHeight="1">
      <c r="A2761" s="2" t="s">
        <v>2761</v>
      </c>
      <c r="B2761" s="2" t="str">
        <f>IFERROR(__xludf.DUMMYFUNCTION("GOOGLETRANSLATE(A2761,""en"", ""mt"")"),"Min ikkonkluda li d-differenza fl-inugwaljanza tad-dħul li qed tiżdied ma kinitx qed titjieb?")</f>
        <v>Min ikkonkluda li d-differenza fl-inugwaljanza tad-dħul li qed tiżdied ma kinitx qed titjieb?</v>
      </c>
    </row>
    <row r="2762" ht="15.75" customHeight="1">
      <c r="A2762" s="2" t="s">
        <v>2762</v>
      </c>
      <c r="B2762" s="2" t="str">
        <f>IFERROR(__xludf.DUMMYFUNCTION("GOOGLETRANSLATE(A2762,""en"", ""mt"")"),"X'KAMAGAIGH għadda l-Partit Nazzjonali Skoċċiż (SNP)?")</f>
        <v>X'KAMAGAIGH għadda l-Partit Nazzjonali Skoċċiż (SNP)?</v>
      </c>
    </row>
    <row r="2763" ht="15.75" customHeight="1">
      <c r="A2763" s="2" t="s">
        <v>2763</v>
      </c>
      <c r="B2763" s="2" t="str">
        <f>IFERROR(__xludf.DUMMYFUNCTION("GOOGLETRANSLATE(A2763,""en"", ""mt"")"),"Editt ta 'Nantes")</f>
        <v>Editt ta 'Nantes</v>
      </c>
    </row>
    <row r="2764" ht="15.75" customHeight="1">
      <c r="A2764" s="2" t="s">
        <v>2764</v>
      </c>
      <c r="B2764" s="2" t="str">
        <f>IFERROR(__xludf.DUMMYFUNCTION("GOOGLETRANSLATE(A2764,""en"", ""mt"")"),"Kif imsejħa l-ibliet lill-Huguenots fl-1598 imsejħa kollettivament?")</f>
        <v>Kif imsejħa l-ibliet lill-Huguenots fl-1598 imsejħa kollettivament?</v>
      </c>
    </row>
    <row r="2765" ht="15.75" customHeight="1">
      <c r="A2765" s="2" t="s">
        <v>2765</v>
      </c>
      <c r="B2765" s="2" t="str">
        <f>IFERROR(__xludf.DUMMYFUNCTION("GOOGLETRANSLATE(A2765,""en"", ""mt"")"),"Steam_engine")</f>
        <v>Steam_engine</v>
      </c>
    </row>
    <row r="2766" ht="15.75" customHeight="1">
      <c r="A2766" s="2" t="s">
        <v>2766</v>
      </c>
      <c r="B2766" s="2" t="str">
        <f>IFERROR(__xludf.DUMMYFUNCTION("GOOGLETRANSLATE(A2766,""en"", ""mt"")"),"Diversi professuri tal-Università ta ’Chicago")</f>
        <v>Diversi professuri tal-Università ta ’Chicago</v>
      </c>
    </row>
    <row r="2767" ht="15.75" customHeight="1">
      <c r="A2767" s="2" t="s">
        <v>2767</v>
      </c>
      <c r="B2767" s="2" t="str">
        <f>IFERROR(__xludf.DUMMYFUNCTION("GOOGLETRANSLATE(A2767,""en"", ""mt"")"),"Il-Mallee u l-Upper Wimmera huma r-reġjuni l-aktar sħan tar-Rabat bl-irjieħ sħan li jonfħu minn semi-deżerti fil-qrib. It-temperaturi medji jaqbżu t-32 ° C (90 ° F) matul is-sajf u 15 ° C (59 ° F) fix-xitwa. Ħlief f'elevazzjonijiet tal-muntanji friski, it"&amp;"-temperaturi ta 'kull xahar interni huma 2-7 ° C (4-13 ° F) aktar sħan minn madwar Melbourne (ara ċ-ċart). L-ogħla temperatura massima tar-Rabat mit-Tieni Gwerra Dinjija, ta '48 .8 ° C (119.8 ° F) ġiet irreġistrata f'Hopetoun fis-7 ta 'Frar 2009, matul il"&amp;"-mewġa tas-sħana tal-2009 tax-Xlokk tal-Awstralja.")</f>
        <v>Il-Mallee u l-Upper Wimmera huma r-reġjuni l-aktar sħan tar-Rabat bl-irjieħ sħan li jonfħu minn semi-deżerti fil-qrib. It-temperaturi medji jaqbżu t-32 ° C (90 ° F) matul is-sajf u 15 ° C (59 ° F) fix-xitwa. Ħlief f'elevazzjonijiet tal-muntanji friski, it-temperaturi ta 'kull xahar interni huma 2-7 ° C (4-13 ° F) aktar sħan minn madwar Melbourne (ara ċ-ċart). L-ogħla temperatura massima tar-Rabat mit-Tieni Gwerra Dinjija, ta '48 .8 ° C (119.8 ° F) ġiet irreġistrata f'Hopetoun fis-7 ta 'Frar 2009, matul il-mewġa tas-sħana tal-2009 tax-Xlokk tal-Awstralja.</v>
      </c>
    </row>
    <row r="2768" ht="15.75" customHeight="1">
      <c r="A2768" s="2" t="s">
        <v>2768</v>
      </c>
      <c r="B2768" s="2" t="str">
        <f>IFERROR(__xludf.DUMMYFUNCTION("GOOGLETRANSLATE(A2768,""en"", ""mt"")"),"X’tost Thoreau dwar il-maġġoranza?")</f>
        <v>X’tost Thoreau dwar il-maġġoranza?</v>
      </c>
    </row>
    <row r="2769" ht="15.75" customHeight="1">
      <c r="A2769" s="2" t="s">
        <v>2769</v>
      </c>
      <c r="B2769" s="2" t="str">
        <f>IFERROR(__xludf.DUMMYFUNCTION("GOOGLETRANSLATE(A2769,""en"", ""mt"")"),"Ħmar")</f>
        <v>Ħmar</v>
      </c>
    </row>
    <row r="2770" ht="15.75" customHeight="1">
      <c r="A2770" s="2" t="s">
        <v>2770</v>
      </c>
      <c r="B2770" s="2" t="str">
        <f>IFERROR(__xludf.DUMMYFUNCTION("GOOGLETRANSLATE(A2770,""en"", ""mt"")"),"Orjentaliżmu u tropiċità.")</f>
        <v>Orjentaliżmu u tropiċità.</v>
      </c>
    </row>
    <row r="2771" ht="15.75" customHeight="1">
      <c r="A2771" s="2" t="s">
        <v>2771</v>
      </c>
      <c r="B2771" s="2" t="str">
        <f>IFERROR(__xludf.DUMMYFUNCTION("GOOGLETRANSLATE(A2771,""en"", ""mt"")"),"Liema tweġiba politika kienet tlaqqa 'f'Ġunju / Lulju 1754?")</f>
        <v>Liema tweġiba politika kienet tlaqqa 'f'Ġunju / Lulju 1754?</v>
      </c>
    </row>
    <row r="2772" ht="15.75" customHeight="1">
      <c r="A2772" s="2" t="s">
        <v>2772</v>
      </c>
      <c r="B2772" s="2" t="str">
        <f>IFERROR(__xludf.DUMMYFUNCTION("GOOGLETRANSLATE(A2772,""en"", ""mt"")"),"Waqt l-irtirar mill-Fort William Henry, x’għamlu xi alleati Indjani tal-Franċiżi?")</f>
        <v>Waqt l-irtirar mill-Fort William Henry, x’għamlu xi alleati Indjani tal-Franċiżi?</v>
      </c>
    </row>
    <row r="2773" ht="15.75" customHeight="1">
      <c r="A2773" s="2" t="s">
        <v>2773</v>
      </c>
      <c r="B2773" s="2" t="str">
        <f>IFERROR(__xludf.DUMMYFUNCTION("GOOGLETRANSLATE(A2773,""en"", ""mt"")"),"Tbassir tal-istruttura tal-proteina")</f>
        <v>Tbassir tal-istruttura tal-proteina</v>
      </c>
    </row>
    <row r="2774" ht="15.75" customHeight="1">
      <c r="A2774" s="2" t="s">
        <v>2774</v>
      </c>
      <c r="B2774" s="2" t="str">
        <f>IFERROR(__xludf.DUMMYFUNCTION("GOOGLETRANSLATE(A2774,""en"", ""mt"")"),"Kattoliku")</f>
        <v>Kattoliku</v>
      </c>
    </row>
    <row r="2775" ht="15.75" customHeight="1">
      <c r="A2775" s="2" t="s">
        <v>2775</v>
      </c>
      <c r="B2775" s="2" t="str">
        <f>IFERROR(__xludf.DUMMYFUNCTION("GOOGLETRANSLATE(A2775,""en"", ""mt"")"),"F'każijiet fejn l-imġieba kriminalizzata hija diskors pur, id-diżubbidjenza ċivili tista 'tikkonsisti sempliċement f'involvi fid-diskors projbit. Eżempju jkun li l-WBAI qed ixandar il-korsa ""Wildy Words"" minn album tal-kummiedja ta 'George Carlin, li ev"&amp;"entwalment wassal għall-każ tal-Qorti Suprema tal-1978 tal-Fondazzjoni FCC v. Pacifica. L-uffiċjali tal-gvern li jheddu huwa mod klassiku ieħor kif jesprimi sfida lejn il-gvern u n-nuqqas ta 'rieda li joqgħod għall-politiki tiegħu. Pereżempju, Joseph Haas"&amp;" ġie arrestat talli allegatament bagħat email lill-Libanu, il-kunsilliera tal-belt ta 'New Hampshire li jiddikjaraw, ""Wise Up jew Die.""")</f>
        <v>F'każijiet fejn l-imġieba kriminalizzata hija diskors pur, id-diżubbidjenza ċivili tista 'tikkonsisti sempliċement f'involvi fid-diskors projbit. Eżempju jkun li l-WBAI qed ixandar il-korsa "Wildy Words" minn album tal-kummiedja ta 'George Carlin, li eventwalment wassal għall-każ tal-Qorti Suprema tal-1978 tal-Fondazzjoni FCC v. Pacifica. L-uffiċjali tal-gvern li jheddu huwa mod klassiku ieħor kif jesprimi sfida lejn il-gvern u n-nuqqas ta 'rieda li joqgħod għall-politiki tiegħu. Pereżempju, Joseph Haas ġie arrestat talli allegatament bagħat email lill-Libanu, il-kunsilliera tal-belt ta 'New Hampshire li jiddikjaraw, "Wise Up jew Die."</v>
      </c>
    </row>
    <row r="2776" ht="15.75" customHeight="1">
      <c r="A2776" s="2" t="s">
        <v>2776</v>
      </c>
      <c r="B2776" s="2" t="str">
        <f>IFERROR(__xludf.DUMMYFUNCTION("GOOGLETRANSLATE(A2776,""en"", ""mt"")"),"X'inhu l-isem ta 'l-itwal soċjetà ta' films ta 'studenti li jmexxu kontinwament il-pajjiż?")</f>
        <v>X'inhu l-isem ta 'l-itwal soċjetà ta' films ta 'studenti li jmexxu kontinwament il-pajjiż?</v>
      </c>
    </row>
    <row r="2777" ht="15.75" customHeight="1">
      <c r="A2777" s="2" t="s">
        <v>2777</v>
      </c>
      <c r="B2777" s="2" t="str">
        <f>IFERROR(__xludf.DUMMYFUNCTION("GOOGLETRANSLATE(A2777,""en"", ""mt"")"),"Miralles enriċi")</f>
        <v>Miralles enriċi</v>
      </c>
    </row>
    <row r="2778" ht="15.75" customHeight="1">
      <c r="A2778" s="2" t="s">
        <v>2778</v>
      </c>
      <c r="B2778" s="2" t="str">
        <f>IFERROR(__xludf.DUMMYFUNCTION("GOOGLETRANSLATE(A2778,""en"", ""mt"")"),"X'kienet il-konklużjoni ta 'Shrewsbury?")</f>
        <v>X'kienet il-konklużjoni ta 'Shrewsbury?</v>
      </c>
    </row>
    <row r="2779" ht="15.75" customHeight="1">
      <c r="A2779" s="2" t="s">
        <v>2779</v>
      </c>
      <c r="B2779" s="2" t="str">
        <f>IFERROR(__xludf.DUMMYFUNCTION("GOOGLETRANSLATE(A2779,""en"", ""mt"")"),"Livelli ta 'liema affarijiet jintużaw biex jiddeterminaw il-fatturi ta' emissjoni?")</f>
        <v>Livelli ta 'liema affarijiet jintużaw biex jiddeterminaw il-fatturi ta' emissjoni?</v>
      </c>
    </row>
    <row r="2780" ht="15.75" customHeight="1">
      <c r="A2780" s="2" t="s">
        <v>2780</v>
      </c>
      <c r="B2780" s="2" t="str">
        <f>IFERROR(__xludf.DUMMYFUNCTION("GOOGLETRANSLATE(A2780,""en"", ""mt"")"),"Skond ċerti teoriji ġeografiċi x'tip ta 'bniedem jipproduċi klima tropikali?")</f>
        <v>Skond ċerti teoriji ġeografiċi x'tip ta 'bniedem jipproduċi klima tropikali?</v>
      </c>
    </row>
    <row r="2781" ht="15.75" customHeight="1">
      <c r="A2781" s="2" t="s">
        <v>2781</v>
      </c>
      <c r="B2781" s="2" t="str">
        <f>IFERROR(__xludf.DUMMYFUNCTION("GOOGLETRANSLATE(A2781,""en"", ""mt"")"),"Datagrammi mhux affidabbli u mekkaniżmi ta 'protokoll end-to-end assoċjati")</f>
        <v>Datagrammi mhux affidabbli u mekkaniżmi ta 'protokoll end-to-end assoċjati</v>
      </c>
    </row>
    <row r="2782" ht="15.75" customHeight="1">
      <c r="A2782" s="2" t="s">
        <v>2782</v>
      </c>
      <c r="B2782" s="2" t="str">
        <f>IFERROR(__xludf.DUMMYFUNCTION("GOOGLETRANSLATE(A2782,""en"", ""mt"")"),"kombinazzjoni ta 'antrax u pandemiċi oħra")</f>
        <v>kombinazzjoni ta 'antrax u pandemiċi oħra</v>
      </c>
    </row>
    <row r="2783" ht="15.75" customHeight="1">
      <c r="A2783" s="2" t="s">
        <v>2783</v>
      </c>
      <c r="B2783" s="2" t="str">
        <f>IFERROR(__xludf.DUMMYFUNCTION("GOOGLETRANSLATE(A2783,""en"", ""mt"")"),"deterministikament")</f>
        <v>deterministikament</v>
      </c>
    </row>
    <row r="2784" ht="15.75" customHeight="1">
      <c r="A2784" s="2" t="s">
        <v>2784</v>
      </c>
      <c r="B2784" s="2" t="str">
        <f>IFERROR(__xludf.DUMMYFUNCTION("GOOGLETRANSLATE(A2784,""en"", ""mt"")"),"Fl-2010 l-Amazon Rainforest esperjenzat nixfa kbira oħra, b'xi modi aktar estrema min-nixfa tal-2005. Ir-reġjun affettwat kien approssimattiv ta '1,160,000 mil kwadru (3,000,000 km2) ta' foresta tropikali, meta mqabbel ma '734,000 mil kwadru (1,900,000 km"&amp;"2) fl-2005. In-nixfa tal-2010 kellha tliet epiċentri fejn il-veġetazzjoni mietet, filwaqt li fl-2005 in-nixfa kienet iffokata fuq il-parti tal-Lbiċ. Is-sejbiet ġew ippubblikati fil-ġurnal Science. F’sena tipika l-Amazon tassorbi 1.5 gigatons ta ’dijossidu"&amp;" tal-karbonju; Matul l-2005 minflok ġew rilaxxati 5 gigatons u fl-2010 ġew rilaxxati 8 gigatons.")</f>
        <v>Fl-2010 l-Amazon Rainforest esperjenzat nixfa kbira oħra, b'xi modi aktar estrema min-nixfa tal-2005. Ir-reġjun affettwat kien approssimattiv ta '1,160,000 mil kwadru (3,000,000 km2) ta' foresta tropikali, meta mqabbel ma '734,000 mil kwadru (1,900,000 km2) fl-2005. In-nixfa tal-2010 kellha tliet epiċentri fejn il-veġetazzjoni mietet, filwaqt li fl-2005 in-nixfa kienet iffokata fuq il-parti tal-Lbiċ. Is-sejbiet ġew ippubblikati fil-ġurnal Science. F’sena tipika l-Amazon tassorbi 1.5 gigatons ta ’dijossidu tal-karbonju; Matul l-2005 minflok ġew rilaxxati 5 gigatons u fl-2010 ġew rilaxxati 8 gigatons.</v>
      </c>
    </row>
    <row r="2785" ht="15.75" customHeight="1">
      <c r="A2785" s="2" t="s">
        <v>2785</v>
      </c>
      <c r="B2785" s="2" t="str">
        <f>IFERROR(__xludf.DUMMYFUNCTION("GOOGLETRANSLATE(A2785,""en"", ""mt"")"),"il-proprjetarji ta 'dispensarji illegali tal-kannabis mediċi")</f>
        <v>il-proprjetarji ta 'dispensarji illegali tal-kannabis mediċi</v>
      </c>
    </row>
    <row r="2786" ht="15.75" customHeight="1">
      <c r="A2786" s="2" t="s">
        <v>2786</v>
      </c>
      <c r="B2786" s="2" t="str">
        <f>IFERROR(__xludf.DUMMYFUNCTION("GOOGLETRANSLATE(A2786,""en"", ""mt"")"),"Drittijiet ta 'tagħlim")</f>
        <v>Drittijiet ta 'tagħlim</v>
      </c>
    </row>
    <row r="2787" ht="15.75" customHeight="1">
      <c r="A2787" s="2" t="s">
        <v>2787</v>
      </c>
      <c r="B2787" s="2" t="str">
        <f>IFERROR(__xludf.DUMMYFUNCTION("GOOGLETRANSLATE(A2787,""en"", ""mt"")"),"Minflok it-tassazzjoni, x'inhuma l-iskejjel privati ​​fil-biċċa l-kbira ffinanzjati?")</f>
        <v>Minflok it-tassazzjoni, x'inhuma l-iskejjel privati ​​fil-biċċa l-kbira ffinanzjati?</v>
      </c>
    </row>
    <row r="2788" ht="15.75" customHeight="1">
      <c r="A2788" s="2" t="s">
        <v>2788</v>
      </c>
      <c r="B2788" s="2" t="str">
        <f>IFERROR(__xludf.DUMMYFUNCTION("GOOGLETRANSLATE(A2788,""en"", ""mt"")"),"Deforestazzjoni u Ecocide")</f>
        <v>Deforestazzjoni u Ecocide</v>
      </c>
    </row>
    <row r="2789" ht="15.75" customHeight="1">
      <c r="A2789" s="2" t="s">
        <v>2789</v>
      </c>
      <c r="B2789" s="2" t="str">
        <f>IFERROR(__xludf.DUMMYFUNCTION("GOOGLETRANSLATE(A2789,""en"", ""mt"")"),"Telnet uża liema teknoloġija tal-interface")</f>
        <v>Telnet uża liema teknoloġija tal-interface</v>
      </c>
    </row>
    <row r="2790" ht="15.75" customHeight="1">
      <c r="A2790" s="2" t="s">
        <v>2790</v>
      </c>
      <c r="B2790" s="2" t="str">
        <f>IFERROR(__xludf.DUMMYFUNCTION("GOOGLETRANSLATE(A2790,""en"", ""mt"")"),"Biex testendi l-benefiċċji tan-netwerking, għal dipartimenti tax-xjenza tal-kompjuter f'istituzzjonijiet akkademiċi u ta 'riċerka li ma jistgħux ikunu konnessi direttament ma' arpanet")</f>
        <v>Biex testendi l-benefiċċji tan-netwerking, għal dipartimenti tax-xjenza tal-kompjuter f'istituzzjonijiet akkademiċi u ta 'riċerka li ma jistgħux ikunu konnessi direttament ma' arpanet</v>
      </c>
    </row>
    <row r="2791" ht="15.75" customHeight="1">
      <c r="A2791" s="2" t="s">
        <v>2791</v>
      </c>
      <c r="B2791" s="2" t="str">
        <f>IFERROR(__xludf.DUMMYFUNCTION("GOOGLETRANSLATE(A2791,""en"", ""mt"")"),"Ikkonċentrat ħafna tul il-Wied tax-Xmara San Lawrenz, b'xi wħud ukoll f'Acadia")</f>
        <v>Ikkonċentrat ħafna tul il-Wied tax-Xmara San Lawrenz, b'xi wħud ukoll f'Acadia</v>
      </c>
    </row>
    <row r="2792" ht="15.75" customHeight="1">
      <c r="A2792" s="2" t="s">
        <v>2792</v>
      </c>
      <c r="B2792" s="2" t="str">
        <f>IFERROR(__xludf.DUMMYFUNCTION("GOOGLETRANSLATE(A2792,""en"", ""mt"")"),"Ippjanar, [ċitazzjoni meħtieġa] disinn, u finanzjament u jkompli sakemm jinbena l-proġett")</f>
        <v>Ippjanar, [ċitazzjoni meħtieġa] disinn, u finanzjament u jkompli sakemm jinbena l-proġett</v>
      </c>
    </row>
    <row r="2793" ht="15.75" customHeight="1">
      <c r="A2793" s="2" t="s">
        <v>2793</v>
      </c>
      <c r="B2793" s="2" t="str">
        <f>IFERROR(__xludf.DUMMYFUNCTION("GOOGLETRANSLATE(A2793,""en"", ""mt"")"),"Fejn kien joqgħod l-ispiżjar fir-rigward tat-tobba personali tal-Imperatur?")</f>
        <v>Fejn kien joqgħod l-ispiżjar fir-rigward tat-tobba personali tal-Imperatur?</v>
      </c>
    </row>
    <row r="2794" ht="15.75" customHeight="1">
      <c r="A2794" s="2" t="s">
        <v>2794</v>
      </c>
      <c r="B2794" s="2" t="str">
        <f>IFERROR(__xludf.DUMMYFUNCTION("GOOGLETRANSLATE(A2794,""en"", ""mt"")"),"L-infjammazzjoni hija waħda mill-ewwel tweġibiet tas-sistema immuni għall-infezzjoni. Is-sintomi ta 'infjammazzjoni huma ħmura, nefħa, sħana u uġigħ, li huma kkawżati minn żieda fil-fluss tad-demm fit-tessut. Infjammazzjoni hija prodotta minn ekosanojdi u"&amp;" ċitokini, li huma rilaxxati minn ċelloli midruba jew infettati. L-ekosanojdi jinkludu prostaglandini li jipproduċu d-deni u d-dilatazzjoni ta 'vini tad-demm assoċjati ma' infjammazzjoni, u lewkotrienes li jattiraw ċerti ċelloli bojod tad-demm (lewkoċiti)"&amp;". Ċitokini komuni jinkludu interleukins li huma responsabbli għall-komunikazzjoni bejn iċ-ċelloli bojod tad-demm; kimokini li jippromwovu l-kimotaxis; u interferoni li għandhom effetti anti-virali, bħalma huma l-għeluq tas-sinteżi tal-proteina fiċ-ċellula"&amp;" ospitanti. Fatturi ta 'tkabbir u fatturi ċitotossiċi jistgħu wkoll jiġu rilaxxati. Dawn iċ-ċitokini u kimiċi oħra jirreklutaw ċelloli immuni fis-sit ta 'infezzjoni u jippromwovu l-fejqan ta' kwalunkwe tessut bil-ħsara wara t-tneħħija ta 'patoġeni.")</f>
        <v>L-infjammazzjoni hija waħda mill-ewwel tweġibiet tas-sistema immuni għall-infezzjoni. Is-sintomi ta 'infjammazzjoni huma ħmura, nefħa, sħana u uġigħ, li huma kkawżati minn żieda fil-fluss tad-demm fit-tessut. Infjammazzjoni hija prodotta minn ekosanojdi u ċitokini, li huma rilaxxati minn ċelloli midruba jew infettati. L-ekosanojdi jinkludu prostaglandini li jipproduċu d-deni u d-dilatazzjoni ta 'vini tad-demm assoċjati ma' infjammazzjoni, u lewkotrienes li jattiraw ċerti ċelloli bojod tad-demm (lewkoċiti). Ċitokini komuni jinkludu interleukins li huma responsabbli għall-komunikazzjoni bejn iċ-ċelloli bojod tad-demm; kimokini li jippromwovu l-kimotaxis; u interferoni li għandhom effetti anti-virali, bħalma huma l-għeluq tas-sinteżi tal-proteina fiċ-ċellula ospitanti. Fatturi ta 'tkabbir u fatturi ċitotossiċi jistgħu wkoll jiġu rilaxxati. Dawn iċ-ċitokini u kimiċi oħra jirreklutaw ċelloli immuni fis-sit ta 'infezzjoni u jippromwovu l-fejqan ta' kwalunkwe tessut bil-ħsara wara t-tneħħija ta 'patoġeni.</v>
      </c>
    </row>
    <row r="2795" ht="15.75" customHeight="1">
      <c r="A2795" s="2" t="s">
        <v>2795</v>
      </c>
      <c r="B2795" s="2" t="str">
        <f>IFERROR(__xludf.DUMMYFUNCTION("GOOGLETRANSLATE(A2795,""en"", ""mt"")"),"il-pulizija u l-forzi armati")</f>
        <v>il-pulizija u l-forzi armati</v>
      </c>
    </row>
    <row r="2796" ht="15.75" customHeight="1">
      <c r="A2796" s="2" t="s">
        <v>2796</v>
      </c>
      <c r="B2796" s="2" t="str">
        <f>IFERROR(__xludf.DUMMYFUNCTION("GOOGLETRANSLATE(A2796,""en"", ""mt"")"),"Kampus tal-Università ta ’Chicago")</f>
        <v>Kampus tal-Università ta ’Chicago</v>
      </c>
    </row>
    <row r="2797" ht="15.75" customHeight="1">
      <c r="A2797" s="2" t="s">
        <v>2797</v>
      </c>
      <c r="B2797" s="2" t="str">
        <f>IFERROR(__xludf.DUMMYFUNCTION("GOOGLETRANSLATE(A2797,""en"", ""mt"")"),"Fejn hi dar tal-palm bi pjanti subtropiċi mid-dinja kollha għall-wiri?")</f>
        <v>Fejn hi dar tal-palm bi pjanti subtropiċi mid-dinja kollha għall-wiri?</v>
      </c>
    </row>
    <row r="2798" ht="15.75" customHeight="1">
      <c r="A2798" s="2" t="s">
        <v>2798</v>
      </c>
      <c r="B2798" s="2" t="str">
        <f>IFERROR(__xludf.DUMMYFUNCTION("GOOGLETRANSLATE(A2798,""en"", ""mt"")"),"Li żviluppa l-istess teknoloġija bħal baran")</f>
        <v>Li żviluppa l-istess teknoloġija bħal baran</v>
      </c>
    </row>
    <row r="2799" ht="15.75" customHeight="1">
      <c r="A2799" s="2" t="s">
        <v>2799</v>
      </c>
      <c r="B2799" s="2" t="str">
        <f>IFERROR(__xludf.DUMMYFUNCTION("GOOGLETRANSLATE(A2799,""en"", ""mt"")"),"X’installa n-netwerk fl-1999")</f>
        <v>X’installa n-netwerk fl-1999</v>
      </c>
    </row>
    <row r="2800" ht="15.75" customHeight="1">
      <c r="A2800" s="2" t="s">
        <v>2800</v>
      </c>
      <c r="B2800" s="2" t="str">
        <f>IFERROR(__xludf.DUMMYFUNCTION("GOOGLETRANSLATE(A2800,""en"", ""mt"")"),"Possedimenti Kontinentali tal-Amerika ta ’Fuq fil-lvant tal-Mississippi jew il-Gżejjer tal-Karibew ta’ Guadeloupe u Martinique")</f>
        <v>Possedimenti Kontinentali tal-Amerika ta ’Fuq fil-lvant tal-Mississippi jew il-Gżejjer tal-Karibew ta’ Guadeloupe u Martinique</v>
      </c>
    </row>
    <row r="2801" ht="15.75" customHeight="1">
      <c r="A2801" s="2" t="s">
        <v>2801</v>
      </c>
      <c r="B2801" s="2" t="str">
        <f>IFERROR(__xludf.DUMMYFUNCTION("GOOGLETRANSLATE(A2801,""en"", ""mt"")"),"Il-Gwerra Franċiża u Indjana kienet l-aspett tad-dinja l-ġdida ta 'liema kunflitt Ewropew?")</f>
        <v>Il-Gwerra Franċiża u Indjana kienet l-aspett tad-dinja l-ġdida ta 'liema kunflitt Ewropew?</v>
      </c>
    </row>
    <row r="2802" ht="15.75" customHeight="1">
      <c r="A2802" s="2" t="s">
        <v>2802</v>
      </c>
      <c r="B2802" s="2" t="str">
        <f>IFERROR(__xludf.DUMMYFUNCTION("GOOGLETRANSLATE(A2802,""en"", ""mt"")"),"Kemm diviżjonijiet jiffurmaw l-akkademiċi tal-università?")</f>
        <v>Kemm diviżjonijiet jiffurmaw l-akkademiċi tal-università?</v>
      </c>
    </row>
    <row r="2803" ht="15.75" customHeight="1">
      <c r="A2803" s="2" t="s">
        <v>2803</v>
      </c>
      <c r="B2803" s="2" t="str">
        <f>IFERROR(__xludf.DUMMYFUNCTION("GOOGLETRANSLATE(A2803,""en"", ""mt"")"),"Minkejja li kien relattivament mhux affettwat mill-embargo, ir-Renju Unit madankollu ffaċċja kriżi taż-żejt tiegħu stess - serje ta 'strajkijiet minn minaturi tal-faħam u ħaddiema tal-ferrovija matul ix-xitwa tal-1973–74 saru fattur ewlieni fil-bidla tal-"&amp;"gvern. Heath talab lill-Ingliżi biex isaħħnu kamra waħda biss fid-djar tagħhom matul ix-xitwa. Ir-Renju Unit, il-Ġermanja, l-Italja, l-Isvizzera u n-Norveġja pprojbixxew it-titjir, is-sewqan u t-tbaħħir fil-Ħdud. L-Iżvezja razzjonata petrol u żejt tat-tis"&amp;"ħin. L-Olanda imponew sentenzi ta 'ħabs għal dawk li użaw aktar mir-razzjon tagħhom ta' l-elettriku.")</f>
        <v>Minkejja li kien relattivament mhux affettwat mill-embargo, ir-Renju Unit madankollu ffaċċja kriżi taż-żejt tiegħu stess - serje ta 'strajkijiet minn minaturi tal-faħam u ħaddiema tal-ferrovija matul ix-xitwa tal-1973–74 saru fattur ewlieni fil-bidla tal-gvern. Heath talab lill-Ingliżi biex isaħħnu kamra waħda biss fid-djar tagħhom matul ix-xitwa. Ir-Renju Unit, il-Ġermanja, l-Italja, l-Isvizzera u n-Norveġja pprojbixxew it-titjir, is-sewqan u t-tbaħħir fil-Ħdud. L-Iżvezja razzjonata petrol u żejt tat-tisħin. L-Olanda imponew sentenzi ta 'ħabs għal dawk li użaw aktar mir-razzjon tagħhom ta' l-elettriku.</v>
      </c>
    </row>
    <row r="2804" ht="15.75" customHeight="1">
      <c r="A2804" s="2" t="s">
        <v>2804</v>
      </c>
      <c r="B2804" s="2" t="str">
        <f>IFERROR(__xludf.DUMMYFUNCTION("GOOGLETRANSLATE(A2804,""en"", ""mt"")"),"L-agħar problemi fl-NP jistgħu jiġu miktuba b'mod analogu bħala liema klassi ta 'problemi?")</f>
        <v>L-agħar problemi fl-NP jistgħu jiġu miktuba b'mod analogu bħala liema klassi ta 'problemi?</v>
      </c>
    </row>
    <row r="2805" ht="15.75" customHeight="1">
      <c r="A2805" s="2" t="s">
        <v>2805</v>
      </c>
      <c r="B2805" s="2" t="str">
        <f>IFERROR(__xludf.DUMMYFUNCTION("GOOGLETRANSLATE(A2805,""en"", ""mt"")"),"'Ħieles mit-tagħlim")</f>
        <v>'Ħieles mit-tagħlim</v>
      </c>
    </row>
    <row r="2806" ht="15.75" customHeight="1">
      <c r="A2806" s="2" t="s">
        <v>2806</v>
      </c>
      <c r="B2806" s="2" t="str">
        <f>IFERROR(__xludf.DUMMYFUNCTION("GOOGLETRANSLATE(A2806,""en"", ""mt"")"),"il-kunċett ta 'swiċċjar ta' blokka ta 'messaġġi adattivi distribwiti")</f>
        <v>il-kunċett ta 'swiċċjar ta' blokka ta 'messaġġi adattivi distribwiti</v>
      </c>
    </row>
    <row r="2807" ht="15.75" customHeight="1">
      <c r="A2807" s="2" t="s">
        <v>2807</v>
      </c>
      <c r="B2807" s="2" t="str">
        <f>IFERROR(__xludf.DUMMYFUNCTION("GOOGLETRANSLATE(A2807,""en"", ""mt"")"),"X'kien ir-riżultat li tgħix fis-siġra tal-injam aħmar ta 'Kalifornja?")</f>
        <v>X'kien ir-riżultat li tgħix fis-siġra tal-injam aħmar ta 'Kalifornja?</v>
      </c>
    </row>
    <row r="2808" ht="15.75" customHeight="1">
      <c r="A2808" s="2" t="s">
        <v>2808</v>
      </c>
      <c r="B2808" s="2" t="str">
        <f>IFERROR(__xludf.DUMMYFUNCTION("GOOGLETRANSLATE(A2808,""en"", ""mt"")"),"Is-Sistema tal-Librerija tal-Università ta ’Harvard hija ċċentrata fil-Librerija Widener fil-Harvard Yard u tinkludi kważi 80 librerija individwali li għandhom aktar minn 18-il miljun volum. Skond l-Assoċjazzjoni Amerikana tal-Librerija, din tagħmilha l-i"&amp;"kbar librerija akkademika fl-Istati Uniti, u waħda mill-ikbar fid-dinja. Cabot Science Library, Lamont Library, u Widener Library huma tlieta mill-aktar libreriji popolari għal dawk li jiggradwaw biex jintużaw, b'aċċess faċli u postijiet ċentrali. Hemm ko"&amp;"tba rari, manuskritti u kollezzjonijiet speċjali oħra fil-libreriji ta 'Harvard; Houghton Library, il-Librerija Arthur u Elizabeth Schlesinger dwar l-Istorja tan-Nisa fl-Amerika, u l-Arkivji tal-Università ta 'Harvard jikkonsistu prinċipalment minn materj"&amp;"ali rari u uniċi. L-eqdem kollezzjoni ta 'mapep, gazzetta u atlasi ta' l-Amerika kemm qodma kif ukoll ġodda hija maħżuna fil-librerija Pusey u miftuħa għall-pubbliku. L-akbar ġabra ta 'materjal tal-lingwa tal-Lvant-Ażjan barra l-Asja tal-Lvant hija miżmum"&amp;"a fil-Librerija ta' Harvard-Yenching.")</f>
        <v>Is-Sistema tal-Librerija tal-Università ta ’Harvard hija ċċentrata fil-Librerija Widener fil-Harvard Yard u tinkludi kważi 80 librerija individwali li għandhom aktar minn 18-il miljun volum. Skond l-Assoċjazzjoni Amerikana tal-Librerija, din tagħmilha l-ikbar librerija akkademika fl-Istati Uniti, u waħda mill-ikbar fid-dinja. Cabot Science Library, Lamont Library, u Widener Library huma tlieta mill-aktar libreriji popolari għal dawk li jiggradwaw biex jintużaw, b'aċċess faċli u postijiet ċentrali. Hemm kotba rari, manuskritti u kollezzjonijiet speċjali oħra fil-libreriji ta 'Harvard; Houghton Library, il-Librerija Arthur u Elizabeth Schlesinger dwar l-Istorja tan-Nisa fl-Amerika, u l-Arkivji tal-Università ta 'Harvard jikkonsistu prinċipalment minn materjali rari u uniċi. L-eqdem kollezzjoni ta 'mapep, gazzetta u atlasi ta' l-Amerika kemm qodma kif ukoll ġodda hija maħżuna fil-librerija Pusey u miftuħa għall-pubbliku. L-akbar ġabra ta 'materjal tal-lingwa tal-Lvant-Ażjan barra l-Asja tal-Lvant hija miżmuma fil-Librerija ta' Harvard-Yenching.</v>
      </c>
    </row>
    <row r="2809" ht="15.75" customHeight="1">
      <c r="A2809" s="2" t="s">
        <v>2809</v>
      </c>
      <c r="B2809" s="2" t="str">
        <f>IFERROR(__xludf.DUMMYFUNCTION("GOOGLETRANSLATE(A2809,""en"", ""mt"")"),"X'inhi l-loġika wara l-istrateġija evoluzzjonarja tan-numru Cicadas?")</f>
        <v>X'inhi l-loġika wara l-istrateġija evoluzzjonarja tan-numru Cicadas?</v>
      </c>
    </row>
    <row r="2810" ht="15.75" customHeight="1">
      <c r="A2810" s="2" t="s">
        <v>2810</v>
      </c>
      <c r="B2810" s="2" t="str">
        <f>IFERROR(__xludf.DUMMYFUNCTION("GOOGLETRANSLATE(A2810,""en"", ""mt"")"),"Liema skejjel ta 'skejjel preparatorji jħejju tfal Ingliżi biex jattendu?")</f>
        <v>Liema skejjel ta 'skejjel preparatorji jħejju tfal Ingliżi biex jattendu?</v>
      </c>
    </row>
    <row r="2811" ht="15.75" customHeight="1">
      <c r="A2811" s="2" t="s">
        <v>2811</v>
      </c>
      <c r="B2811" s="2" t="str">
        <f>IFERROR(__xludf.DUMMYFUNCTION("GOOGLETRANSLATE(A2811,""en"", ""mt"")"),"Teoriji ġeografiċi bħad-determiniżmu ambjentali ssuġġerew ukoll li l-ambjenti tropikali ħolqu persuni mhux varjati li għandhom bżonn gwida Ewropea. Pereżempju, il-ġeografa Amerikana Ellen Churchill Semple argumentat li minkejja li l-bnedmin oriġinaw fit-t"&amp;"ropiċi huma setgħu jsiru biss umani fiż-żona moderata. It-tropiċità tista 'tkun parallela mal-Orjentaliżmu ta' Edward Said bħala l-kostruzzjoni tal-Punent tal-Lvant bħala l- ""Oħrajn"". Skond SIAD, l-Orjentaliżmu ppermetta lill-Ewropa tistabbilixxi ruħha "&amp;"bħala s-superjur u n-norma, li ġġustifikaw id-dominanza tagħha fuq l-Orjent Essenzjalizzat.")</f>
        <v>Teoriji ġeografiċi bħad-determiniżmu ambjentali ssuġġerew ukoll li l-ambjenti tropikali ħolqu persuni mhux varjati li għandhom bżonn gwida Ewropea. Pereżempju, il-ġeografa Amerikana Ellen Churchill Semple argumentat li minkejja li l-bnedmin oriġinaw fit-tropiċi huma setgħu jsiru biss umani fiż-żona moderata. It-tropiċità tista 'tkun parallela mal-Orjentaliżmu ta' Edward Said bħala l-kostruzzjoni tal-Punent tal-Lvant bħala l- "Oħrajn". Skond SIAD, l-Orjentaliżmu ppermetta lill-Ewropa tistabbilixxi ruħha bħala s-superjur u n-norma, li ġġustifikaw id-dominanza tagħha fuq l-Orjent Essenzjalizzat.</v>
      </c>
    </row>
    <row r="2812" ht="15.75" customHeight="1">
      <c r="A2812" s="2" t="s">
        <v>2812</v>
      </c>
      <c r="B2812" s="2" t="str">
        <f>IFERROR(__xludf.DUMMYFUNCTION("GOOGLETRANSLATE(A2812,""en"", ""mt"")"),"X'kienet is-sinifikat tar-rebħa Ingliża?")</f>
        <v>X'kienet is-sinifikat tar-rebħa Ingliża?</v>
      </c>
    </row>
    <row r="2813" ht="15.75" customHeight="1">
      <c r="A2813" s="2" t="s">
        <v>2813</v>
      </c>
      <c r="B2813" s="2" t="str">
        <f>IFERROR(__xludf.DUMMYFUNCTION("GOOGLETRANSLATE(A2813,""en"", ""mt"")"),"Indikatur tal-Magna tal-Fwar")</f>
        <v>Indikatur tal-Magna tal-Fwar</v>
      </c>
    </row>
    <row r="2814" ht="15.75" customHeight="1">
      <c r="A2814" s="2" t="s">
        <v>2814</v>
      </c>
      <c r="B2814" s="2" t="str">
        <f>IFERROR(__xludf.DUMMYFUNCTION("GOOGLETRANSLATE(A2814,""en"", ""mt"")"),"Oranġjo")</f>
        <v>Oranġjo</v>
      </c>
    </row>
    <row r="2815" ht="15.75" customHeight="1">
      <c r="A2815" s="2" t="s">
        <v>2815</v>
      </c>
      <c r="B2815" s="2" t="str">
        <f>IFERROR(__xludf.DUMMYFUNCTION("GOOGLETRANSLATE(A2815,""en"", ""mt"")"),"Minbarra l-proprjetà analitika tan-numri, fuq liema proprjetà oħra tan-numri tiffoka fuq in-numri?")</f>
        <v>Minbarra l-proprjetà analitika tan-numri, fuq liema proprjetà oħra tan-numri tiffoka fuq in-numri?</v>
      </c>
    </row>
    <row r="2816" ht="15.75" customHeight="1">
      <c r="A2816" s="2" t="s">
        <v>2816</v>
      </c>
      <c r="B2816" s="2" t="str">
        <f>IFERROR(__xludf.DUMMYFUNCTION("GOOGLETRANSLATE(A2816,""en"", ""mt"")"),"wieħed")</f>
        <v>wieħed</v>
      </c>
    </row>
    <row r="2817" ht="15.75" customHeight="1">
      <c r="A2817" s="2" t="s">
        <v>2817</v>
      </c>
      <c r="B2817" s="2" t="str">
        <f>IFERROR(__xludf.DUMMYFUNCTION("GOOGLETRANSLATE(A2817,""en"", ""mt"")"),"Lil nies li jagħtu servizzi ""għar-remunerazzjoni""")</f>
        <v>Lil nies li jagħtu servizzi "għar-remunerazzjoni"</v>
      </c>
    </row>
    <row r="2818" ht="15.75" customHeight="1">
      <c r="A2818" s="2" t="s">
        <v>2818</v>
      </c>
      <c r="B2818" s="2" t="str">
        <f>IFERROR(__xludf.DUMMYFUNCTION("GOOGLETRANSLATE(A2818,""en"", ""mt"")"),"Regolamenti tal-Awtorità tal-Bini lokali u kodiċi ta 'prattika")</f>
        <v>Regolamenti tal-Awtorità tal-Bini lokali u kodiċi ta 'prattika</v>
      </c>
    </row>
    <row r="2819" ht="15.75" customHeight="1">
      <c r="A2819" s="2" t="s">
        <v>2819</v>
      </c>
      <c r="B2819" s="2" t="str">
        <f>IFERROR(__xludf.DUMMYFUNCTION("GOOGLETRANSLATE(A2819,""en"", ""mt"")"),"René-Robert Cavelier, Sieur de la Salle kien esplora l-pajjiż ta 'Ohio kważi seklu qabel.")</f>
        <v>René-Robert Cavelier, Sieur de la Salle kien esplora l-pajjiż ta 'Ohio kważi seklu qabel.</v>
      </c>
    </row>
    <row r="2820" ht="15.75" customHeight="1">
      <c r="A2820" s="2" t="s">
        <v>2820</v>
      </c>
      <c r="B2820" s="2" t="str">
        <f>IFERROR(__xludf.DUMMYFUNCTION("GOOGLETRANSLATE(A2820,""en"", ""mt"")"),"moxt ġeli")</f>
        <v>moxt ġeli</v>
      </c>
    </row>
    <row r="2821" ht="15.75" customHeight="1">
      <c r="A2821" s="2" t="s">
        <v>2821</v>
      </c>
      <c r="B2821" s="2" t="str">
        <f>IFERROR(__xludf.DUMMYFUNCTION("GOOGLETRANSLATE(A2821,""en"", ""mt"")"),"X'inhu l-eżempju ta 'problema oħra kkaratterizzata minn każijiet kbar li jissolvew rutina minn maniġers SAT li jużaw algoritmi effiċjenti?")</f>
        <v>X'inhu l-eżempju ta 'problema oħra kkaratterizzata minn każijiet kbar li jissolvew rutina minn maniġers SAT li jużaw algoritmi effiċjenti?</v>
      </c>
    </row>
    <row r="2822" ht="15.75" customHeight="1">
      <c r="A2822" s="2" t="s">
        <v>2822</v>
      </c>
      <c r="B2822" s="2" t="str">
        <f>IFERROR(__xludf.DUMMYFUNCTION("GOOGLETRANSLATE(A2822,""en"", ""mt"")"),"Ir-Rivoluzzjoni Industrijali")</f>
        <v>Ir-Rivoluzzjoni Industrijali</v>
      </c>
    </row>
    <row r="2823" ht="15.75" customHeight="1">
      <c r="A2823" s="2" t="s">
        <v>2823</v>
      </c>
      <c r="B2823" s="2" t="str">
        <f>IFERROR(__xludf.DUMMYFUNCTION("GOOGLETRANSLATE(A2823,""en"", ""mt"")"),"P mhuwiex fattur ewlieni ta 'Q")</f>
        <v>P mhuwiex fattur ewlieni ta 'Q</v>
      </c>
    </row>
    <row r="2824" ht="15.75" customHeight="1">
      <c r="A2824" s="2" t="s">
        <v>2824</v>
      </c>
      <c r="B2824" s="2" t="str">
        <f>IFERROR(__xludf.DUMMYFUNCTION("GOOGLETRANSLATE(A2824,""en"", ""mt"")"),"Xi jfittex li jikseb ir-reċiproċità kwadratika?")</f>
        <v>Xi jfittex li jikseb ir-reċiproċità kwadratika?</v>
      </c>
    </row>
    <row r="2825" ht="15.75" customHeight="1">
      <c r="A2825" s="2" t="s">
        <v>2825</v>
      </c>
      <c r="B2825" s="2" t="str">
        <f>IFERROR(__xludf.DUMMYFUNCTION("GOOGLETRANSLATE(A2825,""en"", ""mt"")"),"diversi snin")</f>
        <v>diversi snin</v>
      </c>
    </row>
    <row r="2826" ht="15.75" customHeight="1">
      <c r="A2826" s="2" t="s">
        <v>2826</v>
      </c>
      <c r="B2826" s="2" t="str">
        <f>IFERROR(__xludf.DUMMYFUNCTION("GOOGLETRANSLATE(A2826,""en"", ""mt"")"),"Tnaqqas in-nar")</f>
        <v>Tnaqqas in-nar</v>
      </c>
    </row>
    <row r="2827" ht="15.75" customHeight="1">
      <c r="A2827" s="2" t="s">
        <v>2827</v>
      </c>
      <c r="B2827" s="2" t="str">
        <f>IFERROR(__xludf.DUMMYFUNCTION("GOOGLETRANSLATE(A2827,""en"", ""mt"")"),"Kemm kienet tgħix Julia Butterfly Hill f'siġra?")</f>
        <v>Kemm kienet tgħix Julia Butterfly Hill f'siġra?</v>
      </c>
    </row>
    <row r="2828" ht="15.75" customHeight="1">
      <c r="A2828" s="2" t="s">
        <v>2828</v>
      </c>
      <c r="B2828" s="2" t="str">
        <f>IFERROR(__xludf.DUMMYFUNCTION("GOOGLETRANSLATE(A2828,""en"", ""mt"")"),"Ma 'liema sistema Ċiniża għamlet kompromess il-gvern ta' Kublai?")</f>
        <v>Ma 'liema sistema Ċiniża għamlet kompromess il-gvern ta' Kublai?</v>
      </c>
    </row>
    <row r="2829" ht="15.75" customHeight="1">
      <c r="A2829" s="2" t="s">
        <v>2829</v>
      </c>
      <c r="B2829" s="2" t="str">
        <f>IFERROR(__xludf.DUMMYFUNCTION("GOOGLETRANSLATE(A2829,""en"", ""mt"")"),"Il-ġeoloġi planetarji kejlu abbundanzi differenti ta 'iżotopi ta' ossiġenu f'kampjuni mid-dinja, il-qamar, Mars, u meteoriti, iżda ma setgħux jiksbu valuri ta 'referenza għall-proporzjonijiet ta' iżotopi fix-xemx, maħsuba li huma l-istess bħal dawk tas-so"&amp;"lari primordjali Nebula. Analiżi ta 'wejfer tas-silikon espost għar-riħ solari fl-ispazju u rritornat mill-vettura spazjali Ġenesi ġġarraf uriet li x-xemx għandha proporzjon ogħla ta' ossiġnu-16 milli tagħmel id-dinja. Il-kejl jimplika li proċess mhux mag"&amp;"ħruf ossiġnu-16 mid-diska tax-xemx ta 'materjal protoplanetarju qabel il-koexxenza ta' ħbub tat-trab li ffurmaw id-dinja.")</f>
        <v>Il-ġeoloġi planetarji kejlu abbundanzi differenti ta 'iżotopi ta' ossiġenu f'kampjuni mid-dinja, il-qamar, Mars, u meteoriti, iżda ma setgħux jiksbu valuri ta 'referenza għall-proporzjonijiet ta' iżotopi fix-xemx, maħsuba li huma l-istess bħal dawk tas-solari primordjali Nebula. Analiżi ta 'wejfer tas-silikon espost għar-riħ solari fl-ispazju u rritornat mill-vettura spazjali Ġenesi ġġarraf uriet li x-xemx għandha proporzjon ogħla ta' ossiġnu-16 milli tagħmel id-dinja. Il-kejl jimplika li proċess mhux magħruf ossiġnu-16 mid-diska tax-xemx ta 'materjal protoplanetarju qabel il-koexxenza ta' ħbub tat-trab li ffurmaw id-dinja.</v>
      </c>
    </row>
    <row r="2830" ht="15.75" customHeight="1">
      <c r="A2830" s="2" t="s">
        <v>2830</v>
      </c>
      <c r="B2830" s="2" t="str">
        <f>IFERROR(__xludf.DUMMYFUNCTION("GOOGLETRANSLATE(A2830,""en"", ""mt"")"),"Iċ-ċelloli tal-pjanti jirrispondu għall-molekuli assoċjati ma 'patoġeni magħrufa bħala?")</f>
        <v>Iċ-ċelloli tal-pjanti jirrispondu għall-molekuli assoċjati ma 'patoġeni magħrufa bħala?</v>
      </c>
    </row>
    <row r="2831" ht="15.75" customHeight="1">
      <c r="A2831" s="2" t="s">
        <v>2831</v>
      </c>
      <c r="B2831" s="2" t="str">
        <f>IFERROR(__xludf.DUMMYFUNCTION("GOOGLETRANSLATE(A2831,""en"", ""mt"")"),"jikkoordina l-awtur ewlieni tal-ħames rapport ta 'valutazzjoni")</f>
        <v>jikkoordina l-awtur ewlieni tal-ħames rapport ta 'valutazzjoni</v>
      </c>
    </row>
    <row r="2832" ht="15.75" customHeight="1">
      <c r="A2832" s="2" t="s">
        <v>2832</v>
      </c>
      <c r="B2832" s="2" t="str">
        <f>IFERROR(__xludf.DUMMYFUNCTION("GOOGLETRANSLATE(A2832,""en"", ""mt"")"),"Iċ-Ċentru tal-Quddiesa")</f>
        <v>Iċ-Ċentru tal-Quddiesa</v>
      </c>
    </row>
    <row r="2833" ht="15.75" customHeight="1">
      <c r="A2833" s="2" t="s">
        <v>2833</v>
      </c>
      <c r="B2833" s="2" t="str">
        <f>IFERROR(__xludf.DUMMYFUNCTION("GOOGLETRANSLATE(A2833,""en"", ""mt"")"),"X'tip ta 'impjant tal-manifattura dalwaqt qed titlef?")</f>
        <v>X'tip ta 'impjant tal-manifattura dalwaqt qed titlef?</v>
      </c>
    </row>
    <row r="2834" ht="15.75" customHeight="1">
      <c r="A2834" s="2" t="s">
        <v>2834</v>
      </c>
      <c r="B2834" s="2" t="str">
        <f>IFERROR(__xludf.DUMMYFUNCTION("GOOGLETRANSLATE(A2834,""en"", ""mt"")"),"Taxxi inġusti")</f>
        <v>Taxxi inġusti</v>
      </c>
    </row>
    <row r="2835" ht="15.75" customHeight="1">
      <c r="A2835" s="2" t="s">
        <v>2835</v>
      </c>
      <c r="B2835" s="2" t="str">
        <f>IFERROR(__xludf.DUMMYFUNCTION("GOOGLETRANSLATE(A2835,""en"", ""mt"")"),"Meta tikkunsidra problemi tal-komputazzjoni, problema ta 'problema hija sekwenza fuq alfabett. Normalment, l-alfabett jittieħed bħala l-alfabett binarju (i.e., is-sett {0,1}), u għalhekk il-kordi huma bitstrings. Bħal f'kompjuter tad-dinja reali, oġġetti "&amp;"matematiċi minbarra l-bitstrings għandhom ikunu kodifikati b'mod xieraq. Pereżempju, numri interi jistgħu jiġu rrappreżentati f'notazzjoni binarja, u l-graffs jistgħu jiġu kkodifikati direttament permezz tal-matriċi ta 'aġġustanza tagħhom, jew billi jikko"&amp;"difikaw il-listi ta' aġġustanza tagħhom b'mod binarju.")</f>
        <v>Meta tikkunsidra problemi tal-komputazzjoni, problema ta 'problema hija sekwenza fuq alfabett. Normalment, l-alfabett jittieħed bħala l-alfabett binarju (i.e., is-sett {0,1}), u għalhekk il-kordi huma bitstrings. Bħal f'kompjuter tad-dinja reali, oġġetti matematiċi minbarra l-bitstrings għandhom ikunu kodifikati b'mod xieraq. Pereżempju, numri interi jistgħu jiġu rrappreżentati f'notazzjoni binarja, u l-graffs jistgħu jiġu kkodifikati direttament permezz tal-matriċi ta 'aġġustanza tagħhom, jew billi jikkodifikaw il-listi ta' aġġustanza tagħhom b'mod binarju.</v>
      </c>
    </row>
    <row r="2836" ht="15.75" customHeight="1">
      <c r="A2836" s="2" t="s">
        <v>2836</v>
      </c>
      <c r="B2836" s="2" t="str">
        <f>IFERROR(__xludf.DUMMYFUNCTION("GOOGLETRANSLATE(A2836,""en"", ""mt"")"),"Flimkien ma 'magni tal-baħar u unitajiet industrijali, f'liema magni kienu qed jikkomponu popolari?")</f>
        <v>Flimkien ma 'magni tal-baħar u unitajiet industrijali, f'liema magni kienu qed jikkomponu popolari?</v>
      </c>
    </row>
    <row r="2837" ht="15.75" customHeight="1">
      <c r="A2837" s="2" t="s">
        <v>2837</v>
      </c>
      <c r="B2837" s="2" t="str">
        <f>IFERROR(__xludf.DUMMYFUNCTION("GOOGLETRANSLATE(A2837,""en"", ""mt"")"),"taċċetta kastig")</f>
        <v>taċċetta kastig</v>
      </c>
    </row>
    <row r="2838" ht="15.75" customHeight="1">
      <c r="A2838" s="2" t="s">
        <v>2838</v>
      </c>
      <c r="B2838" s="2" t="str">
        <f>IFERROR(__xludf.DUMMYFUNCTION("GOOGLETRANSLATE(A2838,""en"", ""mt"")"),"Engineering News-Record (ENR) hija rivista kummerċjali għall-industrija tal-kostruzzjoni. Kull sena, ENR tikkompila u tirrapporta dwar dejta dwar id-daqs tal-kumpaniji tad-disinn u tal-kostruzzjoni. Huma jippubblikaw lista tal-ikbar kumpaniji fl-Istati Un"&amp;"iti (top-40) u wkoll lista tal-akbar ditti globali (l-aqwa 250, skont l-ammont ta ’xogħol li qed jagħmlu barra minn pajjiżhom). Fl-2014, ENR ġabret id-dejta f'disa 'segmenti tas-suq. Kien maqsum bħala trasport, pitrolju, bini, enerġija, industrijali, ilma"&amp;", manifattura, drenaġġ / skart, telekomunikazzjoni, skart perikoluż flimkien ma 'għaxar kategorija għal proġetti oħra. Fir-rappurtar tagħhom fuq l-aqwa 400, huma użaw dejta dwar it-trasport, id-drenaġġ, l-iskart perikoluż u l-ilma biex jikklassifikaw ditt"&amp;"i bħala kuntratturi tqal.")</f>
        <v>Engineering News-Record (ENR) hija rivista kummerċjali għall-industrija tal-kostruzzjoni. Kull sena, ENR tikkompila u tirrapporta dwar dejta dwar id-daqs tal-kumpaniji tad-disinn u tal-kostruzzjoni. Huma jippubblikaw lista tal-ikbar kumpaniji fl-Istati Uniti (top-40) u wkoll lista tal-akbar ditti globali (l-aqwa 250, skont l-ammont ta ’xogħol li qed jagħmlu barra minn pajjiżhom). Fl-2014, ENR ġabret id-dejta f'disa 'segmenti tas-suq. Kien maqsum bħala trasport, pitrolju, bini, enerġija, industrijali, ilma, manifattura, drenaġġ / skart, telekomunikazzjoni, skart perikoluż flimkien ma 'għaxar kategorija għal proġetti oħra. Fir-rappurtar tagħhom fuq l-aqwa 400, huma użaw dejta dwar it-trasport, id-drenaġġ, l-iskart perikoluż u l-ilma biex jikklassifikaw ditti bħala kuntratturi tqal.</v>
      </c>
    </row>
    <row r="2839" ht="15.75" customHeight="1">
      <c r="A2839" s="2" t="s">
        <v>2839</v>
      </c>
      <c r="B2839" s="2" t="str">
        <f>IFERROR(__xludf.DUMMYFUNCTION("GOOGLETRANSLATE(A2839,""en"", ""mt"")"),"Legalment, trusts u soċjetajiet li ma jagħmlux profitt biss jistgħu jmexxu skejjel fl-Indja. Huma ser ikollhom jissodisfaw numru ta 'kriterji ta' infrastruttura u riżorsi umani biex jiksbu rikonoxximent (forma ta 'liċenzja) mill-gvern. Kritiċi ta 'din is-"&amp;"sistema jindikaw li dan iwassal għal korruzzjoni minn spetturi ta' l-iskejjel li jivverifikaw il-konformità u għal inqas skejjel f'pajjiż li għandu l-akbar popolazzjoni analfabet adulta fid-dinja. Filwaqt li d-dejta uffiċjali ma taqbadx il-firxa reali ta "&amp;"'skola privata fil-pajjiż, studji varji rrappurtaw nuqqas ta' popolarità ta 'skejjel tal-gvern u numru dejjem jiżdied ta' skejjel privati. Ir-Rapport Annwali tal-Istatus tal-Edukazzjoni (ASER), li jevalwa l-livelli ta ’tagħlim fl-Indja rurali, kien jirrap"&amp;"porta kisba akkademika ifqar fl-iskejjel tal-gvern milli fi skejjel privati. Differenza ewlenija bejn il-gvern u l-iskejjel privati ​​hija li l-mezz ta 'edukazzjoni fl-iskejjel privati ​​huwa l-Ingliż waqt li huwa l-lingwa lokali fl-iskejjel tal-gvern.")</f>
        <v>Legalment, trusts u soċjetajiet li ma jagħmlux profitt biss jistgħu jmexxu skejjel fl-Indja. Huma ser ikollhom jissodisfaw numru ta 'kriterji ta' infrastruttura u riżorsi umani biex jiksbu rikonoxximent (forma ta 'liċenzja) mill-gvern. Kritiċi ta 'din is-sistema jindikaw li dan iwassal għal korruzzjoni minn spetturi ta' l-iskejjel li jivverifikaw il-konformità u għal inqas skejjel f'pajjiż li għandu l-akbar popolazzjoni analfabet adulta fid-dinja. Filwaqt li d-dejta uffiċjali ma taqbadx il-firxa reali ta 'skola privata fil-pajjiż, studji varji rrappurtaw nuqqas ta' popolarità ta 'skejjel tal-gvern u numru dejjem jiżdied ta' skejjel privati. Ir-Rapport Annwali tal-Istatus tal-Edukazzjoni (ASER), li jevalwa l-livelli ta ’tagħlim fl-Indja rurali, kien jirrapporta kisba akkademika ifqar fl-iskejjel tal-gvern milli fi skejjel privati. Differenza ewlenija bejn il-gvern u l-iskejjel privati ​​hija li l-mezz ta 'edukazzjoni fl-iskejjel privati ​​huwa l-Ingliż waqt li huwa l-lingwa lokali fl-iskejjel tal-gvern.</v>
      </c>
    </row>
    <row r="2840" ht="15.75" customHeight="1">
      <c r="A2840" s="2" t="s">
        <v>2840</v>
      </c>
      <c r="B2840" s="2" t="str">
        <f>IFERROR(__xludf.DUMMYFUNCTION("GOOGLETRANSLATE(A2840,""en"", ""mt"")"),"difensini")</f>
        <v>difensini</v>
      </c>
    </row>
    <row r="2841" ht="15.75" customHeight="1">
      <c r="A2841" s="2" t="s">
        <v>2841</v>
      </c>
      <c r="B2841" s="2" t="str">
        <f>IFERROR(__xludf.DUMMYFUNCTION("GOOGLETRANSLATE(A2841,""en"", ""mt"")"),"Harvard ġie ffurmat fl-1636 bil-vot tal-Qorti l-Kbira u Ġenerali tal-Kolonja tal-Bajja ta 'Massachusetts. Fil-bidu kien imsejjaħ ""New College"" jew ""The College fi New Towne"". Fl-1638, il-kulleġġ sar id-dar għall-ewwel stampa tal-istampar magħrufa tal-"&amp;"Amerika ta ’Fuq, imwettqa mill-vapur John of London. Fl-1639, il-kulleġġ ġie msejjaħ Harvard College wara l-kleru mejjet John Harvard, li kien student tal-Università ta ’Cambridge. Huwa kien ħalla l-iskola £ 779 u l-librerija tiegħu ta 'madwar 400 kotba. "&amp;"Il-charter li joħloq il-Korporazzjoni ta ’Harvard ingħata fl-1650.")</f>
        <v>Harvard ġie ffurmat fl-1636 bil-vot tal-Qorti l-Kbira u Ġenerali tal-Kolonja tal-Bajja ta 'Massachusetts. Fil-bidu kien imsejjaħ "New College" jew "The College fi New Towne". Fl-1638, il-kulleġġ sar id-dar għall-ewwel stampa tal-istampar magħrufa tal-Amerika ta ’Fuq, imwettqa mill-vapur John of London. Fl-1639, il-kulleġġ ġie msejjaħ Harvard College wara l-kleru mejjet John Harvard, li kien student tal-Università ta ’Cambridge. Huwa kien ħalla l-iskola £ 779 u l-librerija tiegħu ta 'madwar 400 kotba. Il-charter li joħloq il-Korporazzjoni ta ’Harvard ingħata fl-1650.</v>
      </c>
    </row>
    <row r="2842" ht="15.75" customHeight="1">
      <c r="A2842" s="2" t="s">
        <v>2842</v>
      </c>
      <c r="B2842" s="2" t="str">
        <f>IFERROR(__xludf.DUMMYFUNCTION("GOOGLETRANSLATE(A2842,""en"", ""mt"")"),"L-IPCC jirċievi fondi permezz tal-Fond Fiduċjarju tal-IPCC, stabbilit fl-1989 mill-Programm tal-Ambjent tan-Nazzjonijiet Uniti (UNEP) u l-Organizzazzjoni Meteoroloġika Dinjija (WMO), l-ispejjeż tas-Segretarju u tad-Djar tas-Segretarjat huma pprovduti mill"&amp;"-WMO, filwaqt li l-UNEP tissodisfa Spiża tas-Segretarju tad-Deputat. Il-kontribuzzjonijiet annwali tal-flus kontanti għall-fond fiduċjarju huma magħmula mill-WMO, mill-UNEP, u mill-membri tal-IPCC; L-iskala tal-pagamenti hija ddeterminata mill-bord tal-IP"&amp;"CC, li huwa wkoll responsabbli biex jikkunsidra u jadotta b'kunsens tal-baġit annwali. L-organizzazzjoni hija meħtieġa tikkonforma mar-regolamenti finanzjarji u r-regoli tal-WMO.")</f>
        <v>L-IPCC jirċievi fondi permezz tal-Fond Fiduċjarju tal-IPCC, stabbilit fl-1989 mill-Programm tal-Ambjent tan-Nazzjonijiet Uniti (UNEP) u l-Organizzazzjoni Meteoroloġika Dinjija (WMO), l-ispejjeż tas-Segretarju u tad-Djar tas-Segretarjat huma pprovduti mill-WMO, filwaqt li l-UNEP tissodisfa Spiża tas-Segretarju tad-Deputat. Il-kontribuzzjonijiet annwali tal-flus kontanti għall-fond fiduċjarju huma magħmula mill-WMO, mill-UNEP, u mill-membri tal-IPCC; L-iskala tal-pagamenti hija ddeterminata mill-bord tal-IPCC, li huwa wkoll responsabbli biex jikkunsidra u jadotta b'kunsens tal-baġit annwali. L-organizzazzjoni hija meħtieġa tikkonforma mar-regolamenti finanzjarji u r-regoli tal-WMO.</v>
      </c>
    </row>
    <row r="2843" ht="15.75" customHeight="1">
      <c r="A2843" s="2" t="s">
        <v>2843</v>
      </c>
      <c r="B2843" s="2" t="str">
        <f>IFERROR(__xludf.DUMMYFUNCTION("GOOGLETRANSLATE(A2843,""en"", ""mt"")"),"Il-bżonnijiet ta 'min se jissodisfa t-tkabbir fl-informatika tal-ispiżerija?")</f>
        <v>Il-bżonnijiet ta 'min se jissodisfa t-tkabbir fl-informatika tal-ispiżerija?</v>
      </c>
    </row>
    <row r="2844" ht="15.75" customHeight="1">
      <c r="A2844" s="2" t="s">
        <v>2844</v>
      </c>
      <c r="B2844" s="2" t="str">
        <f>IFERROR(__xludf.DUMMYFUNCTION("GOOGLETRANSLATE(A2844,""en"", ""mt"")"),"Dan huwa l-aktar metodu komuni ta 'akkwist tal-kostruzzjoni u huwa stabbilit sew u rikonoxxut. F'dan l-arranġament, il-perit jew l-inġinier jaġixxi bħala l-koordinatur tal-proġett. Ir-rwol tiegħu jew tagħha huwa li jiddisinja x-xogħlijiet, iħejji l-ispeċi"&amp;"fikazzjonijiet u jipproduċi tpinġijiet tal-kostruzzjoni, jamministra l-kuntratt, joffri x-xogħlijiet, u jimmaniġġja x-xogħlijiet mill-bidu sal-tlestija. Hemm rabtiet kuntrattwali diretti bejn il-klijent tal-perit u l-kuntrattur ewlieni. Kull sottokuntratt"&amp;"ur għandu relazzjoni kuntrattwali diretta mal-kuntrattur ewlieni. Il-proċedura tkompli sakemm il-bini jkun lest biex jokkupa.")</f>
        <v>Dan huwa l-aktar metodu komuni ta 'akkwist tal-kostruzzjoni u huwa stabbilit sew u rikonoxxut. F'dan l-arranġament, il-perit jew l-inġinier jaġixxi bħala l-koordinatur tal-proġett. Ir-rwol tiegħu jew tagħha huwa li jiddisinja x-xogħlijiet, iħejji l-ispeċifikazzjonijiet u jipproduċi tpinġijiet tal-kostruzzjoni, jamministra l-kuntratt, joffri x-xogħlijiet, u jimmaniġġja x-xogħlijiet mill-bidu sal-tlestija. Hemm rabtiet kuntrattwali diretti bejn il-klijent tal-perit u l-kuntrattur ewlieni. Kull sottokuntrattur għandu relazzjoni kuntrattwali diretta mal-kuntrattur ewlieni. Il-proċedura tkompli sakemm il-bini jkun lest biex jokkupa.</v>
      </c>
    </row>
    <row r="2845" ht="15.75" customHeight="1">
      <c r="A2845" s="2" t="s">
        <v>2845</v>
      </c>
      <c r="B2845" s="2" t="str">
        <f>IFERROR(__xludf.DUMMYFUNCTION("GOOGLETRANSLATE(A2845,""en"", ""mt"")"),"Kemm hemm sorsi tal-liġi tal-Unjoni Ewropea?")</f>
        <v>Kemm hemm sorsi tal-liġi tal-Unjoni Ewropea?</v>
      </c>
    </row>
    <row r="2846" ht="15.75" customHeight="1">
      <c r="A2846" s="2" t="s">
        <v>2846</v>
      </c>
      <c r="B2846" s="2" t="str">
        <f>IFERROR(__xludf.DUMMYFUNCTION("GOOGLETRANSLATE(A2846,""en"", ""mt"")"),"ingħata l-ugwaljanza tal-Protestanti")</f>
        <v>ingħata l-ugwaljanza tal-Protestanti</v>
      </c>
    </row>
    <row r="2847" ht="15.75" customHeight="1">
      <c r="A2847" s="2" t="s">
        <v>2847</v>
      </c>
      <c r="B2847" s="2" t="str">
        <f>IFERROR(__xludf.DUMMYFUNCTION("GOOGLETRANSLATE(A2847,""en"", ""mt"")"),"In-numri ta 'Huguenot laħqu l-quċċata ta' stima ta 'żewġ miljun sal-1562, ikkonċentrati prinċipalment fil-partijiet tan-Nofsinhar u Ċentrali ta' Franza, madwar tmienja n-numru ta 'Kattoliċi Franċiżi. Hekk kif Huguenots kisbu influwenza u wrew b'mod aktar "&amp;"miftuħ il-fidi tagħhom, l-ostilità Kattolika kibret, minkejja konċessjonijiet politiċi dejjem aktar liberali u edetti ta 'tolleranza mill-kuruna Franċiża. Segwiet serje ta 'kunflitti reliġjużi, magħrufa bħala l-Gwerer tar-Reliġjon, ġġieldu b'mod intermitt"&amp;"enti mill-1562 sal-1598. Il-gwerer fl-aħħar intemmu bl-għoti tal-editt ta' Nantes, li taw lill-Huguenots sostanzjali reliġjużi, politiċi u militari.")</f>
        <v>In-numri ta 'Huguenot laħqu l-quċċata ta' stima ta 'żewġ miljun sal-1562, ikkonċentrati prinċipalment fil-partijiet tan-Nofsinhar u Ċentrali ta' Franza, madwar tmienja n-numru ta 'Kattoliċi Franċiżi. Hekk kif Huguenots kisbu influwenza u wrew b'mod aktar miftuħ il-fidi tagħhom, l-ostilità Kattolika kibret, minkejja konċessjonijiet politiċi dejjem aktar liberali u edetti ta 'tolleranza mill-kuruna Franċiża. Segwiet serje ta 'kunflitti reliġjużi, magħrufa bħala l-Gwerer tar-Reliġjon, ġġieldu b'mod intermittenti mill-1562 sal-1598. Il-gwerer fl-aħħar intemmu bl-għoti tal-editt ta' Nantes, li taw lill-Huguenots sostanzjali reliġjużi, politiċi u militari.</v>
      </c>
    </row>
    <row r="2848" ht="15.75" customHeight="1">
      <c r="A2848" s="2" t="s">
        <v>2848</v>
      </c>
      <c r="B2848" s="2" t="str">
        <f>IFERROR(__xludf.DUMMYFUNCTION("GOOGLETRANSLATE(A2848,""en"", ""mt"")"),"Dan jimmotiva l-kunċett ta 'problema li tkun diffiċli għal klassi ta' kumplessità. Problema X hija iebsa għal klassi ta 'problemi ċ Jekk kull problema f'C tista' titnaqqas għal X. Għalhekk l-ebda problema f'C ma hija iktar diffiċli minn X, peress li algor"&amp;"itmu għal X jippermettilna nsolvu kwalunkwe problema f'C. Naturalment, Il-kunċett ta 'problemi iebsa jiddependi mit-tip ta' tnaqqis li qed jintuża. Għal klassijiet ta 'kumplessità ikbar minn P, tnaqqis fil-ħin polinomjali huma komunement użati. B'mod part"&amp;"ikolari, is-sett ta 'problemi li huma diffiċli għal NP huwa s-sett ta' problemi iebsin ta 'NP.")</f>
        <v>Dan jimmotiva l-kunċett ta 'problema li tkun diffiċli għal klassi ta' kumplessità. Problema X hija iebsa għal klassi ta 'problemi ċ Jekk kull problema f'C tista' titnaqqas għal X. Għalhekk l-ebda problema f'C ma hija iktar diffiċli minn X, peress li algoritmu għal X jippermettilna nsolvu kwalunkwe problema f'C. Naturalment, Il-kunċett ta 'problemi iebsa jiddependi mit-tip ta' tnaqqis li qed jintuża. Għal klassijiet ta 'kumplessità ikbar minn P, tnaqqis fil-ħin polinomjali huma komunement użati. B'mod partikolari, is-sett ta 'problemi li huma diffiċli għal NP huwa s-sett ta' problemi iebsin ta 'NP.</v>
      </c>
    </row>
    <row r="2849" ht="15.75" customHeight="1">
      <c r="A2849" s="2" t="s">
        <v>2849</v>
      </c>
      <c r="B2849" s="2" t="str">
        <f>IFERROR(__xludf.DUMMYFUNCTION("GOOGLETRANSLATE(A2849,""en"", ""mt"")"),"Ċiklu Prattiku tal-Carnot")</f>
        <v>Ċiklu Prattiku tal-Carnot</v>
      </c>
    </row>
    <row r="2850" ht="15.75" customHeight="1">
      <c r="A2850" s="2" t="s">
        <v>2850</v>
      </c>
      <c r="B2850" s="2" t="str">
        <f>IFERROR(__xludf.DUMMYFUNCTION("GOOGLETRANSLATE(A2850,""en"", ""mt"")"),"Liema xita sfurzata tappoġġja aktar minn 11,003 speċi")</f>
        <v>Liema xita sfurzata tappoġġja aktar minn 11,003 speċi</v>
      </c>
    </row>
    <row r="2851" ht="15.75" customHeight="1">
      <c r="A2851" s="2" t="s">
        <v>2851</v>
      </c>
      <c r="B2851" s="2" t="str">
        <f>IFERROR(__xludf.DUMMYFUNCTION("GOOGLETRANSLATE(A2851,""en"", ""mt"")"),"Popli ta 'l-Amerika t'Isfel")</f>
        <v>Popli ta 'l-Amerika t'Isfel</v>
      </c>
    </row>
    <row r="2852" ht="15.75" customHeight="1">
      <c r="A2852" s="2" t="s">
        <v>2852</v>
      </c>
      <c r="B2852" s="2" t="str">
        <f>IFERROR(__xludf.DUMMYFUNCTION("GOOGLETRANSLATE(A2852,""en"", ""mt"")"),"L-ispjegazzjoni dominanti għall-mewt sewda hija t-teorija tal-pesta, li tattribwixxi t-tifqigħa lil Yersinia pestis, responsabbli wkoll għal epidemija li bdiet fin-Nofsinhar taċ-Ċina fl-1865, li eventwalment tinfirex lejn l-Indja. L-investigazzjoni tal-pa"&amp;"toġen li kkawżat il-pesta tas-seklu 19 kienet bdiet minn timijiet ta 'xjenzati li żaru Ħong Kong fl-1894, li fosthom kien il-batterjologu Franċiż-Żvizzeru Alexandre Yersin, li wara li l-patoġen kien imsemmi Yersinia Pestis. Il-mekkaniżmu li bih Y. pestis "&amp;"kien ġeneralment trasmess ġie stabbilit fl-1898 minn Paul-Louis Simond u nstab li jinvolvi l-gdim tal-briegħed li l-midguts tagħhom kienu ostakolati billi rreplikaw lil Y. pestis diversi jiem wara t-tmigħ fuq ospitanti infettati. Dan l-imblukkar jirriżult"&amp;"a fil-ġuħ u l-imġieba aggressiva tal-għalf mill-briegħed, li ripetutament jippruvaw jikklerjaw l-imblukkar tagħhom permezz ta 'regurgitation, li jirriżulta f'eluf ta' batterji tal-pesta li qed jiġu mlaħalħa fis-sit tat-tmigħ, li jinfettaw lill-ospitanti. "&amp;"Il-mekkaniżmu tal-pesta bubonika kien jiddependi wkoll fuq żewġ popolazzjonijiet ta 'annimali gerriema: waħda reżistenti għall-marda, li jaġixxu bħala ospiti, iżommu l-marda endemika, u t-tieni li m'għandhomx reżistenza. Meta t-tieni popolazzjoni tmut, il"&amp;"-briegħed jimxu fuq ospiti oħra, inklużi nies, u b'hekk joħolqu epidemija umana.")</f>
        <v>L-ispjegazzjoni dominanti għall-mewt sewda hija t-teorija tal-pesta, li tattribwixxi t-tifqigħa lil Yersinia pestis, responsabbli wkoll għal epidemija li bdiet fin-Nofsinhar taċ-Ċina fl-1865, li eventwalment tinfirex lejn l-Indja. L-investigazzjoni tal-patoġen li kkawżat il-pesta tas-seklu 19 kienet bdiet minn timijiet ta 'xjenzati li żaru Ħong Kong fl-1894, li fosthom kien il-batterjologu Franċiż-Żvizzeru Alexandre Yersin, li wara li l-patoġen kien imsemmi Yersinia Pestis. Il-mekkaniżmu li bih Y. pestis kien ġeneralment trasmess ġie stabbilit fl-1898 minn Paul-Louis Simond u nstab li jinvolvi l-gdim tal-briegħed li l-midguts tagħhom kienu ostakolati billi rreplikaw lil Y. pestis diversi jiem wara t-tmigħ fuq ospitanti infettati. Dan l-imblukkar jirriżulta fil-ġuħ u l-imġieba aggressiva tal-għalf mill-briegħed, li ripetutament jippruvaw jikklerjaw l-imblukkar tagħhom permezz ta 'regurgitation, li jirriżulta f'eluf ta' batterji tal-pesta li qed jiġu mlaħalħa fis-sit tat-tmigħ, li jinfettaw lill-ospitanti. Il-mekkaniżmu tal-pesta bubonika kien jiddependi wkoll fuq żewġ popolazzjonijiet ta 'annimali gerriema: waħda reżistenti għall-marda, li jaġixxu bħala ospiti, iżommu l-marda endemika, u t-tieni li m'għandhomx reżistenza. Meta t-tieni popolazzjoni tmut, il-briegħed jimxu fuq ospiti oħra, inklużi nies, u b'hekk joħolqu epidemija umana.</v>
      </c>
    </row>
    <row r="2853" ht="15.75" customHeight="1">
      <c r="A2853" s="2" t="s">
        <v>2853</v>
      </c>
      <c r="B2853" s="2" t="str">
        <f>IFERROR(__xludf.DUMMYFUNCTION("GOOGLETRANSLATE(A2853,""en"", ""mt"")"),"Interazzjonijiet potenzjali tal-mediċina, reazzjonijiet avversi għall-mediċina")</f>
        <v>Interazzjonijiet potenzjali tal-mediċina, reazzjonijiet avversi għall-mediċina</v>
      </c>
    </row>
    <row r="2854" ht="15.75" customHeight="1">
      <c r="A2854" s="2" t="s">
        <v>2854</v>
      </c>
      <c r="B2854" s="2" t="str">
        <f>IFERROR(__xludf.DUMMYFUNCTION("GOOGLETRANSLATE(A2854,""en"", ""mt"")"),"Università ta ’Florida tat-Tramuntana")</f>
        <v>Università ta ’Florida tat-Tramuntana</v>
      </c>
    </row>
    <row r="2855" ht="15.75" customHeight="1">
      <c r="A2855" s="2" t="s">
        <v>2855</v>
      </c>
      <c r="B2855" s="2" t="str">
        <f>IFERROR(__xludf.DUMMYFUNCTION("GOOGLETRANSLATE(A2855,""en"", ""mt"")"),"Numru ewlieni (jew prim) huwa numru naturali akbar minn 1 li m'għandux diviżor pożittiv minbarra 1 u nnifsu. Numru naturali akbar minn 1 li mhux numru ewlieni jissejjaħ numru kompost. Pereżempju, 5 hija primarja minħabba li 1 u 5 huma l-uniċi fatturi numr"&amp;"u sħiħ pożittiv tagħha, filwaqt li 6 huwa kompost minħabba li għandu d-diviżuri 2 u 3 minbarra 1 u 6. It-teorema fundamentali tal-aritmetika tistabbilixxi r-rwol ċentrali tal-primes fit-teorija tan-numri : Kull numru sħiħ akbar minn 1 jista 'jiġi espress "&amp;"bħala prodott ta' primes li huwa uniku biex tordna. L-uniċità f'dan it-teorema teħtieġ li tiġi eskluża 1 bħala prim minħabba li wieħed jista 'jinkludi b'mod arbitrarju ħafna każijiet ta' 1 fi kwalunkwe fatturizzazzjoni, e.g., 3, 1 · 3, 1 · 1 · 3, eċċ. Hum"&amp;"a kollha fatturi ta '3.")</f>
        <v>Numru ewlieni (jew prim) huwa numru naturali akbar minn 1 li m'għandux diviżor pożittiv minbarra 1 u nnifsu. Numru naturali akbar minn 1 li mhux numru ewlieni jissejjaħ numru kompost. Pereżempju, 5 hija primarja minħabba li 1 u 5 huma l-uniċi fatturi numru sħiħ pożittiv tagħha, filwaqt li 6 huwa kompost minħabba li għandu d-diviżuri 2 u 3 minbarra 1 u 6. It-teorema fundamentali tal-aritmetika tistabbilixxi r-rwol ċentrali tal-primes fit-teorija tan-numri : Kull numru sħiħ akbar minn 1 jista 'jiġi espress bħala prodott ta' primes li huwa uniku biex tordna. L-uniċità f'dan it-teorema teħtieġ li tiġi eskluża 1 bħala prim minħabba li wieħed jista 'jinkludi b'mod arbitrarju ħafna każijiet ta' 1 fi kwalunkwe fatturizzazzjoni, e.g., 3, 1 · 3, 1 · 1 · 3, eċċ. Huma kollha fatturi ta '3.</v>
      </c>
    </row>
    <row r="2856" ht="15.75" customHeight="1">
      <c r="A2856" s="2" t="s">
        <v>2856</v>
      </c>
      <c r="B2856" s="2" t="str">
        <f>IFERROR(__xludf.DUMMYFUNCTION("GOOGLETRANSLATE(A2856,""en"", ""mt"")"),"X’għamel Austpac")</f>
        <v>X’għamel Austpac</v>
      </c>
    </row>
    <row r="2857" ht="15.75" customHeight="1">
      <c r="A2857" s="2" t="s">
        <v>2857</v>
      </c>
      <c r="B2857" s="2" t="str">
        <f>IFERROR(__xludf.DUMMYFUNCTION("GOOGLETRANSLATE(A2857,""en"", ""mt"")"),"Mill-paċi ta 'Westphalia, ir-Renu ta' Fuq ffurma fruntiera kontenzjuża bejn Franza u l-Ġermanja. L-istabbiliment ta '""fruntieri naturali"" fuq ir-Renu kien għan fit-tul tal-politika barranija Franċiża, peress li l-Medju Evu, għalkemm il-fruntiera tal-lin"&amp;"gwa kienet - u hija - ħafna iktar lejn il-Punent. Il-mexxejja Franċiżi, bħal Louis XIV u Napoleon Bonaparte, ippruvaw bi gradi differenti ta ’suċċess biex jannessu artijiet fil-punent tar-Renu. Il-Konfederazzjoni tar-Renu ġiet stabbilita minn Napuljun, bħ"&amp;"ala stat tal-klijent Franċiż, fl-1806 u damet sal-1814, li matulha serva bħala sors sinifikanti ta 'riżorsi u ħaddiema militari għall-ewwel imperu Franċiż. Fl-1840, il-kriżi tar-Renu, imqanqla mix-xewqa tal-Prim Ministru Franċiż Adolphe Thiers li terġa 't"&amp;"iddaħħal ir-Renu bħala fruntiera naturali, wasslet għal kriżi diplomatika u mewġa ta' nazzjonaliżmu fil-Ġermanja.")</f>
        <v>Mill-paċi ta 'Westphalia, ir-Renu ta' Fuq ffurma fruntiera kontenzjuża bejn Franza u l-Ġermanja. L-istabbiliment ta '"fruntieri naturali" fuq ir-Renu kien għan fit-tul tal-politika barranija Franċiża, peress li l-Medju Evu, għalkemm il-fruntiera tal-lingwa kienet - u hija - ħafna iktar lejn il-Punent. Il-mexxejja Franċiżi, bħal Louis XIV u Napoleon Bonaparte, ippruvaw bi gradi differenti ta ’suċċess biex jannessu artijiet fil-punent tar-Renu. Il-Konfederazzjoni tar-Renu ġiet stabbilita minn Napuljun, bħala stat tal-klijent Franċiż, fl-1806 u damet sal-1814, li matulha serva bħala sors sinifikanti ta 'riżorsi u ħaddiema militari għall-ewwel imperu Franċiż. Fl-1840, il-kriżi tar-Renu, imqanqla mix-xewqa tal-Prim Ministru Franċiż Adolphe Thiers li terġa 'tiddaħħal ir-Renu bħala fruntiera naturali, wasslet għal kriżi diplomatika u mewġa ta' nazzjonaliżmu fil-Ġermanja.</v>
      </c>
    </row>
    <row r="2858" ht="15.75" customHeight="1">
      <c r="A2858" s="2" t="s">
        <v>2858</v>
      </c>
      <c r="B2858" s="2" t="str">
        <f>IFERROR(__xludf.DUMMYFUNCTION("GOOGLETRANSLATE(A2858,""en"", ""mt"")"),"Teatru tat-Torri")</f>
        <v>Teatru tat-Torri</v>
      </c>
    </row>
    <row r="2859" ht="15.75" customHeight="1">
      <c r="A2859" s="2" t="s">
        <v>2859</v>
      </c>
      <c r="B2859" s="2" t="str">
        <f>IFERROR(__xludf.DUMMYFUNCTION("GOOGLETRANSLATE(A2859,""en"", ""mt"")"),"L-iktar strument utli għall-analiżi tal-prestazzjoni tal-magni tal-fwar huwa l-indikatur tal-magna tal-fwar. Verżjonijiet bikrija kienu qed jintużaw sal-1851, iżda l-aktar indikatur ta 'suċċess ġie żviluppat għall-inventur tal-magna b'veloċità għolja u l-"&amp;"manifattur Charles Porter minn Charles Richard u esibiti fil-wirja ta' Londra fl-1862. L-indikatur tal-magna tal-fwar jintraċċa fuq il-karta tal-pressjoni fil-karta fiċ-ċilindru matul il-madwar ċiklu, li jista 'jintuża biex jidentifika diversi problemi u "&amp;"jikkalkula l-horsepower żviluppata. Kien użat regolarment minn inġiniera, mekkaniċi u spetturi tal-assigurazzjoni. L-indikatur tal-magna jista 'jintuża wkoll fuq magni ta' kombustjoni interna. Ara l-immaġni tad-dijagramma tal-indikatur hawn taħt (fit-taqs"&amp;"ima tat-tipi ta ’unitajiet tal-mutur).")</f>
        <v>L-iktar strument utli għall-analiżi tal-prestazzjoni tal-magni tal-fwar huwa l-indikatur tal-magna tal-fwar. Verżjonijiet bikrija kienu qed jintużaw sal-1851, iżda l-aktar indikatur ta 'suċċess ġie żviluppat għall-inventur tal-magna b'veloċità għolja u l-manifattur Charles Porter minn Charles Richard u esibiti fil-wirja ta' Londra fl-1862. L-indikatur tal-magna tal-fwar jintraċċa fuq il-karta tal-pressjoni fil-karta fiċ-ċilindru matul il-madwar ċiklu, li jista 'jintuża biex jidentifika diversi problemi u jikkalkula l-horsepower żviluppata. Kien użat regolarment minn inġiniera, mekkaniċi u spetturi tal-assigurazzjoni. L-indikatur tal-magna jista 'jintuża wkoll fuq magni ta' kombustjoni interna. Ara l-immaġni tad-dijagramma tal-indikatur hawn taħt (fit-taqsima tat-tipi ta ’unitajiet tal-mutur).</v>
      </c>
    </row>
    <row r="2860" ht="15.75" customHeight="1">
      <c r="A2860" s="2" t="s">
        <v>2860</v>
      </c>
      <c r="B2860" s="2" t="str">
        <f>IFERROR(__xludf.DUMMYFUNCTION("GOOGLETRANSLATE(A2860,""en"", ""mt"")"),"Il-Forest Amazon jaħżen liema persentaġġ tad-dijossidu tal-karbonju tad-dinja")</f>
        <v>Il-Forest Amazon jaħżen liema persentaġġ tad-dijossidu tal-karbonju tad-dinja</v>
      </c>
    </row>
    <row r="2861" ht="15.75" customHeight="1">
      <c r="A2861" s="2" t="s">
        <v>2861</v>
      </c>
      <c r="B2861" s="2" t="str">
        <f>IFERROR(__xludf.DUMMYFUNCTION("GOOGLETRANSLATE(A2861,""en"", ""mt"")"),"Ir-Re ta ’Franza")</f>
        <v>Ir-Re ta ’Franza</v>
      </c>
    </row>
    <row r="2862" ht="15.75" customHeight="1">
      <c r="A2862" s="2" t="s">
        <v>2862</v>
      </c>
      <c r="B2862" s="2" t="str">
        <f>IFERROR(__xludf.DUMMYFUNCTION("GOOGLETRANSLATE(A2862,""en"", ""mt"")"),"Post Ċentrali")</f>
        <v>Post Ċentrali</v>
      </c>
    </row>
    <row r="2863" ht="15.75" customHeight="1">
      <c r="A2863" s="2" t="s">
        <v>2863</v>
      </c>
      <c r="B2863" s="2" t="str">
        <f>IFERROR(__xludf.DUMMYFUNCTION("GOOGLETRANSLATE(A2863,""en"", ""mt"")"),"X'inhuma ż-żewġ korpi li jiffurmaw il-leġiżlatura tal-Unjoni Ewropea?")</f>
        <v>X'inhuma ż-żewġ korpi li jiffurmaw il-leġiżlatura tal-Unjoni Ewropea?</v>
      </c>
    </row>
    <row r="2864" ht="15.75" customHeight="1">
      <c r="A2864" s="2" t="s">
        <v>2864</v>
      </c>
      <c r="B2864" s="2" t="str">
        <f>IFERROR(__xludf.DUMMYFUNCTION("GOOGLETRANSLATE(A2864,""en"", ""mt"")"),"Biex tesplora netwerking tal-kompjuter bejn tlieta mill-universitajiet pubbliċi ta 'Michigan")</f>
        <v>Biex tesplora netwerking tal-kompjuter bejn tlieta mill-universitajiet pubbliċi ta 'Michigan</v>
      </c>
    </row>
    <row r="2865" ht="15.75" customHeight="1">
      <c r="A2865" s="2" t="s">
        <v>2865</v>
      </c>
      <c r="B2865" s="2" t="str">
        <f>IFERROR(__xludf.DUMMYFUNCTION("GOOGLETRANSLATE(A2865,""en"", ""mt"")"),"Liao, Jin, u kanzunetta")</f>
        <v>Liao, Jin, u kanzunetta</v>
      </c>
    </row>
    <row r="2866" ht="15.75" customHeight="1">
      <c r="A2866" s="2" t="s">
        <v>2866</v>
      </c>
      <c r="B2866" s="2" t="str">
        <f>IFERROR(__xludf.DUMMYFUNCTION("GOOGLETRANSLATE(A2866,""en"", ""mt"")"),"Soluzzjonijiet tal-Laħam Cargill u Foster Farms")</f>
        <v>Soluzzjonijiet tal-Laħam Cargill u Foster Farms</v>
      </c>
    </row>
    <row r="2867" ht="15.75" customHeight="1">
      <c r="A2867" s="2" t="s">
        <v>2867</v>
      </c>
      <c r="B2867" s="2" t="str">
        <f>IFERROR(__xludf.DUMMYFUNCTION("GOOGLETRANSLATE(A2867,""en"", ""mt"")"),"Għaliex naqset id-domanda għall-kiri?")</f>
        <v>Għaliex naqset id-domanda għall-kiri?</v>
      </c>
    </row>
    <row r="2868" ht="15.75" customHeight="1">
      <c r="A2868" s="2" t="s">
        <v>2868</v>
      </c>
      <c r="B2868" s="2" t="str">
        <f>IFERROR(__xludf.DUMMYFUNCTION("GOOGLETRANSLATE(A2868,""en"", ""mt"")"),"Jaqbad tliet negozjanti u joqtol 14-il persuna tan-Nazzjon Miami")</f>
        <v>Jaqbad tliet negozjanti u joqtol 14-il persuna tan-Nazzjon Miami</v>
      </c>
    </row>
    <row r="2869" ht="15.75" customHeight="1">
      <c r="A2869" s="2" t="s">
        <v>2869</v>
      </c>
      <c r="B2869" s="2" t="str">
        <f>IFERROR(__xludf.DUMMYFUNCTION("GOOGLETRANSLATE(A2869,""en"", ""mt"")"),"immultiplikat żewġ numri interi")</f>
        <v>immultiplikat żewġ numri interi</v>
      </c>
    </row>
    <row r="2870" ht="15.75" customHeight="1">
      <c r="A2870" s="2" t="s">
        <v>2870</v>
      </c>
      <c r="B2870" s="2" t="str">
        <f>IFERROR(__xludf.DUMMYFUNCTION("GOOGLETRANSLATE(A2870,""en"", ""mt"")"),"Fuq liema riżorsi naturali l-gvern Ċiniż kellu monopolju?")</f>
        <v>Fuq liema riżorsi naturali l-gvern Ċiniż kellu monopolju?</v>
      </c>
    </row>
    <row r="2871" ht="15.75" customHeight="1">
      <c r="A2871" s="2" t="s">
        <v>2871</v>
      </c>
      <c r="B2871" s="2" t="str">
        <f>IFERROR(__xludf.DUMMYFUNCTION("GOOGLETRANSLATE(A2871,""en"", ""mt"")"),"Fil-qiegħ tal-arblu")</f>
        <v>Fil-qiegħ tal-arblu</v>
      </c>
    </row>
    <row r="2872" ht="15.75" customHeight="1">
      <c r="A2872" s="2" t="s">
        <v>2872</v>
      </c>
      <c r="B2872" s="2" t="str">
        <f>IFERROR(__xludf.DUMMYFUNCTION("GOOGLETRANSLATE(A2872,""en"", ""mt"")"),"Maurus Servius onoratus")</f>
        <v>Maurus Servius onoratus</v>
      </c>
    </row>
    <row r="2873" ht="15.75" customHeight="1">
      <c r="A2873" s="2" t="s">
        <v>2873</v>
      </c>
      <c r="B2873" s="2" t="str">
        <f>IFERROR(__xludf.DUMMYFUNCTION("GOOGLETRANSLATE(A2873,""en"", ""mt"")"),"X'inhi t-traduzzjoni bl-Ingliż ta 'het scheur?")</f>
        <v>X'inhi t-traduzzjoni bl-Ingliż ta 'het scheur?</v>
      </c>
    </row>
    <row r="2874" ht="15.75" customHeight="1">
      <c r="A2874" s="2" t="s">
        <v>2874</v>
      </c>
      <c r="B2874" s="2" t="str">
        <f>IFERROR(__xludf.DUMMYFUNCTION("GOOGLETRANSLATE(A2874,""en"", ""mt"")"),"Liema kundizzjonijiet għandhom jiġu sodisfatti biex tippreskrivi sustanza kkontrollata?")</f>
        <v>Liema kundizzjonijiet għandhom jiġu sodisfatti biex tippreskrivi sustanza kkontrollata?</v>
      </c>
    </row>
    <row r="2875" ht="15.75" customHeight="1">
      <c r="A2875" s="2" t="s">
        <v>2875</v>
      </c>
      <c r="B2875" s="2" t="str">
        <f>IFERROR(__xludf.DUMMYFUNCTION("GOOGLETRANSLATE(A2875,""en"", ""mt"")"),"madwar wieħed minn tmienja")</f>
        <v>madwar wieħed minn tmienja</v>
      </c>
    </row>
    <row r="2876" ht="15.75" customHeight="1">
      <c r="A2876" s="2" t="s">
        <v>2876</v>
      </c>
      <c r="B2876" s="2" t="str">
        <f>IFERROR(__xludf.DUMMYFUNCTION("GOOGLETRANSLATE(A2876,""en"", ""mt"")"),"Materjali li jdaħħlu")</f>
        <v>Materjali li jdaħħlu</v>
      </c>
    </row>
    <row r="2877" ht="15.75" customHeight="1">
      <c r="A2877" s="2" t="s">
        <v>2877</v>
      </c>
      <c r="B2877" s="2" t="str">
        <f>IFERROR(__xludf.DUMMYFUNCTION("GOOGLETRANSLATE(A2877,""en"", ""mt"")"),"Kungress ta 'Albany")</f>
        <v>Kungress ta 'Albany</v>
      </c>
    </row>
    <row r="2878" ht="15.75" customHeight="1">
      <c r="A2878" s="2" t="s">
        <v>2878</v>
      </c>
      <c r="B2878" s="2" t="str">
        <f>IFERROR(__xludf.DUMMYFUNCTION("GOOGLETRANSLATE(A2878,""en"", ""mt"")"),"Kif kienu jissejħu l-gwerer ċivili kkawżati mill-Huguenots?")</f>
        <v>Kif kienu jissejħu l-gwerer ċivili kkawżati mill-Huguenots?</v>
      </c>
    </row>
    <row r="2879" ht="15.75" customHeight="1">
      <c r="A2879" s="2" t="s">
        <v>2879</v>
      </c>
      <c r="B2879" s="2" t="str">
        <f>IFERROR(__xludf.DUMMYFUNCTION("GOOGLETRANSLATE(A2879,""en"", ""mt"")"),"Qorti Kbira u Ġenerali tal-Kolonja tal-Bajja ta ’Massachusetts")</f>
        <v>Qorti Kbira u Ġenerali tal-Kolonja tal-Bajja ta ’Massachusetts</v>
      </c>
    </row>
    <row r="2880" ht="15.75" customHeight="1">
      <c r="A2880" s="2" t="s">
        <v>2880</v>
      </c>
      <c r="B2880" s="2" t="str">
        <f>IFERROR(__xludf.DUMMYFUNCTION("GOOGLETRANSLATE(A2880,""en"", ""mt"")"),"ta 'l-ogħla' effiċjenza soċjali")</f>
        <v>ta 'l-ogħla' effiċjenza soċjali</v>
      </c>
    </row>
    <row r="2881" ht="15.75" customHeight="1">
      <c r="A2881" s="2" t="s">
        <v>2881</v>
      </c>
      <c r="B2881" s="2" t="str">
        <f>IFERROR(__xludf.DUMMYFUNCTION("GOOGLETRANSLATE(A2881,""en"", ""mt"")"),"Liema mekkaniżmu jista 'jintuża biex jagħmel l-ossiġnu?")</f>
        <v>Liema mekkaniżmu jista 'jintuża biex jagħmel l-ossiġnu?</v>
      </c>
    </row>
    <row r="2882" ht="15.75" customHeight="1">
      <c r="A2882" s="2" t="s">
        <v>2882</v>
      </c>
      <c r="B2882" s="2" t="str">
        <f>IFERROR(__xludf.DUMMYFUNCTION("GOOGLETRANSLATE(A2882,""en"", ""mt"")"),"Gruppi estremisti vjolenti bħal al-Qaeda u t-Taliban")</f>
        <v>Gruppi estremisti vjolenti bħal al-Qaeda u t-Taliban</v>
      </c>
    </row>
    <row r="2883" ht="15.75" customHeight="1">
      <c r="A2883" s="2" t="s">
        <v>2883</v>
      </c>
      <c r="B2883" s="2" t="str">
        <f>IFERROR(__xludf.DUMMYFUNCTION("GOOGLETRANSLATE(A2883,""en"", ""mt"")"),"Pittsburgh, Pennsylvania")</f>
        <v>Pittsburgh, Pennsylvania</v>
      </c>
    </row>
    <row r="2884" ht="15.75" customHeight="1">
      <c r="A2884" s="2" t="s">
        <v>2884</v>
      </c>
      <c r="B2884" s="2" t="str">
        <f>IFERROR(__xludf.DUMMYFUNCTION("GOOGLETRANSLATE(A2884,""en"", ""mt"")"),"Klassijiet ta 'kumplessità")</f>
        <v>Klassijiet ta 'kumplessità</v>
      </c>
    </row>
    <row r="2885" ht="15.75" customHeight="1">
      <c r="A2885" s="2" t="s">
        <v>2885</v>
      </c>
      <c r="B2885" s="2" t="str">
        <f>IFERROR(__xludf.DUMMYFUNCTION("GOOGLETRANSLATE(A2885,""en"", ""mt"")"),"Id-Dinja trid tkun ferm ixjeħ milli suppost kien suppost")</f>
        <v>Id-Dinja trid tkun ferm ixjeħ milli suppost kien suppost</v>
      </c>
    </row>
    <row r="2886" ht="15.75" customHeight="1">
      <c r="A2886" s="2" t="s">
        <v>2886</v>
      </c>
      <c r="B2886" s="2" t="str">
        <f>IFERROR(__xludf.DUMMYFUNCTION("GOOGLETRANSLATE(A2886,""en"", ""mt"")"),"Itfi d-difiżi ospitanti")</f>
        <v>Itfi d-difiżi ospitanti</v>
      </c>
    </row>
    <row r="2887" ht="15.75" customHeight="1">
      <c r="A2887" s="2" t="s">
        <v>2887</v>
      </c>
      <c r="B2887" s="2" t="str">
        <f>IFERROR(__xludf.DUMMYFUNCTION("GOOGLETRANSLATE(A2887,""en"", ""mt"")"),"Servizz tan-Netwerk tas-sinsla ta 'veloċità għolja ħafna")</f>
        <v>Servizz tan-Netwerk tas-sinsla ta 'veloċità għolja ħafna</v>
      </c>
    </row>
    <row r="2888" ht="15.75" customHeight="1">
      <c r="A2888" s="2" t="s">
        <v>2888</v>
      </c>
      <c r="B2888" s="2" t="str">
        <f>IFERROR(__xludf.DUMMYFUNCTION("GOOGLETRANSLATE(A2888,""en"", ""mt"")"),"Min x'aktarx parteċipanti fil-ħolqien ta 'pjan ġenerali għall-ġestjoni finanzjarja tal-proġett tal-kostruzzjoni tal-bini?")</f>
        <v>Min x'aktarx parteċipanti fil-ħolqien ta 'pjan ġenerali għall-ġestjoni finanzjarja tal-proġett tal-kostruzzjoni tal-bini?</v>
      </c>
    </row>
    <row r="2889" ht="15.75" customHeight="1">
      <c r="A2889" s="2" t="s">
        <v>2889</v>
      </c>
      <c r="B2889" s="2" t="str">
        <f>IFERROR(__xludf.DUMMYFUNCTION("GOOGLETRANSLATE(A2889,""en"", ""mt"")"),"Min normalment jaħdem flimkien?")</f>
        <v>Min normalment jaħdem flimkien?</v>
      </c>
    </row>
    <row r="2890" ht="15.75" customHeight="1">
      <c r="A2890" s="2" t="s">
        <v>2890</v>
      </c>
      <c r="B2890" s="2" t="str">
        <f>IFERROR(__xludf.DUMMYFUNCTION("GOOGLETRANSLATE(A2890,""en"", ""mt"")"),"Kemm leġjuni f'ħames bażijiet kienu tul ir-Renu mir-Rumani?")</f>
        <v>Kemm leġjuni f'ħames bażijiet kienu tul ir-Renu mir-Rumani?</v>
      </c>
    </row>
    <row r="2891" ht="15.75" customHeight="1">
      <c r="A2891" s="2" t="s">
        <v>2891</v>
      </c>
      <c r="B2891" s="2" t="str">
        <f>IFERROR(__xludf.DUMMYFUNCTION("GOOGLETRANSLATE(A2891,""en"", ""mt"")"),"Fresno hija l-akbar belt ta 'l-Istati Uniti li mhix marbuta direttament ma' awtostrada bejn l-istati. Meta s-sistema tal-awtostrada bejn l-istati nħolqot fl-1950, ittieħdet id-deċiżjoni biex tinbena dak li issa huwa l-Interstate 5 fuq in-naħa tal-punent t"&amp;"al-Wied Ċentrali, u b'hekk tevita ħafna miċ-ċentri tal-popolazzjoni fir-reġjun, minflok ma ttejjeb dak li issa huwa l-istat Rotta 99. Minħabba li tgħolli malajr il-popolazzjoni u t-traffiku fl-ibliet tul l-SR 99, kif ukoll ix-xewqa ta 'finanzjament federa"&amp;"li, saret ħafna diskussjoni biex taġġornaha għall-istandards bejn l-istati u eventwalment tinkorporaha fis-sistema interstatali, x'aktarx bħala l-Interstate 9 . Titjib maġġuri għas-sinjali, wisa 'tal-karreġġjata, separazzjoni medjana, tneħħija vertikali, "&amp;"u tħassib ieħor bħalissa għaddejjin.")</f>
        <v>Fresno hija l-akbar belt ta 'l-Istati Uniti li mhix marbuta direttament ma' awtostrada bejn l-istati. Meta s-sistema tal-awtostrada bejn l-istati nħolqot fl-1950, ittieħdet id-deċiżjoni biex tinbena dak li issa huwa l-Interstate 5 fuq in-naħa tal-punent tal-Wied Ċentrali, u b'hekk tevita ħafna miċ-ċentri tal-popolazzjoni fir-reġjun, minflok ma ttejjeb dak li issa huwa l-istat Rotta 99. Minħabba li tgħolli malajr il-popolazzjoni u t-traffiku fl-ibliet tul l-SR 99, kif ukoll ix-xewqa ta 'finanzjament federali, saret ħafna diskussjoni biex taġġornaha għall-istandards bejn l-istati u eventwalment tinkorporaha fis-sistema interstatali, x'aktarx bħala l-Interstate 9 . Titjib maġġuri għas-sinjali, wisa 'tal-karreġġjata, separazzjoni medjana, tneħħija vertikali, u tħassib ieħor bħalissa għaddejjin.</v>
      </c>
    </row>
    <row r="2892" ht="15.75" customHeight="1">
      <c r="A2892" s="2" t="s">
        <v>2892</v>
      </c>
      <c r="B2892" s="2" t="str">
        <f>IFERROR(__xludf.DUMMYFUNCTION("GOOGLETRANSLATE(A2892,""en"", ""mt"")"),"Diviżjoni tal-Prova")</f>
        <v>Diviżjoni tal-Prova</v>
      </c>
    </row>
    <row r="2893" ht="15.75" customHeight="1">
      <c r="A2893" s="2" t="s">
        <v>2893</v>
      </c>
      <c r="B2893" s="2" t="str">
        <f>IFERROR(__xludf.DUMMYFUNCTION("GOOGLETRANSLATE(A2893,""en"", ""mt"")"),"Twaqqif ta '""Fruntieri Naturali""")</f>
        <v>Twaqqif ta '"Fruntieri Naturali"</v>
      </c>
    </row>
    <row r="2894" ht="15.75" customHeight="1">
      <c r="A2894" s="2" t="s">
        <v>2894</v>
      </c>
      <c r="B2894" s="2" t="str">
        <f>IFERROR(__xludf.DUMMYFUNCTION("GOOGLETRANSLATE(A2894,""en"", ""mt"")"),"Obbligatament anerobiku")</f>
        <v>Obbligatament anerobiku</v>
      </c>
    </row>
    <row r="2895" ht="15.75" customHeight="1">
      <c r="A2895" s="2" t="s">
        <v>2895</v>
      </c>
      <c r="B2895" s="2" t="str">
        <f>IFERROR(__xludf.DUMMYFUNCTION("GOOGLETRANSLATE(A2895,""en"", ""mt"")"),"F'liema każ il-Qorti tal-Ġustizzja ddikjarat li r-rifjut li jammetti avukat fil-bar Belġjan għax ma kellux wirt Belġjan ma setax ikun ġustifikat?")</f>
        <v>F'liema każ il-Qorti tal-Ġustizzja ddikjarat li r-rifjut li jammetti avukat fil-bar Belġjan għax ma kellux wirt Belġjan ma setax ikun ġustifikat?</v>
      </c>
    </row>
    <row r="2896" ht="15.75" customHeight="1">
      <c r="A2896" s="2" t="s">
        <v>2896</v>
      </c>
      <c r="B2896" s="2" t="str">
        <f>IFERROR(__xludf.DUMMYFUNCTION("GOOGLETRANSLATE(A2896,""en"", ""mt"")"),"X’għamel Guo Shoujing għall-kalendarji?")</f>
        <v>X’għamel Guo Shoujing għall-kalendarji?</v>
      </c>
    </row>
    <row r="2897" ht="15.75" customHeight="1">
      <c r="A2897" s="2" t="s">
        <v>2897</v>
      </c>
      <c r="B2897" s="2" t="str">
        <f>IFERROR(__xludf.DUMMYFUNCTION("GOOGLETRANSLATE(A2897,""en"", ""mt"")"),"It-tip ta 'tnaqqis qed jintuża")</f>
        <v>It-tip ta 'tnaqqis qed jintuża</v>
      </c>
    </row>
    <row r="2898" ht="15.75" customHeight="1">
      <c r="A2898" s="2" t="s">
        <v>2898</v>
      </c>
      <c r="B2898" s="2" t="str">
        <f>IFERROR(__xludf.DUMMYFUNCTION("GOOGLETRANSLATE(A2898,""en"", ""mt"")"),"48.8 ° C (119.8 ° F)")</f>
        <v>48.8 ° C (119.8 ° F)</v>
      </c>
    </row>
    <row r="2899" ht="15.75" customHeight="1">
      <c r="A2899" s="2" t="s">
        <v>2899</v>
      </c>
      <c r="B2899" s="2" t="str">
        <f>IFERROR(__xludf.DUMMYFUNCTION("GOOGLETRANSLATE(A2899,""en"", ""mt"")"),"Iż-żona ta ’Los Angeles")</f>
        <v>Iż-żona ta ’Los Angeles</v>
      </c>
    </row>
    <row r="2900" ht="15.75" customHeight="1">
      <c r="A2900" s="2" t="s">
        <v>2900</v>
      </c>
      <c r="B2900" s="2" t="str">
        <f>IFERROR(__xludf.DUMMYFUNCTION("GOOGLETRANSLATE(A2900,""en"", ""mt"")"),"Evita l- ""inkonvenjent"" li żżur tabib jew li tikseb mediċini li t-tobba tagħhom ma riedux jippreskrivu")</f>
        <v>Evita l- "inkonvenjent" li żżur tabib jew li tikseb mediċini li t-tobba tagħhom ma riedux jippreskrivu</v>
      </c>
    </row>
    <row r="2901" ht="15.75" customHeight="1">
      <c r="A2901" s="2" t="s">
        <v>2901</v>
      </c>
      <c r="B2901" s="2" t="str">
        <f>IFERROR(__xludf.DUMMYFUNCTION("GOOGLETRANSLATE(A2901,""en"", ""mt"")"),"Is-Seminarju Teoloġiku ta ’Chicago")</f>
        <v>Is-Seminarju Teoloġiku ta ’Chicago</v>
      </c>
    </row>
    <row r="2902" ht="15.75" customHeight="1">
      <c r="A2902" s="2" t="s">
        <v>2902</v>
      </c>
      <c r="B2902" s="2" t="str">
        <f>IFERROR(__xludf.DUMMYFUNCTION("GOOGLETRANSLATE(A2902,""en"", ""mt"")"),"melħ u ħadid")</f>
        <v>melħ u ħadid</v>
      </c>
    </row>
    <row r="2903" ht="15.75" customHeight="1">
      <c r="A2903" s="2" t="s">
        <v>2903</v>
      </c>
      <c r="B2903" s="2" t="str">
        <f>IFERROR(__xludf.DUMMYFUNCTION("GOOGLETRANSLATE(A2903,""en"", ""mt"")"),"il-ġenna eterna")</f>
        <v>il-ġenna eterna</v>
      </c>
    </row>
    <row r="2904" ht="15.75" customHeight="1">
      <c r="A2904" s="2" t="s">
        <v>2904</v>
      </c>
      <c r="B2904" s="2" t="str">
        <f>IFERROR(__xludf.DUMMYFUNCTION("GOOGLETRANSLATE(A2904,""en"", ""mt"")"),"X’inkiseb art meta sofra n-nazzjonaliżmu Għarbi?")</f>
        <v>X’inkiseb art meta sofra n-nazzjonaliżmu Għarbi?</v>
      </c>
    </row>
    <row r="2905" ht="15.75" customHeight="1">
      <c r="A2905" s="2" t="s">
        <v>2905</v>
      </c>
      <c r="B2905" s="2" t="str">
        <f>IFERROR(__xludf.DUMMYFUNCTION("GOOGLETRANSLATE(A2905,""en"", ""mt"")"),"Is-sid tipikament jagħti kuntratt lil min?")</f>
        <v>Is-sid tipikament jagħti kuntratt lil min?</v>
      </c>
    </row>
    <row r="2906" ht="15.75" customHeight="1">
      <c r="A2906" s="2" t="s">
        <v>2906</v>
      </c>
      <c r="B2906" s="2" t="str">
        <f>IFERROR(__xludf.DUMMYFUNCTION("GOOGLETRANSLATE(A2906,""en"", ""mt"")"),"Studji dwar l-inugwaljanza u t-tkabbir tad-dħul xi kultant sabu evidenza li tikkonferma l-ipoteżi tal-kurva Kuznets, li tiddikjara li bl-iżvilupp ekonomiku, l-inugwaljanza l-ewwel tiżdied, imbagħad tonqos. L-ekonomista Thomas Piketty jikkontesta din il-ku"&amp;"nċett, fejn qal li mill-1914 sal-1945 gwerer u ""xokkijiet ekonomiċi u politiċi vjolenti"" naqqsu l-inugwaljanza. Barra minn hekk, Piketty targumenta li l-ipoteżi tal-kurva Kuznets ""maġika"", bl-enfasi tagħha fuq l-ibbilanċjar tat-tkabbir ekonomiku fit-t"&amp;"ul, ma tistax tirrapreżenta ż-żieda sinifikanti fl-inugwaljanza ekonomika fid-dinja żviluppata mid-dinja mill-1970.")</f>
        <v>Studji dwar l-inugwaljanza u t-tkabbir tad-dħul xi kultant sabu evidenza li tikkonferma l-ipoteżi tal-kurva Kuznets, li tiddikjara li bl-iżvilupp ekonomiku, l-inugwaljanza l-ewwel tiżdied, imbagħad tonqos. L-ekonomista Thomas Piketty jikkontesta din il-kunċett, fejn qal li mill-1914 sal-1945 gwerer u "xokkijiet ekonomiċi u politiċi vjolenti" naqqsu l-inugwaljanza. Barra minn hekk, Piketty targumenta li l-ipoteżi tal-kurva Kuznets "maġika", bl-enfasi tagħha fuq l-ibbilanċjar tat-tkabbir ekonomiku fit-tul, ma tistax tirrapreżenta ż-żieda sinifikanti fl-inugwaljanza ekonomika fid-dinja żviluppata mid-dinja mill-1970.</v>
      </c>
    </row>
    <row r="2907" ht="15.75" customHeight="1">
      <c r="A2907" s="2" t="s">
        <v>2907</v>
      </c>
      <c r="B2907" s="2" t="str">
        <f>IFERROR(__xludf.DUMMYFUNCTION("GOOGLETRANSLATE(A2907,""en"", ""mt"")"),"Kif is-soċjetajiet ġeografiċi fl-Ewropa kif jappoġġjaw ċerti vjaġġaturi?")</f>
        <v>Kif is-soċjetajiet ġeografiċi fl-Ewropa kif jappoġġjaw ċerti vjaġġaturi?</v>
      </c>
    </row>
    <row r="2908" ht="15.75" customHeight="1">
      <c r="A2908" s="2" t="s">
        <v>2908</v>
      </c>
      <c r="B2908" s="2" t="str">
        <f>IFERROR(__xludf.DUMMYFUNCTION("GOOGLETRANSLATE(A2908,""en"", ""mt"")"),"Meta kien rifless il-kumpless politiku militari fl-ambitu tal-fehim tal-imperjalizmu?")</f>
        <v>Meta kien rifless il-kumpless politiku militari fl-ambitu tal-fehim tal-imperjalizmu?</v>
      </c>
    </row>
    <row r="2909" ht="15.75" customHeight="1">
      <c r="A2909" s="2" t="s">
        <v>2909</v>
      </c>
      <c r="B2909" s="2" t="str">
        <f>IFERROR(__xludf.DUMMYFUNCTION("GOOGLETRANSLATE(A2909,""en"", ""mt"")"),"Spazji ħodor oħra fil-belt jinkludu l-Ġnien Botaniku u l-Ġnien tal-Librerija tal-Università. Huma għandhom ġabra botanika estensiva ta 'pjanti domestiċi u barranin rari, filwaqt li dar tal-palm fl-oranġerija l-ġdida turi pjanti ta' subtropiċi mid-dinja ko"&amp;"llha. Barra minn hekk, fil-fruntieri tal-belt, hemm ukoll: Pole Mokotowskie (park kbir fil-Mokotów tat-Tramuntana, fejn kien l-ewwel korsa taż-żwiemel u mbagħad l-ajruport), Park Ujazdowski (viċin it-Triq SEJM u John Lennon), Park tal-Kultura), Park tal-K"&amp;"ultura u mistrieħ f'Powsin, mill-fruntiera tan-Nofsinhar tal-Belt, Park Skaryszewski mill-Vistula Bank tal-lemin, fi Praga. L-eqdem park fi Praga, il-Park Praga, ġie stabbilit fl-1865-1871 u ddisinjat minn Jan Dobrowolski. Fl-1927 ġie stabbilit ġnien żool"&amp;"oġiku (Ogród Zoologiczny) fuq il-bażi tal-park, u fl-1952 ġirja tal-ors, għadha miftuħa sal-lum.")</f>
        <v>Spazji ħodor oħra fil-belt jinkludu l-Ġnien Botaniku u l-Ġnien tal-Librerija tal-Università. Huma għandhom ġabra botanika estensiva ta 'pjanti domestiċi u barranin rari, filwaqt li dar tal-palm fl-oranġerija l-ġdida turi pjanti ta' subtropiċi mid-dinja kollha. Barra minn hekk, fil-fruntieri tal-belt, hemm ukoll: Pole Mokotowskie (park kbir fil-Mokotów tat-Tramuntana, fejn kien l-ewwel korsa taż-żwiemel u mbagħad l-ajruport), Park Ujazdowski (viċin it-Triq SEJM u John Lennon), Park tal-Kultura), Park tal-Kultura u mistrieħ f'Powsin, mill-fruntiera tan-Nofsinhar tal-Belt, Park Skaryszewski mill-Vistula Bank tal-lemin, fi Praga. L-eqdem park fi Praga, il-Park Praga, ġie stabbilit fl-1865-1871 u ddisinjat minn Jan Dobrowolski. Fl-1927 ġie stabbilit ġnien żooloġiku (Ogród Zoologiczny) fuq il-bażi tal-park, u fl-1952 ġirja tal-ors, għadha miftuħa sal-lum.</v>
      </c>
    </row>
    <row r="2910" ht="15.75" customHeight="1">
      <c r="A2910" s="2" t="s">
        <v>2910</v>
      </c>
      <c r="B2910" s="2" t="str">
        <f>IFERROR(__xludf.DUMMYFUNCTION("GOOGLETRANSLATE(A2910,""en"", ""mt"")"),"Taħriġ speċjali")</f>
        <v>Taħriġ speċjali</v>
      </c>
    </row>
    <row r="2911" ht="15.75" customHeight="1">
      <c r="A2911" s="2" t="s">
        <v>2911</v>
      </c>
      <c r="B2911" s="2" t="str">
        <f>IFERROR(__xludf.DUMMYFUNCTION("GOOGLETRANSLATE(A2911,""en"", ""mt"")"),"ditti tas-servizzi tal-kostruzzjoni (per eżempju, inġinerija, arkitettura) u maniġers tal-kostruzzjoni")</f>
        <v>ditti tas-servizzi tal-kostruzzjoni (per eżempju, inġinerija, arkitettura) u maniġers tal-kostruzzjoni</v>
      </c>
    </row>
    <row r="2912" ht="15.75" customHeight="1">
      <c r="A2912" s="2" t="s">
        <v>2912</v>
      </c>
      <c r="B2912" s="2" t="str">
        <f>IFERROR(__xludf.DUMMYFUNCTION("GOOGLETRANSLATE(A2912,""en"", ""mt"")"),"Il-ħakkiem Karluk Kara-Khanid")</f>
        <v>Il-ħakkiem Karluk Kara-Khanid</v>
      </c>
    </row>
    <row r="2913" ht="15.75" customHeight="1">
      <c r="A2913" s="2" t="s">
        <v>2913</v>
      </c>
      <c r="B2913" s="2" t="str">
        <f>IFERROR(__xludf.DUMMYFUNCTION("GOOGLETRANSLATE(A2913,""en"", ""mt"")"),"Teorija tal-Komputabilità")</f>
        <v>Teorija tal-Komputabilità</v>
      </c>
    </row>
    <row r="2914" ht="15.75" customHeight="1">
      <c r="A2914" s="2" t="s">
        <v>2914</v>
      </c>
      <c r="B2914" s="2" t="str">
        <f>IFERROR(__xludf.DUMMYFUNCTION("GOOGLETRANSLATE(A2914,""en"", ""mt"")"),"Twieqi tal-qawwa")</f>
        <v>Twieqi tal-qawwa</v>
      </c>
    </row>
    <row r="2915" ht="15.75" customHeight="1">
      <c r="A2915" s="2" t="s">
        <v>2915</v>
      </c>
      <c r="B2915" s="2" t="str">
        <f>IFERROR(__xludf.DUMMYFUNCTION("GOOGLETRANSLATE(A2915,""en"", ""mt"")"),"l-ewwel netwerk li jagħmel lill-ospiti responsabbli għal konsenja affidabbli ta 'dejta")</f>
        <v>l-ewwel netwerk li jagħmel lill-ospiti responsabbli għal konsenja affidabbli ta 'dejta</v>
      </c>
    </row>
    <row r="2916" ht="15.75" customHeight="1">
      <c r="A2916" s="2" t="s">
        <v>2916</v>
      </c>
      <c r="B2916" s="2" t="str">
        <f>IFERROR(__xludf.DUMMYFUNCTION("GOOGLETRANSLATE(A2916,""en"", ""mt"")"),"Sacramento akbar")</f>
        <v>Sacramento akbar</v>
      </c>
    </row>
    <row r="2917" ht="15.75" customHeight="1">
      <c r="A2917" s="2" t="s">
        <v>2917</v>
      </c>
      <c r="B2917" s="2" t="str">
        <f>IFERROR(__xludf.DUMMYFUNCTION("GOOGLETRANSLATE(A2917,""en"", ""mt"")"),"Il-bdil tal-pakketti jikkuntrasta ma 'paradigma ta' netwerking prinċipali ieħor, swiċċjar taċ-ċirkwit, metodu li jalloka minn qabel il-wisa 'tal-frekwenza netwerk iddedikat speċifikament għal kull sessjoni ta' komunikazzjoni, kull wieħed għandu rata ta 'b"&amp;"it kostanti u latenza bejn l-għoqiedi. F'każijiet ta 'servizzi li jistgħu jiġu kkonsenjati, bħal servizzi ta' komunikazzjoni ċellulari, iċ-ċirkwiti huma kkaratterizzati minn tariffa għal kull unità ta 'ħin ta' konnessjoni, anke meta l-ebda data ma tiġi tr"&amp;"asferita, filwaqt li l-iswiċċ tal-pakketti jista 'jkun ikkaratterizzat minn tariffa għal kull unità ta' informazzjoni trażmessa, bħal karattri , pakketti, jew messaġġi.")</f>
        <v>Il-bdil tal-pakketti jikkuntrasta ma 'paradigma ta' netwerking prinċipali ieħor, swiċċjar taċ-ċirkwit, metodu li jalloka minn qabel il-wisa 'tal-frekwenza netwerk iddedikat speċifikament għal kull sessjoni ta' komunikazzjoni, kull wieħed għandu rata ta 'bit kostanti u latenza bejn l-għoqiedi. F'każijiet ta 'servizzi li jistgħu jiġu kkonsenjati, bħal servizzi ta' komunikazzjoni ċellulari, iċ-ċirkwiti huma kkaratterizzati minn tariffa għal kull unità ta 'ħin ta' konnessjoni, anke meta l-ebda data ma tiġi trasferita, filwaqt li l-iswiċċ tal-pakketti jista 'jkun ikkaratterizzat minn tariffa għal kull unità ta' informazzjoni trażmessa, bħal karattri , pakketti, jew messaġġi.</v>
      </c>
    </row>
    <row r="2918" ht="15.75" customHeight="1">
      <c r="A2918" s="2" t="s">
        <v>2918</v>
      </c>
      <c r="B2918" s="2" t="str">
        <f>IFERROR(__xludf.DUMMYFUNCTION("GOOGLETRANSLATE(A2918,""en"", ""mt"")"),"il-qrati tal-istati membri u l-Qorti tal-Ġustizzja tal-Unjoni Ewropea")</f>
        <v>il-qrati tal-istati membri u l-Qorti tal-Ġustizzja tal-Unjoni Ewropea</v>
      </c>
    </row>
    <row r="2919" ht="15.75" customHeight="1">
      <c r="A2919" s="2" t="s">
        <v>2919</v>
      </c>
      <c r="B2919" s="2" t="str">
        <f>IFERROR(__xludf.DUMMYFUNCTION("GOOGLETRANSLATE(A2919,""en"", ""mt"")"),"Liema ex-bini bħalissa huwa magħruf bħala Grand 1401?")</f>
        <v>Liema ex-bini bħalissa huwa magħruf bħala Grand 1401?</v>
      </c>
    </row>
    <row r="2920" ht="15.75" customHeight="1">
      <c r="A2920" s="2" t="s">
        <v>2920</v>
      </c>
      <c r="B2920" s="2" t="str">
        <f>IFERROR(__xludf.DUMMYFUNCTION("GOOGLETRANSLATE(A2920,""en"", ""mt"")"),"pari ta 'reazzjoni ta' azzjoni")</f>
        <v>pari ta 'reazzjoni ta' azzjoni</v>
      </c>
    </row>
    <row r="2921" ht="15.75" customHeight="1">
      <c r="A2921" s="2" t="s">
        <v>2921</v>
      </c>
      <c r="B2921" s="2" t="str">
        <f>IFERROR(__xludf.DUMMYFUNCTION("GOOGLETRANSLATE(A2921,""en"", ""mt"")"),"Philo ta 'Bizanju ____ issostitwixxa li l-arja kkonvertita għan-nar")</f>
        <v>Philo ta 'Bizanju ____ issostitwixxa li l-arja kkonvertita għan-nar</v>
      </c>
    </row>
    <row r="2922" ht="15.75" customHeight="1">
      <c r="A2922" s="2" t="s">
        <v>2922</v>
      </c>
      <c r="B2922" s="2" t="str">
        <f>IFERROR(__xludf.DUMMYFUNCTION("GOOGLETRANSLATE(A2922,""en"", ""mt"")"),"Kif iqabbel il-livell ta 'tagħlim fl-iskejjel privati ​​Ġermaniżi ma' skejjel privati ​​f'pajjiżi oħra tal-Ewropa tal-Punent?")</f>
        <v>Kif iqabbel il-livell ta 'tagħlim fl-iskejjel privati ​​Ġermaniżi ma' skejjel privati ​​f'pajjiżi oħra tal-Ewropa tal-Punent?</v>
      </c>
    </row>
    <row r="2923" ht="15.75" customHeight="1">
      <c r="A2923" s="2" t="s">
        <v>2923</v>
      </c>
      <c r="B2923" s="2" t="str">
        <f>IFERROR(__xludf.DUMMYFUNCTION("GOOGLETRANSLATE(A2923,""en"", ""mt"")"),"L-aċċess jista 'jkun permezz ta' terminal dial-up ma 'kuxxinett, jew, billi tgħaqqad nodu permanenti X.25 man-netwerk")</f>
        <v>L-aċċess jista 'jkun permezz ta' terminal dial-up ma 'kuxxinett, jew, billi tgħaqqad nodu permanenti X.25 man-netwerk</v>
      </c>
    </row>
    <row r="2924" ht="15.75" customHeight="1">
      <c r="A2924" s="2" t="s">
        <v>2924</v>
      </c>
      <c r="B2924" s="2" t="str">
        <f>IFERROR(__xludf.DUMMYFUNCTION("GOOGLETRANSLATE(A2924,""en"", ""mt"")"),"Bejn l-1978 D2008 studenti li għadhom ma ggradwawx full time D2008 kienu meħtieġa jlestu kemm klassijiet barra mill-konċentrazzjoni tagħhom?")</f>
        <v>Bejn l-1978 D2008 studenti li għadhom ma ggradwawx full time D2008 kienu meħtieġa jlestu kemm klassijiet barra mill-konċentrazzjoni tagħhom?</v>
      </c>
    </row>
    <row r="2925" ht="15.75" customHeight="1">
      <c r="A2925" s="2" t="s">
        <v>2925</v>
      </c>
      <c r="B2925" s="2" t="str">
        <f>IFERROR(__xludf.DUMMYFUNCTION("GOOGLETRANSLATE(A2925,""en"", ""mt"")")," Meta l-aħħar l-iktar Marxisti jitolbu l-imperjalizmu bħala estensjoni tal-kapitaliżmu għandu l-għeruq tiegħu")</f>
        <v> Meta l-aħħar l-iktar Marxisti jitolbu l-imperjalizmu bħala estensjoni tal-kapitaliżmu għandu l-għeruq tiegħu</v>
      </c>
    </row>
    <row r="2926" ht="15.75" customHeight="1">
      <c r="A2926" s="2" t="s">
        <v>2926</v>
      </c>
      <c r="B2926" s="2" t="str">
        <f>IFERROR(__xludf.DUMMYFUNCTION("GOOGLETRANSLATE(A2926,""en"", ""mt"")"),"biex ma tkellimx ma 'uffiċjali tal-pulizija")</f>
        <v>biex ma tkellimx ma 'uffiċjali tal-pulizija</v>
      </c>
    </row>
    <row r="2927" ht="15.75" customHeight="1">
      <c r="A2927" s="2" t="s">
        <v>2927</v>
      </c>
      <c r="B2927" s="2" t="str">
        <f>IFERROR(__xludf.DUMMYFUNCTION("GOOGLETRANSLATE(A2927,""en"", ""mt"")"),"Netwerk tal-kompjuter iffinanzjat mill-Fondazzjoni Nazzjonali tax-Xjenza tal-Istati Uniti (NSF)")</f>
        <v>Netwerk tal-kompjuter iffinanzjat mill-Fondazzjoni Nazzjonali tax-Xjenza tal-Istati Uniti (NSF)</v>
      </c>
    </row>
    <row r="2928" ht="15.75" customHeight="1">
      <c r="A2928" s="2" t="s">
        <v>2928</v>
      </c>
      <c r="B2928" s="2" t="str">
        <f>IFERROR(__xludf.DUMMYFUNCTION("GOOGLETRANSLATE(A2928,""en"", ""mt"")"),"F’liema raħal waqaf Triton biex jistrieħ fuq bajja bir-ramel")</f>
        <v>F’liema raħal waqaf Triton biex jistrieħ fuq bajja bir-ramel</v>
      </c>
    </row>
    <row r="2929" ht="15.75" customHeight="1">
      <c r="A2929" s="2" t="s">
        <v>2929</v>
      </c>
      <c r="B2929" s="2" t="str">
        <f>IFERROR(__xludf.DUMMYFUNCTION("GOOGLETRANSLATE(A2929,""en"", ""mt"")"),"ġlieda kontra l-kavallieri")</f>
        <v>ġlieda kontra l-kavallieri</v>
      </c>
    </row>
    <row r="2930" ht="15.75" customHeight="1">
      <c r="A2930" s="2" t="s">
        <v>2930</v>
      </c>
      <c r="B2930" s="2" t="str">
        <f>IFERROR(__xludf.DUMMYFUNCTION("GOOGLETRANSLATE(A2930,""en"", ""mt"")"),"Cypiddids mhumiex xiex?")</f>
        <v>Cypiddids mhumiex xiex?</v>
      </c>
    </row>
    <row r="2931" ht="15.75" customHeight="1">
      <c r="A2931" s="2" t="s">
        <v>2931</v>
      </c>
      <c r="B2931" s="2" t="str">
        <f>IFERROR(__xludf.DUMMYFUNCTION("GOOGLETRANSLATE(A2931,""en"", ""mt"")"),"Mill-1920, il-manifattura taċ-ċinema, il-pitrolju u l-inġenji tal-ajru kienu industriji ewlenin. F’wieħed mir-reġjuni agrikoli l-aktar sinjuri fl-Istati Uniti, il-baqar u ċ-ċitru kienu industriji ewlenin sakemm l-art agrikola nbidlet f’subborgi. Għalkemm "&amp;"it-tnaqqis fl-infiq militari kellu impatt, l-Aerospace jibqa 'fattur ewlieni.")</f>
        <v>Mill-1920, il-manifattura taċ-ċinema, il-pitrolju u l-inġenji tal-ajru kienu industriji ewlenin. F’wieħed mir-reġjuni agrikoli l-aktar sinjuri fl-Istati Uniti, il-baqar u ċ-ċitru kienu industriji ewlenin sakemm l-art agrikola nbidlet f’subborgi. Għalkemm it-tnaqqis fl-infiq militari kellu impatt, l-Aerospace jibqa 'fattur ewlieni.</v>
      </c>
    </row>
    <row r="2932" ht="15.75" customHeight="1">
      <c r="A2932" s="2" t="s">
        <v>2932</v>
      </c>
      <c r="B2932" s="2" t="str">
        <f>IFERROR(__xludf.DUMMYFUNCTION("GOOGLETRANSLATE(A2932,""en"", ""mt"")"),"Huwa ż-żejt tal-Iskozja")</f>
        <v>Huwa ż-żejt tal-Iskozja</v>
      </c>
    </row>
    <row r="2933" ht="15.75" customHeight="1">
      <c r="A2933" s="2" t="s">
        <v>2933</v>
      </c>
      <c r="B2933" s="2" t="str">
        <f>IFERROR(__xludf.DUMMYFUNCTION("GOOGLETRANSLATE(A2933,""en"", ""mt"")"),"Matul liema perjodu reġgħet fetħet it-Teatru tat-Torri?")</f>
        <v>Matul liema perjodu reġgħet fetħet it-Teatru tat-Torri?</v>
      </c>
    </row>
    <row r="2934" ht="15.75" customHeight="1">
      <c r="A2934" s="2" t="s">
        <v>2934</v>
      </c>
      <c r="B2934" s="2" t="str">
        <f>IFERROR(__xludf.DUMMYFUNCTION("GOOGLETRANSLATE(A2934,""en"", ""mt"")"),"Robert Nozick argumenta li l-gvern jerġa 'jqassam il-ġid bil-forza (ġeneralment fil-forma ta' tassazzjoni), u li s-soċjetà morali ideali tkun waħda fejn l-individwi kollha huma ħielsa mill-forza. Madankollu, Nozick irrikonoxxa li xi inugwaljanzi ekonomiċi"&amp;" moderni kienu r-riżultat ta 'teħid qawwi ta' propjetà, u ċertu ammont ta 'tqassim mill-ġdid ikun iġġustifikat li jikkumpensa għal din il-forza iżda mhux minħabba l-inugwaljanzi nfushom. John Rawls argumenta fit-teorija tal-ġustizzja li l-inugwaljanzi fid"&amp;"-distribuzzjoni tal-ġid huma ġustifikati biss meta jtejbu s-soċjetà kollha, inklużi l-ifqar membri. Rawls ma jiddiskutix l-implikazzjonijiet sħaħ tat-teorija tal-ġustizzja tiegħu. Xi wħud jaraw l-argument ta 'Rawls bħala ġustifikazzjoni għall-kapitaliżmu "&amp;"peress li anke l-ifqar membri tas-soċjetà teoretikament jibbenefikaw minn innovazzjonijiet miżjuda taħt il-kapitaliżmu; Oħrajn jemmnu li stat ta 'benesseri qawwi biss jista' jissodisfa t-teorija tal-ġustizzja ta 'Rawls.")</f>
        <v>Robert Nozick argumenta li l-gvern jerġa 'jqassam il-ġid bil-forza (ġeneralment fil-forma ta' tassazzjoni), u li s-soċjetà morali ideali tkun waħda fejn l-individwi kollha huma ħielsa mill-forza. Madankollu, Nozick irrikonoxxa li xi inugwaljanzi ekonomiċi moderni kienu r-riżultat ta 'teħid qawwi ta' propjetà, u ċertu ammont ta 'tqassim mill-ġdid ikun iġġustifikat li jikkumpensa għal din il-forza iżda mhux minħabba l-inugwaljanzi nfushom. John Rawls argumenta fit-teorija tal-ġustizzja li l-inugwaljanzi fid-distribuzzjoni tal-ġid huma ġustifikati biss meta jtejbu s-soċjetà kollha, inklużi l-ifqar membri. Rawls ma jiddiskutix l-implikazzjonijiet sħaħ tat-teorija tal-ġustizzja tiegħu. Xi wħud jaraw l-argument ta 'Rawls bħala ġustifikazzjoni għall-kapitaliżmu peress li anke l-ifqar membri tas-soċjetà teoretikament jibbenefikaw minn innovazzjonijiet miżjuda taħt il-kapitaliżmu; Oħrajn jemmnu li stat ta 'benesseri qawwi biss jista' jissodisfa t-teorija tal-ġustizzja ta 'Rawls.</v>
      </c>
    </row>
    <row r="2935" ht="15.75" customHeight="1">
      <c r="A2935" s="2" t="s">
        <v>2935</v>
      </c>
      <c r="B2935" s="2" t="str">
        <f>IFERROR(__xludf.DUMMYFUNCTION("GOOGLETRANSLATE(A2935,""en"", ""mt"")"),"X'ġara bil-livell ta 'l-ilma ta' taħt l-art bil-programm Rhine Dritening?")</f>
        <v>X'ġara bil-livell ta 'l-ilma ta' taħt l-art bil-programm Rhine Dritening?</v>
      </c>
    </row>
    <row r="2936" ht="15.75" customHeight="1">
      <c r="A2936" s="2" t="s">
        <v>2936</v>
      </c>
      <c r="B2936" s="2" t="str">
        <f>IFERROR(__xludf.DUMMYFUNCTION("GOOGLETRANSLATE(A2936,""en"", ""mt"")"),"Escarpment ta 'Varsavja")</f>
        <v>Escarpment ta 'Varsavja</v>
      </c>
    </row>
    <row r="2937" ht="15.75" customHeight="1">
      <c r="A2937" s="2" t="s">
        <v>2937</v>
      </c>
      <c r="B2937" s="2" t="str">
        <f>IFERROR(__xludf.DUMMYFUNCTION("GOOGLETRANSLATE(A2937,""en"", ""mt"")"),"f'distanzi akbar")</f>
        <v>f'distanzi akbar</v>
      </c>
    </row>
    <row r="2938" ht="15.75" customHeight="1">
      <c r="A2938" s="2" t="s">
        <v>2938</v>
      </c>
      <c r="B2938" s="2" t="str">
        <f>IFERROR(__xludf.DUMMYFUNCTION("GOOGLETRANSLATE(A2938,""en"", ""mt"")"),"Storybook")</f>
        <v>Storybook</v>
      </c>
    </row>
    <row r="2939" ht="15.75" customHeight="1">
      <c r="A2939" s="2" t="s">
        <v>2939</v>
      </c>
      <c r="B2939" s="2" t="str">
        <f>IFERROR(__xludf.DUMMYFUNCTION("GOOGLETRANSLATE(A2939,""en"", ""mt"")"),"F'dawn l-aħħar snin il-karatteristika li korrelata ħafna mas-saħħa f'pajjiżi żviluppati hija l-inugwaljanza fid-dħul. Il-ħolqien ta 'indiċi ta' ""problemi tas-saħħa u soċjali"" minn disa 'fatturi, l-awturi Richard Wilkinson u Kate Pickett sabu problemi ta"&amp;"s-saħħa u soċjali ""aktar komuni f'pajjiżi b'inugwaljanzi ta' dħul ikbar"", u aktar komuni fost l-istati fl-Istati Uniti b'inugwaljanzi ta 'dħul akbar. Studji oħra kkonfermaw din ir-relazzjoni. L-indiċi tal-UNICEF ta '""benesseri tat-tfal f'pajjiżi sinjur"&amp;"i"", li jistudja 40 indikatur fi 22 pajjiż, jikkorrelata ma' ugwaljanza akbar iżda mhux dħul per capita.")</f>
        <v>F'dawn l-aħħar snin il-karatteristika li korrelata ħafna mas-saħħa f'pajjiżi żviluppati hija l-inugwaljanza fid-dħul. Il-ħolqien ta 'indiċi ta' "problemi tas-saħħa u soċjali" minn disa 'fatturi, l-awturi Richard Wilkinson u Kate Pickett sabu problemi tas-saħħa u soċjali "aktar komuni f'pajjiżi b'inugwaljanzi ta' dħul ikbar", u aktar komuni fost l-istati fl-Istati Uniti b'inugwaljanzi ta 'dħul akbar. Studji oħra kkonfermaw din ir-relazzjoni. L-indiċi tal-UNICEF ta '"benesseri tat-tfal f'pajjiżi sinjuri", li jistudja 40 indikatur fi 22 pajjiż, jikkorrelata ma' ugwaljanza akbar iżda mhux dħul per capita.</v>
      </c>
    </row>
    <row r="2940" ht="15.75" customHeight="1">
      <c r="A2940" s="2" t="s">
        <v>2940</v>
      </c>
      <c r="B2940" s="2" t="str">
        <f>IFERROR(__xludf.DUMMYFUNCTION("GOOGLETRANSLATE(A2940,""en"", ""mt"")"),"standards miftuħa")</f>
        <v>standards miftuħa</v>
      </c>
    </row>
    <row r="2941" ht="15.75" customHeight="1">
      <c r="A2941" s="2" t="s">
        <v>2941</v>
      </c>
      <c r="B2941" s="2" t="str">
        <f>IFERROR(__xludf.DUMMYFUNCTION("GOOGLETRANSLATE(A2941,""en"", ""mt"")"),"identifikatur tal-konnessjoni aktar milli jindirizza l-informazzjoni u jiġu nnegozjati bejn il-punti finali sabiex dawn jiġu kkonsenjati fl-ordni u bl-iżball tal-verifika")</f>
        <v>identifikatur tal-konnessjoni aktar milli jindirizza l-informazzjoni u jiġu nnegozjati bejn il-punti finali sabiex dawn jiġu kkonsenjati fl-ordni u bl-iżball tal-verifika</v>
      </c>
    </row>
    <row r="2942" ht="15.75" customHeight="1">
      <c r="A2942" s="2" t="s">
        <v>2942</v>
      </c>
      <c r="B2942" s="2" t="str">
        <f>IFERROR(__xludf.DUMMYFUNCTION("GOOGLETRANSLATE(A2942,""en"", ""mt"")"),"Ix-xita fil-baċin waqt l-LGM kienet inqas milli għall-preżent")</f>
        <v>Ix-xita fil-baċin waqt l-LGM kienet inqas milli għall-preżent</v>
      </c>
    </row>
    <row r="2943" ht="15.75" customHeight="1">
      <c r="A2943" s="2" t="s">
        <v>2943</v>
      </c>
      <c r="B2943" s="2" t="str">
        <f>IFERROR(__xludf.DUMMYFUNCTION("GOOGLETRANSLATE(A2943,""en"", ""mt"")"),"indirizzi")</f>
        <v>indirizzi</v>
      </c>
    </row>
    <row r="2944" ht="15.75" customHeight="1">
      <c r="A2944" s="2" t="s">
        <v>2944</v>
      </c>
      <c r="B2944" s="2" t="str">
        <f>IFERROR(__xludf.DUMMYFUNCTION("GOOGLETRANSLATE(A2944,""en"", ""mt"")"),"Liema fatturi kellhom impatt negattiv fuq Jacksonville wara l-gwerra?")</f>
        <v>Liema fatturi kellhom impatt negattiv fuq Jacksonville wara l-gwerra?</v>
      </c>
    </row>
    <row r="2945" ht="15.75" customHeight="1">
      <c r="A2945" s="2" t="s">
        <v>2945</v>
      </c>
      <c r="B2945" s="2" t="str">
        <f>IFERROR(__xludf.DUMMYFUNCTION("GOOGLETRANSLATE(A2945,""en"", ""mt"")"),"Madwar bejn wieħed u ieħor kemm studenti jirreġistraw kull sena fi klassijiet ta 'arti kreattivi u spettakli?")</f>
        <v>Madwar bejn wieħed u ieħor kemm studenti jirreġistraw kull sena fi klassijiet ta 'arti kreattivi u spettakli?</v>
      </c>
    </row>
    <row r="2946" ht="15.75" customHeight="1">
      <c r="A2946" s="2" t="s">
        <v>2946</v>
      </c>
      <c r="B2946" s="2" t="str">
        <f>IFERROR(__xludf.DUMMYFUNCTION("GOOGLETRANSLATE(A2946,""en"", ""mt"")"),"Kważi ċ-ctenophores kollha huma predaturi - m'hemmx vegetarjani u ġeneru wieħed biss li huwa parzjalment parassitiku. Jekk l-ikel huwa abbundanti, huma jistgħu jieklu 10 darbiet il-piż tagħhom stess kuljum. Filwaqt li Beroe jipprepara prinċipalment fuq ct"&amp;"enophores oħra, speċi oħra ta 'ilma tal-wiċċ priża fuq zooplankton (annimali planktoniċi) li jvarjaw fid-daqs mill-mikroskopiku, inklużi l-molluski u l-larva tal-ħut, għal krustaċji żgħar għall-adulti bħal kopepodi, anfipods, u anke Krill. Il-membri tal-ġ"&amp;"eneru Haeckelia priża fuq il-bram u jinkorporaw in-nematokisti tal-priża tagħhom (ċelloli stinging) fit-tentakli tagħhom stess minflok il-kolloblasti. Ctenophores tqabblu ma 'brimb fil-firxa wiesgħa tagħhom ta' tekniki milli jaqbdu l-priża - uħud jiddendl"&amp;"u bla waqfien fl-ilma billi jużaw it-tentakli tagħhom bħala ""nsiġ"", uħud huma predaturi ta 'l-embush bħal brimb li jaqbżu l-melħ, u xi wħud mill-qtar li jwaħħal fl-aħħar ta' Ħajt fin, bħalma jagħmlu l-brimb Bolas. Din il-varjetà tispjega l-firxa wiesgħa"&amp;" ta 'forom tal-ġisem fi phylum bi ftit speċi. Il-lampea ""cydippid"" b'żewġ tentazzjonijiet titma 'esklussivament fuq salps, qraba mill-qrib ta' kwadri tal-baħar li jiffurmaw kolonji li jżommu f'katina kbira, u l-minorenni ta 'lampea jeħlu lilhom infushom"&amp;" bħal parassiti ma' Salps li huma kbar wisq biex jibilgħu. Membri tal-ġeneru Cydippid Pleurobrachia u l-lobate Bolinopsis ħafna drabi jilħqu densitajiet għoljin ta 'popolazzjoni fl-istess post u ħin minħabba li jispeċjalizzaw f'tipi differenti ta' priża: "&amp;"it-tentakli twal ta 'Pleubrachia jaqbdu prinċipalment għawwiema relattivament b'saħħithom bħal kopepodi adulti, filwaqt li l-bolinopsis ġeneralment jitfa' fuq iżgħar, Għawwiema aktar dgħajfa bħal rotifers u molluski u larva tal-krustaċji.")</f>
        <v>Kważi ċ-ctenophores kollha huma predaturi - m'hemmx vegetarjani u ġeneru wieħed biss li huwa parzjalment parassitiku. Jekk l-ikel huwa abbundanti, huma jistgħu jieklu 10 darbiet il-piż tagħhom stess kuljum. Filwaqt li Beroe jipprepara prinċipalment fuq ctenophores oħra, speċi oħra ta 'ilma tal-wiċċ priża fuq zooplankton (annimali planktoniċi) li jvarjaw fid-daqs mill-mikroskopiku, inklużi l-molluski u l-larva tal-ħut, għal krustaċji żgħar għall-adulti bħal kopepodi, anfipods, u anke Krill. Il-membri tal-ġeneru Haeckelia priża fuq il-bram u jinkorporaw in-nematokisti tal-priża tagħhom (ċelloli stinging) fit-tentakli tagħhom stess minflok il-kolloblasti. Ctenophores tqabblu ma 'brimb fil-firxa wiesgħa tagħhom ta' tekniki milli jaqbdu l-priża - uħud jiddendlu bla waqfien fl-ilma billi jużaw it-tentakli tagħhom bħala "nsiġ", uħud huma predaturi ta 'l-embush bħal brimb li jaqbżu l-melħ, u xi wħud mill-qtar li jwaħħal fl-aħħar ta' Ħajt fin, bħalma jagħmlu l-brimb Bolas. Din il-varjetà tispjega l-firxa wiesgħa ta 'forom tal-ġisem fi phylum bi ftit speċi. Il-lampea "cydippid" b'żewġ tentazzjonijiet titma 'esklussivament fuq salps, qraba mill-qrib ta' kwadri tal-baħar li jiffurmaw kolonji li jżommu f'katina kbira, u l-minorenni ta 'lampea jeħlu lilhom infushom bħal parassiti ma' Salps li huma kbar wisq biex jibilgħu. Membri tal-ġeneru Cydippid Pleurobrachia u l-lobate Bolinopsis ħafna drabi jilħqu densitajiet għoljin ta 'popolazzjoni fl-istess post u ħin minħabba li jispeċjalizzaw f'tipi differenti ta' priża: it-tentakli twal ta 'Pleubrachia jaqbdu prinċipalment għawwiema relattivament b'saħħithom bħal kopepodi adulti, filwaqt li l-bolinopsis ġeneralment jitfa' fuq iżgħar, Għawwiema aktar dgħajfa bħal rotifers u molluski u larva tal-krustaċji.</v>
      </c>
    </row>
    <row r="2947" ht="15.75" customHeight="1">
      <c r="A2947" s="2" t="s">
        <v>2947</v>
      </c>
      <c r="B2947" s="2" t="str">
        <f>IFERROR(__xludf.DUMMYFUNCTION("GOOGLETRANSLATE(A2947,""en"", ""mt"")"),"barriera tad-demm-moħħ, barriera ta 'fluwidu tad-demm - ċerebrospinali, u barrieri simili ta' fluwidu-moħħ")</f>
        <v>barriera tad-demm-moħħ, barriera ta 'fluwidu tad-demm - ċerebrospinali, u barrieri simili ta' fluwidu-moħħ</v>
      </c>
    </row>
    <row r="2948" ht="15.75" customHeight="1">
      <c r="A2948" s="2" t="s">
        <v>2948</v>
      </c>
      <c r="B2948" s="2" t="str">
        <f>IFERROR(__xludf.DUMMYFUNCTION("GOOGLETRANSLATE(A2948,""en"", ""mt"")"),"Cadillac DeVille")</f>
        <v>Cadillac DeVille</v>
      </c>
    </row>
    <row r="2949" ht="15.75" customHeight="1">
      <c r="A2949" s="2" t="s">
        <v>2949</v>
      </c>
      <c r="B2949" s="2" t="str">
        <f>IFERROR(__xludf.DUMMYFUNCTION("GOOGLETRANSLATE(A2949,""en"", ""mt"")"),"X'inhu swiċċjar taċ-ċirkwit ikkaratterizzat minn")</f>
        <v>X'inhu swiċċjar taċ-ċirkwit ikkaratterizzat minn</v>
      </c>
    </row>
    <row r="2950" ht="15.75" customHeight="1">
      <c r="A2950" s="2" t="s">
        <v>2950</v>
      </c>
      <c r="B2950" s="2" t="str">
        <f>IFERROR(__xludf.DUMMYFUNCTION("GOOGLETRANSLATE(A2950,""en"", ""mt"")"),"F'liema jispeċjalizzaw l-ispiżjara kliniċi?")</f>
        <v>F'liema jispeċjalizzaw l-ispiżjara kliniċi?</v>
      </c>
    </row>
    <row r="2951" ht="15.75" customHeight="1">
      <c r="A2951" s="2" t="s">
        <v>2951</v>
      </c>
      <c r="B2951" s="2" t="str">
        <f>IFERROR(__xludf.DUMMYFUNCTION("GOOGLETRANSLATE(A2951,""en"", ""mt"")"),"Kemm Huguenots emigraw lejn l-Amerika ta ’Fuq bħala kolonisti?")</f>
        <v>Kemm Huguenots emigraw lejn l-Amerika ta ’Fuq bħala kolonisti?</v>
      </c>
    </row>
    <row r="2952" ht="15.75" customHeight="1">
      <c r="A2952" s="2" t="s">
        <v>2952</v>
      </c>
      <c r="B2952" s="2" t="str">
        <f>IFERROR(__xludf.DUMMYFUNCTION("GOOGLETRANSLATE(A2952,""en"", ""mt"")"),"fil-majjistral tar-Russja")</f>
        <v>fil-majjistral tar-Russja</v>
      </c>
    </row>
    <row r="2953" ht="15.75" customHeight="1">
      <c r="A2953" s="2" t="s">
        <v>2953</v>
      </c>
      <c r="B2953" s="2" t="str">
        <f>IFERROR(__xludf.DUMMYFUNCTION("GOOGLETRANSLATE(A2953,""en"", ""mt"")"),"L-immigranti Huguenot ma xerrdux jew joqogħdu f'partijiet differenti tal-pajjiż, iżda pjuttost, iffurmaw tliet soċjetajiet jew kongregazzjonijiet; Waħda fil-belt ta ’New York, 21 mil ieħor fit-tramuntana ta’ New York f’belt li huma semmew New Rochelle, u "&amp;"t-tielet upstate ieħor fi New Paltz. Id- ""Distrett Storiku ta 'Triq Huguenot"" fi New Paltz ġie nominat sit ta' monument storiku nazzjonali u fih l-eqdem triq fl-Istati Uniti ta 'l-Amerika. Grupp żgħir ta 'Huguenots stabbilixxa wkoll fuq ix-Xatt tan-Nofs"&amp;"inhar ta' Staten Island tul il-Port ta 'New York, li għalih kien imsemmi l-viċinat attwali ta' Huguenot.")</f>
        <v>L-immigranti Huguenot ma xerrdux jew joqogħdu f'partijiet differenti tal-pajjiż, iżda pjuttost, iffurmaw tliet soċjetajiet jew kongregazzjonijiet; Waħda fil-belt ta ’New York, 21 mil ieħor fit-tramuntana ta’ New York f’belt li huma semmew New Rochelle, u t-tielet upstate ieħor fi New Paltz. Id- "Distrett Storiku ta 'Triq Huguenot" fi New Paltz ġie nominat sit ta' monument storiku nazzjonali u fih l-eqdem triq fl-Istati Uniti ta 'l-Amerika. Grupp żgħir ta 'Huguenots stabbilixxa wkoll fuq ix-Xatt tan-Nofsinhar ta' Staten Island tul il-Port ta 'New York, li għalih kien imsemmi l-viċinat attwali ta' Huguenot.</v>
      </c>
    </row>
    <row r="2954" ht="15.75" customHeight="1">
      <c r="A2954" s="2" t="s">
        <v>2954</v>
      </c>
      <c r="B2954" s="2" t="str">
        <f>IFERROR(__xludf.DUMMYFUNCTION("GOOGLETRANSLATE(A2954,""en"", ""mt"")"),"Fit-tarf dojoq")</f>
        <v>Fit-tarf dojoq</v>
      </c>
    </row>
    <row r="2955" ht="15.75" customHeight="1">
      <c r="A2955" s="2" t="s">
        <v>2955</v>
      </c>
      <c r="B2955" s="2" t="str">
        <f>IFERROR(__xludf.DUMMYFUNCTION("GOOGLETRANSLATE(A2955,""en"", ""mt"")"),"Madankollu, din id-definizzjoni hija kkontestata mill-filosofija politika ta 'Thoreau li pitching il-kuxjenza kontra l-kollettiv. L-individwu huwa l-imħallef finali ta 'dritt u ħażin. Aktar minn hekk, peress li l-individwi biss jaġixxu, individwi biss jis"&amp;"tgħu jaġixxu inġustament. Meta l-gvern iħabbat fuq il-bieb, huwa individwu fil-forma ta 'pustier jew kollettur tat-taxxa li l-idejn tiegħu jolqot l-injam. Qabel il-ħabs ta 'Thoreau, meta taxman konfuż kien staqsiet b'leħen għoli dwar kif jimmaniġġa r-rifj"&amp;"ut tiegħu li jħallas, Thoreau kien ta parir, ""jirriżenja."" Jekk raġel għażel li jkun aġent ta 'inġustizzja, allura Thoreau insista li jiffaċċjah bil-fatt li kien qed jagħmel għażla. Imma jekk il-gvern huwa ""l-vuċi tan-nies,"" kif spiss jissejjaħ, m'għa"&amp;"ndux ikun hemm il-vuċi? Thoreau jammetti li l-gvern jista 'jesprimi r-rieda tal-maġġoranza iżda jista' wkoll jesprimi xejn ħlief ir-rieda tal-politiċi elite. Anke forma tajba ta 'gvern hija ""suxxettibbli li tkun abbużata u pervertita qabel ma n-nies ikun"&amp;"u jistgħu jaġixxu minnha."" Barra minn hekk, anke jekk gvern esprima l-vuċi tan-nies, dan il-fatt ma jġiegħelx l-ubbidjenza ta 'individwi li ma jaqblux ma' dak li qed jingħad. Il-maġġoranza tista 'tkun b'saħħitha iżda mhux neċessarjament. X'inhi r-relazzj"&amp;"oni xierqa bejn l-individwu u l-gvern?")</f>
        <v>Madankollu, din id-definizzjoni hija kkontestata mill-filosofija politika ta 'Thoreau li pitching il-kuxjenza kontra l-kollettiv. L-individwu huwa l-imħallef finali ta 'dritt u ħażin. Aktar minn hekk, peress li l-individwi biss jaġixxu, individwi biss jistgħu jaġixxu inġustament. Meta l-gvern iħabbat fuq il-bieb, huwa individwu fil-forma ta 'pustier jew kollettur tat-taxxa li l-idejn tiegħu jolqot l-injam. Qabel il-ħabs ta 'Thoreau, meta taxman konfuż kien staqsiet b'leħen għoli dwar kif jimmaniġġa r-rifjut tiegħu li jħallas, Thoreau kien ta parir, "jirriżenja." Jekk raġel għażel li jkun aġent ta 'inġustizzja, allura Thoreau insista li jiffaċċjah bil-fatt li kien qed jagħmel għażla. Imma jekk il-gvern huwa "l-vuċi tan-nies," kif spiss jissejjaħ, m'għandux ikun hemm il-vuċi? Thoreau jammetti li l-gvern jista 'jesprimi r-rieda tal-maġġoranza iżda jista' wkoll jesprimi xejn ħlief ir-rieda tal-politiċi elite. Anke forma tajba ta 'gvern hija "suxxettibbli li tkun abbużata u pervertita qabel ma n-nies ikunu jistgħu jaġixxu minnha." Barra minn hekk, anke jekk gvern esprima l-vuċi tan-nies, dan il-fatt ma jġiegħelx l-ubbidjenza ta 'individwi li ma jaqblux ma' dak li qed jingħad. Il-maġġoranza tista 'tkun b'saħħitha iżda mhux neċessarjament. X'inhi r-relazzjoni xierqa bejn l-individwu u l-gvern?</v>
      </c>
    </row>
    <row r="2956" ht="15.75" customHeight="1">
      <c r="A2956" s="2" t="s">
        <v>2956</v>
      </c>
      <c r="B2956" s="2" t="str">
        <f>IFERROR(__xludf.DUMMYFUNCTION("GOOGLETRANSLATE(A2956,""en"", ""mt"")"),"1980s")</f>
        <v>1980s</v>
      </c>
    </row>
    <row r="2957" ht="15.75" customHeight="1">
      <c r="A2957" s="2" t="s">
        <v>2957</v>
      </c>
      <c r="B2957" s="2" t="str">
        <f>IFERROR(__xludf.DUMMYFUNCTION("GOOGLETRANSLATE(A2957,""en"", ""mt"")"),"B'liema proċess tista 'tiġi ġġenerata l-immunità attiva b'mod artifiċjali?")</f>
        <v>B'liema proċess tista 'tiġi ġġenerata l-immunità attiva b'mod artifiċjali?</v>
      </c>
    </row>
    <row r="2958" ht="15.75" customHeight="1">
      <c r="A2958" s="2" t="s">
        <v>2958</v>
      </c>
      <c r="B2958" s="2" t="str">
        <f>IFERROR(__xludf.DUMMYFUNCTION("GOOGLETRANSLATE(A2958,""en"", ""mt"")"),"tieħu dejn")</f>
        <v>tieħu dejn</v>
      </c>
    </row>
    <row r="2959" ht="15.75" customHeight="1">
      <c r="A2959" s="2" t="s">
        <v>2959</v>
      </c>
      <c r="B2959" s="2" t="str">
        <f>IFERROR(__xludf.DUMMYFUNCTION("GOOGLETRANSLATE(A2959,""en"", ""mt"")"),"X'kien DataNet 1")</f>
        <v>X'kien DataNet 1</v>
      </c>
    </row>
    <row r="2960" ht="15.75" customHeight="1">
      <c r="A2960" s="2" t="s">
        <v>2960</v>
      </c>
      <c r="B2960" s="2" t="str">
        <f>IFERROR(__xludf.DUMMYFUNCTION("GOOGLETRANSLATE(A2960,""en"", ""mt"")"),"Anticline Inqaleb")</f>
        <v>Anticline Inqaleb</v>
      </c>
    </row>
    <row r="2961" ht="15.75" customHeight="1">
      <c r="A2961" s="2" t="s">
        <v>2961</v>
      </c>
      <c r="B2961" s="2" t="str">
        <f>IFERROR(__xludf.DUMMYFUNCTION("GOOGLETRANSLATE(A2961,""en"", ""mt"")"),"Monitoraġġ tal-laboratorju, konsulenza dwar l-aderenza, u tassisti lill-pazjenti bi strateġiji ta 'l-ispejjeż meħtieġa biex jiksbu l-mediċini speċjalizzati tagħhom għaljin")</f>
        <v>Monitoraġġ tal-laboratorju, konsulenza dwar l-aderenza, u tassisti lill-pazjenti bi strateġiji ta 'l-ispejjeż meħtieġa biex jiksbu l-mediċini speċjalizzati tagħhom għaljin</v>
      </c>
    </row>
    <row r="2962" ht="15.75" customHeight="1">
      <c r="A2962" s="2" t="s">
        <v>2962</v>
      </c>
      <c r="B2962" s="2" t="str">
        <f>IFERROR(__xludf.DUMMYFUNCTION("GOOGLETRANSLATE(A2962,""en"", ""mt"")"),"Liema avveniment ġie akkużat dwar l-introduzzjoni ta 'Mnemiopsis fil-Baħar l-Iswed?")</f>
        <v>Liema avveniment ġie akkużat dwar l-introduzzjoni ta 'Mnemiopsis fil-Baħar l-Iswed?</v>
      </c>
    </row>
    <row r="2963" ht="15.75" customHeight="1">
      <c r="A2963" s="2" t="s">
        <v>2963</v>
      </c>
      <c r="B2963" s="2" t="str">
        <f>IFERROR(__xludf.DUMMYFUNCTION("GOOGLETRANSLATE(A2963,""en"", ""mt"")"),"Nies li jagħtu servizzi ""għar-rimunerazzjoni"", speċjalment attività kummerċjali jew professjonali")</f>
        <v>Nies li jagħtu servizzi "għar-rimunerazzjoni", speċjalment attività kummerċjali jew professjonali</v>
      </c>
    </row>
    <row r="2964" ht="15.75" customHeight="1">
      <c r="A2964" s="2" t="s">
        <v>2964</v>
      </c>
      <c r="B2964" s="2" t="str">
        <f>IFERROR(__xludf.DUMMYFUNCTION("GOOGLETRANSLATE(A2964,""en"", ""mt"")"),"l-ID tal-konnessjoni f'tabella")</f>
        <v>l-ID tal-konnessjoni f'tabella</v>
      </c>
    </row>
    <row r="2965" ht="15.75" customHeight="1">
      <c r="A2965" s="2" t="s">
        <v>2965</v>
      </c>
      <c r="B2965" s="2" t="str">
        <f>IFERROR(__xludf.DUMMYFUNCTION("GOOGLETRANSLATE(A2965,""en"", ""mt"")"),"Permezz tal-funzjonazzjonijiet dejjem jiżdiedu")</f>
        <v>Permezz tal-funzjonazzjonijiet dejjem jiżdiedu</v>
      </c>
    </row>
    <row r="2966" ht="15.75" customHeight="1">
      <c r="A2966" s="2" t="s">
        <v>2966</v>
      </c>
      <c r="B2966" s="2" t="str">
        <f>IFERROR(__xludf.DUMMYFUNCTION("GOOGLETRANSLATE(A2966,""en"", ""mt"")"),"L-Università ta ’Chicago żżomm ukoll faċilitajiet apparti mill-kampus ewlieni tagħha. L-Iskola tan-Negozju tal-Booth tal-Università żżomm kampus f’Singapore, Londra, u fil-viċinat ta ’Downtown Streeterville f’Chicago. Iċ-ċentru f'Pariġi, kampus li jinsab "&amp;"fuq ix-xellug ta 'Seine f'Pariġi, jospita diversi programmi ta' studju li għadhom ma ggradwawx u gradwati. Fil-ħarifa tal-2010, l-Università ta ’Chicago fetħet ukoll ċentru f’Beijing, qrib il-kampus tal-Università ta’ Renmin fid-distrett ta ’Haidian. L-ik"&amp;"tar żidiet riċenti huma ċentru fi New Delhi, l-Indja, li nfetaħ fl-2014, u ċentru f'Hong Kong li nfetaħ fl-2015.")</f>
        <v>L-Università ta ’Chicago żżomm ukoll faċilitajiet apparti mill-kampus ewlieni tagħha. L-Iskola tan-Negozju tal-Booth tal-Università żżomm kampus f’Singapore, Londra, u fil-viċinat ta ’Downtown Streeterville f’Chicago. Iċ-ċentru f'Pariġi, kampus li jinsab fuq ix-xellug ta 'Seine f'Pariġi, jospita diversi programmi ta' studju li għadhom ma ggradwawx u gradwati. Fil-ħarifa tal-2010, l-Università ta ’Chicago fetħet ukoll ċentru f’Beijing, qrib il-kampus tal-Università ta’ Renmin fid-distrett ta ’Haidian. L-iktar żidiet riċenti huma ċentru fi New Delhi, l-Indja, li nfetaħ fl-2014, u ċentru f'Hong Kong li nfetaħ fl-2015.</v>
      </c>
    </row>
    <row r="2967" ht="15.75" customHeight="1">
      <c r="A2967" s="2" t="s">
        <v>2967</v>
      </c>
      <c r="B2967" s="2" t="str">
        <f>IFERROR(__xludf.DUMMYFUNCTION("GOOGLETRANSLATE(A2967,""en"", ""mt"")"),"proporzjonalment man-numru ta 'voti riċevuti")</f>
        <v>proporzjonalment man-numru ta 'voti riċevuti</v>
      </c>
    </row>
    <row r="2968" ht="15.75" customHeight="1">
      <c r="A2968" s="2" t="s">
        <v>2968</v>
      </c>
      <c r="B2968" s="2" t="str">
        <f>IFERROR(__xludf.DUMMYFUNCTION("GOOGLETRANSLATE(A2968,""en"", ""mt"")"),"Taħt kondizzjonijiet normali, x'għandhom jagħmlu żewġ atomi ta 'ossiġnu?")</f>
        <v>Taħt kondizzjonijiet normali, x'għandhom jagħmlu żewġ atomi ta 'ossiġnu?</v>
      </c>
    </row>
    <row r="2969" ht="15.75" customHeight="1">
      <c r="A2969" s="2" t="s">
        <v>2969</v>
      </c>
      <c r="B2969" s="2" t="str">
        <f>IFERROR(__xludf.DUMMYFUNCTION("GOOGLETRANSLATE(A2969,""en"", ""mt"")"),"madwar 50% kompożizzjoni ta 'ossiġnu bi pressjoni standard")</f>
        <v>madwar 50% kompożizzjoni ta 'ossiġnu bi pressjoni standard</v>
      </c>
    </row>
    <row r="2970" ht="15.75" customHeight="1">
      <c r="A2970" s="2" t="s">
        <v>2970</v>
      </c>
      <c r="B2970" s="2" t="str">
        <f>IFERROR(__xludf.DUMMYFUNCTION("GOOGLETRANSLATE(A2970,""en"", ""mt"")"),"miġbud mill-konvenjenza tal-ferrovija u inkwetat dwar l-għargħar")</f>
        <v>miġbud mill-konvenjenza tal-ferrovija u inkwetat dwar l-għargħar</v>
      </c>
    </row>
    <row r="2971" ht="15.75" customHeight="1">
      <c r="A2971" s="2" t="s">
        <v>2971</v>
      </c>
      <c r="B2971" s="2" t="str">
        <f>IFERROR(__xludf.DUMMYFUNCTION("GOOGLETRANSLATE(A2971,""en"", ""mt"")"),"X'inhuma r-responsabbiltajiet ġodda li issa qed jittrattaw it-tekniċi tal-ispiżerija?")</f>
        <v>X'inhuma r-responsabbiltajiet ġodda li issa qed jittrattaw it-tekniċi tal-ispiżerija?</v>
      </c>
    </row>
    <row r="2972" ht="15.75" customHeight="1">
      <c r="A2972" s="2" t="s">
        <v>2972</v>
      </c>
      <c r="B2972" s="2" t="str">
        <f>IFERROR(__xludf.DUMMYFUNCTION("GOOGLETRANSLATE(A2972,""en"", ""mt"")"),"Fl-1929, il-ħames president tal-università, Robert Maynard Hutchins, ħa l-kariga; L-università għaddiet minn ħafna bidliet matul il-mandat ta '24 sena tiegħu. Hutchins elimina l-futbol tal-varsity mill-università f'attentat biex jenfasizza l-akkademiċi fu"&amp;"q l-atletika, stabbilixxa l-kurrikulu liberali tal-kulleġġ li għadhom ma ggradwawx magħruf bħala l-Qofol Komuni, u organizza x-xogħol gradwat tal-università fil-kurrent tagħha [meta?] Erba 'diviżjonijiet. Fl-1933, Hutchins ippropona pjan li ma rnexxiex bi"&amp;"ex jingħaqad l-Università ta 'Chicago u l-Università tal-Majjistral f'università waħda. Matul il-mandat tiegħu, l-isptarijiet tal-Università ta ’Chicago (issa msejħa l-Università ta’ Chicago Medical Center) temmew il-kostruzzjoni u rreġistraw l-ewwel stud"&amp;"enti mediċi tagħha. Inħoloq ukoll, il-Kumitat għall-Ħsieb Soċjali, istituzzjoni distintiva tal-università.")</f>
        <v>Fl-1929, il-ħames president tal-università, Robert Maynard Hutchins, ħa l-kariga; L-università għaddiet minn ħafna bidliet matul il-mandat ta '24 sena tiegħu. Hutchins elimina l-futbol tal-varsity mill-università f'attentat biex jenfasizza l-akkademiċi fuq l-atletika, stabbilixxa l-kurrikulu liberali tal-kulleġġ li għadhom ma ggradwawx magħruf bħala l-Qofol Komuni, u organizza x-xogħol gradwat tal-università fil-kurrent tagħha [meta?] Erba 'diviżjonijiet. Fl-1933, Hutchins ippropona pjan li ma rnexxiex biex jingħaqad l-Università ta 'Chicago u l-Università tal-Majjistral f'università waħda. Matul il-mandat tiegħu, l-isptarijiet tal-Università ta ’Chicago (issa msejħa l-Università ta’ Chicago Medical Center) temmew il-kostruzzjoni u rreġistraw l-ewwel studenti mediċi tagħha. Inħoloq ukoll, il-Kumitat għall-Ħsieb Soċjali, istituzzjoni distintiva tal-università.</v>
      </c>
    </row>
    <row r="2973" ht="15.75" customHeight="1">
      <c r="A2973" s="2" t="s">
        <v>2973</v>
      </c>
      <c r="B2973" s="2" t="str">
        <f>IFERROR(__xludf.DUMMYFUNCTION("GOOGLETRANSLATE(A2973,""en"", ""mt"")"),"Meta ċ-ċelloli B u ċ-ċelloli T huma attivati ​​u jibdew jirreplikaw, uħud mill-frieħ tagħhom isiru ċelloli tal-memorja b'ħajja twila. Matul il-ħajja ta 'annimal, dawn iċ-ċelloli tal-memorja jiftakru kull patoġen speċifiku li jiltaqa' magħhom u jistgħu jin"&amp;"tramaw rispons qawwi jekk il-patoġen jerġa 'jinstab. Dan huwa ""adattiv"" għaliex iseħħ matul il-ħajja ta 'individwu bħala adattament għall-infezzjoni ma' dak il-patoġen u jipprepara s-sistema immunitarja għal sfidi futuri. Memorja immunoloġika tista 'tku"&amp;"n fil-forma ta' memorja għal żmien qasir passiv jew memorja attiva fit-tul.")</f>
        <v>Meta ċ-ċelloli B u ċ-ċelloli T huma attivati ​​u jibdew jirreplikaw, uħud mill-frieħ tagħhom isiru ċelloli tal-memorja b'ħajja twila. Matul il-ħajja ta 'annimal, dawn iċ-ċelloli tal-memorja jiftakru kull patoġen speċifiku li jiltaqa' magħhom u jistgħu jintramaw rispons qawwi jekk il-patoġen jerġa 'jinstab. Dan huwa "adattiv" għaliex iseħħ matul il-ħajja ta 'individwu bħala adattament għall-infezzjoni ma' dak il-patoġen u jipprepara s-sistema immunitarja għal sfidi futuri. Memorja immunoloġika tista 'tkun fil-forma ta' memorja għal żmien qasir passiv jew memorja attiva fit-tul.</v>
      </c>
    </row>
    <row r="2974" ht="15.75" customHeight="1">
      <c r="A2974" s="2" t="s">
        <v>2974</v>
      </c>
      <c r="B2974" s="2" t="str">
        <f>IFERROR(__xludf.DUMMYFUNCTION("GOOGLETRANSLATE(A2974,""en"", ""mt"")"),"L-Iżlamisti staqsew il-mistoqsija, ""Jekk l-Iżlam huwiex mod ta 'ħajja, kif nistgħu ngħidu li dawk li jixtiequ jgħixu mill-prinċipji tiegħu fl-isferi legali, soċjali, politiċi, ekonomiċi u politiċi tal-ħajja mhumiex Musulmani, iżda l-Iżlamisti u jemmnu Fl"&amp;"-Iżlamiżmu, mhux [biss] l-Islam? "" Bl-istess mod, kittieb għall-grupp ta 'kriżi internazzjonali jsostni li ""l-kunċett ta'"" Islam politiku ""huwa ħolqien ta 'Amerikani li jispjegaw ir-rivoluzzjoni Iżlamika Iranjana u l-Islam apolitiku kien fluke storiku"&amp;" ta' l-era ta 'ħajja qasira In-nazzjonaliżmu Għarbi bejn l-1945 u l-1970 "", u huwa Iżlam kwiet / mhux politiku, mhux l-Iżlamiżmu, li jirrikjedi spjegazzjoni.")</f>
        <v>L-Iżlamisti staqsew il-mistoqsija, "Jekk l-Iżlam huwiex mod ta 'ħajja, kif nistgħu ngħidu li dawk li jixtiequ jgħixu mill-prinċipji tiegħu fl-isferi legali, soċjali, politiċi, ekonomiċi u politiċi tal-ħajja mhumiex Musulmani, iżda l-Iżlamisti u jemmnu Fl-Iżlamiżmu, mhux [biss] l-Islam? " Bl-istess mod, kittieb għall-grupp ta 'kriżi internazzjonali jsostni li "l-kunċett ta'" Islam politiku "huwa ħolqien ta 'Amerikani li jispjegaw ir-rivoluzzjoni Iżlamika Iranjana u l-Islam apolitiku kien fluke storiku ta' l-era ta 'ħajja qasira In-nazzjonaliżmu Għarbi bejn l-1945 u l-1970 ", u huwa Iżlam kwiet / mhux politiku, mhux l-Iżlamiżmu, li jirrikjedi spjegazzjoni.</v>
      </c>
    </row>
    <row r="2975" ht="15.75" customHeight="1">
      <c r="A2975" s="2" t="s">
        <v>2975</v>
      </c>
      <c r="B2975" s="2" t="str">
        <f>IFERROR(__xludf.DUMMYFUNCTION("GOOGLETRANSLATE(A2975,""en"", ""mt"")"),"Wied tax-Xmara San Lawrenz")</f>
        <v>Wied tax-Xmara San Lawrenz</v>
      </c>
    </row>
    <row r="2976" ht="15.75" customHeight="1">
      <c r="A2976" s="2" t="s">
        <v>2976</v>
      </c>
      <c r="B2976" s="2" t="str">
        <f>IFERROR(__xludf.DUMMYFUNCTION("GOOGLETRANSLATE(A2976,""en"", ""mt"")"),"Erba 'rġiel li jattendu l-Kulleġġ Harvard għal kull mara")</f>
        <v>Erba 'rġiel li jattendu l-Kulleġġ Harvard għal kull mara</v>
      </c>
    </row>
    <row r="2977" ht="15.75" customHeight="1">
      <c r="A2977" s="2" t="s">
        <v>2977</v>
      </c>
      <c r="B2977" s="2" t="str">
        <f>IFERROR(__xludf.DUMMYFUNCTION("GOOGLETRANSLATE(A2977,""en"", ""mt"")"),"Inqas")</f>
        <v>Inqas</v>
      </c>
    </row>
    <row r="2978" ht="15.75" customHeight="1">
      <c r="A2978" s="2" t="s">
        <v>2978</v>
      </c>
      <c r="B2978" s="2" t="str">
        <f>IFERROR(__xludf.DUMMYFUNCTION("GOOGLETRANSLATE(A2978,""en"", ""mt"")"),"Fejn tista 'tidher is-sekwenza sedimentarja kollha tal-Grand Canyon f'inqas mit-tul ta' metru?")</f>
        <v>Fejn tista 'tidher is-sekwenza sedimentarja kollha tal-Grand Canyon f'inqas mit-tul ta' metru?</v>
      </c>
    </row>
    <row r="2979" ht="15.75" customHeight="1">
      <c r="A2979" s="2" t="s">
        <v>2979</v>
      </c>
      <c r="B2979" s="2" t="str">
        <f>IFERROR(__xludf.DUMMYFUNCTION("GOOGLETRANSLATE(A2979,""en"", ""mt"")"),"eżempju problema")</f>
        <v>eżempju problema</v>
      </c>
    </row>
    <row r="2980" ht="15.75" customHeight="1">
      <c r="A2980" s="2" t="s">
        <v>2980</v>
      </c>
      <c r="B2980" s="2" t="str">
        <f>IFERROR(__xludf.DUMMYFUNCTION("GOOGLETRANSLATE(A2980,""en"", ""mt"")"),"Il-Kumpanija Walt Disney")</f>
        <v>Il-Kumpanija Walt Disney</v>
      </c>
    </row>
    <row r="2981" ht="15.75" customHeight="1">
      <c r="A2981" s="2" t="s">
        <v>2981</v>
      </c>
      <c r="B2981" s="2" t="str">
        <f>IFERROR(__xludf.DUMMYFUNCTION("GOOGLETRANSLATE(A2981,""en"", ""mt"")"),"365.2425 Jiem tas-Sena")</f>
        <v>365.2425 Jiem tas-Sena</v>
      </c>
    </row>
    <row r="2982" ht="15.75" customHeight="1">
      <c r="A2982" s="2" t="s">
        <v>2982</v>
      </c>
      <c r="B2982" s="2" t="str">
        <f>IFERROR(__xludf.DUMMYFUNCTION("GOOGLETRANSLATE(A2982,""en"", ""mt"")"),"X'tip ta 'kumitat ikkunsidra leġislazzjoni dwar l-iżvilupp tan-netwerk tat-tram f'Edinburgu?")</f>
        <v>X'tip ta 'kumitat ikkunsidra leġislazzjoni dwar l-iżvilupp tan-netwerk tat-tram f'Edinburgu?</v>
      </c>
    </row>
    <row r="2983" ht="15.75" customHeight="1">
      <c r="A2983" s="2" t="s">
        <v>2983</v>
      </c>
      <c r="B2983" s="2" t="str">
        <f>IFERROR(__xludf.DUMMYFUNCTION("GOOGLETRANSLATE(A2983,""en"", ""mt"")"),"Liema esperjenzi ta 'aċċellerazzjoni meta forza esterna hija applikata għal sistema?")</f>
        <v>Liema esperjenzi ta 'aċċellerazzjoni meta forza esterna hija applikata għal sistema?</v>
      </c>
    </row>
    <row r="2984" ht="15.75" customHeight="1">
      <c r="A2984" s="2" t="s">
        <v>2984</v>
      </c>
      <c r="B2984" s="2" t="str">
        <f>IFERROR(__xludf.DUMMYFUNCTION("GOOGLETRANSLATE(A2984,""en"", ""mt"")"),"żviluppa b'mod indipendenti l-istess metodoloġija ta 'rotta ta' messaġġi kif żviluppat minn baran")</f>
        <v>żviluppa b'mod indipendenti l-istess metodoloġija ta 'rotta ta' messaġġi kif żviluppat minn baran</v>
      </c>
    </row>
    <row r="2985" ht="15.75" customHeight="1">
      <c r="A2985" s="2" t="s">
        <v>2985</v>
      </c>
      <c r="B2985" s="2" t="str">
        <f>IFERROR(__xludf.DUMMYFUNCTION("GOOGLETRANSLATE(A2985,""en"", ""mt"")"),"Rivoluzzjonarju")</f>
        <v>Rivoluzzjonarju</v>
      </c>
    </row>
    <row r="2986" ht="15.75" customHeight="1">
      <c r="A2986" s="2" t="s">
        <v>2986</v>
      </c>
      <c r="B2986" s="2" t="str">
        <f>IFERROR(__xludf.DUMMYFUNCTION("GOOGLETRANSLATE(A2986,""en"", ""mt"")"),"Axioms tal-kumplessità tal-blum")</f>
        <v>Axioms tal-kumplessità tal-blum</v>
      </c>
    </row>
    <row r="2987" ht="15.75" customHeight="1">
      <c r="A2987" s="2" t="s">
        <v>2987</v>
      </c>
      <c r="B2987" s="2" t="str">
        <f>IFERROR(__xludf.DUMMYFUNCTION("GOOGLETRANSLATE(A2987,""en"", ""mt"")"),"L-introduzzjoni aċċidentali tal-Mnemiopsis li tiekol l-Amerika ta ’Fuq Ctenophore Beroe Ovata, u permezz ta’ tkessiħ tal-klima lokali mill-1991 sal-1993")</f>
        <v>L-introduzzjoni aċċidentali tal-Mnemiopsis li tiekol l-Amerika ta ’Fuq Ctenophore Beroe Ovata, u permezz ta’ tkessiħ tal-klima lokali mill-1991 sal-1993</v>
      </c>
    </row>
    <row r="2988" ht="15.75" customHeight="1">
      <c r="A2988" s="2" t="s">
        <v>2988</v>
      </c>
      <c r="B2988" s="2" t="str">
        <f>IFERROR(__xludf.DUMMYFUNCTION("GOOGLETRANSLATE(A2988,""en"", ""mt"")"),"Netwerk tad-dejta")</f>
        <v>Netwerk tad-dejta</v>
      </c>
    </row>
    <row r="2989" ht="15.75" customHeight="1">
      <c r="A2989" s="2" t="s">
        <v>2989</v>
      </c>
      <c r="B2989" s="2" t="str">
        <f>IFERROR(__xludf.DUMMYFUNCTION("GOOGLETRANSLATE(A2989,""en"", ""mt"")"),"L-oriġini tal-figura leġġendarja mhix magħrufa għal kollox. Il-leġġenda l-iktar magħrufa, ta 'Artur Oppman, hija li żmien ilu tnejn mill-bniet ta' Triton waqqfu vjaġġ fil-fond tal-oċeani u l-ibħra. Wieħed minnhom iddeċieda li jibqa ’fuq il-kosta tad-Danim"&amp;"arka u jista’ jidher bilqiegħda fid-daħla tal-Port ta ’Kopenħagen. It-tieni sirena laħqet il-ħalq tax-xmara Vistula u tefgħet fl-ilmijiet tagħha. Hija waqfet tistrieħ fuq bajja bir-ramel mill-villaġġ ta 'Warszowa, fejn is-sajjieda waslu biex jammiraw is-s"&amp;"buħija tagħha u jisimgħu l-vuċi sabiħa tagħha. Merkantili greedy sema ’wkoll il-kanzunetti tagħha; Huwa segwa s-sajjieda u qabad il-sirena.")</f>
        <v>L-oriġini tal-figura leġġendarja mhix magħrufa għal kollox. Il-leġġenda l-iktar magħrufa, ta 'Artur Oppman, hija li żmien ilu tnejn mill-bniet ta' Triton waqqfu vjaġġ fil-fond tal-oċeani u l-ibħra. Wieħed minnhom iddeċieda li jibqa ’fuq il-kosta tad-Danimarka u jista’ jidher bilqiegħda fid-daħla tal-Port ta ’Kopenħagen. It-tieni sirena laħqet il-ħalq tax-xmara Vistula u tefgħet fl-ilmijiet tagħha. Hija waqfet tistrieħ fuq bajja bir-ramel mill-villaġġ ta 'Warszowa, fejn is-sajjieda waslu biex jammiraw is-sbuħija tagħha u jisimgħu l-vuċi sabiħa tagħha. Merkantili greedy sema ’wkoll il-kanzunetti tagħha; Huwa segwa s-sajjieda u qabad il-sirena.</v>
      </c>
    </row>
    <row r="2990" ht="15.75" customHeight="1">
      <c r="A2990" s="2" t="s">
        <v>2990</v>
      </c>
      <c r="B2990" s="2" t="str">
        <f>IFERROR(__xludf.DUMMYFUNCTION("GOOGLETRANSLATE(A2990,""en"", ""mt"")"),"X'kien it-titlu Taljan tal-ktieb ta 'Polo?")</f>
        <v>X'kien it-titlu Taljan tal-ktieb ta 'Polo?</v>
      </c>
    </row>
    <row r="2991" ht="15.75" customHeight="1">
      <c r="A2991" s="2" t="s">
        <v>2991</v>
      </c>
      <c r="B2991" s="2" t="str">
        <f>IFERROR(__xludf.DUMMYFUNCTION("GOOGLETRANSLATE(A2991,""en"", ""mt"")"),"persuna jew grupp ta 'nies")</f>
        <v>persuna jew grupp ta 'nies</v>
      </c>
    </row>
    <row r="2992" ht="15.75" customHeight="1">
      <c r="A2992" s="2" t="s">
        <v>2992</v>
      </c>
      <c r="B2992" s="2" t="str">
        <f>IFERROR(__xludf.DUMMYFUNCTION("GOOGLETRANSLATE(A2992,""en"", ""mt"")"),"Phylum ta 'annimali li jgħixu fl-ilmijiet tal-baħar")</f>
        <v>Phylum ta 'annimali li jgħixu fl-ilmijiet tal-baħar</v>
      </c>
    </row>
    <row r="2993" ht="15.75" customHeight="1">
      <c r="A2993" s="2" t="s">
        <v>2993</v>
      </c>
      <c r="B2993" s="2" t="str">
        <f>IFERROR(__xludf.DUMMYFUNCTION("GOOGLETRANSLATE(A2993,""en"", ""mt"")"),"Meta menich serva bħala president?")</f>
        <v>Meta menich serva bħala president?</v>
      </c>
    </row>
    <row r="2994" ht="15.75" customHeight="1">
      <c r="A2994" s="2" t="s">
        <v>2994</v>
      </c>
      <c r="B2994" s="2" t="str">
        <f>IFERROR(__xludf.DUMMYFUNCTION("GOOGLETRANSLATE(A2994,""en"", ""mt"")"),"5% tal-produzzjoni maqtugħa")</f>
        <v>5% tal-produzzjoni maqtugħa</v>
      </c>
    </row>
    <row r="2995" ht="15.75" customHeight="1">
      <c r="A2995" s="2" t="s">
        <v>2995</v>
      </c>
      <c r="B2995" s="2" t="str">
        <f>IFERROR(__xludf.DUMMYFUNCTION("GOOGLETRANSLATE(A2995,""en"", ""mt"")"),"tagħmel iktar ħsara milli ġid")</f>
        <v>tagħmel iktar ħsara milli ġid</v>
      </c>
    </row>
    <row r="2996" ht="15.75" customHeight="1">
      <c r="A2996" s="2" t="s">
        <v>2996</v>
      </c>
      <c r="B2996" s="2" t="str">
        <f>IFERROR(__xludf.DUMMYFUNCTION("GOOGLETRANSLATE(A2996,""en"", ""mt"")"),"Kemm hi popolata Victoria meta mqabbla ma 'stati Awstraljani oħra?")</f>
        <v>Kemm hi popolata Victoria meta mqabbla ma 'stati Awstraljani oħra?</v>
      </c>
    </row>
    <row r="2997" ht="15.75" customHeight="1">
      <c r="A2997" s="2" t="s">
        <v>2997</v>
      </c>
      <c r="B2997" s="2" t="str">
        <f>IFERROR(__xludf.DUMMYFUNCTION("GOOGLETRANSLATE(A2997,""en"", ""mt"")"),"Amazon Rain Forest esperjenza nixfa ħafifa oħra f’liema sena")</f>
        <v>Amazon Rain Forest esperjenza nixfa ħafifa oħra f’liema sena</v>
      </c>
    </row>
    <row r="2998" ht="15.75" customHeight="1">
      <c r="A2998" s="2" t="s">
        <v>2998</v>
      </c>
      <c r="B2998" s="2" t="str">
        <f>IFERROR(__xludf.DUMMYFUNCTION("GOOGLETRANSLATE(A2998,""en"", ""mt"")"),"Iċ-ċomb plugs fusibbli")</f>
        <v>Iċ-ċomb plugs fusibbli</v>
      </c>
    </row>
    <row r="2999" ht="15.75" customHeight="1">
      <c r="A2999" s="2" t="s">
        <v>2999</v>
      </c>
      <c r="B2999" s="2" t="str">
        <f>IFERROR(__xludf.DUMMYFUNCTION("GOOGLETRANSLATE(A2999,""en"", ""mt"")"),"Varsavja baqgħet il-kapitali tal-Commonwealth Pollakka-Litwana sal-1796, meta ġiet annessa mir-renju tal-Prussja biex issir il-kapitali tal-provinċja tan-Nofsinhar tal-Prussja. Meħlus mill-armata ta 'Napuljun fl-1806, Varsavja saret il-kapitali tad-Dukat "&amp;"ta' Varsavja li għadu kif inħoloq. Wara l-Kungress ta ’Vjenna tal-1815, Varsavja sar iċ-ċentru tal-Kungress tal-Polonja, monarkija kostituzzjonali taħt unjoni personali mar-Russja Imperjali. L-Università Rjali ta ’Varsavja ġiet stabbilita fl-1816.")</f>
        <v>Varsavja baqgħet il-kapitali tal-Commonwealth Pollakka-Litwana sal-1796, meta ġiet annessa mir-renju tal-Prussja biex issir il-kapitali tal-provinċja tan-Nofsinhar tal-Prussja. Meħlus mill-armata ta 'Napuljun fl-1806, Varsavja saret il-kapitali tad-Dukat ta' Varsavja li għadu kif inħoloq. Wara l-Kungress ta ’Vjenna tal-1815, Varsavja sar iċ-ċentru tal-Kungress tal-Polonja, monarkija kostituzzjonali taħt unjoni personali mar-Russja Imperjali. L-Università Rjali ta ’Varsavja ġiet stabbilita fl-1816.</v>
      </c>
    </row>
    <row r="3000" ht="15.75" customHeight="1">
      <c r="A3000" s="2" t="s">
        <v>3000</v>
      </c>
      <c r="B3000" s="2" t="str">
        <f>IFERROR(__xludf.DUMMYFUNCTION("GOOGLETRANSLATE(A3000,""en"", ""mt"")"),"fil-kisba ta 'medikazzjoni kosteffikaċi u tevita l-użu bla bżonn ta' medikazzjoni li jista 'jkollha effetti sekondarji")</f>
        <v>fil-kisba ta 'medikazzjoni kosteffikaċi u tevita l-użu bla bżonn ta' medikazzjoni li jista 'jkollha effetti sekondarji</v>
      </c>
    </row>
    <row r="3001" ht="15.75" customHeight="1">
      <c r="A3001" s="2" t="s">
        <v>3001</v>
      </c>
      <c r="B3001" s="2" t="str">
        <f>IFERROR(__xludf.DUMMYFUNCTION("GOOGLETRANSLATE(A3001,""en"", ""mt"")"),"Il-punt ta 'Bauffet")</f>
        <v>Il-punt ta 'Bauffet</v>
      </c>
    </row>
    <row r="3002" ht="15.75" customHeight="1">
      <c r="A3002" s="2" t="s">
        <v>3002</v>
      </c>
      <c r="B3002" s="2" t="str">
        <f>IFERROR(__xludf.DUMMYFUNCTION("GOOGLETRANSLATE(A3002,""en"", ""mt"")"),"Mhux Kattoliċi")</f>
        <v>Mhux Kattoliċi</v>
      </c>
    </row>
    <row r="3003" ht="15.75" customHeight="1">
      <c r="A3003" s="2" t="s">
        <v>3003</v>
      </c>
      <c r="B3003" s="2" t="str">
        <f>IFERROR(__xludf.DUMMYFUNCTION("GOOGLETRANSLATE(A3003,""en"", ""mt"")"),"Tip I.")</f>
        <v>Tip I.</v>
      </c>
    </row>
    <row r="3004" ht="15.75" customHeight="1">
      <c r="A3004" s="2" t="s">
        <v>3004</v>
      </c>
      <c r="B3004" s="2" t="str">
        <f>IFERROR(__xludf.DUMMYFUNCTION("GOOGLETRANSLATE(A3004,""en"", ""mt"")"),"Iż-żelu reliġjuż leġġendarju tan-Normanni ġie eżerċitat fi gwerer reliġjużi ħafna qabel l-ewwel kruċjata minquxa prinċipat Norman f'Antijokja. Kienu parteċipanti barranin kbar fir-Reconquista fl-Iberia. Fl-1018, Roger de Tosny ivvjaġġa lejn il-Peniżola Ib"&amp;"erika biex ifittex stat għalih innifsu mill-artijiet Moorish, iżda falla. Fl-1064, matul il-Gwerra ta ’Barbastro, William ta’ Montreuil mexxa l-armata papali u ħa booty enormi.")</f>
        <v>Iż-żelu reliġjuż leġġendarju tan-Normanni ġie eżerċitat fi gwerer reliġjużi ħafna qabel l-ewwel kruċjata minquxa prinċipat Norman f'Antijokja. Kienu parteċipanti barranin kbar fir-Reconquista fl-Iberia. Fl-1018, Roger de Tosny ivvjaġġa lejn il-Peniżola Iberika biex ifittex stat għalih innifsu mill-artijiet Moorish, iżda falla. Fl-1064, matul il-Gwerra ta ’Barbastro, William ta’ Montreuil mexxa l-armata papali u ħa booty enormi.</v>
      </c>
    </row>
    <row r="3005" ht="15.75" customHeight="1">
      <c r="A3005" s="2" t="s">
        <v>3005</v>
      </c>
      <c r="B3005" s="2" t="str">
        <f>IFERROR(__xludf.DUMMYFUNCTION("GOOGLETRANSLATE(A3005,""en"", ""mt"")"),"Irqajja tal-ġilda vjola")</f>
        <v>Irqajja tal-ġilda vjola</v>
      </c>
    </row>
    <row r="3006" ht="15.75" customHeight="1">
      <c r="A3006" s="2" t="s">
        <v>3006</v>
      </c>
      <c r="B3006" s="2" t="str">
        <f>IFERROR(__xludf.DUMMYFUNCTION("GOOGLETRANSLATE(A3006,""en"", ""mt"")"),"bi ħlas għal kull unità ta 'ħin ta' konnessjoni, anke meta ma tiġi trasferita l-ebda dejta")</f>
        <v>bi ħlas għal kull unità ta 'ħin ta' konnessjoni, anke meta ma tiġi trasferita l-ebda dejta</v>
      </c>
    </row>
    <row r="3007" ht="15.75" customHeight="1">
      <c r="A3007" s="2" t="s">
        <v>3007</v>
      </c>
      <c r="B3007" s="2" t="str">
        <f>IFERROR(__xludf.DUMMYFUNCTION("GOOGLETRANSLATE(A3007,""en"", ""mt"")"),"Għaliex Priestley ġeneralment jingħata kreditu talli l-ewwel qed jiskopri l-ossiġnu?")</f>
        <v>Għaliex Priestley ġeneralment jingħata kreditu talli l-ewwel qed jiskopri l-ossiġnu?</v>
      </c>
    </row>
    <row r="3008" ht="15.75" customHeight="1">
      <c r="A3008" s="2" t="s">
        <v>3008</v>
      </c>
      <c r="B3008" s="2" t="str">
        <f>IFERROR(__xludf.DUMMYFUNCTION("GOOGLETRANSLATE(A3008,""en"", ""mt"")"),"Ipproduċi kemm bajd kif ukoll sperma fl-istess ħin")</f>
        <v>Ipproduċi kemm bajd kif ukoll sperma fl-istess ħin</v>
      </c>
    </row>
    <row r="3009" ht="15.75" customHeight="1">
      <c r="A3009" s="2" t="s">
        <v>3009</v>
      </c>
      <c r="B3009" s="2" t="str">
        <f>IFERROR(__xludf.DUMMYFUNCTION("GOOGLETRANSLATE(A3009,""en"", ""mt"")"),"Meta mqabbel ma 'bliet oħra Awstraljani, x'inhu d-daqs ta' Melbourne?")</f>
        <v>Meta mqabbel ma 'bliet oħra Awstraljani, x'inhu d-daqs ta' Melbourne?</v>
      </c>
    </row>
    <row r="3010" ht="15.75" customHeight="1">
      <c r="A3010" s="2" t="s">
        <v>3010</v>
      </c>
      <c r="B3010" s="2" t="str">
        <f>IFERROR(__xludf.DUMMYFUNCTION("GOOGLETRANSLATE(A3010,""en"", ""mt"")"),"Liema żona Huguenot hija magħżula bħala monument storiku?")</f>
        <v>Liema żona Huguenot hija magħżula bħala monument storiku?</v>
      </c>
    </row>
    <row r="3011" ht="15.75" customHeight="1">
      <c r="A3011" s="2" t="s">
        <v>3011</v>
      </c>
      <c r="B3011" s="2" t="str">
        <f>IFERROR(__xludf.DUMMYFUNCTION("GOOGLETRANSLATE(A3011,""en"", ""mt"")"),"Siġar tal-palm għoljin")</f>
        <v>Siġar tal-palm għoljin</v>
      </c>
    </row>
    <row r="3012" ht="15.75" customHeight="1">
      <c r="A3012" s="2" t="s">
        <v>3012</v>
      </c>
      <c r="B3012" s="2" t="str">
        <f>IFERROR(__xludf.DUMMYFUNCTION("GOOGLETRANSLATE(A3012,""en"", ""mt"")"),"Il-messaġġ / dejta oriġinali hija mmuntata mill-ġdid fl-ordni t-tajba, ibbażata fuq in-numru tas-sekwenza tal-pakketti")</f>
        <v>Il-messaġġ / dejta oriġinali hija mmuntata mill-ġdid fl-ordni t-tajba, ibbażata fuq in-numru tas-sekwenza tal-pakketti</v>
      </c>
    </row>
    <row r="3013" ht="15.75" customHeight="1">
      <c r="A3013" s="2" t="s">
        <v>3013</v>
      </c>
      <c r="B3013" s="2" t="str">
        <f>IFERROR(__xludf.DUMMYFUNCTION("GOOGLETRANSLATE(A3013,""en"", ""mt"")"),"Skandinavja")</f>
        <v>Skandinavja</v>
      </c>
    </row>
    <row r="3014" ht="15.75" customHeight="1">
      <c r="A3014" s="2" t="s">
        <v>3014</v>
      </c>
      <c r="B3014" s="2" t="str">
        <f>IFERROR(__xludf.DUMMYFUNCTION("GOOGLETRANSLATE(A3014,""en"", ""mt"")"),"Minħabba li l-liġi Olandiża qalet li nies biss stabbiliti fl-Olanda jistgħu jagħtu pariri legali")</f>
        <v>Minħabba li l-liġi Olandiża qalet li nies biss stabbiliti fl-Olanda jistgħu jagħtu pariri legali</v>
      </c>
    </row>
    <row r="3015" ht="15.75" customHeight="1">
      <c r="A3015" s="2" t="s">
        <v>3015</v>
      </c>
      <c r="B3015" s="2" t="str">
        <f>IFERROR(__xludf.DUMMYFUNCTION("GOOGLETRANSLATE(A3015,""en"", ""mt"")"),"L-Imperatur Gegeen Khan, it-tifel u s-suċċessur ta 'Ayurbarwada, iddeċieda għal sentejn biss, mill-1321 sal-1323. Huwa kompla l-politiki ta' missieru biex jirriforma l-gvern ibbażat fuq il-prinċipji Confucian, bl-għajnuna tal-Gran Kanċillier Baiju. Matul "&amp;"ir-renju tiegħu, id-da Yuan Tong Zhi (Ċiniż: 大元 大元, ""L-Istituzzjonijiet Komprensivi tal-Yuan il-Kbir""), ġabra enormi ta 'kodiċi u regolamenti tad-dinastija Yuan li bdiet minn missieru, ġiet promulgata formalment. Gegeen ġie maqtul fi kolp ta ’stat li ji"&amp;"nvolvi ħames prinċpijiet minn fazzjoni rivali, forsi Steppe Elite opposta għar-riformi Confucian. Huma poġġew lil Yesün Temür (jew Taidingdi) fuq it-tron, u, wara tentattiv li ma rnexxiex biex jikkalma l-prinċpijiet, huwa wkoll ċedew għar-regiċida.")</f>
        <v>L-Imperatur Gegeen Khan, it-tifel u s-suċċessur ta 'Ayurbarwada, iddeċieda għal sentejn biss, mill-1321 sal-1323. Huwa kompla l-politiki ta' missieru biex jirriforma l-gvern ibbażat fuq il-prinċipji Confucian, bl-għajnuna tal-Gran Kanċillier Baiju. Matul ir-renju tiegħu, id-da Yuan Tong Zhi (Ċiniż: 大元 大元, "L-Istituzzjonijiet Komprensivi tal-Yuan il-Kbir"), ġabra enormi ta 'kodiċi u regolamenti tad-dinastija Yuan li bdiet minn missieru, ġiet promulgata formalment. Gegeen ġie maqtul fi kolp ta ’stat li jinvolvi ħames prinċpijiet minn fazzjoni rivali, forsi Steppe Elite opposta għar-riformi Confucian. Huma poġġew lil Yesün Temür (jew Taidingdi) fuq it-tron, u, wara tentattiv li ma rnexxiex biex jikkalma l-prinċpijiet, huwa wkoll ċedew għar-regiċida.</v>
      </c>
    </row>
    <row r="3016" ht="15.75" customHeight="1">
      <c r="A3016" s="2" t="s">
        <v>3016</v>
      </c>
      <c r="B3016" s="2" t="str">
        <f>IFERROR(__xludf.DUMMYFUNCTION("GOOGLETRANSLATE(A3016,""en"", ""mt"")"),"Liema approċċ kien favur Oppenheimer?")</f>
        <v>Liema approċċ kien favur Oppenheimer?</v>
      </c>
    </row>
    <row r="3017" ht="15.75" customHeight="1">
      <c r="A3017" s="2" t="s">
        <v>3017</v>
      </c>
      <c r="B3017" s="2" t="str">
        <f>IFERROR(__xludf.DUMMYFUNCTION("GOOGLETRANSLATE(A3017,""en"", ""mt"")"),"Moviment tad-Drittijiet Ċivili Amerikani")</f>
        <v>Moviment tad-Drittijiet Ċivili Amerikani</v>
      </c>
    </row>
    <row r="3018" ht="15.75" customHeight="1">
      <c r="A3018" s="2" t="s">
        <v>3018</v>
      </c>
      <c r="B3018" s="2" t="str">
        <f>IFERROR(__xludf.DUMMYFUNCTION("GOOGLETRANSLATE(A3018,""en"", ""mt"")"),"Ċellola T.")</f>
        <v>Ċellola T.</v>
      </c>
    </row>
    <row r="3019" ht="15.75" customHeight="1">
      <c r="A3019" s="2" t="s">
        <v>3019</v>
      </c>
      <c r="B3019" s="2" t="str">
        <f>IFERROR(__xludf.DUMMYFUNCTION("GOOGLETRANSLATE(A3019,""en"", ""mt"")"),"Biex tagħmel leġislazzjoni ġdida, l-Artikolu 294 tat-TFEU jiddefinixxi l- ""proċedura leġiżlattiva ordinarja"" li tapplika għall-biċċa l-kbira tal-atti tal-UE. L-essenza hija li hemm tliet qari, li jibdew bi proposta ta 'kummissjoni, fejn il-parlament iri"&amp;"d jivvota b'maġġoranza tal-MEPs kollha (mhux biss dawk preżenti) biex jimblokka jew jissuġġerixxi bidliet, u l-kunsill għandu jivvota b'maġġoranza kwalifikata biex japprova bidliet, iżda bl-unanimità biex timblokka l-emenda tal-kummissjoni. Meta l-istituz"&amp;"zjonijiet differenti ma jistgħux jaqblu fi kwalunkwe stadju, huwa mlaqqa '""kumitat ta' konċiljazzjoni"", li jirrappreżenta lill-MEPs, lill-ministri u lill-Kummissjoni biex jippruvaw jiksbu ftehim fuq test konġunt: jekk dan jaħdem, dan jintbagħat lura lil"&amp;"l-Parlament u l-Kunsill biex japprova b'maġġoranza assoluta u kwalifikata. Dan ifisser, il-leġiżlazzjoni tista 'tiġi mblukkata b'maġġoranza fil-Parlament, minoranza fil-kunsill, u maġġoranza fil-kummissjoni: huwa iktar diffiċli li tinbidel il-liġi tal-UE "&amp;"milli tibqa' l-istess. Proċedura differenti teżisti għall-baġits. Għal ""kooperazzjoni msaħħa"" fost sotto-sett ta 'mill-inqas stati membri, l-awtorizzazzjoni għandha tingħata mill-kunsill. Il-gvernijiet tal-Istat Membru għandhom jiġu infurmati mill-Kummi"&amp;"ssjoni mill-bidu qabel ma kwalunkwe proposta tibda l-proċedura leġiżlattiva. L-UE kollha kemm hi tista 'taġixxi biss fil-poter tagħha stabbilita fit-trattati. L-Artikoli 4 u 5 tat-TEU jiddikjaraw li s-setgħat jibqgħu mal-istati membri sakemm ma jkunux ġew"&amp;" mogħtija, għalkemm hemm dibattitu dwar il-mistoqsija Kompetenz-Kompetenz: li fl-aħħar għandu l- ""kompetenza"" biex jiddefinixxi l- ""kompetenza"" tal-UE. Bosta qrati tal-istat membri jemmnu li jiddeċiedu, parlamenti oħra tal-istat membri jemmnu li jidde"&amp;"ċiedu, waqt li fl-UE, il-Qorti tal-Ġustizzja temmen li għandha l-aħħar kelma.")</f>
        <v>Biex tagħmel leġislazzjoni ġdida, l-Artikolu 294 tat-TFEU jiddefinixxi l- "proċedura leġiżlattiva ordinarja" li tapplika għall-biċċa l-kbira tal-atti tal-UE. L-essenza hija li hemm tliet qari, li jibdew bi proposta ta 'kummissjoni, fejn il-parlament irid jivvota b'maġġoranza tal-MEPs kollha (mhux biss dawk preżenti) biex jimblokka jew jissuġġerixxi bidliet, u l-kunsill għandu jivvota b'maġġoranza kwalifikata biex japprova bidliet, iżda bl-unanimità biex timblokka l-emenda tal-kummissjoni. Meta l-istituzzjonijiet differenti ma jistgħux jaqblu fi kwalunkwe stadju, huwa mlaqqa '"kumitat ta' konċiljazzjoni", li jirrappreżenta lill-MEPs, lill-ministri u lill-Kummissjoni biex jippruvaw jiksbu ftehim fuq test konġunt: jekk dan jaħdem, dan jintbagħat lura lill-Parlament u l-Kunsill biex japprova b'maġġoranza assoluta u kwalifikata. Dan ifisser, il-leġiżlazzjoni tista 'tiġi mblukkata b'maġġoranza fil-Parlament, minoranza fil-kunsill, u maġġoranza fil-kummissjoni: huwa iktar diffiċli li tinbidel il-liġi tal-UE milli tibqa' l-istess. Proċedura differenti teżisti għall-baġits. Għal "kooperazzjoni msaħħa" fost sotto-sett ta 'mill-inqas stati membri, l-awtorizzazzjoni għandha tingħata mill-kunsill. Il-gvernijiet tal-Istat Membru għandhom jiġu infurmati mill-Kummissjoni mill-bidu qabel ma kwalunkwe proposta tibda l-proċedura leġiżlattiva. L-UE kollha kemm hi tista 'taġixxi biss fil-poter tagħha stabbilita fit-trattati. L-Artikoli 4 u 5 tat-TEU jiddikjaraw li s-setgħat jibqgħu mal-istati membri sakemm ma jkunux ġew mogħtija, għalkemm hemm dibattitu dwar il-mistoqsija Kompetenz-Kompetenz: li fl-aħħar għandu l- "kompetenza" biex jiddefinixxi l- "kompetenza" tal-UE. Bosta qrati tal-istat membri jemmnu li jiddeċiedu, parlamenti oħra tal-istat membri jemmnu li jiddeċiedu, waqt li fl-UE, il-Qorti tal-Ġustizzja temmen li għandha l-aħħar kelma.</v>
      </c>
    </row>
    <row r="3020" ht="15.75" customHeight="1">
      <c r="A3020" s="2" t="s">
        <v>3020</v>
      </c>
      <c r="B3020" s="2" t="str">
        <f>IFERROR(__xludf.DUMMYFUNCTION("GOOGLETRANSLATE(A3020,""en"", ""mt"")"),"Il-kategorija l-oħra ta 'skejjel huma dawk immexxija u parzjalment jew kompletament iffinanzjati minn individwi privati, organizzazzjonijiet privati ​​u gruppi reliġjużi. Dawk li jaċċettaw fondi tal-gvern huma msejħa skejjel 'megħjuna'. L-iskejjel privati"&amp;" ​​'mhux megħjuna' huma ffinanzjati bis-sħiħ minn partijiet privati. L-istandard u l-kwalità tal-edukazzjoni huma pjuttost għoljin. Teknikament, dawn jiġu kklassifikati bħala skejjel privati, iżda ħafna minnhom għandhom l-isem ""skola pubblika"" mehmuża m"&amp;"agħhom, e.g., l-Iskola Pubblika Galaxy f'Katmandu. Ħafna mill-familji tal-klassi tan-nofs jibagħtu lil uliedhom fi skejjel bħal dawn, li jistgħu jkunu fil-belt tagħhom stess jew 'il bogħod, bħall-iskejjel tal-imbarkazzjoni. Il-mezz ta 'edukazzjoni huwa l-"&amp;"Ingliż, iżda bħala suġġett obbligatorju, in-Nepali u / jew il-lingwa uffiċjali tal-istat huwa mgħallem ukoll. L-edukazzjoni qabel l-iskola hija l-aktar limitata għal skejjel organizzati tal-viċinat tal-viċinat.")</f>
        <v>Il-kategorija l-oħra ta 'skejjel huma dawk immexxija u parzjalment jew kompletament iffinanzjati minn individwi privati, organizzazzjonijiet privati ​​u gruppi reliġjużi. Dawk li jaċċettaw fondi tal-gvern huma msejħa skejjel 'megħjuna'. L-iskejjel privati ​​'mhux megħjuna' huma ffinanzjati bis-sħiħ minn partijiet privati. L-istandard u l-kwalità tal-edukazzjoni huma pjuttost għoljin. Teknikament, dawn jiġu kklassifikati bħala skejjel privati, iżda ħafna minnhom għandhom l-isem "skola pubblika" mehmuża magħhom, e.g., l-Iskola Pubblika Galaxy f'Katmandu. Ħafna mill-familji tal-klassi tan-nofs jibagħtu lil uliedhom fi skejjel bħal dawn, li jistgħu jkunu fil-belt tagħhom stess jew 'il bogħod, bħall-iskejjel tal-imbarkazzjoni. Il-mezz ta 'edukazzjoni huwa l-Ingliż, iżda bħala suġġett obbligatorju, in-Nepali u / jew il-lingwa uffiċjali tal-istat huwa mgħallem ukoll. L-edukazzjoni qabel l-iskola hija l-aktar limitata għal skejjel organizzati tal-viċinat tal-viċinat.</v>
      </c>
    </row>
    <row r="3021" ht="15.75" customHeight="1">
      <c r="A3021" s="2" t="s">
        <v>3021</v>
      </c>
      <c r="B3021" s="2" t="str">
        <f>IFERROR(__xludf.DUMMYFUNCTION("GOOGLETRANSLATE(A3021,""en"", ""mt"")"),"X'tip ta 'sensittività eċċessiva hija assoċjata ma' allerġiji?")</f>
        <v>X'tip ta 'sensittività eċċessiva hija assoċjata ma' allerġiji?</v>
      </c>
    </row>
    <row r="3022" ht="15.75" customHeight="1">
      <c r="A3022" s="2" t="s">
        <v>3022</v>
      </c>
      <c r="B3022" s="2" t="str">
        <f>IFERROR(__xludf.DUMMYFUNCTION("GOOGLETRANSLATE(A3022,""en"", ""mt"")"),"Min skopra dan u minn fejn ġew?")</f>
        <v>Min skopra dan u minn fejn ġew?</v>
      </c>
    </row>
    <row r="3023" ht="15.75" customHeight="1">
      <c r="A3023" s="2" t="s">
        <v>3023</v>
      </c>
      <c r="B3023" s="2" t="str">
        <f>IFERROR(__xludf.DUMMYFUNCTION("GOOGLETRANSLATE(A3023,""en"", ""mt"")"),"Konsorzju tan-Netwerking tal-Kompjuter tal-Istati Uniti mhux għall-profitt")</f>
        <v>Konsorzju tan-Netwerking tal-Kompjuter tal-Istati Uniti mhux għall-profitt</v>
      </c>
    </row>
    <row r="3024" ht="15.75" customHeight="1">
      <c r="A3024" s="2" t="s">
        <v>3024</v>
      </c>
      <c r="B3024" s="2" t="str">
        <f>IFERROR(__xludf.DUMMYFUNCTION("GOOGLETRANSLATE(A3024,""en"", ""mt"")"),"Netwerking avvanzat ta 'riċerka u edukazzjoni fl-Istati Uniti")</f>
        <v>Netwerking avvanzat ta 'riċerka u edukazzjoni fl-Istati Uniti</v>
      </c>
    </row>
    <row r="3025" ht="15.75" customHeight="1">
      <c r="A3025" s="2" t="s">
        <v>3025</v>
      </c>
      <c r="B3025" s="2" t="str">
        <f>IFERROR(__xludf.DUMMYFUNCTION("GOOGLETRANSLATE(A3025,""en"", ""mt"")"),"Orjentaliżmu")</f>
        <v>Orjentaliżmu</v>
      </c>
    </row>
    <row r="3026" ht="15.75" customHeight="1">
      <c r="A3026" s="2" t="s">
        <v>3026</v>
      </c>
      <c r="B3026" s="2" t="str">
        <f>IFERROR(__xludf.DUMMYFUNCTION("GOOGLETRANSLATE(A3026,""en"", ""mt"")"),"Min Edward għamel l-Arċisqof ta 'Canterbury?")</f>
        <v>Min Edward għamel l-Arċisqof ta 'Canterbury?</v>
      </c>
    </row>
    <row r="3027" ht="15.75" customHeight="1">
      <c r="A3027" s="2" t="s">
        <v>3027</v>
      </c>
      <c r="B3027" s="2" t="str">
        <f>IFERROR(__xludf.DUMMYFUNCTION("GOOGLETRANSLATE(A3027,""en"", ""mt"")"),"Semmi mod wieħed kif l-organizzazzjoni Plowshares tagħlaq temporanjament GCSB Waihopai?")</f>
        <v>Semmi mod wieħed kif l-organizzazzjoni Plowshares tagħlaq temporanjament GCSB Waihopai?</v>
      </c>
    </row>
    <row r="3028" ht="15.75" customHeight="1">
      <c r="A3028" s="2" t="s">
        <v>3028</v>
      </c>
      <c r="B3028" s="2" t="str">
        <f>IFERROR(__xludf.DUMMYFUNCTION("GOOGLETRANSLATE(A3028,""en"", ""mt"")"),"X'jistgħu jagħmlu l-membri mhux eletti mill-gvern Skoċċiż?")</f>
        <v>X'jistgħu jagħmlu l-membri mhux eletti mill-gvern Skoċċiż?</v>
      </c>
    </row>
    <row r="3029" ht="15.75" customHeight="1">
      <c r="A3029" s="2" t="s">
        <v>3029</v>
      </c>
      <c r="B3029" s="2" t="str">
        <f>IFERROR(__xludf.DUMMYFUNCTION("GOOGLETRANSLATE(A3029,""en"", ""mt"")"),"Fit-Tieni Gwerra Dinjija, ġie rikonoxxut li r-Renu jippreżenta ostaklu naturali formidabbli għall-invażjoni tal-Ġermanja, mill-alleati tal-Punent. Il-Pont tar-Rhine f'Arnhem, immortalizzat fil-ktieb, a Bridge Too Far and the Film, kien fokus ċentrali tal-"&amp;"battalja għal Arnhem, waqt il-Ġnien tas-Suq tal-Operazzjoni fallut ta 'Settembru 1944. Rhine, kienu wkoll għan tal-Operazzjoni tas-Suq tal-Ġnien. F’operazzjoni separata, il-Pont ta ’Ludendorff, li jaqsam ir-Renu f’Remagen, sar famuż, meta l-forzi ta’ l-Is"&amp;"tati Uniti setgħu jaqbduha intatta - ferm għas-sorpriża tagħhom stess - wara li l-Ġermaniżi naqsu milli jwaqqgħuh. Dan sar ukoll is-suġġett ta 'film, The Bridge at Remagen. Sebat ijiem lejn ix-Xmara Rhine kien pjan ta 'gwerra ta' Varsavja għal invażjoni t"&amp;"al-Ewropa tal-Punent matul il-Gwerra Bierda.")</f>
        <v>Fit-Tieni Gwerra Dinjija, ġie rikonoxxut li r-Renu jippreżenta ostaklu naturali formidabbli għall-invażjoni tal-Ġermanja, mill-alleati tal-Punent. Il-Pont tar-Rhine f'Arnhem, immortalizzat fil-ktieb, a Bridge Too Far and the Film, kien fokus ċentrali tal-battalja għal Arnhem, waqt il-Ġnien tas-Suq tal-Operazzjoni fallut ta 'Settembru 1944. Rhine, kienu wkoll għan tal-Operazzjoni tas-Suq tal-Ġnien. F’operazzjoni separata, il-Pont ta ’Ludendorff, li jaqsam ir-Renu f’Remagen, sar famuż, meta l-forzi ta’ l-Istati Uniti setgħu jaqbduha intatta - ferm għas-sorpriża tagħhom stess - wara li l-Ġermaniżi naqsu milli jwaqqgħuh. Dan sar ukoll is-suġġett ta 'film, The Bridge at Remagen. Sebat ijiem lejn ix-Xmara Rhine kien pjan ta 'gwerra ta' Varsavja għal invażjoni tal-Ewropa tal-Punent matul il-Gwerra Bierda.</v>
      </c>
    </row>
    <row r="3030" ht="15.75" customHeight="1">
      <c r="A3030" s="2" t="s">
        <v>3030</v>
      </c>
      <c r="B3030" s="2" t="str">
        <f>IFERROR(__xludf.DUMMYFUNCTION("GOOGLETRANSLATE(A3030,""en"", ""mt"")"),"Il-proġett għandu jaderixxi mar-rekwiżiti tal-kodiċi taż-żona u tal-bini. Il-kostruzzjoni ta 'proġett li tonqos milli taderixxi mal-kodiċi ma tibbenefikax lis-sid. Xi ħtiġijiet legali jiġu minn malum f'kunsiderazzjonijiet SE, jew ix-xewqa li jiġu evitati "&amp;"affarijiet li huma indiskutibbli - il-pont jiġġarraf jew l-isplużjonijiet. Rekwiżiti legali oħra ġejjin minn konsiderazzjonijiet ta 'malum projbim, jew affarijiet li huma kwistjoni ta' drawwa jew aspettattiva, bħalma huma l-iżolament ta 'negozji għal dist"&amp;"rett ta' negozju u residenzi għal distrett residenzjali. Avukat jista 'jfittex bidliet jew eżenzjonijiet fil-liġi li jirregola l-art fejn se jinbena l-bini, jew billi jargumenta li regola mhix applikabbli (id-disinn tal-pont ma jikkawżax kollass), jew li "&amp;"d-drawwa m'għadhiex meħtieġa (aċċettazzjoni Spazji ta 'xogħol ħaj kiber fil-komunità).")</f>
        <v>Il-proġett għandu jaderixxi mar-rekwiżiti tal-kodiċi taż-żona u tal-bini. Il-kostruzzjoni ta 'proġett li tonqos milli taderixxi mal-kodiċi ma tibbenefikax lis-sid. Xi ħtiġijiet legali jiġu minn malum f'kunsiderazzjonijiet SE, jew ix-xewqa li jiġu evitati affarijiet li huma indiskutibbli - il-pont jiġġarraf jew l-isplużjonijiet. Rekwiżiti legali oħra ġejjin minn konsiderazzjonijiet ta 'malum projbim, jew affarijiet li huma kwistjoni ta' drawwa jew aspettattiva, bħalma huma l-iżolament ta 'negozji għal distrett ta' negozju u residenzi għal distrett residenzjali. Avukat jista 'jfittex bidliet jew eżenzjonijiet fil-liġi li jirregola l-art fejn se jinbena l-bini, jew billi jargumenta li regola mhix applikabbli (id-disinn tal-pont ma jikkawżax kollass), jew li d-drawwa m'għadhiex meħtieġa (aċċettazzjoni Spazji ta 'xogħol ħaj kiber fil-komunità).</v>
      </c>
    </row>
    <row r="3031" ht="15.75" customHeight="1">
      <c r="A3031" s="2" t="s">
        <v>3031</v>
      </c>
      <c r="B3031" s="2" t="str">
        <f>IFERROR(__xludf.DUMMYFUNCTION("GOOGLETRANSLATE(A3031,""en"", ""mt"")"),"Il-Programm tal-Arti ta ’Uchicago jingħaqad ma’ dipartimenti akkademiċi u programmi fid-Diviżjoni tal-Umanistika u l-Kulleġġ, kif ukoll organizzazzjonijiet professjonali inkluż it-Teatru tal-Qorti, l-Istitut Orjentali, il-Mużew Intelliġenti tal-Art, is-So"&amp;"ċjetà tar-Rinaxximent, l-Università ta ’Chicago Presents, u student Organizzazzjonijiet tal-Arti. L-università għandha programm ta 'artist fir-residenza u studjużi fi studji ta' prestazzjoni, kritika tal-arti kontemporanja, u storja tal-films. Huwa offra "&amp;"dottorat fil-kompożizzjoni tal-mużika mill-1933 u fl-Istudji taċ-Ċinema u l-Midja mill-2000, Master of Fine Arts in Visual Arts (kmieni fis-snin sebgħin), u Master of Arts fl-Umanistika bi track tal-kitba kreattiva (2000). Għandu programmi ta 'grad ta' ba"&amp;"ċellerat fl-arti viżwali, mużika, u storja tal-arti, u, aktar reċentement, Cinema &amp; Media Studies (1996) u Studji tat-Teatru u tal-Prestazzjoni (2002). Il-qalba tal-edukazzjoni ġenerali tal-kulleġġ tinkludi ħtieġa ta '""drammatika, mużika u arti viżwali"""&amp;", li teħtieġ li l-istudenti jistudjaw l-istorja tal-arti, ix-xewqa tal-palk, jew jibdew jaħdmu bl-iskultura. Bosta eluf ta 'studenti ewlenin u mhux kbar jirreġistraw kull sena fi klassijiet ta' arti kreattivi u spettakli. Uchicago ħafna drabi huwa meqjus "&amp;"bħala l-post fejn twieled il-kummiedja improvisazzjonali hekk kif il-kummiedja tal-kummiedja tal-plejers tal-kumpass evolviet fit-Tieni City Improv Theatre Troupe fl-1959. Iċ-Ċentru Reva u David Logan għall-Arti nfetħu f'Ottubru 2012, ħames snin wara riga"&amp;"l ta '$ 35 miljun mill-istudenti David Logan u martu Reva. Iċ-ċentru jinkludi spazji għal esibizzjonijiet, wirjiet, klassijiet, u produzzjoni tal-midja. Iċ-Ċentru Logan kien iddisinjat minn Tod Williams u Billie Tsien. Dan il-bini huwa attwalment kompleta"&amp;"ment ħġieġ. Il-briks huwa faċċata ddisinjata biex iżżomm il-ħġieġ sikur mir-riħ. Il-periti aktar tard neħħew sezzjonijiet tal-briks meta nibtet pressjoni fil-forma ta 'lmenti li l-veduti tal-belt ġew imblukkati.")</f>
        <v>Il-Programm tal-Arti ta ’Uchicago jingħaqad ma’ dipartimenti akkademiċi u programmi fid-Diviżjoni tal-Umanistika u l-Kulleġġ, kif ukoll organizzazzjonijiet professjonali inkluż it-Teatru tal-Qorti, l-Istitut Orjentali, il-Mużew Intelliġenti tal-Art, is-Soċjetà tar-Rinaxximent, l-Università ta ’Chicago Presents, u student Organizzazzjonijiet tal-Arti. L-università għandha programm ta 'artist fir-residenza u studjużi fi studji ta' prestazzjoni, kritika tal-arti kontemporanja, u storja tal-films. Huwa offra dottorat fil-kompożizzjoni tal-mużika mill-1933 u fl-Istudji taċ-Ċinema u l-Midja mill-2000, Master of Fine Arts in Visual Arts (kmieni fis-snin sebgħin), u Master of Arts fl-Umanistika bi track tal-kitba kreattiva (2000). Għandu programmi ta 'grad ta' baċellerat fl-arti viżwali, mużika, u storja tal-arti, u, aktar reċentement, Cinema &amp; Media Studies (1996) u Studji tat-Teatru u tal-Prestazzjoni (2002). Il-qalba tal-edukazzjoni ġenerali tal-kulleġġ tinkludi ħtieġa ta '"drammatika, mużika u arti viżwali", li teħtieġ li l-istudenti jistudjaw l-istorja tal-arti, ix-xewqa tal-palk, jew jibdew jaħdmu bl-iskultura. Bosta eluf ta 'studenti ewlenin u mhux kbar jirreġistraw kull sena fi klassijiet ta' arti kreattivi u spettakli. Uchicago ħafna drabi huwa meqjus bħala l-post fejn twieled il-kummiedja improvisazzjonali hekk kif il-kummiedja tal-kummiedja tal-plejers tal-kumpass evolviet fit-Tieni City Improv Theatre Troupe fl-1959. Iċ-Ċentru Reva u David Logan għall-Arti nfetħu f'Ottubru 2012, ħames snin wara rigal ta '$ 35 miljun mill-istudenti David Logan u martu Reva. Iċ-ċentru jinkludi spazji għal esibizzjonijiet, wirjiet, klassijiet, u produzzjoni tal-midja. Iċ-Ċentru Logan kien iddisinjat minn Tod Williams u Billie Tsien. Dan il-bini huwa attwalment kompletament ħġieġ. Il-briks huwa faċċata ddisinjata biex iżżomm il-ħġieġ sikur mir-riħ. Il-periti aktar tard neħħew sezzjonijiet tal-briks meta nibtet pressjoni fil-forma ta 'lmenti li l-veduti tal-belt ġew imblukkati.</v>
      </c>
    </row>
    <row r="3032" ht="15.75" customHeight="1">
      <c r="A3032" s="2" t="s">
        <v>3032</v>
      </c>
      <c r="B3032" s="2" t="str">
        <f>IFERROR(__xludf.DUMMYFUNCTION("GOOGLETRANSLATE(A3032,""en"", ""mt"")"),"Qabel ma l-fondazzjoni tkun tista 'titħaffer, il-kuntratturi huma tipikament meħtieġa biex jivverifikaw u jkollhom linji ta' utilità eżistenti mmarkati, jew mill-utilitajiet infushom jew permezz ta 'kumpanija li tispeċjalizza f'dawn is-servizzi. Dan inaqq"&amp;"as il-probabbiltà ta 'ħsara lill-faċilitajiet elettriċi, tad-drenaġġ, tat-telefon u tal-kejbil eżistenti, li jistgħu jikkawżaw qtugħ u sitwazzjonijiet potenzjalment perikolużi. Matul il-kostruzzjoni ta 'bini, l-ispettur tal-bini muniċipali jispezzjona l-b"&amp;"ini perjodikament biex jiżgura li l-kostruzzjoni taderixxi mal-pjanijiet approvati u l-kodiċi tal-bini lokali. Ladarba l-kostruzzjoni tkun kompluta u ġiet mgħoddija spezzjoni finali, jista 'jinħareġ permess ta' okkupazzjoni.")</f>
        <v>Qabel ma l-fondazzjoni tkun tista 'titħaffer, il-kuntratturi huma tipikament meħtieġa biex jivverifikaw u jkollhom linji ta' utilità eżistenti mmarkati, jew mill-utilitajiet infushom jew permezz ta 'kumpanija li tispeċjalizza f'dawn is-servizzi. Dan inaqqas il-probabbiltà ta 'ħsara lill-faċilitajiet elettriċi, tad-drenaġġ, tat-telefon u tal-kejbil eżistenti, li jistgħu jikkawżaw qtugħ u sitwazzjonijiet potenzjalment perikolużi. Matul il-kostruzzjoni ta 'bini, l-ispettur tal-bini muniċipali jispezzjona l-bini perjodikament biex jiżgura li l-kostruzzjoni taderixxi mal-pjanijiet approvati u l-kodiċi tal-bini lokali. Ladarba l-kostruzzjoni tkun kompluta u ġiet mgħoddija spezzjoni finali, jista 'jinħareġ permess ta' okkupazzjoni.</v>
      </c>
    </row>
    <row r="3033" ht="15.75" customHeight="1">
      <c r="A3033" s="2" t="s">
        <v>3033</v>
      </c>
      <c r="B3033" s="2" t="str">
        <f>IFERROR(__xludf.DUMMYFUNCTION("GOOGLETRANSLATE(A3033,""en"", ""mt"")"),"""Xiri ta 'Stop One-Stop""")</f>
        <v>"Xiri ta 'Stop One-Stop"</v>
      </c>
    </row>
    <row r="3034" ht="15.75" customHeight="1">
      <c r="A3034" s="2" t="s">
        <v>3034</v>
      </c>
      <c r="B3034" s="2" t="str">
        <f>IFERROR(__xludf.DUMMYFUNCTION("GOOGLETRANSLATE(A3034,""en"", ""mt"")"),"linja miftuħa")</f>
        <v>linja miftuħa</v>
      </c>
    </row>
    <row r="3035" ht="15.75" customHeight="1">
      <c r="A3035" s="2" t="s">
        <v>3035</v>
      </c>
      <c r="B3035" s="2" t="str">
        <f>IFERROR(__xludf.DUMMYFUNCTION("GOOGLETRANSLATE(A3035,""en"", ""mt"")"),"Liema waħda mil-lukandi ta 'Fresno ħarqu?")</f>
        <v>Liema waħda mil-lukandi ta 'Fresno ħarqu?</v>
      </c>
    </row>
    <row r="3036" ht="15.75" customHeight="1">
      <c r="A3036" s="2" t="s">
        <v>3036</v>
      </c>
      <c r="B3036" s="2" t="str">
        <f>IFERROR(__xludf.DUMMYFUNCTION("GOOGLETRANSLATE(A3036,""en"", ""mt"")"),"Konfigurazzjoni tipika hija li tmexxi IP fuq ATM jew verżjoni ta 'MPLS")</f>
        <v>Konfigurazzjoni tipika hija li tmexxi IP fuq ATM jew verżjoni ta 'MPLS</v>
      </c>
    </row>
    <row r="3037" ht="15.75" customHeight="1">
      <c r="A3037" s="2" t="s">
        <v>3037</v>
      </c>
      <c r="B3037" s="2" t="str">
        <f>IFERROR(__xludf.DUMMYFUNCTION("GOOGLETRANSLATE(A3037,""en"", ""mt"")"),"Mekkaniżmi ta 'tqassim mill-ġdid")</f>
        <v>Mekkaniżmi ta 'tqassim mill-ġdid</v>
      </c>
    </row>
    <row r="3038" ht="15.75" customHeight="1">
      <c r="A3038" s="2" t="s">
        <v>3038</v>
      </c>
      <c r="B3038" s="2" t="str">
        <f>IFERROR(__xludf.DUMMYFUNCTION("GOOGLETRANSLATE(A3038,""en"", ""mt"")"),"L-aktar struttura tal-konkrit ta 'wara t-tensjoni, wara t-tensjoni")</f>
        <v>L-aktar struttura tal-konkrit ta 'wara t-tensjoni, wara t-tensjoni</v>
      </c>
    </row>
    <row r="3039" ht="15.75" customHeight="1">
      <c r="A3039" s="2" t="s">
        <v>3039</v>
      </c>
      <c r="B3039" s="2" t="str">
        <f>IFERROR(__xludf.DUMMYFUNCTION("GOOGLETRANSLATE(A3039,""en"", ""mt"")"),"Kif huwa allokat iċ-ċirkwit")</f>
        <v>Kif huwa allokat iċ-ċirkwit</v>
      </c>
    </row>
    <row r="3040" ht="15.75" customHeight="1">
      <c r="A3040" s="2" t="s">
        <v>3040</v>
      </c>
      <c r="B3040" s="2" t="str">
        <f>IFERROR(__xludf.DUMMYFUNCTION("GOOGLETRANSLATE(A3040,""en"", ""mt"")"),"X'kienu l-kundizzjonijiet għall-minaturi fl-għelieqi tad-deheb fir-Rabat?")</f>
        <v>X'kienu l-kundizzjonijiet għall-minaturi fl-għelieqi tad-deheb fir-Rabat?</v>
      </c>
    </row>
    <row r="3041" ht="15.75" customHeight="1">
      <c r="A3041" s="2" t="s">
        <v>3041</v>
      </c>
      <c r="B3041" s="2" t="str">
        <f>IFERROR(__xludf.DUMMYFUNCTION("GOOGLETRANSLATE(A3041,""en"", ""mt"")"),"awtorizzata taxxa fuq il-bejgħ nofs-penny")</f>
        <v>awtorizzata taxxa fuq il-bejgħ nofs-penny</v>
      </c>
    </row>
    <row r="3042" ht="15.75" customHeight="1">
      <c r="A3042" s="2" t="s">
        <v>3042</v>
      </c>
      <c r="B3042" s="2" t="str">
        <f>IFERROR(__xludf.DUMMYFUNCTION("GOOGLETRANSLATE(A3042,""en"", ""mt"")"),"Matul in-nofs Eocene")</f>
        <v>Matul in-nofs Eocene</v>
      </c>
    </row>
    <row r="3043" ht="15.75" customHeight="1">
      <c r="A3043" s="2" t="s">
        <v>3043</v>
      </c>
      <c r="B3043" s="2" t="str">
        <f>IFERROR(__xludf.DUMMYFUNCTION("GOOGLETRANSLATE(A3043,""en"", ""mt"")"),"Il-Kummentarji dwar il-Klassiku tal-Bidliet (I Ching)")</f>
        <v>Il-Kummentarji dwar il-Klassiku tal-Bidliet (I Ching)</v>
      </c>
    </row>
    <row r="3044" ht="15.75" customHeight="1">
      <c r="A3044" s="2" t="s">
        <v>3044</v>
      </c>
      <c r="B3044" s="2" t="str">
        <f>IFERROR(__xludf.DUMMYFUNCTION("GOOGLETRANSLATE(A3044,""en"", ""mt"")"),"Meta jtejbu s-soċjetà kollha kemm hi")</f>
        <v>Meta jtejbu s-soċjetà kollha kemm hi</v>
      </c>
    </row>
    <row r="3045" ht="15.75" customHeight="1">
      <c r="A3045" s="2" t="s">
        <v>3045</v>
      </c>
      <c r="B3045" s="2" t="str">
        <f>IFERROR(__xludf.DUMMYFUNCTION("GOOGLETRANSLATE(A3045,""en"", ""mt"")"),"Jekk l-abbozz jinsab fil-kompetenza leġiżlattiva tal-Parlament")</f>
        <v>Jekk l-abbozz jinsab fil-kompetenza leġiżlattiva tal-Parlament</v>
      </c>
    </row>
    <row r="3046" ht="15.75" customHeight="1">
      <c r="A3046" s="2" t="s">
        <v>3046</v>
      </c>
      <c r="B3046" s="2" t="str">
        <f>IFERROR(__xludf.DUMMYFUNCTION("GOOGLETRANSLATE(A3046,""en"", ""mt"")"),"Fuq liema teorema hija l-formula li ta 'spiss tiġġenera n-numru 2 u l-primes l-oħra kollha preċiżament darba bbażati fuqhom?")</f>
        <v>Fuq liema teorema hija l-formula li ta 'spiss tiġġenera n-numru 2 u l-primes l-oħra kollha preċiżament darba bbażati fuqhom?</v>
      </c>
    </row>
    <row r="3047" ht="15.75" customHeight="1">
      <c r="A3047" s="2" t="s">
        <v>3047</v>
      </c>
      <c r="B3047" s="2" t="str">
        <f>IFERROR(__xludf.DUMMYFUNCTION("GOOGLETRANSLATE(A3047,""en"", ""mt"")"),"Att tal-Kolonja tar-Rabat 1855")</f>
        <v>Att tal-Kolonja tar-Rabat 1855</v>
      </c>
    </row>
    <row r="3048" ht="15.75" customHeight="1">
      <c r="A3048" s="2" t="s">
        <v>3048</v>
      </c>
      <c r="B3048" s="2" t="str">
        <f>IFERROR(__xludf.DUMMYFUNCTION("GOOGLETRANSLATE(A3048,""en"", ""mt"")"),"Ed Asner")</f>
        <v>Ed Asner</v>
      </c>
    </row>
    <row r="3049" ht="15.75" customHeight="1">
      <c r="A3049" s="2" t="s">
        <v>3049</v>
      </c>
      <c r="B3049" s="2" t="str">
        <f>IFERROR(__xludf.DUMMYFUNCTION("GOOGLETRANSLATE(A3049,""en"", ""mt"")"),"Min skopra l-fuħħar misjuba fuq il-Gżira tal-Hammock Iswed?")</f>
        <v>Min skopra l-fuħħar misjuba fuq il-Gżira tal-Hammock Iswed?</v>
      </c>
    </row>
    <row r="3050" ht="15.75" customHeight="1">
      <c r="A3050" s="2" t="s">
        <v>3050</v>
      </c>
      <c r="B3050" s="2" t="str">
        <f>IFERROR(__xludf.DUMMYFUNCTION("GOOGLETRANSLATE(A3050,""en"", ""mt"")"),"Għaliex Confucians jħobbu l-qasam mediku?")</f>
        <v>Għaliex Confucians jħobbu l-qasam mediku?</v>
      </c>
    </row>
    <row r="3051" ht="15.75" customHeight="1">
      <c r="A3051" s="2" t="s">
        <v>3051</v>
      </c>
      <c r="B3051" s="2" t="str">
        <f>IFERROR(__xludf.DUMMYFUNCTION("GOOGLETRANSLATE(A3051,""en"", ""mt"")"),"Il-Maroons jikkompetu fid-Diviżjoni III tal-NCAA bħala membri tal-Assoċjazzjoni tal-Atletika tal-Università (UAA). L-università kienet membru fundatur tal-Big Ten Conference u pparteċipat fil-basketball tal-irġiel u l-futbol tal-irġiel tad-Diviżjoni I tal"&amp;"-NCAA u kienet parteċipant regolari fil-kampjonat tal-basketball tal-irġiel. Fl-1935, l-Università ta ’Chicago laħqet il-ħelu sittax. Fl-1935, il-plejer tal-futbol ta 'Chicago Maroons Jay Berwanger sar l-ewwel rebbieħ tat-Trofew Heisman. Madankollu, l-uni"&amp;"versità għażlet li tirtira mill-konferenza fl-1946 wara li l-President tal-Università Robert Maynard Hutchins de-enfasizza l-atletika tal-varsity fl-1939 u waqqa 'l-futbol. (Fl-1969, Chicago reġgħet daħlet il-futbol bħala tim tad-Diviżjoni III, u terġa 't"&amp;"ilgħab il-logħob tad-dar tagħha fil-Field Stagg il-ġdid.)")</f>
        <v>Il-Maroons jikkompetu fid-Diviżjoni III tal-NCAA bħala membri tal-Assoċjazzjoni tal-Atletika tal-Università (UAA). L-università kienet membru fundatur tal-Big Ten Conference u pparteċipat fil-basketball tal-irġiel u l-futbol tal-irġiel tad-Diviżjoni I tal-NCAA u kienet parteċipant regolari fil-kampjonat tal-basketball tal-irġiel. Fl-1935, l-Università ta ’Chicago laħqet il-ħelu sittax. Fl-1935, il-plejer tal-futbol ta 'Chicago Maroons Jay Berwanger sar l-ewwel rebbieħ tat-Trofew Heisman. Madankollu, l-università għażlet li tirtira mill-konferenza fl-1946 wara li l-President tal-Università Robert Maynard Hutchins de-enfasizza l-atletika tal-varsity fl-1939 u waqqa 'l-futbol. (Fl-1969, Chicago reġgħet daħlet il-futbol bħala tim tad-Diviżjoni III, u terġa 'tilgħab il-logħob tad-dar tagħha fil-Field Stagg il-ġdid.)</v>
      </c>
    </row>
    <row r="3052" ht="15.75" customHeight="1">
      <c r="A3052" s="2" t="s">
        <v>3052</v>
      </c>
      <c r="B3052" s="2" t="str">
        <f>IFERROR(__xludf.DUMMYFUNCTION("GOOGLETRANSLATE(A3052,""en"", ""mt"")"),"Spiżeriji tal-Komunità tal-Brick-and-Morther")</f>
        <v>Spiżeriji tal-Komunità tal-Brick-and-Morther</v>
      </c>
    </row>
    <row r="3053" ht="15.75" customHeight="1">
      <c r="A3053" s="2" t="s">
        <v>3053</v>
      </c>
      <c r="B3053" s="2" t="str">
        <f>IFERROR(__xludf.DUMMYFUNCTION("GOOGLETRANSLATE(A3053,""en"", ""mt"")"),"B'differenza mill-annimali, il-pjanti m'għandhomx ċelloli fagoċitiċi, iżda ħafna risponsi immuni tal-pjanti jinvolvu sinjali kimiċi sistemiċi li jintbagħtu minn pjanta. Iċ-ċelloli tal-pjanti individwali jirrispondu għal molekuli assoċjati ma 'patoġeni mag"&amp;"ħrufa bħala mudelli molekulari assoċjati ma' patoġeni jew PAMPs. Meta parti minn impjant tiġi infettata, l-impjant jipproduċi rispons ipersensittiv lokalizzat, li bih iċ-ċelloli fis-sit ta 'infezzjoni jgħaddu minn apoptożi rapida biex jipprevjenu t-tixrid"&amp;" tal-marda għal partijiet oħra tal-pjanta. Reżistenza Sistemika Akkwistata (SAR) hija tip ta 'rispons difensiv użat minn pjanti li jirrendi l-impjant kollu reżistenti għal aġent infettiv partikolari. Il-mekkaniżmi ta 'silenzjar ta' l-RNA huma partikolarme"&amp;"nt importanti f'dan ir-rispons sistemiku peress li jistgħu jimblokkaw ir-replikazzjoni tal-virus.")</f>
        <v>B'differenza mill-annimali, il-pjanti m'għandhomx ċelloli fagoċitiċi, iżda ħafna risponsi immuni tal-pjanti jinvolvu sinjali kimiċi sistemiċi li jintbagħtu minn pjanta. Iċ-ċelloli tal-pjanti individwali jirrispondu għal molekuli assoċjati ma 'patoġeni magħrufa bħala mudelli molekulari assoċjati ma' patoġeni jew PAMPs. Meta parti minn impjant tiġi infettata, l-impjant jipproduċi rispons ipersensittiv lokalizzat, li bih iċ-ċelloli fis-sit ta 'infezzjoni jgħaddu minn apoptożi rapida biex jipprevjenu t-tixrid tal-marda għal partijiet oħra tal-pjanta. Reżistenza Sistemika Akkwistata (SAR) hija tip ta 'rispons difensiv użat minn pjanti li jirrendi l-impjant kollu reżistenti għal aġent infettiv partikolari. Il-mekkaniżmi ta 'silenzjar ta' l-RNA huma partikolarment importanti f'dan ir-rispons sistemiku peress li jistgħu jimblokkaw ir-replikazzjoni tal-virus.</v>
      </c>
    </row>
    <row r="3054" ht="15.75" customHeight="1">
      <c r="A3054" s="2" t="s">
        <v>3054</v>
      </c>
      <c r="B3054" s="2" t="str">
        <f>IFERROR(__xludf.DUMMYFUNCTION("GOOGLETRANSLATE(A3054,""en"", ""mt"")"),"UDP")</f>
        <v>UDP</v>
      </c>
    </row>
    <row r="3055" ht="15.75" customHeight="1">
      <c r="A3055" s="2" t="s">
        <v>3055</v>
      </c>
      <c r="B3055" s="2" t="str">
        <f>IFERROR(__xludf.DUMMYFUNCTION("GOOGLETRANSLATE(A3055,""en"", ""mt"")"),"Permezz tal-għaqda tad-definizzjoni ta 'kurrent elettriku bħala r-rata tal-ħin tal-bidla tal-ħlas elettriku, regola tal-multiplikazzjoni tal-vettur imsejħa l-liġi ta' Lorentz tiddeskrivi l-forza fuq ħlas li jiċċaqlaq f'qasam manjetiku. Il-konnessjoni bejn"&amp;" l-elettriku u l-manjetiżmu tippermetti d-deskrizzjoni ta 'forza elettromanjetika unifikata li taġixxi fuq ħlas. Din il-forza tista 'tinkiteb bħala somma tal-forza elettrostatika (minħabba l-kamp elettriku) u l-forza manjetika (minħabba l-kamp manjetiku)."&amp;" Iddikjarat bis-sħiħ, din hija l-liġi:")</f>
        <v>Permezz tal-għaqda tad-definizzjoni ta 'kurrent elettriku bħala r-rata tal-ħin tal-bidla tal-ħlas elettriku, regola tal-multiplikazzjoni tal-vettur imsejħa l-liġi ta' Lorentz tiddeskrivi l-forza fuq ħlas li jiċċaqlaq f'qasam manjetiku. Il-konnessjoni bejn l-elettriku u l-manjetiżmu tippermetti d-deskrizzjoni ta 'forza elettromanjetika unifikata li taġixxi fuq ħlas. Din il-forza tista 'tinkiteb bħala somma tal-forza elettrostatika (minħabba l-kamp elettriku) u l-forza manjetika (minħabba l-kamp manjetiku). Iddikjarat bis-sħiħ, din hija l-liġi:</v>
      </c>
    </row>
    <row r="3056" ht="15.75" customHeight="1">
      <c r="A3056" s="2" t="s">
        <v>3056</v>
      </c>
      <c r="B3056" s="2" t="str">
        <f>IFERROR(__xludf.DUMMYFUNCTION("GOOGLETRANSLATE(A3056,""en"", ""mt"")"),"monofiletiku")</f>
        <v>monofiletiku</v>
      </c>
    </row>
    <row r="3057" ht="15.75" customHeight="1">
      <c r="A3057" s="2" t="s">
        <v>3057</v>
      </c>
      <c r="B3057" s="2" t="str">
        <f>IFERROR(__xludf.DUMMYFUNCTION("GOOGLETRANSLATE(A3057,""en"", ""mt"")"),"Ma 'min għamel l-internet2 ma'")</f>
        <v>Ma 'min għamel l-internet2 ma'</v>
      </c>
    </row>
    <row r="3058" ht="15.75" customHeight="1">
      <c r="A3058" s="2" t="s">
        <v>3058</v>
      </c>
      <c r="B3058" s="2" t="str">
        <f>IFERROR(__xludf.DUMMYFUNCTION("GOOGLETRANSLATE(A3058,""en"", ""mt"")"),"Liema kejl kumpless ġew definiti minn ""fuq il-kumplessità tal-komputazzjoni tal-algoritmi""?")</f>
        <v>Liema kejl kumpless ġew definiti minn "fuq il-kumplessità tal-komputazzjoni tal-algoritmi"?</v>
      </c>
    </row>
    <row r="3059" ht="15.75" customHeight="1">
      <c r="A3059" s="2" t="s">
        <v>3059</v>
      </c>
      <c r="B3059" s="2" t="str">
        <f>IFERROR(__xludf.DUMMYFUNCTION("GOOGLETRANSLATE(A3059,""en"", ""mt"")"),"1596")</f>
        <v>1596</v>
      </c>
    </row>
    <row r="3060" ht="15.75" customHeight="1">
      <c r="A3060" s="2" t="s">
        <v>3060</v>
      </c>
      <c r="B3060" s="2" t="str">
        <f>IFERROR(__xludf.DUMMYFUNCTION("GOOGLETRANSLATE(A3060,""en"", ""mt"")"),"Kif tissejjaħ meta jkun hemm tentattiv attiv biex jitwaqqa 'gvern jew sistema ta' twemmin?")</f>
        <v>Kif tissejjaħ meta jkun hemm tentattiv attiv biex jitwaqqa 'gvern jew sistema ta' twemmin?</v>
      </c>
    </row>
    <row r="3061" ht="15.75" customHeight="1">
      <c r="A3061" s="2" t="s">
        <v>3061</v>
      </c>
      <c r="B3061" s="2" t="str">
        <f>IFERROR(__xludf.DUMMYFUNCTION("GOOGLETRANSLATE(A3061,""en"", ""mt"")"),"Diversità kulturali rikka żviluppata matul id-dinastija Yuan. Il-kisbiet kulturali ewlenin kienu l-iżvilupp tad-drama u r-rumanz u l-użu akbar tal-vernakolari bil-miktub. L-għaqda politika taċ-Ċina u ħafna mill-Asja Ċentrali ppromwovew il-kummerċ bejn il-"&amp;"Lvant u l-Punent. Il-kuntatti estensivi ta 'l-Asja tal-Punent u Ewropej tal-Mongoli pproduċew ammont ġust ta' skambju kulturali. Il-kulturi u l-popli l-oħra fl-Imperu Dinji tal-Mongolja influwenzaw ukoll ħafna ċ-Ċina. Huwa kien taffew b'mod sinifikanti l-"&amp;"kummerċ u l-kummerċ madwar l-Asja sat-tnaqqis tiegħu; Il-komunikazzjonijiet bejn id-dinastija Yuan u l-alleat tagħha u s-subordinati fil-Persja, il-Ilkhanate, ħeġġew dan l-iżvilupp. Il-Buddiżmu kellu influwenza kbira fil-gvern tal-Yuan, u l-Buddiżmu Tantr"&amp;"iku tar-Rit Tibetan kien influwenza b'mod sinifikanti liċ-Ċina matul dan il-perjodu. Il-Musulmani tad-dinastija Yuan introduċew kartografija tal-Lvant Nofsani, astronomija, mediċina, ħwejjeġ, u dieta fl-Asja tal-Lvant. Uċuħ tal-Lvant bħal karrotti, nevew,"&amp;" varjetajiet ġodda ta 'lumi, brunġiel u bettieħ, zokkor granulat ta' kwalità għolja, u l-qoton kienu kollha jew introdotti jew popolarizzati b'suċċess matul id-dinastija Yuan.")</f>
        <v>Diversità kulturali rikka żviluppata matul id-dinastija Yuan. Il-kisbiet kulturali ewlenin kienu l-iżvilupp tad-drama u r-rumanz u l-użu akbar tal-vernakolari bil-miktub. L-għaqda politika taċ-Ċina u ħafna mill-Asja Ċentrali ppromwovew il-kummerċ bejn il-Lvant u l-Punent. Il-kuntatti estensivi ta 'l-Asja tal-Punent u Ewropej tal-Mongoli pproduċew ammont ġust ta' skambju kulturali. Il-kulturi u l-popli l-oħra fl-Imperu Dinji tal-Mongolja influwenzaw ukoll ħafna ċ-Ċina. Huwa kien taffew b'mod sinifikanti l-kummerċ u l-kummerċ madwar l-Asja sat-tnaqqis tiegħu; Il-komunikazzjonijiet bejn id-dinastija Yuan u l-alleat tagħha u s-subordinati fil-Persja, il-Ilkhanate, ħeġġew dan l-iżvilupp. Il-Buddiżmu kellu influwenza kbira fil-gvern tal-Yuan, u l-Buddiżmu Tantriku tar-Rit Tibetan kien influwenza b'mod sinifikanti liċ-Ċina matul dan il-perjodu. Il-Musulmani tad-dinastija Yuan introduċew kartografija tal-Lvant Nofsani, astronomija, mediċina, ħwejjeġ, u dieta fl-Asja tal-Lvant. Uċuħ tal-Lvant bħal karrotti, nevew, varjetajiet ġodda ta 'lumi, brunġiel u bettieħ, zokkor granulat ta' kwalità għolja, u l-qoton kienu kollha jew introdotti jew popolarizzati b'suċċess matul id-dinastija Yuan.</v>
      </c>
    </row>
    <row r="3062" ht="15.75" customHeight="1">
      <c r="A3062" s="2" t="s">
        <v>3062</v>
      </c>
      <c r="B3062" s="2" t="str">
        <f>IFERROR(__xludf.DUMMYFUNCTION("GOOGLETRANSLATE(A3062,""en"", ""mt"")"),"Valley San Fernando")</f>
        <v>Valley San Fernando</v>
      </c>
    </row>
    <row r="3063" ht="15.75" customHeight="1">
      <c r="A3063" s="2" t="s">
        <v>3063</v>
      </c>
      <c r="B3063" s="2" t="str">
        <f>IFERROR(__xludf.DUMMYFUNCTION("GOOGLETRANSLATE(A3063,""en"", ""mt"")"),"magni tat-triq")</f>
        <v>magni tat-triq</v>
      </c>
    </row>
    <row r="3064" ht="15.75" customHeight="1">
      <c r="A3064" s="2" t="s">
        <v>3064</v>
      </c>
      <c r="B3064" s="2" t="str">
        <f>IFERROR(__xludf.DUMMYFUNCTION("GOOGLETRANSLATE(A3064,""en"", ""mt"")"),"Teoriji dwar l-imperjalizmu jużaw liema pajjiż bħala mudell?")</f>
        <v>Teoriji dwar l-imperjalizmu jużaw liema pajjiż bħala mudell?</v>
      </c>
    </row>
    <row r="3065" ht="15.75" customHeight="1">
      <c r="A3065" s="2" t="s">
        <v>3065</v>
      </c>
      <c r="B3065" s="2" t="str">
        <f>IFERROR(__xludf.DUMMYFUNCTION("GOOGLETRANSLATE(A3065,""en"", ""mt"")"),"relatat mal-karbonju")</f>
        <v>relatat mal-karbonju</v>
      </c>
    </row>
    <row r="3066" ht="15.75" customHeight="1">
      <c r="A3066" s="2" t="s">
        <v>3066</v>
      </c>
      <c r="B3066" s="2" t="str">
        <f>IFERROR(__xludf.DUMMYFUNCTION("GOOGLETRANSLATE(A3066,""en"", ""mt"")"),"Belt tal-Blokk tal-Lvant")</f>
        <v>Belt tal-Blokk tal-Lvant</v>
      </c>
    </row>
    <row r="3067" ht="15.75" customHeight="1">
      <c r="A3067" s="2" t="s">
        <v>3067</v>
      </c>
      <c r="B3067" s="2" t="str">
        <f>IFERROR(__xludf.DUMMYFUNCTION("GOOGLETRANSLATE(A3067,""en"", ""mt"")"),"Għall-klassijiet ta 'kumplessità definiti b'dan il-mod, huwa mixtieq li tipprova li l-illaxkar tar-rekwiżiti fuq (ngħidu aħna) il-ħin tal-komputazzjoni tabilħaqq jiddefinixxi sett akbar ta' problemi. B'mod partikolari, għalkemm dtime (n) tinsab fi dtime ("&amp;"n2), ikun interessanti li tkun taf jekk l-inklużjoni hijiex stretta. Għal rekwiżiti ta 'ħin u spazju, it-tweġiba għal dawn il-mistoqsijiet tingħata mit-teoremi tal-ġerarkija tal-ħin u tal-ispazju rispettivament. Huma msejħa teoremi tal-ġerarkija minħabba "&amp;"li jinduċu ġerarkija xierqa fuq il-klassijiet definiti billi jillimitaw ir-riżorsi rispettivi. Għalhekk hemm pari ta 'klassijiet ta' kumplessità tali li wieħed ikun inkluż sew fl-ieħor. Wara li dedotta dawn l-inklużjonijiet ta 'sett xieraq, nistgħu nippro"&amp;"ċedu biex nagħmlu dikjarazzjonijiet kwantitattivi dwar kemm hemm bżonn ta' aktar ħin jew spazju addizzjonali sabiex jiżdied in-numru ta 'problemi li jistgħu jiġu solvuti.")</f>
        <v>Għall-klassijiet ta 'kumplessità definiti b'dan il-mod, huwa mixtieq li tipprova li l-illaxkar tar-rekwiżiti fuq (ngħidu aħna) il-ħin tal-komputazzjoni tabilħaqq jiddefinixxi sett akbar ta' problemi. B'mod partikolari, għalkemm dtime (n) tinsab fi dtime (n2), ikun interessanti li tkun taf jekk l-inklużjoni hijiex stretta. Għal rekwiżiti ta 'ħin u spazju, it-tweġiba għal dawn il-mistoqsijiet tingħata mit-teoremi tal-ġerarkija tal-ħin u tal-ispazju rispettivament. Huma msejħa teoremi tal-ġerarkija minħabba li jinduċu ġerarkija xierqa fuq il-klassijiet definiti billi jillimitaw ir-riżorsi rispettivi. Għalhekk hemm pari ta 'klassijiet ta' kumplessità tali li wieħed ikun inkluż sew fl-ieħor. Wara li dedotta dawn l-inklużjonijiet ta 'sett xieraq, nistgħu nipproċedu biex nagħmlu dikjarazzjonijiet kwantitattivi dwar kemm hemm bżonn ta' aktar ħin jew spazju addizzjonali sabiex jiżdied in-numru ta 'problemi li jistgħu jiġu solvuti.</v>
      </c>
    </row>
    <row r="3068" ht="15.75" customHeight="1">
      <c r="A3068" s="2" t="s">
        <v>3068</v>
      </c>
      <c r="B3068" s="2" t="str">
        <f>IFERROR(__xludf.DUMMYFUNCTION("GOOGLETRANSLATE(A3068,""en"", ""mt"")"),"Il-mezzi tiegħu biex jaħtfu l-poter")</f>
        <v>Il-mezzi tiegħu biex jaħtfu l-poter</v>
      </c>
    </row>
    <row r="3069" ht="15.75" customHeight="1">
      <c r="A3069" s="2" t="s">
        <v>3069</v>
      </c>
      <c r="B3069" s="2" t="str">
        <f>IFERROR(__xludf.DUMMYFUNCTION("GOOGLETRANSLATE(A3069,""en"", ""mt"")"),"Kontijiet tat-TV Sky")</f>
        <v>Kontijiet tat-TV Sky</v>
      </c>
    </row>
    <row r="3070" ht="15.75" customHeight="1">
      <c r="A3070" s="2" t="s">
        <v>3070</v>
      </c>
      <c r="B3070" s="2" t="str">
        <f>IFERROR(__xludf.DUMMYFUNCTION("GOOGLETRANSLATE(A3070,""en"", ""mt"")"),"Teorija tan-Numri")</f>
        <v>Teorija tan-Numri</v>
      </c>
    </row>
    <row r="3071" ht="15.75" customHeight="1">
      <c r="A3071" s="2" t="s">
        <v>3071</v>
      </c>
      <c r="B3071" s="2" t="str">
        <f>IFERROR(__xludf.DUMMYFUNCTION("GOOGLETRANSLATE(A3071,""en"", ""mt"")"),"Liema kwalità distinta ta 'kombustjoni kienet assenti mit-teorija ta' Philogiston?")</f>
        <v>Liema kwalità distinta ta 'kombustjoni kienet assenti mit-teorija ta' Philogiston?</v>
      </c>
    </row>
    <row r="3072" ht="15.75" customHeight="1">
      <c r="A3072" s="2" t="s">
        <v>3072</v>
      </c>
      <c r="B3072" s="2" t="str">
        <f>IFERROR(__xludf.DUMMYFUNCTION("GOOGLETRANSLATE(A3072,""en"", ""mt"")"),"Konsum tal-Ħin u l-Memorja")</f>
        <v>Konsum tal-Ħin u l-Memorja</v>
      </c>
    </row>
    <row r="3073" ht="15.75" customHeight="1">
      <c r="A3073" s="2" t="s">
        <v>3073</v>
      </c>
      <c r="B3073" s="2" t="str">
        <f>IFERROR(__xludf.DUMMYFUNCTION("GOOGLETRANSLATE(A3073,""en"", ""mt"")"),"il-mezzi biex tinvesti f'sorsi ġodda ta 'ħolqien ta' ġid jew biex inkella nfissru l-akkumulazzjoni ta 'ġid")</f>
        <v>il-mezzi biex tinvesti f'sorsi ġodda ta 'ħolqien ta' ġid jew biex inkella nfissru l-akkumulazzjoni ta 'ġid</v>
      </c>
    </row>
    <row r="3074" ht="15.75" customHeight="1">
      <c r="A3074" s="2" t="s">
        <v>3074</v>
      </c>
      <c r="B3074" s="2" t="str">
        <f>IFERROR(__xludf.DUMMYFUNCTION("GOOGLETRANSLATE(A3074,""en"", ""mt"")"),"Fis-17 ta 'Marzu, 1752, il-Gvernatur Ġenerali ta' New France, Marquis de la Jonquière, miet u ġie sostitwit temporanjament minn Charles Le Moyne de Longueuil. Is-sostituzzjoni permanenti tiegħu, il-Markiz Duquesne, ma waslitx fi Franza l-ġdida sal-1752 bi"&amp;"ex tieħu f'idejha l-lasta. L-attività Brittanika kontinwa fit-territorji ta 'Ohio wasslet lil Longueuil biex jibgħat spedizzjoni oħra lejn iż-żona taħt il-kmand ta' Charles Michel de Langlade, uffiċjal fit-Troupes de la Marine. Langlade ingħata 300 irġiel"&amp;", inklużi Franċiżi-Kanadiżi u ġellieda tal-Ottawa. L-għan tiegħu kien li jikkastiga lin-nies ta ’Miami ta’ Pickawillany talli ma segwewx l-ordnijiet ta ’Céloron biex jieqfu jinnegozjaw mal-Ingliżi. Fil-21 ta 'Ġunju, il-partit tal-gwerra Franċiż attakka ċ-"&amp;"ċentru tal-kummerċ fi Pickawillany, qabad tliet negozjanti u qatel 14-il persuna tan-nazzjon ta' Miami, inkluż il-Brittaniku Old. Huwa kien rappurtat li kien ritually cannibalized minn xi membri aboriġini ta 'l-ispedizzjoni.")</f>
        <v>Fis-17 ta 'Marzu, 1752, il-Gvernatur Ġenerali ta' New France, Marquis de la Jonquière, miet u ġie sostitwit temporanjament minn Charles Le Moyne de Longueuil. Is-sostituzzjoni permanenti tiegħu, il-Markiz Duquesne, ma waslitx fi Franza l-ġdida sal-1752 biex tieħu f'idejha l-lasta. L-attività Brittanika kontinwa fit-territorji ta 'Ohio wasslet lil Longueuil biex jibgħat spedizzjoni oħra lejn iż-żona taħt il-kmand ta' Charles Michel de Langlade, uffiċjal fit-Troupes de la Marine. Langlade ingħata 300 irġiel, inklużi Franċiżi-Kanadiżi u ġellieda tal-Ottawa. L-għan tiegħu kien li jikkastiga lin-nies ta ’Miami ta’ Pickawillany talli ma segwewx l-ordnijiet ta ’Céloron biex jieqfu jinnegozjaw mal-Ingliżi. Fil-21 ta 'Ġunju, il-partit tal-gwerra Franċiż attakka ċ-ċentru tal-kummerċ fi Pickawillany, qabad tliet negozjanti u qatel 14-il persuna tan-nazzjon ta' Miami, inkluż il-Brittaniku Old. Huwa kien rappurtat li kien ritually cannibalized minn xi membri aboriġini ta 'l-ispedizzjoni.</v>
      </c>
    </row>
    <row r="3075" ht="15.75" customHeight="1">
      <c r="A3075" s="2" t="s">
        <v>3075</v>
      </c>
      <c r="B3075" s="2" t="str">
        <f>IFERROR(__xludf.DUMMYFUNCTION("GOOGLETRANSLATE(A3075,""en"", ""mt"")"),"X'inhi l-ogħla temperatura ta 'kull xahar tar-Rabat?")</f>
        <v>X'inhi l-ogħla temperatura ta 'kull xahar tar-Rabat?</v>
      </c>
    </row>
    <row r="3076" ht="15.75" customHeight="1">
      <c r="A3076" s="2" t="s">
        <v>3076</v>
      </c>
      <c r="B3076" s="2" t="str">
        <f>IFERROR(__xludf.DUMMYFUNCTION("GOOGLETRANSLATE(A3076,""en"", ""mt"")"),"Iż-żjarat ta 'John Pawlu II f'pajjiżu fl-1979 u fl-1983 ġabu appoġġ għall-moviment ta' solidarjetà tal-bidu u ħeġġew il-ħrara anti-komunista dejjem tikber hemmhekk. Fl-1979, inqas minn sena wara li sar Papa, John Paul iċċelebra l-Quddiesa fil-Pjazza tal-V"&amp;"itorja f'Varsavja u temm il-priedka tiegħu b'sejħa biex ""iġġedded il-wiċċ"" tal-Polonja: ħalli l-ispirtu tiegħek jinżel! Ħalli l-ispirtu tiegħek jinżel u jġedded il-wiċċ tal-art! Din l-art! Dawn il-kliem kienu sinifikanti ħafna għaċ-ċittadini Pollakki li"&amp;" fehmuhom bħala l-inċentiv għall-bidliet demokratiċi.")</f>
        <v>Iż-żjarat ta 'John Pawlu II f'pajjiżu fl-1979 u fl-1983 ġabu appoġġ għall-moviment ta' solidarjetà tal-bidu u ħeġġew il-ħrara anti-komunista dejjem tikber hemmhekk. Fl-1979, inqas minn sena wara li sar Papa, John Paul iċċelebra l-Quddiesa fil-Pjazza tal-Vitorja f'Varsavja u temm il-priedka tiegħu b'sejħa biex "iġġedded il-wiċċ" tal-Polonja: ħalli l-ispirtu tiegħek jinżel! Ħalli l-ispirtu tiegħek jinżel u jġedded il-wiċċ tal-art! Din l-art! Dawn il-kliem kienu sinifikanti ħafna għaċ-ċittadini Pollakki li fehmuhom bħala l-inċentiv għall-bidliet demokratiċi.</v>
      </c>
    </row>
    <row r="3077" ht="15.75" customHeight="1">
      <c r="A3077" s="2" t="s">
        <v>3077</v>
      </c>
      <c r="B3077" s="2" t="str">
        <f>IFERROR(__xludf.DUMMYFUNCTION("GOOGLETRANSLATE(A3077,""en"", ""mt"")"),"Fejn tikkonċentra l-ġid maħluq ġdid?")</f>
        <v>Fejn tikkonċentra l-ġid maħluq ġdid?</v>
      </c>
    </row>
    <row r="3078" ht="15.75" customHeight="1">
      <c r="A3078" s="2" t="s">
        <v>3078</v>
      </c>
      <c r="B3078" s="2" t="str">
        <f>IFERROR(__xludf.DUMMYFUNCTION("GOOGLETRANSLATE(A3078,""en"", ""mt"")"),"Liema konġettura ssostni li dejjem hemm minimu ta '4 primes bejn il-kwadri ta' primes konsekuttivi akbar minn 2?")</f>
        <v>Liema konġettura ssostni li dejjem hemm minimu ta '4 primes bejn il-kwadri ta' primes konsekuttivi akbar minn 2?</v>
      </c>
    </row>
    <row r="3079" ht="15.75" customHeight="1">
      <c r="A3079" s="2" t="s">
        <v>3079</v>
      </c>
      <c r="B3079" s="2" t="str">
        <f>IFERROR(__xludf.DUMMYFUNCTION("GOOGLETRANSLATE(A3079,""en"", ""mt"")"),"X'jimbotta n-negozji biex iżidu l-pressjonijiet fuq il-ħaddiema?")</f>
        <v>X'jimbotta n-negozji biex iżidu l-pressjonijiet fuq il-ħaddiema?</v>
      </c>
    </row>
    <row r="3080" ht="15.75" customHeight="1">
      <c r="A3080" s="2" t="s">
        <v>3080</v>
      </c>
      <c r="B3080" s="2" t="str">
        <f>IFERROR(__xludf.DUMMYFUNCTION("GOOGLETRANSLATE(A3080,""en"", ""mt"")"),"In-netwerks privati ​​spiss kienu konnessi permezz ta ’gateways man-netwerk pubbliku biex jilħqu postijiet mhux fuq in-netwerk privat")</f>
        <v>In-netwerks privati ​​spiss kienu konnessi permezz ta ’gateways man-netwerk pubbliku biex jilħqu postijiet mhux fuq in-netwerk privat</v>
      </c>
    </row>
    <row r="3081" ht="15.75" customHeight="1">
      <c r="A3081" s="2" t="s">
        <v>3081</v>
      </c>
      <c r="B3081" s="2" t="str">
        <f>IFERROR(__xludf.DUMMYFUNCTION("GOOGLETRANSLATE(A3081,""en"", ""mt"")"),"Riċetturi ta 'rikonoxximent tal-mudelli")</f>
        <v>Riċetturi ta 'rikonoxximent tal-mudelli</v>
      </c>
    </row>
    <row r="3082" ht="15.75" customHeight="1">
      <c r="A3082" s="2" t="s">
        <v>3082</v>
      </c>
      <c r="B3082" s="2" t="str">
        <f>IFERROR(__xludf.DUMMYFUNCTION("GOOGLETRANSLATE(A3082,""en"", ""mt"")"),"Kemm seħħew etajiet kbar tas-silġ?")</f>
        <v>Kemm seħħew etajiet kbar tas-silġ?</v>
      </c>
    </row>
    <row r="3083" ht="15.75" customHeight="1">
      <c r="A3083" s="2" t="s">
        <v>3083</v>
      </c>
      <c r="B3083" s="2" t="str">
        <f>IFERROR(__xludf.DUMMYFUNCTION("GOOGLETRANSLATE(A3083,""en"", ""mt"")"),"Il-batterji spiss inixxu x'tip ta 'proteini jinġerixxu barriera fiżika?")</f>
        <v>Il-batterji spiss inixxu x'tip ta 'proteini jinġerixxu barriera fiżika?</v>
      </c>
    </row>
    <row r="3084" ht="15.75" customHeight="1">
      <c r="A3084" s="2" t="s">
        <v>3084</v>
      </c>
      <c r="B3084" s="2" t="str">
        <f>IFERROR(__xludf.DUMMYFUNCTION("GOOGLETRANSLATE(A3084,""en"", ""mt"")"),"Sitta mis-seba 'linji tas-sistema ferrovjarja tal-vjaġġatur, Metrolink, jispiċċaw mill-belt ta' Los Angeles, li jgħaqqdu Los Angeles, Ventura, San Bernardino, Riverside, Orange, u San Diego Counties bil-linja l-oħra li tgħaqqad San Bernardino, Riverside, "&amp;"u Orange Counties direttament.")</f>
        <v>Sitta mis-seba 'linji tas-sistema ferrovjarja tal-vjaġġatur, Metrolink, jispiċċaw mill-belt ta' Los Angeles, li jgħaqqdu Los Angeles, Ventura, San Bernardino, Riverside, Orange, u San Diego Counties bil-linja l-oħra li tgħaqqad San Bernardino, Riverside, u Orange Counties direttament.</v>
      </c>
    </row>
    <row r="3085" ht="15.75" customHeight="1">
      <c r="A3085" s="2" t="s">
        <v>3085</v>
      </c>
      <c r="B3085" s="2" t="str">
        <f>IFERROR(__xludf.DUMMYFUNCTION("GOOGLETRANSLATE(A3085,""en"", ""mt"")"),"Il-fwar jaħrab")</f>
        <v>Il-fwar jaħrab</v>
      </c>
    </row>
    <row r="3086" ht="15.75" customHeight="1">
      <c r="A3086" s="2" t="s">
        <v>3086</v>
      </c>
      <c r="B3086" s="2" t="str">
        <f>IFERROR(__xludf.DUMMYFUNCTION("GOOGLETRANSLATE(A3086,""en"", ""mt"")"),"Il-viċinat ta 'Sunnyside jinsab fuq in-naħa tax-Xlokk' il bogħod ta 'Fresno, imdawwar minn Vjal Chestnut lejn il-punent. It-toroq ewlenin tagħha huma Kings Canyon Avenue u Clovis Avenue. Għalkemm partijiet ta 'Sunnyside jinsabu fil-belt ta' Fresno, ħafna "&amp;"mill-viċinat hija ""gżira tal-kontea"" fil-Kontea ta 'Fresno. Żviluppat fil-biċċa l-kbira fis-snin 1950 sas-snin sebgħin, dan l-aħħar esperjenza żieda fil-kostruzzjoni tad-dar il-ġdida. Hija wkoll id-dar ta 'Sunnyside Country Club, li żżomm korsa tal-golf"&amp;" iddisinjata minn William P. Bell.")</f>
        <v>Il-viċinat ta 'Sunnyside jinsab fuq in-naħa tax-Xlokk' il bogħod ta 'Fresno, imdawwar minn Vjal Chestnut lejn il-punent. It-toroq ewlenin tagħha huma Kings Canyon Avenue u Clovis Avenue. Għalkemm partijiet ta 'Sunnyside jinsabu fil-belt ta' Fresno, ħafna mill-viċinat hija "gżira tal-kontea" fil-Kontea ta 'Fresno. Żviluppat fil-biċċa l-kbira fis-snin 1950 sas-snin sebgħin, dan l-aħħar esperjenza żieda fil-kostruzzjoni tad-dar il-ġdida. Hija wkoll id-dar ta 'Sunnyside Country Club, li żżomm korsa tal-golf iddisinjata minn William P. Bell.</v>
      </c>
    </row>
    <row r="3087" ht="15.75" customHeight="1">
      <c r="A3087" s="2" t="s">
        <v>3087</v>
      </c>
      <c r="B3087" s="2" t="str">
        <f>IFERROR(__xludf.DUMMYFUNCTION("GOOGLETRANSLATE(A3087,""en"", ""mt"")"),"Qawwa kolonjali dominanti")</f>
        <v>Qawwa kolonjali dominanti</v>
      </c>
    </row>
    <row r="3088" ht="15.75" customHeight="1">
      <c r="A3088" s="2" t="s">
        <v>3088</v>
      </c>
      <c r="B3088" s="2" t="str">
        <f>IFERROR(__xludf.DUMMYFUNCTION("GOOGLETRANSLATE(A3088,""en"", ""mt"")"),"X'inhu l-isem tal-ktieb miktub mill-arkeologu Betty Meggers?")</f>
        <v>X'inhu l-isem tal-ktieb miktub mill-arkeologu Betty Meggers?</v>
      </c>
    </row>
    <row r="3089" ht="15.75" customHeight="1">
      <c r="A3089" s="2" t="s">
        <v>3089</v>
      </c>
      <c r="B3089" s="2" t="str">
        <f>IFERROR(__xludf.DUMMYFUNCTION("GOOGLETRANSLATE(A3089,""en"", ""mt"")"),"sħana u pressjoni")</f>
        <v>sħana u pressjoni</v>
      </c>
    </row>
    <row r="3090" ht="15.75" customHeight="1">
      <c r="A3090" s="2" t="s">
        <v>3090</v>
      </c>
      <c r="B3090" s="2" t="str">
        <f>IFERROR(__xludf.DUMMYFUNCTION("GOOGLETRANSLATE(A3090,""en"", ""mt"")"),"Il-Lag Constance jikkonsisti fi tliet korpi ta 'l-ilma: l-Obersee (""Upper Lake""), The Untersee (""Lower Lake""), u medda ta' konnessjoni tar-Renu, imsejħa Seerhein (""Lag Rhine""). Il-lag jinsab fil-Ġermanja, l-Isvizzera u l-Awstrija ħdejn l-Alpi. Speċi"&amp;"fikament, ix-xtut tagħha jinsabu fl-istati Ġermaniżi tal-Bavarja u Baden-Württemberg, l-istat Awstrijak ta 'Vorarlberg, u l-kantuni Żvizzeri ta' Thurgau u San Gallen. Ir-Rhine jiċċirkola fiha min-nofsinhar wara l-fruntiera Żvizzera-Awstrijana. Jinsab madw"&amp;"ar 47 ° 39′N 9 ° 19′E / 47.650 ° N 9.317 ° E / 47.650; 9.317.")</f>
        <v>Il-Lag Constance jikkonsisti fi tliet korpi ta 'l-ilma: l-Obersee ("Upper Lake"), The Untersee ("Lower Lake"), u medda ta' konnessjoni tar-Renu, imsejħa Seerhein ("Lag Rhine"). Il-lag jinsab fil-Ġermanja, l-Isvizzera u l-Awstrija ħdejn l-Alpi. Speċifikament, ix-xtut tagħha jinsabu fl-istati Ġermaniżi tal-Bavarja u Baden-Württemberg, l-istat Awstrijak ta 'Vorarlberg, u l-kantuni Żvizzeri ta' Thurgau u San Gallen. Ir-Rhine jiċċirkola fiha min-nofsinhar wara l-fruntiera Żvizzera-Awstrijana. Jinsab madwar 47 ° 39′N 9 ° 19′E / 47.650 ° N 9.317 ° E / 47.650; 9.317.</v>
      </c>
    </row>
    <row r="3091" ht="15.75" customHeight="1">
      <c r="A3091" s="2" t="s">
        <v>3091</v>
      </c>
      <c r="B3091" s="2" t="str">
        <f>IFERROR(__xludf.DUMMYFUNCTION("GOOGLETRANSLATE(A3091,""en"", ""mt"")"),"X'tip ta 'emendi jistgħu l-membri jopponu abbozz li jitpoġġa fuq il-mejda?")</f>
        <v>X'tip ta 'emendi jistgħu l-membri jopponu abbozz li jitpoġġa fuq il-mejda?</v>
      </c>
    </row>
    <row r="3092" ht="15.75" customHeight="1">
      <c r="A3092" s="2" t="s">
        <v>3092</v>
      </c>
      <c r="B3092" s="2" t="str">
        <f>IFERROR(__xludf.DUMMYFUNCTION("GOOGLETRANSLATE(A3092,""en"", ""mt"")"),"Il-Gvernatur Vaudreuil, li ġab l-ambizzjonijiet biex isir il-kmandant Franċiż fil-kap (minbarra r-rwol tiegħu bħala gvernatur), aġixxa matul ix-xitwa tal-1756 qabel ma waslu dawk ir-rinforzi. L-iscouts kienu rrappurtaw id-dgħjufija tal-katina tal-provvist"&amp;"a Ingliża, u għalhekk huwa ordna attakk kontra l-fortizzi li Shirley kien tella 'fil-ġarr ta' Oneida. Fil-battalja ta ’Marzu ta’ Fort Bull, il-forzi Franċiżi qerdu l-forti u kwantitajiet kbar ta ’provvisti, inklużi 45,000 lira ta’ porvli. Huma waqqfu kwal"&amp;"unkwe tama Ingliża għal kampanji fuq il-Lag Ontario, u pperikolaw il-garrison ta 'Oswego, diġà qosra fuq il-provvisti. Il-forzi Franċiżi fil-Wied ta 'Ohio komplew ukoll intriċċi ma' Indjani fiż-żona kollha, u ħeġġiġhom biex jitilgħu l-insedjamenti tal-fru"&amp;"ntiera. Dan wassal għal allarmi kontinwi tul il-fruntieri tal-punent, bi flussi ta 'refuġjati li jirritornaw lejn il-lvant biex jitbiegħdu mill-azzjoni.")</f>
        <v>Il-Gvernatur Vaudreuil, li ġab l-ambizzjonijiet biex isir il-kmandant Franċiż fil-kap (minbarra r-rwol tiegħu bħala gvernatur), aġixxa matul ix-xitwa tal-1756 qabel ma waslu dawk ir-rinforzi. L-iscouts kienu rrappurtaw id-dgħjufija tal-katina tal-provvista Ingliża, u għalhekk huwa ordna attakk kontra l-fortizzi li Shirley kien tella 'fil-ġarr ta' Oneida. Fil-battalja ta ’Marzu ta’ Fort Bull, il-forzi Franċiżi qerdu l-forti u kwantitajiet kbar ta ’provvisti, inklużi 45,000 lira ta’ porvli. Huma waqqfu kwalunkwe tama Ingliża għal kampanji fuq il-Lag Ontario, u pperikolaw il-garrison ta 'Oswego, diġà qosra fuq il-provvisti. Il-forzi Franċiżi fil-Wied ta 'Ohio komplew ukoll intriċċi ma' Indjani fiż-żona kollha, u ħeġġiġhom biex jitilgħu l-insedjamenti tal-fruntiera. Dan wassal għal allarmi kontinwi tul il-fruntieri tal-punent, bi flussi ta 'refuġjati li jirritornaw lejn il-lvant biex jitbiegħdu mill-azzjoni.</v>
      </c>
    </row>
    <row r="3093" ht="15.75" customHeight="1">
      <c r="A3093" s="2" t="s">
        <v>3093</v>
      </c>
      <c r="B3093" s="2" t="str">
        <f>IFERROR(__xludf.DUMMYFUNCTION("GOOGLETRANSLATE(A3093,""en"", ""mt"")"),"testendi l-benefiċċji tan-netwerking")</f>
        <v>testendi l-benefiċċji tan-netwerking</v>
      </c>
    </row>
    <row r="3094" ht="15.75" customHeight="1">
      <c r="A3094" s="2" t="s">
        <v>3094</v>
      </c>
      <c r="B3094" s="2" t="str">
        <f>IFERROR(__xludf.DUMMYFUNCTION("GOOGLETRANSLATE(A3094,""en"", ""mt"")"),"Żona ta ’Los Angeles")</f>
        <v>Żona ta ’Los Angeles</v>
      </c>
    </row>
    <row r="3095" ht="15.75" customHeight="1">
      <c r="A3095" s="2" t="s">
        <v>3095</v>
      </c>
      <c r="B3095" s="2" t="str">
        <f>IFERROR(__xludf.DUMMYFUNCTION("GOOGLETRANSLATE(A3095,""en"", ""mt"")"),"X'inhi d-definizzjoni ta 'aġenzija kif għandha x'taqsam mal-kapaċitajiet?")</f>
        <v>X'inhi d-definizzjoni ta 'aġenzija kif għandha x'taqsam mal-kapaċitajiet?</v>
      </c>
    </row>
    <row r="3096" ht="15.75" customHeight="1">
      <c r="A3096" s="2" t="s">
        <v>3096</v>
      </c>
      <c r="B3096" s="2" t="str">
        <f>IFERROR(__xludf.DUMMYFUNCTION("GOOGLETRANSLATE(A3096,""en"", ""mt"")"),"Liema grupp ta 'ctenophore huma l-aktar diffiċli biex jiġu studjati?")</f>
        <v>Liema grupp ta 'ctenophore huma l-aktar diffiċli biex jiġu studjati?</v>
      </c>
    </row>
    <row r="3097" ht="15.75" customHeight="1">
      <c r="A3097" s="2" t="s">
        <v>3097</v>
      </c>
      <c r="B3097" s="2" t="str">
        <f>IFERROR(__xludf.DUMMYFUNCTION("GOOGLETRANSLATE(A3097,""en"", ""mt"")"),"Aspett kontroversjali tal-imperjalizmu huwa d-difiża u l-ġustifikazzjoni tal-bini tal-imperu bbażati fuq raġunijiet apparentement razzjonali. J. A. Hobson jidentifika din il-ġustifikazzjoni għal raġunijiet ġenerali bħala: ""Huwa mixtieq li d-Dinja għandha"&amp;" tkun imqaxxra, regolata u żviluppata, kemm jista 'jkun, mir-razez li jistgħu jagħmlu dan ix-xogħol l-aħjar, i.e. mir-razez tal-ogħla' effiċjenza soċjali ' """". Ħafna oħrajn argumentaw li l-imperjalizmu huwa ġġustifikat għal diversi raġunijiet differenti"&amp;". Friedrich Ratzel kien jemmen li sabiex stat jgħix, kien meħtieġ l-imperjalizmu. Halford Mackinder ħass li l-Gran Brittanja kellha tkun waħda mill-ikbar imperjalisti u għalhekk iġġustifika l-imperjalizmu. In-natura xjentifika li suppost ta '""darwiniżmu "&amp;"soċjali"" u teorija tar-razez iffurmaw ġustifikazzjoni allegatament razzjonali għall-imperjalizmu. Ir-retorika tal-kolonizzaturi li hija razzjalment superjuri tidher li kisbet l-iskop tagħha, pereżempju matul l-Amerika Latina ""Bjuda"" għadha apprezzata l"&amp;"lum u diversi forom ta 'Blanqueamiento (whitening) huma komuni.")</f>
        <v>Aspett kontroversjali tal-imperjalizmu huwa d-difiża u l-ġustifikazzjoni tal-bini tal-imperu bbażati fuq raġunijiet apparentement razzjonali. J. A. Hobson jidentifika din il-ġustifikazzjoni għal raġunijiet ġenerali bħala: "Huwa mixtieq li d-Dinja għandha tkun imqaxxra, regolata u żviluppata, kemm jista 'jkun, mir-razez li jistgħu jagħmlu dan ix-xogħol l-aħjar, i.e. mir-razez tal-ogħla' effiċjenza soċjali ' "". Ħafna oħrajn argumentaw li l-imperjalizmu huwa ġġustifikat għal diversi raġunijiet differenti. Friedrich Ratzel kien jemmen li sabiex stat jgħix, kien meħtieġ l-imperjalizmu. Halford Mackinder ħass li l-Gran Brittanja kellha tkun waħda mill-ikbar imperjalisti u għalhekk iġġustifika l-imperjalizmu. In-natura xjentifika li suppost ta '"darwiniżmu soċjali" u teorija tar-razez iffurmaw ġustifikazzjoni allegatament razzjonali għall-imperjalizmu. Ir-retorika tal-kolonizzaturi li hija razzjalment superjuri tidher li kisbet l-iskop tagħha, pereżempju matul l-Amerika Latina "Bjuda" għadha apprezzata llum u diversi forom ta 'Blanqueamiento (whitening) huma komuni.</v>
      </c>
    </row>
    <row r="3098" ht="15.75" customHeight="1">
      <c r="A3098" s="2" t="s">
        <v>3098</v>
      </c>
      <c r="B3098" s="2" t="str">
        <f>IFERROR(__xludf.DUMMYFUNCTION("GOOGLETRANSLATE(A3098,""en"", ""mt"")"),"Iż-żewġ simboli l-aktar komunement assoċjati mal-ispiżerija f'pajjiżi li jitkellmu bl-Ingliż huma l-mehrież u l-lida u l-karattru ℞ (reċipjent), li ħafna drabi huwa miktub bħala ""rx"" fit-test ittajpjat. Il-globu tal-ispettaklu ntuża wkoll sal-bidu tas-s"&amp;"eklu 20. L-organizzazzjonijiet tal-ispiżerija spiss jużaw simboli oħra, bħall-iskutella ta 'l-iġeia li ħafna drabi tintuża fl-Olanda, miżuri koniċi, u kaduċewes fil-logos tagħhom. Simboli oħra huma komuni f'pajjiżi differenti: is-Salib Grieg aħdar fi Fran"&amp;"za, l-Arġentina, ir-Renju Unit, il-Belġju, l-Irlanda, l-Italja, Spanja, u l-Indja, il-Gaper dejjem aktar rari fl-Olanda, u ittra stilizzata ħamra A fil-Ġermanja u l-Awstrija (Minn Apotheke, il-kelma Ġermaniża għall-ispiżerija, mill-istess għerq Griega bħa"&amp;"ll-kelma Ingliża 'Apothecary').")</f>
        <v>Iż-żewġ simboli l-aktar komunement assoċjati mal-ispiżerija f'pajjiżi li jitkellmu bl-Ingliż huma l-mehrież u l-lida u l-karattru ℞ (reċipjent), li ħafna drabi huwa miktub bħala "rx" fit-test ittajpjat. Il-globu tal-ispettaklu ntuża wkoll sal-bidu tas-seklu 20. L-organizzazzjonijiet tal-ispiżerija spiss jużaw simboli oħra, bħall-iskutella ta 'l-iġeia li ħafna drabi tintuża fl-Olanda, miżuri koniċi, u kaduċewes fil-logos tagħhom. Simboli oħra huma komuni f'pajjiżi differenti: is-Salib Grieg aħdar fi Franza, l-Arġentina, ir-Renju Unit, il-Belġju, l-Irlanda, l-Italja, Spanja, u l-Indja, il-Gaper dejjem aktar rari fl-Olanda, u ittra stilizzata ħamra A fil-Ġermanja u l-Awstrija (Minn Apotheke, il-kelma Ġermaniża għall-ispiżerija, mill-istess għerq Griega bħall-kelma Ingliża 'Apothecary').</v>
      </c>
    </row>
    <row r="3099" ht="15.75" customHeight="1">
      <c r="A3099" s="2" t="s">
        <v>3099</v>
      </c>
      <c r="B3099" s="2" t="str">
        <f>IFERROR(__xludf.DUMMYFUNCTION("GOOGLETRANSLATE(A3099,""en"", ""mt"")"),"Lucas - Lehmer")</f>
        <v>Lucas - Lehmer</v>
      </c>
    </row>
    <row r="3100" ht="15.75" customHeight="1">
      <c r="A3100" s="2" t="s">
        <v>3100</v>
      </c>
      <c r="B3100" s="2" t="str">
        <f>IFERROR(__xludf.DUMMYFUNCTION("GOOGLETRANSLATE(A3100,""en"", ""mt"")"),"jitħallew iqimu liberament")</f>
        <v>jitħallew iqimu liberament</v>
      </c>
    </row>
    <row r="3101" ht="15.75" customHeight="1">
      <c r="A3101" s="2" t="s">
        <v>3101</v>
      </c>
      <c r="B3101" s="2" t="str">
        <f>IFERROR(__xludf.DUMMYFUNCTION("GOOGLETRANSLATE(A3101,""en"", ""mt"")"),"Wieħed mill-pretendenti tat-tron Ingliż li jopponi lil William the Conqueror, Edgar Atheling, eventwalment ħarab lejn l-Iskozja. Ir-Re Malcolm III tal-Iskozja żżewweġ lil oħt Edgar Margaret, u daħal fl-oppożizzjoni ma 'William li kien diġà kkontesta l-fru"&amp;"ntieri tan-Nofsinhar tal-Iskozja. William invada l-Iskozja fl-1072, riekeb sa Abernethy fejn iltaqa 'mal-flotta tiegħu ta' vapuri. Malcolm ippreżenta, sellem lil William u ċeda lil ibnu Duncan bħala ostaġġ, li beda serje ta 'argumenti dwar jekk il-Kuruna "&amp;"Skoċċiża kienet dovuta lealtà lir-Re tal-Ingilterra.")</f>
        <v>Wieħed mill-pretendenti tat-tron Ingliż li jopponi lil William the Conqueror, Edgar Atheling, eventwalment ħarab lejn l-Iskozja. Ir-Re Malcolm III tal-Iskozja żżewweġ lil oħt Edgar Margaret, u daħal fl-oppożizzjoni ma 'William li kien diġà kkontesta l-fruntieri tan-Nofsinhar tal-Iskozja. William invada l-Iskozja fl-1072, riekeb sa Abernethy fejn iltaqa 'mal-flotta tiegħu ta' vapuri. Malcolm ippreżenta, sellem lil William u ċeda lil ibnu Duncan bħala ostaġġ, li beda serje ta 'argumenti dwar jekk il-Kuruna Skoċċiża kienet dovuta lealtà lir-Re tal-Ingilterra.</v>
      </c>
    </row>
    <row r="3102" ht="15.75" customHeight="1">
      <c r="A3102" s="2" t="s">
        <v>3102</v>
      </c>
      <c r="B3102" s="2" t="str">
        <f>IFERROR(__xludf.DUMMYFUNCTION("GOOGLETRANSLATE(A3102,""en"", ""mt"")"),"Mill-inqas erba ’passiġġieri")</f>
        <v>Mill-inqas erba ’passiġġieri</v>
      </c>
    </row>
    <row r="3103" ht="15.75" customHeight="1">
      <c r="A3103" s="2" t="s">
        <v>3103</v>
      </c>
      <c r="B3103" s="2" t="str">
        <f>IFERROR(__xludf.DUMMYFUNCTION("GOOGLETRANSLATE(A3103,""en"", ""mt"")"),"Teorema ta 'tħaffif")</f>
        <v>Teorema ta 'tħaffif</v>
      </c>
    </row>
    <row r="3104" ht="15.75" customHeight="1">
      <c r="A3104" s="2" t="s">
        <v>3104</v>
      </c>
      <c r="B3104" s="2" t="str">
        <f>IFERROR(__xludf.DUMMYFUNCTION("GOOGLETRANSLATE(A3104,""en"", ""mt"")"),"X'kien l-għan ta 'din id-diżubbidjenza Rumana?")</f>
        <v>X'kien l-għan ta 'din id-diżubbidjenza Rumana?</v>
      </c>
    </row>
    <row r="3105" ht="15.75" customHeight="1">
      <c r="A3105" s="2" t="s">
        <v>3105</v>
      </c>
      <c r="B3105" s="2" t="str">
        <f>IFERROR(__xludf.DUMMYFUNCTION("GOOGLETRANSLATE(A3105,""en"", ""mt"")"),"Liema raġuni tingħata xi kultant biex tinvoka li mhux ħati li tinvolvi dawn il-kwistjonijiet?")</f>
        <v>Liema raġuni tingħata xi kultant biex tinvoka li mhux ħati li tinvolvi dawn il-kwistjonijiet?</v>
      </c>
    </row>
    <row r="3106" ht="15.75" customHeight="1">
      <c r="A3106" s="2" t="s">
        <v>3106</v>
      </c>
      <c r="B3106" s="2" t="str">
        <f>IFERROR(__xludf.DUMMYFUNCTION("GOOGLETRANSLATE(A3106,""en"", ""mt"")"),"Farmaċija")</f>
        <v>Farmaċija</v>
      </c>
    </row>
    <row r="3107" ht="15.75" customHeight="1">
      <c r="A3107" s="2" t="s">
        <v>3107</v>
      </c>
      <c r="B3107" s="2" t="str">
        <f>IFERROR(__xludf.DUMMYFUNCTION("GOOGLETRANSLATE(A3107,""en"", ""mt"")"),"X'jiġri l-Beriods kostali bħala snien?")</f>
        <v>X'jiġri l-Beriods kostali bħala snien?</v>
      </c>
    </row>
    <row r="3108" ht="15.75" customHeight="1">
      <c r="A3108" s="2" t="s">
        <v>3108</v>
      </c>
      <c r="B3108" s="2" t="str">
        <f>IFERROR(__xludf.DUMMYFUNCTION("GOOGLETRANSLATE(A3108,""en"", ""mt"")"),"X'inhu l-imperjalizmu kulturali li spiss jissejjaħ?")</f>
        <v>X'inhu l-imperjalizmu kulturali li spiss jissejjaħ?</v>
      </c>
    </row>
    <row r="3109" ht="15.75" customHeight="1">
      <c r="A3109" s="2" t="s">
        <v>3109</v>
      </c>
      <c r="B3109" s="2" t="str">
        <f>IFERROR(__xludf.DUMMYFUNCTION("GOOGLETRANSLATE(A3109,""en"", ""mt"")"),"Vjaġġi ta 'Marco Polo")</f>
        <v>Vjaġġi ta 'Marco Polo</v>
      </c>
    </row>
    <row r="3110" ht="15.75" customHeight="1">
      <c r="A3110" s="2" t="s">
        <v>3110</v>
      </c>
      <c r="B3110" s="2" t="str">
        <f>IFERROR(__xludf.DUMMYFUNCTION("GOOGLETRANSLATE(A3110,""en"", ""mt"")"),"għandu l-abbiltà li jespandi u jiżviluppa l-liġi skont il-prinċipji li jidhirlu li huma xierqa")</f>
        <v>għandu l-abbiltà li jespandi u jiżviluppa l-liġi skont il-prinċipji li jidhirlu li huma xierqa</v>
      </c>
    </row>
    <row r="3111" ht="15.75" customHeight="1">
      <c r="A3111" s="2" t="s">
        <v>3111</v>
      </c>
      <c r="B3111" s="2" t="str">
        <f>IFERROR(__xludf.DUMMYFUNCTION("GOOGLETRANSLATE(A3111,""en"", ""mt"")"),"Tnaqqis tal-ħin polinomjali huwa eżempju ta 'xiex?")</f>
        <v>Tnaqqis tal-ħin polinomjali huwa eżempju ta 'xiex?</v>
      </c>
    </row>
    <row r="3112" ht="15.75" customHeight="1">
      <c r="A3112" s="2" t="s">
        <v>3112</v>
      </c>
      <c r="B3112" s="2" t="str">
        <f>IFERROR(__xludf.DUMMYFUNCTION("GOOGLETRANSLATE(A3112,""en"", ""mt"")"),"Fl-1 ta 'Lulju 1851, inħarġu kitbiet għall-elezzjoni tal-ewwel Kunsill Leġiżlattiv Vittorjan, u l-indipendenza assoluta tar-Rabat minn New South Wales twaqqfet ix-xandir ta' kolonja ġdida tar-Rabat. Jiem wara, għadu fl-1851 id-deheb ġie skopert qrib Balla"&amp;"rat, u sussegwentement f'Bendigo. Aktar tard skoperti f’ħafna siti madwar ir-Rabat. Dan qajjem waħda mill-ikbar għaġġla tad-deheb li qatt rat id-dinja. Il-kolonja kibret malajr kemm fil-popolazzjoni kif ukoll fil-poter ekonomiku. Fl-għaxar snin il-popolaz"&amp;"zjoni ta ’Victoria żdiedet b’seba’ darbiet minn 76,000 għal 540,000. Kull xorta ta 'rekords tad-deheb ġew prodotti inkluż l- ""aktar sinjur ta' goldfield alluvjali baxx fid-dinja"" u l-akbar nugget tad-deheb. Victoria pproduċiet fid-deċennju 1851-1860 20 "&amp;"miljun uqija ta 'deheb, terz tal-produzzjoni tad-dinja [ċitazzjoni meħtieġa].")</f>
        <v>Fl-1 ta 'Lulju 1851, inħarġu kitbiet għall-elezzjoni tal-ewwel Kunsill Leġiżlattiv Vittorjan, u l-indipendenza assoluta tar-Rabat minn New South Wales twaqqfet ix-xandir ta' kolonja ġdida tar-Rabat. Jiem wara, għadu fl-1851 id-deheb ġie skopert qrib Ballarat, u sussegwentement f'Bendigo. Aktar tard skoperti f’ħafna siti madwar ir-Rabat. Dan qajjem waħda mill-ikbar għaġġla tad-deheb li qatt rat id-dinja. Il-kolonja kibret malajr kemm fil-popolazzjoni kif ukoll fil-poter ekonomiku. Fl-għaxar snin il-popolazzjoni ta ’Victoria żdiedet b’seba’ darbiet minn 76,000 għal 540,000. Kull xorta ta 'rekords tad-deheb ġew prodotti inkluż l- "aktar sinjur ta' goldfield alluvjali baxx fid-dinja" u l-akbar nugget tad-deheb. Victoria pproduċiet fid-deċennju 1851-1860 20 miljun uqija ta 'deheb, terz tal-produzzjoni tad-dinja [ċitazzjoni meħtieġa].</v>
      </c>
    </row>
    <row r="3113" ht="15.75" customHeight="1">
      <c r="A3113" s="2" t="s">
        <v>3113</v>
      </c>
      <c r="B3113" s="2" t="str">
        <f>IFERROR(__xludf.DUMMYFUNCTION("GOOGLETRANSLATE(A3113,""en"", ""mt"")"),"Ftit wara li kiseb Florida, x’għamlu l-Ingliżi?")</f>
        <v>Ftit wara li kiseb Florida, x’għamlu l-Ingliżi?</v>
      </c>
    </row>
    <row r="3114" ht="15.75" customHeight="1">
      <c r="A3114" s="2" t="s">
        <v>3114</v>
      </c>
      <c r="B3114" s="2" t="str">
        <f>IFERROR(__xludf.DUMMYFUNCTION("GOOGLETRANSLATE(A3114,""en"", ""mt"")"),"Il-flussi iżgħar jintużaw għal xiex?")</f>
        <v>Il-flussi iżgħar jintużaw għal xiex?</v>
      </c>
    </row>
    <row r="3115" ht="15.75" customHeight="1">
      <c r="A3115" s="2" t="s">
        <v>3115</v>
      </c>
      <c r="B3115" s="2" t="str">
        <f>IFERROR(__xludf.DUMMYFUNCTION("GOOGLETRANSLATE(A3115,""en"", ""mt"")"),"X'kienu l-elezzjonijiet nazzjonali fl-1991 ikkanċellati minn?")</f>
        <v>X'kienu l-elezzjonijiet nazzjonali fl-1991 ikkanċellati minn?</v>
      </c>
    </row>
    <row r="3116" ht="15.75" customHeight="1">
      <c r="A3116" s="2" t="s">
        <v>3116</v>
      </c>
      <c r="B3116" s="2" t="str">
        <f>IFERROR(__xludf.DUMMYFUNCTION("GOOGLETRANSLATE(A3116,""en"", ""mt"")"),"Fil-laboratorju, il-bijostratigrafiċi janalizzaw kampjuni tal-blat mill-qlub u t-tħaffir għall-fossili misjuba fihom. Dawn il-fossili jgħinu lix-xjenzati biex jagħmlu l-qalba u jifhmu l-ambjent ta 'depożitu li fih iffurmaw l-unitajiet tal-blat. Il-ġeokron"&amp;"ologi jmorru b'mod preċiż il-blat fit-taqsima stratigrafika sabiex jipprovdu limiti assoluti aħjar fuq iż-żmien u r-rati ta 'deposizzjoni. Stratigraphers manjetiċi jfittxu sinjali ta 'treġġigħ lura manjetiku f'unitajiet ta' blat igneous fil-qlub tat-tħaff"&amp;"ir. Xjentisti oħra jwettqu studji ta ’iżotopi stabbli fuq il-blat biex jiksbu informazzjoni dwar il-klima tal-passat.")</f>
        <v>Fil-laboratorju, il-bijostratigrafiċi janalizzaw kampjuni tal-blat mill-qlub u t-tħaffir għall-fossili misjuba fihom. Dawn il-fossili jgħinu lix-xjenzati biex jagħmlu l-qalba u jifhmu l-ambjent ta 'depożitu li fih iffurmaw l-unitajiet tal-blat. Il-ġeokronologi jmorru b'mod preċiż il-blat fit-taqsima stratigrafika sabiex jipprovdu limiti assoluti aħjar fuq iż-żmien u r-rati ta 'deposizzjoni. Stratigraphers manjetiċi jfittxu sinjali ta 'treġġigħ lura manjetiku f'unitajiet ta' blat igneous fil-qlub tat-tħaffir. Xjentisti oħra jwettqu studji ta ’iżotopi stabbli fuq il-blat biex jiksbu informazzjoni dwar il-klima tal-passat.</v>
      </c>
    </row>
    <row r="3117" ht="15.75" customHeight="1">
      <c r="A3117" s="2" t="s">
        <v>3117</v>
      </c>
      <c r="B3117" s="2" t="str">
        <f>IFERROR(__xludf.DUMMYFUNCTION("GOOGLETRANSLATE(A3117,""en"", ""mt"")"),"9–88 cm")</f>
        <v>9–88 cm</v>
      </c>
    </row>
    <row r="3118" ht="15.75" customHeight="1">
      <c r="A3118" s="2" t="s">
        <v>3118</v>
      </c>
      <c r="B3118" s="2" t="str">
        <f>IFERROR(__xludf.DUMMYFUNCTION("GOOGLETRANSLATE(A3118,""en"", ""mt"")"),"Vjolazzjoni tal-liġi kriminali li ma tikserx id-drittijiet ta 'ħaddieħor")</f>
        <v>Vjolazzjoni tal-liġi kriminali li ma tikserx id-drittijiet ta 'ħaddieħor</v>
      </c>
    </row>
    <row r="3119" ht="15.75" customHeight="1">
      <c r="A3119" s="2" t="s">
        <v>3119</v>
      </c>
      <c r="B3119" s="2" t="str">
        <f>IFERROR(__xludf.DUMMYFUNCTION("GOOGLETRANSLATE(A3119,""en"", ""mt"")"),"Hemm ħmistax-il fraternitajiet u seba 'sororitajiet fl-Università ta' Chicago, kif ukoll fraternità ta 'servizz komunitarju ko-ed, Alpha Phi Omega. Erba 'mis-sororitajiet huma membri tal-Konferenza Nazzjonali Panhellenic, u għaxra mill-fraternitajiet jiff"&amp;"urmaw il-Kunsill tal-Interfraternità tal-Università ta' Chicago. Fl-2002, id-Direttur Assoċjat tal-Attivitajiet tal-Istudenti stma li 8-10 fil-mija tal-universitarji kienu membri ta 'fraternitajiet jew sororitajiet. L-Uffiċċju tal-Attivitajiet tal-Istuden"&amp;"ti uża figuri simili, u ddikjara li wieħed minn kull għaxra li għadhom ma ggradwawx jipparteċipaw fil-ħajja Griega.")</f>
        <v>Hemm ħmistax-il fraternitajiet u seba 'sororitajiet fl-Università ta' Chicago, kif ukoll fraternità ta 'servizz komunitarju ko-ed, Alpha Phi Omega. Erba 'mis-sororitajiet huma membri tal-Konferenza Nazzjonali Panhellenic, u għaxra mill-fraternitajiet jiffurmaw il-Kunsill tal-Interfraternità tal-Università ta' Chicago. Fl-2002, id-Direttur Assoċjat tal-Attivitajiet tal-Istudenti stma li 8-10 fil-mija tal-universitarji kienu membri ta 'fraternitajiet jew sororitajiet. L-Uffiċċju tal-Attivitajiet tal-Istudenti uża figuri simili, u ddikjara li wieħed minn kull għaxra li għadhom ma ggradwawx jipparteċipaw fil-ħajja Griega.</v>
      </c>
    </row>
    <row r="3120" ht="15.75" customHeight="1">
      <c r="A3120" s="2" t="s">
        <v>3120</v>
      </c>
      <c r="B3120" s="2" t="str">
        <f>IFERROR(__xludf.DUMMYFUNCTION("GOOGLETRANSLATE(A3120,""en"", ""mt"")"),"Magni tat-Turing huma komunement impjegati biex jiddefinixxu x'inhu?")</f>
        <v>Magni tat-Turing huma komunement impjegati biex jiddefinixxu x'inhu?</v>
      </c>
    </row>
    <row r="3121" ht="15.75" customHeight="1">
      <c r="A3121" s="2" t="s">
        <v>3121</v>
      </c>
      <c r="B3121" s="2" t="str">
        <f>IFERROR(__xludf.DUMMYFUNCTION("GOOGLETRANSLATE(A3121,""en"", ""mt"")"),"Id-Dinastija Yuan (Ċiniż: 元 朝; Pinyin: Yuán Cháo), uffiċjalment il-Yuan il-Kbir (Ċiniż: 大 大; pinyin: Dà Yuán; Mongoljan: Yehe Yuan Ulus [A]), kien l-imperu jew id-dinastija li tiddeċiedi taċ-Ċina stabbilita mill-Kublija Khan, mexxej tal-klann Borjigin Mon"&amp;"goljan. Għalkemm il-Mongoli kienu ddeċidew territorji inklużi ċ-Ċina tat-Tramuntana tal-lum għal għexieren ta ’snin, ma kienx sal-1271 li Kublai Khan ipproklama uffiċjalment id-dinastija fl-istil tradizzjonali Ċiniż. L-isfera tiegħu kienet, minn dan il-pu"&amp;"nt, iżolata mill-Khanates l-oħra u kkontrollat ​​il-biċċa l-kbira taċ-Ċina preżenti u ż-żoni tal-madwar tagħha, inklużi l-Mongolja moderna u l-Korea. Kienet l-ewwel dinastija barranija li ddeċidiet iċ-Ċina kollha u damet sal-1368, u wara l-ħakkiema Genghi"&amp;"sid tagħha rritornaw lejn art twelidhom u komplew jiddeċiedu d-dinastija tat-tramuntana tal-Yuan. Uħud mill-imperaturi Mongoljani tal-Yuan ħasbu l-lingwa Ċiniża, filwaqt li oħrajn użaw biss il-lingwa nattiva tagħhom (i.e. Mongoljani) u l-iskrittura 'Phags"&amp;"-Pa.")</f>
        <v>Id-Dinastija Yuan (Ċiniż: 元 朝; Pinyin: Yuán Cháo), uffiċjalment il-Yuan il-Kbir (Ċiniż: 大 大; pinyin: Dà Yuán; Mongoljan: Yehe Yuan Ulus [A]), kien l-imperu jew id-dinastija li tiddeċiedi taċ-Ċina stabbilita mill-Kublija Khan, mexxej tal-klann Borjigin Mongoljan. Għalkemm il-Mongoli kienu ddeċidew territorji inklużi ċ-Ċina tat-Tramuntana tal-lum għal għexieren ta ’snin, ma kienx sal-1271 li Kublai Khan ipproklama uffiċjalment id-dinastija fl-istil tradizzjonali Ċiniż. L-isfera tiegħu kienet, minn dan il-punt, iżolata mill-Khanates l-oħra u kkontrollat ​​il-biċċa l-kbira taċ-Ċina preżenti u ż-żoni tal-madwar tagħha, inklużi l-Mongolja moderna u l-Korea. Kienet l-ewwel dinastija barranija li ddeċidiet iċ-Ċina kollha u damet sal-1368, u wara l-ħakkiema Genghisid tagħha rritornaw lejn art twelidhom u komplew jiddeċiedu d-dinastija tat-tramuntana tal-Yuan. Uħud mill-imperaturi Mongoljani tal-Yuan ħasbu l-lingwa Ċiniża, filwaqt li oħrajn użaw biss il-lingwa nattiva tagħhom (i.e. Mongoljani) u l-iskrittura 'Phags-Pa.</v>
      </c>
    </row>
    <row r="3122" ht="15.75" customHeight="1">
      <c r="A3122" s="2" t="s">
        <v>3122</v>
      </c>
      <c r="B3122" s="2" t="str">
        <f>IFERROR(__xludf.DUMMYFUNCTION("GOOGLETRANSLATE(A3122,""en"", ""mt"")"),"Kif huwa pprovdut id-dawra billi tirkeb fuq il-port tal-ġenb tad-dħul?")</f>
        <v>Kif huwa pprovdut id-dawra billi tirkeb fuq il-port tal-ġenb tad-dħul?</v>
      </c>
    </row>
    <row r="3123" ht="15.75" customHeight="1">
      <c r="A3123" s="2" t="s">
        <v>3123</v>
      </c>
      <c r="B3123" s="2" t="str">
        <f>IFERROR(__xludf.DUMMYFUNCTION("GOOGLETRANSLATE(A3123,""en"", ""mt"")"),"Kunsill Eżekuttiv tal-WMO u Kunsill Governattiv tal-UNEP")</f>
        <v>Kunsill Eżekuttiv tal-WMO u Kunsill Governattiv tal-UNEP</v>
      </c>
    </row>
    <row r="3124" ht="15.75" customHeight="1">
      <c r="A3124" s="2" t="s">
        <v>3124</v>
      </c>
      <c r="B3124" s="2" t="str">
        <f>IFERROR(__xludf.DUMMYFUNCTION("GOOGLETRANSLATE(A3124,""en"", ""mt"")"),"plug-n-play")</f>
        <v>plug-n-play</v>
      </c>
    </row>
    <row r="3125" ht="15.75" customHeight="1">
      <c r="A3125" s="2" t="s">
        <v>3125</v>
      </c>
      <c r="B3125" s="2" t="str">
        <f>IFERROR(__xludf.DUMMYFUNCTION("GOOGLETRANSLATE(A3125,""en"", ""mt"")"),"Qawwi, elettromanjetiku")</f>
        <v>Qawwi, elettromanjetiku</v>
      </c>
    </row>
    <row r="3126" ht="15.75" customHeight="1">
      <c r="A3126" s="2" t="s">
        <v>3126</v>
      </c>
      <c r="B3126" s="2" t="str">
        <f>IFERROR(__xludf.DUMMYFUNCTION("GOOGLETRANSLATE(A3126,""en"", ""mt"")"),"Memorja attiva fit-tul hija akkwistata wara infezzjoni bl-attivazzjoni taċ-ċelloli B u T. L-immunità attiva tista 'wkoll tiġi ġġenerata artifiċjalment, permezz tat-tilqima. Il-prinċipju wara t-tilqima (imsejjaħ ukoll immunizzazzjoni) huwa li jintroduċi an"&amp;"tiġen minn patoġen sabiex jistimula s-sistema immunitarja u jiżviluppa immunità speċifika kontra dak il-patoġen partikolari mingħajr ma jikkawża marda assoċjata ma 'dak l-organiżmu. Din l-induzzjoni deliberata ta 'rispons immuni hija suċċess minħabba li t"&amp;"isfrutta l-ispeċifiċità naturali tas-sistema immunitarja, kif ukoll l-induċibilità tagħha. Bil-marda infettiva li fadal waħda mill-kawżi ewlenin tal-mewt fil-popolazzjoni umana, it-tilqima tirrappreżenta l-iktar manipulazzjoni effettiva tas-sistema immuni"&amp;" li żviluppa l-umanità.")</f>
        <v>Memorja attiva fit-tul hija akkwistata wara infezzjoni bl-attivazzjoni taċ-ċelloli B u T. L-immunità attiva tista 'wkoll tiġi ġġenerata artifiċjalment, permezz tat-tilqima. Il-prinċipju wara t-tilqima (imsejjaħ ukoll immunizzazzjoni) huwa li jintroduċi antiġen minn patoġen sabiex jistimula s-sistema immunitarja u jiżviluppa immunità speċifika kontra dak il-patoġen partikolari mingħajr ma jikkawża marda assoċjata ma 'dak l-organiżmu. Din l-induzzjoni deliberata ta 'rispons immuni hija suċċess minħabba li tisfrutta l-ispeċifiċità naturali tas-sistema immunitarja, kif ukoll l-induċibilità tagħha. Bil-marda infettiva li fadal waħda mill-kawżi ewlenin tal-mewt fil-popolazzjoni umana, it-tilqima tirrappreżenta l-iktar manipulazzjoni effettiva tas-sistema immuni li żviluppa l-umanità.</v>
      </c>
    </row>
    <row r="3127" ht="15.75" customHeight="1">
      <c r="A3127" s="2" t="s">
        <v>3127</v>
      </c>
      <c r="B3127" s="2" t="str">
        <f>IFERROR(__xludf.DUMMYFUNCTION("GOOGLETRANSLATE(A3127,""en"", ""mt"")"),"Diviżjoni tripartita")</f>
        <v>Diviżjoni tripartita</v>
      </c>
    </row>
    <row r="3128" ht="15.75" customHeight="1">
      <c r="A3128" s="2" t="s">
        <v>3128</v>
      </c>
      <c r="B3128" s="2" t="str">
        <f>IFERROR(__xludf.DUMMYFUNCTION("GOOGLETRANSLATE(A3128,""en"", ""mt"")"),"Fażi ta 'setup")</f>
        <v>Fażi ta 'setup</v>
      </c>
    </row>
    <row r="3129" ht="15.75" customHeight="1">
      <c r="A3129" s="2" t="s">
        <v>3129</v>
      </c>
      <c r="B3129" s="2" t="str">
        <f>IFERROR(__xludf.DUMMYFUNCTION("GOOGLETRANSLATE(A3129,""en"", ""mt"")"),"Il-Viċi Konslu tal-Afrika t'Isfel Duke Kent-Brown.")</f>
        <v>Il-Viċi Konslu tal-Afrika t'Isfel Duke Kent-Brown.</v>
      </c>
    </row>
    <row r="3130" ht="15.75" customHeight="1">
      <c r="A3130" s="2" t="s">
        <v>3130</v>
      </c>
      <c r="B3130" s="2" t="str">
        <f>IFERROR(__xludf.DUMMYFUNCTION("GOOGLETRANSLATE(A3130,""en"", ""mt"")"),"Huwa peżat inversament għad-daqs tal-istat membru")</f>
        <v>Huwa peżat inversament għad-daqs tal-istat membru</v>
      </c>
    </row>
    <row r="3131" ht="15.75" customHeight="1">
      <c r="A3131" s="2" t="s">
        <v>3131</v>
      </c>
      <c r="B3131" s="2" t="str">
        <f>IFERROR(__xludf.DUMMYFUNCTION("GOOGLETRANSLATE(A3131,""en"", ""mt"")"),"Il-Gran Brittanja kisbet il-kontroll tal-Kanada Franċiża u l-Acadia, kolonji li fihom madwar 80,000 residenti Kattoliċi Rumani li jitkellmu bil-Franċiż. Id-deportazzjoni tal-Akkadjani li bdiet fl-1755 irriżultat f’art magħmula disponibbli għall-migranti m"&amp;"ill-Ewropa u l-kolonji aktar fin-nofsinhar. Il-Brittaniċi reġgħu ssettjati mill-ġdid ħafna Akkadjani matul il-provinċji tal-Amerika ta ’Fuq, iżda ħafna marru Franza, u xi wħud marru fi New Orleans, li huma kienu jistennew li jibqgħu Franċiżi. Uħud intbagħ"&amp;"tu biex jikkolonizzaw postijiet differenti bħall-Guyana Franċiża u l-Gżejjer Falkland; Dawn l-aħħar sforzi ma rnexxewx. Oħrajn emigra lejn postijiet bħal Saint-Domingue, u ħarbu lejn New Orleans wara r-Rivoluzzjoni ta ’Ħaiti. Il-popolazzjoni ta 'Louisiana"&amp;" kkontribwiet għall-fondazzjoni tal-popolazzjoni moderna ta' Cajun. (Il-kelma Franċiża ""Acadien"" evolviet għal ""Cadien"", imbagħad għal ""Cajun"".)")</f>
        <v>Il-Gran Brittanja kisbet il-kontroll tal-Kanada Franċiża u l-Acadia, kolonji li fihom madwar 80,000 residenti Kattoliċi Rumani li jitkellmu bil-Franċiż. Id-deportazzjoni tal-Akkadjani li bdiet fl-1755 irriżultat f’art magħmula disponibbli għall-migranti mill-Ewropa u l-kolonji aktar fin-nofsinhar. Il-Brittaniċi reġgħu ssettjati mill-ġdid ħafna Akkadjani matul il-provinċji tal-Amerika ta ’Fuq, iżda ħafna marru Franza, u xi wħud marru fi New Orleans, li huma kienu jistennew li jibqgħu Franċiżi. Uħud intbagħtu biex jikkolonizzaw postijiet differenti bħall-Guyana Franċiża u l-Gżejjer Falkland; Dawn l-aħħar sforzi ma rnexxewx. Oħrajn emigra lejn postijiet bħal Saint-Domingue, u ħarbu lejn New Orleans wara r-Rivoluzzjoni ta ’Ħaiti. Il-popolazzjoni ta 'Louisiana kkontribwiet għall-fondazzjoni tal-popolazzjoni moderna ta' Cajun. (Il-kelma Franċiża "Acadien" evolviet għal "Cadien", imbagħad għal "Cajun".)</v>
      </c>
    </row>
    <row r="3132" ht="15.75" customHeight="1">
      <c r="A3132" s="2" t="s">
        <v>3132</v>
      </c>
      <c r="B3132" s="2" t="str">
        <f>IFERROR(__xludf.DUMMYFUNCTION("GOOGLETRANSLATE(A3132,""en"", ""mt"")"),"Tnaqqis fid-domanda tal-Punent")</f>
        <v>Tnaqqis fid-domanda tal-Punent</v>
      </c>
    </row>
    <row r="3133" ht="15.75" customHeight="1">
      <c r="A3133" s="2" t="s">
        <v>3133</v>
      </c>
      <c r="B3133" s="2" t="str">
        <f>IFERROR(__xludf.DUMMYFUNCTION("GOOGLETRANSLATE(A3133,""en"", ""mt"")"),"Liema żewġ trattati pprovdew istituzzjonijiet aktar formali tal-Unjoni Ewropea?")</f>
        <v>Liema żewġ trattati pprovdew istituzzjonijiet aktar formali tal-Unjoni Ewropea?</v>
      </c>
    </row>
    <row r="3134" ht="15.75" customHeight="1">
      <c r="A3134" s="2" t="s">
        <v>3134</v>
      </c>
      <c r="B3134" s="2" t="str">
        <f>IFERROR(__xludf.DUMMYFUNCTION("GOOGLETRANSLATE(A3134,""en"", ""mt"")"),"X'inhu l-laqam għall-graff ""Millennial Northern Emisfera Reconstruction""?")</f>
        <v>X'inhu l-laqam għall-graff "Millennial Northern Emisfera Reconstruction"?</v>
      </c>
    </row>
    <row r="3135" ht="15.75" customHeight="1">
      <c r="A3135" s="2" t="s">
        <v>3135</v>
      </c>
      <c r="B3135" s="2" t="str">
        <f>IFERROR(__xludf.DUMMYFUNCTION("GOOGLETRANSLATE(A3135,""en"", ""mt"")"),"Spiżeriji tal-komunità tal-briks u l-mehrież li jservu lill-konsumaturi online u dawk li jimxu fil-bieb tagħhom")</f>
        <v>Spiżeriji tal-komunità tal-briks u l-mehrież li jservu lill-konsumaturi online u dawk li jimxu fil-bieb tagħhom</v>
      </c>
    </row>
    <row r="3136" ht="15.75" customHeight="1">
      <c r="A3136" s="2" t="s">
        <v>3136</v>
      </c>
      <c r="B3136" s="2" t="str">
        <f>IFERROR(__xludf.DUMMYFUNCTION("GOOGLETRANSLATE(A3136,""en"", ""mt"")"),"""Arja deflogistizzata")</f>
        <v>"Arja deflogistizzata</v>
      </c>
    </row>
    <row r="3137" ht="15.75" customHeight="1">
      <c r="A3137" s="2" t="s">
        <v>3137</v>
      </c>
      <c r="B3137" s="2" t="str">
        <f>IFERROR(__xludf.DUMMYFUNCTION("GOOGLETRANSLATE(A3137,""en"", ""mt"")"),"Żied sostanzjalment il-prezz mitlub")</f>
        <v>Żied sostanzjalment il-prezz mitlub</v>
      </c>
    </row>
    <row r="3138" ht="15.75" customHeight="1">
      <c r="A3138" s="2" t="s">
        <v>3138</v>
      </c>
      <c r="B3138" s="2" t="str">
        <f>IFERROR(__xludf.DUMMYFUNCTION("GOOGLETRANSLATE(A3138,""en"", ""mt"")"),"affiljat ma 'denominazzjonijiet Protestanti oħra")</f>
        <v>affiljat ma 'denominazzjonijiet Protestanti oħra</v>
      </c>
    </row>
    <row r="3139" ht="15.75" customHeight="1">
      <c r="A3139" s="2" t="s">
        <v>3139</v>
      </c>
      <c r="B3139" s="2" t="str">
        <f>IFERROR(__xludf.DUMMYFUNCTION("GOOGLETRANSLATE(A3139,""en"", ""mt"")"),"Doża ta 'unità, jew doża waħda ta' mediċina")</f>
        <v>Doża ta 'unità, jew doża waħda ta' mediċina</v>
      </c>
    </row>
    <row r="3140" ht="15.75" customHeight="1">
      <c r="A3140" s="2" t="s">
        <v>3140</v>
      </c>
      <c r="B3140" s="2" t="str">
        <f>IFERROR(__xludf.DUMMYFUNCTION("GOOGLETRANSLATE(A3140,""en"", ""mt"")"),"Ħafna nies anzjani issa qed jieħdu bosta mediċini iżda jkomplu jgħixu barra minn settings istituzzjonali")</f>
        <v>Ħafna nies anzjani issa qed jieħdu bosta mediċini iżda jkomplu jgħixu barra minn settings istituzzjonali</v>
      </c>
    </row>
    <row r="3141" ht="15.75" customHeight="1">
      <c r="A3141" s="2" t="s">
        <v>3141</v>
      </c>
      <c r="B3141" s="2" t="str">
        <f>IFERROR(__xludf.DUMMYFUNCTION("GOOGLETRANSLATE(A3141,""en"", ""mt"")"),"Disinn Ibni")</f>
        <v>Disinn Ibni</v>
      </c>
    </row>
    <row r="3142" ht="15.75" customHeight="1">
      <c r="A3142" s="2" t="s">
        <v>3142</v>
      </c>
      <c r="B3142" s="2" t="str">
        <f>IFERROR(__xludf.DUMMYFUNCTION("GOOGLETRANSLATE(A3142,""en"", ""mt"")"),"Jacksonville, bħall-biċċa l-kbira tal-bliet kbar fl-Istati Uniti, sofra minn effetti negattivi ta 'tifrix urban rapidu wara t-Tieni Gwerra Dinjija. Il-kostruzzjoni ta 'awtostradi wasslu lir-residenti biex imorru għal akkomodazzjoni aktar ġdida fis-subborg"&amp;"i. Wara t-Tieni Gwerra Dinjija, il-gvern tal-belt ta 'Jacksonville beda jżid l-infiq biex jiffinanzja proġetti ġodda ta' bini pubbliku fil-boom li seħħ wara l-gwerra. L-istorja tas-Sindku W. Haydon Burns ta ’Jacksonville irriżultat fil-kostruzzjoni ta’ Ci"&amp;"ty Hall, awditorju ċiviku, librerija pubblika u proġetti oħra li ħolqu sens dinamiku ta ’kburija ċivika. Madankollu, l-iżvilupp ta 'subborgi u mewġa sussegwenti ta' klassi tan-nofs ""titjira bajda"" ħallew lil Jacksonville b'popolazzjoni ferm aktar fqira "&amp;"minn qabel. Il-grupp etniku l-iktar popolat tal-belt, mhux Spanjol White, naqas minn 75.8% fl-1970 għal 55.1% sal-2010.")</f>
        <v>Jacksonville, bħall-biċċa l-kbira tal-bliet kbar fl-Istati Uniti, sofra minn effetti negattivi ta 'tifrix urban rapidu wara t-Tieni Gwerra Dinjija. Il-kostruzzjoni ta 'awtostradi wasslu lir-residenti biex imorru għal akkomodazzjoni aktar ġdida fis-subborgi. Wara t-Tieni Gwerra Dinjija, il-gvern tal-belt ta 'Jacksonville beda jżid l-infiq biex jiffinanzja proġetti ġodda ta' bini pubbliku fil-boom li seħħ wara l-gwerra. L-istorja tas-Sindku W. Haydon Burns ta ’Jacksonville irriżultat fil-kostruzzjoni ta’ City Hall, awditorju ċiviku, librerija pubblika u proġetti oħra li ħolqu sens dinamiku ta ’kburija ċivika. Madankollu, l-iżvilupp ta 'subborgi u mewġa sussegwenti ta' klassi tan-nofs "titjira bajda" ħallew lil Jacksonville b'popolazzjoni ferm aktar fqira minn qabel. Il-grupp etniku l-iktar popolat tal-belt, mhux Spanjol White, naqas minn 75.8% fl-1970 għal 55.1% sal-2010.</v>
      </c>
    </row>
    <row r="3143" ht="15.75" customHeight="1">
      <c r="A3143" s="2" t="s">
        <v>3143</v>
      </c>
      <c r="B3143" s="2" t="str">
        <f>IFERROR(__xludf.DUMMYFUNCTION("GOOGLETRANSLATE(A3143,""en"", ""mt"")"),"Telf sħiħ ta 'kopertura tal-foresta tropikali jista' jkun ikkawżat minn liema tip ta 'emissjonijiet?")</f>
        <v>Telf sħiħ ta 'kopertura tal-foresta tropikali jista' jkun ikkawżat minn liema tip ta 'emissjonijiet?</v>
      </c>
    </row>
    <row r="3144" ht="15.75" customHeight="1">
      <c r="A3144" s="2" t="s">
        <v>3144</v>
      </c>
      <c r="B3144" s="2" t="str">
        <f>IFERROR(__xludf.DUMMYFUNCTION("GOOGLETRANSLATE(A3144,""en"", ""mt"")"),"X'inhi r-rata ta 'mortalità tal-pesta bubonika moderna?")</f>
        <v>X'inhi r-rata ta 'mortalità tal-pesta bubonika moderna?</v>
      </c>
    </row>
    <row r="3145" ht="15.75" customHeight="1">
      <c r="A3145" s="2" t="s">
        <v>3145</v>
      </c>
      <c r="B3145" s="2" t="str">
        <f>IFERROR(__xludf.DUMMYFUNCTION("GOOGLETRANSLATE(A3145,""en"", ""mt"")"),"Kwalità ta 'istituzzjonijiet ta' pajjiż u livelli għoljin ta 'edukazzjoni")</f>
        <v>Kwalità ta 'istituzzjonijiet ta' pajjiż u livelli għoljin ta 'edukazzjoni</v>
      </c>
    </row>
    <row r="3146" ht="15.75" customHeight="1">
      <c r="A3146" s="2" t="s">
        <v>3146</v>
      </c>
      <c r="B3146" s="2" t="str">
        <f>IFERROR(__xludf.DUMMYFUNCTION("GOOGLETRANSLATE(A3146,""en"", ""mt"")"),"Richard i")</f>
        <v>Richard i</v>
      </c>
    </row>
    <row r="3147" ht="15.75" customHeight="1">
      <c r="A3147" s="2" t="s">
        <v>3147</v>
      </c>
      <c r="B3147" s="2" t="str">
        <f>IFERROR(__xludf.DUMMYFUNCTION("GOOGLETRANSLATE(A3147,""en"", ""mt"")"),"X'kienu tnejn mill-isbaħ bini arkitettoniku ta 'Fresno li issa huma mwaqqa'?")</f>
        <v>X'kienu tnejn mill-isbaħ bini arkitettoniku ta 'Fresno li issa huma mwaqqa'?</v>
      </c>
    </row>
    <row r="3148" ht="15.75" customHeight="1">
      <c r="A3148" s="2" t="s">
        <v>3148</v>
      </c>
      <c r="B3148" s="2" t="str">
        <f>IFERROR(__xludf.DUMMYFUNCTION("GOOGLETRANSLATE(A3148,""en"", ""mt"")"),"Ċentru tal-Quddiesa")</f>
        <v>Ċentru tal-Quddiesa</v>
      </c>
    </row>
    <row r="3149" ht="15.75" customHeight="1">
      <c r="A3149" s="2" t="s">
        <v>3149</v>
      </c>
      <c r="B3149" s="2" t="str">
        <f>IFERROR(__xludf.DUMMYFUNCTION("GOOGLETRANSLATE(A3149,""en"", ""mt"")"),"Teorema ta ’Wilson")</f>
        <v>Teorema ta ’Wilson</v>
      </c>
    </row>
    <row r="3150" ht="15.75" customHeight="1">
      <c r="A3150" s="2" t="s">
        <v>3150</v>
      </c>
      <c r="B3150" s="2" t="str">
        <f>IFERROR(__xludf.DUMMYFUNCTION("GOOGLETRANSLATE(A3150,""en"", ""mt"")"),"ossiġnu")</f>
        <v>ossiġnu</v>
      </c>
    </row>
    <row r="3151" ht="15.75" customHeight="1">
      <c r="A3151" s="2" t="s">
        <v>3151</v>
      </c>
      <c r="B3151" s="2" t="str">
        <f>IFERROR(__xludf.DUMMYFUNCTION("GOOGLETRANSLATE(A3151,""en"", ""mt"")"),"Politika ta 'importazzjoni maqbudin")</f>
        <v>Politika ta 'importazzjoni maqbudin</v>
      </c>
    </row>
    <row r="3152" ht="15.75" customHeight="1">
      <c r="A3152" s="2" t="s">
        <v>3152</v>
      </c>
      <c r="B3152" s="2" t="str">
        <f>IFERROR(__xludf.DUMMYFUNCTION("GOOGLETRANSLATE(A3152,""en"", ""mt"")"),"Emmerich Rhine Bridge,")</f>
        <v>Emmerich Rhine Bridge,</v>
      </c>
    </row>
    <row r="3153" ht="15.75" customHeight="1">
      <c r="A3153" s="2" t="s">
        <v>3153</v>
      </c>
      <c r="B3153" s="2" t="str">
        <f>IFERROR(__xludf.DUMMYFUNCTION("GOOGLETRANSLATE(A3153,""en"", ""mt"")"),"X'inhu l-isem tal-fruntiera għan-nofsinhar?")</f>
        <v>X'inhu l-isem tal-fruntiera għan-nofsinhar?</v>
      </c>
    </row>
    <row r="3154" ht="15.75" customHeight="1">
      <c r="A3154" s="2" t="s">
        <v>3154</v>
      </c>
      <c r="B3154" s="2" t="str">
        <f>IFERROR(__xludf.DUMMYFUNCTION("GOOGLETRANSLATE(A3154,""en"", ""mt"")"),"Wara referendum fl-1997, li fih l-elettorat Skoċċiż ivvota għad-devoluzzjoni, il-Parlament attwali ġie mlaqqa 'bl-Att tal-1998 tal-Iskozja, li jistabbilixxi s-setgħat tiegħu bħala leġiżlatura devolta. L-Att jiddelinja l-kompetenza leġiżlattiva tal-Parlame"&amp;"nt - l-oqsma li fihom jista 'jagħmel liġijiet - billi jispeċifika b'mod espliċitu setgħat li huma ""riservati"" lill-Parlament tar-Renju Unit. Il-Parlament Skoċċiż għandu s-setgħa li jilleġiżla fl-oqsma kollha li mhumiex espliċitament riservati għal Westm"&amp;"inster. Il-Parlament Brittaniku jżomm il-kapaċità li jemenda t-Termini ta 'Referenza tal-Parlament Skoċċiż, u jista' jestendi jew inaqqas l-oqsma li fihom jista 'jagħmel liġijiet. L-ewwel laqgħa tal-Parlament il-ġdid saret fit-12 ta 'Mejju 1999.")</f>
        <v>Wara referendum fl-1997, li fih l-elettorat Skoċċiż ivvota għad-devoluzzjoni, il-Parlament attwali ġie mlaqqa 'bl-Att tal-1998 tal-Iskozja, li jistabbilixxi s-setgħat tiegħu bħala leġiżlatura devolta. L-Att jiddelinja l-kompetenza leġiżlattiva tal-Parlament - l-oqsma li fihom jista 'jagħmel liġijiet - billi jispeċifika b'mod espliċitu setgħat li huma "riservati" lill-Parlament tar-Renju Unit. Il-Parlament Skoċċiż għandu s-setgħa li jilleġiżla fl-oqsma kollha li mhumiex espliċitament riservati għal Westminster. Il-Parlament Brittaniku jżomm il-kapaċità li jemenda t-Termini ta 'Referenza tal-Parlament Skoċċiż, u jista' jestendi jew inaqqas l-oqsma li fihom jista 'jagħmel liġijiet. L-ewwel laqgħa tal-Parlament il-ġdid saret fit-12 ta 'Mejju 1999.</v>
      </c>
    </row>
    <row r="3155" ht="15.75" customHeight="1">
      <c r="A3155" s="2" t="s">
        <v>3155</v>
      </c>
      <c r="B3155" s="2" t="str">
        <f>IFERROR(__xludf.DUMMYFUNCTION("GOOGLETRANSLATE(A3155,""en"", ""mt"")"),"Ta 'liema tul huma avvenimenti taċ-ċiklu tal-magna meta jintużaw l-irkapti tal-valv l-aktar sempliċi?")</f>
        <v>Ta 'liema tul huma avvenimenti taċ-ċiklu tal-magna meta jintużaw l-irkapti tal-valv l-aktar sempliċi?</v>
      </c>
    </row>
    <row r="3156" ht="15.75" customHeight="1">
      <c r="A3156" s="2" t="s">
        <v>3156</v>
      </c>
      <c r="B3156" s="2" t="str">
        <f>IFERROR(__xludf.DUMMYFUNCTION("GOOGLETRANSLATE(A3156,""en"", ""mt"")"),"Matul is-seklu 20, l-istoriċi John Gallagher (1919–1980) u Ronald Robinson (1920–1999) bnew qafas biex jifhmu l-imperjalizmu Ewropew. Huma jsostnu li l-imperjalizmu Ewropew kien influwenti, u l-Ewropej irrifjutaw il-kunċett li l- ""imperjalizmu"" kien jeħ"&amp;"tieġ kontroll formali u legali minn gvern wieħed fuq pajjiż ieħor. ""Fil-fehma tagħhom, l-istoriċi ġew imxerrda mill-imperu formali u l-mapep tad-dinja b'reġjuni kkuluriti ħomor. Il-biċċa l-kbira tal-emigrazzjoni, il-kummerċ u l-kapital Ingliżi marru f'żo"&amp;"ni barra l-imperu Brittaniku formali. Il-muftieħ għall-ħsieb tagħhom huwa l-idea tal-imperu ""Informalment jekk possibbli u formalment jekk meħtieġ."" ""[Attribuzzjoni meħtieġa] Minħabba r-riżorsi magħmula disponibbli mill-imperjalizmu, l-ekonomija tad-di"&amp;"nja kibret b'mod sinifikanti u saret ħafna iktar interkonnessa fid-deċennji ta 'qabel l-Ewwel Gwerra Dinjija, u għamlet il-ħafna poteri imperjali sinjuri u sinjuri Jonqos")</f>
        <v>Matul is-seklu 20, l-istoriċi John Gallagher (1919–1980) u Ronald Robinson (1920–1999) bnew qafas biex jifhmu l-imperjalizmu Ewropew. Huma jsostnu li l-imperjalizmu Ewropew kien influwenti, u l-Ewropej irrifjutaw il-kunċett li l- "imperjalizmu" kien jeħtieġ kontroll formali u legali minn gvern wieħed fuq pajjiż ieħor. "Fil-fehma tagħhom, l-istoriċi ġew imxerrda mill-imperu formali u l-mapep tad-dinja b'reġjuni kkuluriti ħomor. Il-biċċa l-kbira tal-emigrazzjoni, il-kummerċ u l-kapital Ingliżi marru f'żoni barra l-imperu Brittaniku formali. Il-muftieħ għall-ħsieb tagħhom huwa l-idea tal-imperu "Informalment jekk possibbli u formalment jekk meħtieġ." "[Attribuzzjoni meħtieġa] Minħabba r-riżorsi magħmula disponibbli mill-imperjalizmu, l-ekonomija tad-dinja kibret b'mod sinifikanti u saret ħafna iktar interkonnessa fid-deċennji ta 'qabel l-Ewwel Gwerra Dinjija, u għamlet il-ħafna poteri imperjali sinjuri u sinjuri Jonqos</v>
      </c>
    </row>
    <row r="3157" ht="15.75" customHeight="1">
      <c r="A3157" s="2" t="s">
        <v>3157</v>
      </c>
      <c r="B3157" s="2" t="str">
        <f>IFERROR(__xludf.DUMMYFUNCTION("GOOGLETRANSLATE(A3157,""en"", ""mt"")"),"oqbra tal-massa fit-tramuntana, ċentrali u fin-nofsinhar tal-Ewropa")</f>
        <v>oqbra tal-massa fit-tramuntana, ċentrali u fin-nofsinhar tal-Ewropa</v>
      </c>
    </row>
    <row r="3158" ht="15.75" customHeight="1">
      <c r="A3158" s="2" t="s">
        <v>3158</v>
      </c>
      <c r="B3158" s="2" t="str">
        <f>IFERROR(__xludf.DUMMYFUNCTION("GOOGLETRANSLATE(A3158,""en"", ""mt"")"),"X'jista 'jkun ikkombinat ma' dejta ġeofiżika biex tipproduċi veduta aħjar tas-sub-wiċċ?")</f>
        <v>X'jista 'jkun ikkombinat ma' dejta ġeofiżika biex tipproduċi veduta aħjar tas-sub-wiċċ?</v>
      </c>
    </row>
    <row r="3159" ht="15.75" customHeight="1">
      <c r="A3159" s="2" t="s">
        <v>3159</v>
      </c>
      <c r="B3159" s="2" t="str">
        <f>IFERROR(__xludf.DUMMYFUNCTION("GOOGLETRANSLATE(A3159,""en"", ""mt"")"),"Victoria_ (l-Awstralja)")</f>
        <v>Victoria_ (l-Awstralja)</v>
      </c>
    </row>
    <row r="3160" ht="15.75" customHeight="1">
      <c r="A3160" s="2" t="s">
        <v>3160</v>
      </c>
      <c r="B3160" s="2" t="str">
        <f>IFERROR(__xludf.DUMMYFUNCTION("GOOGLETRANSLATE(A3160,""en"", ""mt"")"),"Diviżjoni tal-funzjonijiet u kompiti bejn l-ospiti fit-tarf tan-netwerk u l-qalba tan-netwerk")</f>
        <v>Diviżjoni tal-funzjonijiet u kompiti bejn l-ospiti fit-tarf tan-netwerk u l-qalba tan-netwerk</v>
      </c>
    </row>
    <row r="3161" ht="15.75" customHeight="1">
      <c r="A3161" s="2" t="s">
        <v>3161</v>
      </c>
      <c r="B3161" s="2" t="str">
        <f>IFERROR(__xludf.DUMMYFUNCTION("GOOGLETRANSLATE(A3161,""en"", ""mt"")"),"Chen's")</f>
        <v>Chen's</v>
      </c>
    </row>
    <row r="3162" ht="15.75" customHeight="1">
      <c r="A3162" s="2" t="s">
        <v>3162</v>
      </c>
      <c r="B3162" s="2" t="str">
        <f>IFERROR(__xludf.DUMMYFUNCTION("GOOGLETRANSLATE(A3162,""en"", ""mt"")"),"""Distrett Storiku ta 'Triq Huguenot"" fi New Paltz")</f>
        <v>"Distrett Storiku ta 'Triq Huguenot" fi New Paltz</v>
      </c>
    </row>
    <row r="3163" ht="15.75" customHeight="1">
      <c r="A3163" s="2" t="s">
        <v>3163</v>
      </c>
      <c r="B3163" s="2" t="str">
        <f>IFERROR(__xludf.DUMMYFUNCTION("GOOGLETRANSLATE(A3163,""en"", ""mt"")"),"Kemm għandhom ħafna aurikoli?")</f>
        <v>Kemm għandhom ħafna aurikoli?</v>
      </c>
    </row>
    <row r="3164" ht="15.75" customHeight="1">
      <c r="A3164" s="2" t="s">
        <v>3164</v>
      </c>
      <c r="B3164" s="2" t="str">
        <f>IFERROR(__xludf.DUMMYFUNCTION("GOOGLETRANSLATE(A3164,""en"", ""mt"")"),"Kif irrestrinġi r-revoka li rrestrinġiet Huguenot?")</f>
        <v>Kif irrestrinġi r-revoka li rrestrinġiet Huguenot?</v>
      </c>
    </row>
    <row r="3165" ht="15.75" customHeight="1">
      <c r="A3165" s="2" t="s">
        <v>3165</v>
      </c>
      <c r="B3165" s="2" t="str">
        <f>IFERROR(__xludf.DUMMYFUNCTION("GOOGLETRANSLATE(A3165,""en"", ""mt"")"),"L-akbar karatteristika sensorja waħda hija l-organu aboral (fit-tarf oppost mill-ħalq). Il-komponent ewlieni tiegħu huwa statocyst, sensur tal-bilanċ li jikkonsisti minn statolit, partiċella solida sostnuta fuq erba 'qatet ta' ċili, imsejħa ""bilanċjaturi"&amp;""", li jħossu l-orjentazzjoni tiegħu. L-istatokist huwa protett minn koppla trasparenti magħmula minn ċili twil u immobbli. Ctenophore ma jipprovax awtomatikament iżomm l-istatolith jistrieħ bl-istess mod fuq il-bilanċjaturi kollha. Minflok ir-risposta ta"&amp;"għha hija determinata mill- ""burdata"" tal-annimal, fi kliem ieħor l-istat ġenerali tas-sistema nervuża. Pereżempju, jekk ctenophore bit-tentakli tat-tkaxkir jaqbad il-priża, ħafna drabi jpoġġi xi ringieli tal-moxt fil-maqlub, idawwar il-ħalq lejn il-pri"&amp;"ża.")</f>
        <v>L-akbar karatteristika sensorja waħda hija l-organu aboral (fit-tarf oppost mill-ħalq). Il-komponent ewlieni tiegħu huwa statocyst, sensur tal-bilanċ li jikkonsisti minn statolit, partiċella solida sostnuta fuq erba 'qatet ta' ċili, imsejħa "bilanċjaturi", li jħossu l-orjentazzjoni tiegħu. L-istatokist huwa protett minn koppla trasparenti magħmula minn ċili twil u immobbli. Ctenophore ma jipprovax awtomatikament iżomm l-istatolith jistrieħ bl-istess mod fuq il-bilanċjaturi kollha. Minflok ir-risposta tagħha hija determinata mill- "burdata" tal-annimal, fi kliem ieħor l-istat ġenerali tas-sistema nervuża. Pereżempju, jekk ctenophore bit-tentakli tat-tkaxkir jaqbad il-priża, ħafna drabi jpoġġi xi ringieli tal-moxt fil-maqlub, idawwar il-ħalq lejn il-priża.</v>
      </c>
    </row>
    <row r="3166" ht="15.75" customHeight="1">
      <c r="A3166" s="2" t="s">
        <v>3166</v>
      </c>
      <c r="B3166" s="2" t="str">
        <f>IFERROR(__xludf.DUMMYFUNCTION("GOOGLETRANSLATE(A3166,""en"", ""mt"")"),"Ħalq ix-Xmara Monongahela (is-sit tal-lum Pittsburgh, Pennsylvania)")</f>
        <v>Ħalq ix-Xmara Monongahela (is-sit tal-lum Pittsburgh, Pennsylvania)</v>
      </c>
    </row>
    <row r="3167" ht="15.75" customHeight="1">
      <c r="A3167" s="2" t="s">
        <v>3167</v>
      </c>
      <c r="B3167" s="2" t="str">
        <f>IFERROR(__xludf.DUMMYFUNCTION("GOOGLETRANSLATE(A3167,""en"", ""mt"")"),"Il-kwistjoni dwar jekk P tkun daqs NP hija waħda mill-aktar mistoqsijiet miftuħa importanti fix-xjenza teoretika tal-kompjuter minħabba l-implikazzjonijiet wiesgħa ta 'soluzzjoni. Jekk it-tweġiba hija iva, ħafna problemi importanti jistgħu jintwerew li għ"&amp;"andhom soluzzjonijiet aktar effiċjenti. Dawn jinkludu diversi tipi ta 'problemi ta' programmazzjoni integri fir-riċerka tal-operazzjonijiet, ħafna problemi fil-loġistika, tbassir tal-istruttura tal-proteini fil-bijoloġija, u l-abbiltà li ssib provi formal"&amp;"i ta 'teoremi tal-matematika puri. Il-problema P kontra NP hija waħda mill-problemi tal-Premju tal-Millennju proposti mill-Istitut tal-Matematika Clay. Hemm premju ta 'US $ 1,000,000 għar-riżoluzzjoni tal-problema.")</f>
        <v>Il-kwistjoni dwar jekk P tkun daqs NP hija waħda mill-aktar mistoqsijiet miftuħa importanti fix-xjenza teoretika tal-kompjuter minħabba l-implikazzjonijiet wiesgħa ta 'soluzzjoni. Jekk it-tweġiba hija iva, ħafna problemi importanti jistgħu jintwerew li għandhom soluzzjonijiet aktar effiċjenti. Dawn jinkludu diversi tipi ta 'problemi ta' programmazzjoni integri fir-riċerka tal-operazzjonijiet, ħafna problemi fil-loġistika, tbassir tal-istruttura tal-proteini fil-bijoloġija, u l-abbiltà li ssib provi formali ta 'teoremi tal-matematika puri. Il-problema P kontra NP hija waħda mill-problemi tal-Premju tal-Millennju proposti mill-Istitut tal-Matematika Clay. Hemm premju ta 'US $ 1,000,000 għar-riżoluzzjoni tal-problema.</v>
      </c>
    </row>
    <row r="3168" ht="15.75" customHeight="1">
      <c r="A3168" s="2" t="s">
        <v>3168</v>
      </c>
      <c r="B3168" s="2" t="str">
        <f>IFERROR(__xludf.DUMMYFUNCTION("GOOGLETRANSLATE(A3168,""en"", ""mt"")"),"Liema astronawt tan-NASA huwa wkoll membru tal-alumni tal-università?")</f>
        <v>Liema astronawt tan-NASA huwa wkoll membru tal-alumni tal-università?</v>
      </c>
    </row>
    <row r="3169" ht="15.75" customHeight="1">
      <c r="A3169" s="2" t="s">
        <v>3169</v>
      </c>
      <c r="B3169" s="2" t="str">
        <f>IFERROR(__xludf.DUMMYFUNCTION("GOOGLETRANSLATE(A3169,""en"", ""mt"")"),"il-perit jew l-inġinier")</f>
        <v>il-perit jew l-inġinier</v>
      </c>
    </row>
    <row r="3170" ht="15.75" customHeight="1">
      <c r="A3170" s="2" t="s">
        <v>3170</v>
      </c>
      <c r="B3170" s="2" t="str">
        <f>IFERROR(__xludf.DUMMYFUNCTION("GOOGLETRANSLATE(A3170,""en"", ""mt"")"),"il-provinċji tagħha ta ’l-Amerika")</f>
        <v>il-provinċji tagħha ta ’l-Amerika</v>
      </c>
    </row>
    <row r="3171" ht="15.75" customHeight="1">
      <c r="A3171" s="2" t="s">
        <v>3171</v>
      </c>
      <c r="B3171" s="2" t="str">
        <f>IFERROR(__xludf.DUMMYFUNCTION("GOOGLETRANSLATE(A3171,""en"", ""mt"")"),"Ċittadinanza tal-UE")</f>
        <v>Ċittadinanza tal-UE</v>
      </c>
    </row>
    <row r="3172" ht="15.75" customHeight="1">
      <c r="A3172" s="2" t="s">
        <v>3172</v>
      </c>
      <c r="B3172" s="2" t="str">
        <f>IFERROR(__xludf.DUMMYFUNCTION("GOOGLETRANSLATE(A3172,""en"", ""mt"")"),"L-isem ta 'Varsavja fil-lingwa Pollakka huwa Warszawa, bejn wieħed u ieħor / vɑːrˈʃɑːvə / (li qabel kien ukoll spelt Warszewa u Warszowa), li jfisser ""li jappartjeni għal Warsz"", Warsz hija forma mqassra ta' l-isem maskili ta 'oriġini Slava ta' oriġini "&amp;"Slavi Warcisław; Ara wkoll Etimoloġija ta ’Wrocław. L-etimoloġija folkloristika tattribwixxi l-isem tal-belt lil sajjied, gwerer, u martu, Sawa. Skond il-leġġenda, Sawa kienet sirena li tgħix fix-xmara Vistula li magħha l-gwerer inħobbu. Fil-verità, Warsz"&amp;" kien nobbli tas-seklu 12/13 li kellu raħal li jinsab fis-sit tal-ġurnata moderna tal-viċinat ta 'Mariensztat. Ara wkoll il-familja Vršovci li kienet ħarbet lejn il-Polonja. L-isem uffiċjali tal-belt kollu huwa Miasto Stołeczne Warszawa (Ingliż: ""Il-Belt"&amp;" Kapitali ta 'Varsavja""). Nattiv jew residenti ta 'Varsavja huwa magħruf bħala Varsovian - fil-Pollakk Warszawiak (raġel), Warszawianka (mara), Warszawiacy (plural).")</f>
        <v>L-isem ta 'Varsavja fil-lingwa Pollakka huwa Warszawa, bejn wieħed u ieħor / vɑːrˈʃɑːvə / (li qabel kien ukoll spelt Warszewa u Warszowa), li jfisser "li jappartjeni għal Warsz", Warsz hija forma mqassra ta' l-isem maskili ta 'oriġini Slava ta' oriġini Slavi Warcisław; Ara wkoll Etimoloġija ta ’Wrocław. L-etimoloġija folkloristika tattribwixxi l-isem tal-belt lil sajjied, gwerer, u martu, Sawa. Skond il-leġġenda, Sawa kienet sirena li tgħix fix-xmara Vistula li magħha l-gwerer inħobbu. Fil-verità, Warsz kien nobbli tas-seklu 12/13 li kellu raħal li jinsab fis-sit tal-ġurnata moderna tal-viċinat ta 'Mariensztat. Ara wkoll il-familja Vršovci li kienet ħarbet lejn il-Polonja. L-isem uffiċjali tal-belt kollu huwa Miasto Stołeczne Warszawa (Ingliż: "Il-Belt Kapitali ta 'Varsavja"). Nattiv jew residenti ta 'Varsavja huwa magħruf bħala Varsovian - fil-Pollakk Warszawiak (raġel), Warszawianka (mara), Warszawiacy (plural).</v>
      </c>
    </row>
    <row r="3173" ht="15.75" customHeight="1">
      <c r="A3173" s="2" t="s">
        <v>3173</v>
      </c>
      <c r="B3173" s="2" t="str">
        <f>IFERROR(__xludf.DUMMYFUNCTION("GOOGLETRANSLATE(A3173,""en"", ""mt"")"),"handshake bejn il-partijiet li jikkomunikaw qabel ma jiġu trasmessi xi pakketti tal-utent")</f>
        <v>handshake bejn il-partijiet li jikkomunikaw qabel ma jiġu trasmessi xi pakketti tal-utent</v>
      </c>
    </row>
    <row r="3174" ht="15.75" customHeight="1">
      <c r="A3174" s="2" t="s">
        <v>3174</v>
      </c>
      <c r="B3174" s="2" t="str">
        <f>IFERROR(__xludf.DUMMYFUNCTION("GOOGLETRANSLATE(A3174,""en"", ""mt"")"),"X'inhuma l-Auricles?")</f>
        <v>X'inhuma l-Auricles?</v>
      </c>
    </row>
    <row r="3175" ht="15.75" customHeight="1">
      <c r="A3175" s="2" t="s">
        <v>3175</v>
      </c>
      <c r="B3175" s="2" t="str">
        <f>IFERROR(__xludf.DUMMYFUNCTION("GOOGLETRANSLATE(A3175,""en"", ""mt"")"),"X'inhu l-ispiżerija tal-konsulent prinċipalment ikkonċernat?")</f>
        <v>X'inhu l-ispiżerija tal-konsulent prinċipalment ikkonċernat?</v>
      </c>
    </row>
    <row r="3176" ht="15.75" customHeight="1">
      <c r="A3176" s="2" t="s">
        <v>3176</v>
      </c>
      <c r="B3176" s="2" t="str">
        <f>IFERROR(__xludf.DUMMYFUNCTION("GOOGLETRANSLATE(A3176,""en"", ""mt"")"),"is-solvabilità tal-ekwazzjonijiet kwadratiċi")</f>
        <v>is-solvabilità tal-ekwazzjonijiet kwadratiċi</v>
      </c>
    </row>
    <row r="3177" ht="15.75" customHeight="1">
      <c r="A3177" s="2" t="s">
        <v>3177</v>
      </c>
      <c r="B3177" s="2" t="str">
        <f>IFERROR(__xludf.DUMMYFUNCTION("GOOGLETRANSLATE(A3177,""en"", ""mt"")"),"il-Parlament Ewropew u l-Kunsill tal-Unjoni Ewropea")</f>
        <v>il-Parlament Ewropew u l-Kunsill tal-Unjoni Ewropea</v>
      </c>
    </row>
    <row r="3178" ht="15.75" customHeight="1">
      <c r="A3178" s="2" t="s">
        <v>3178</v>
      </c>
      <c r="B3178" s="2" t="str">
        <f>IFERROR(__xludf.DUMMYFUNCTION("GOOGLETRANSLATE(A3178,""en"", ""mt"")"),"Metodu ta 'rotta tolleranti għall-ħsarat u effiċjenti")</f>
        <v>Metodu ta 'rotta tolleranti għall-ħsarat u effiċjenti</v>
      </c>
    </row>
    <row r="3179" ht="15.75" customHeight="1">
      <c r="A3179" s="2" t="s">
        <v>3179</v>
      </c>
      <c r="B3179" s="2" t="str">
        <f>IFERROR(__xludf.DUMMYFUNCTION("GOOGLETRANSLATE(A3179,""en"", ""mt"")"),"Schrödinger")</f>
        <v>Schrödinger</v>
      </c>
    </row>
    <row r="3180" ht="15.75" customHeight="1">
      <c r="A3180" s="2" t="s">
        <v>3180</v>
      </c>
      <c r="B3180" s="2" t="str">
        <f>IFERROR(__xludf.DUMMYFUNCTION("GOOGLETRANSLATE(A3180,""en"", ""mt"")"),"Kemm Vittorjani huma Kattoliċi?")</f>
        <v>Kemm Vittorjani huma Kattoliċi?</v>
      </c>
    </row>
    <row r="3181" ht="15.75" customHeight="1">
      <c r="A3181" s="2" t="s">
        <v>3181</v>
      </c>
      <c r="B3181" s="2" t="str">
        <f>IFERROR(__xludf.DUMMYFUNCTION("GOOGLETRANSLATE(A3181,""en"", ""mt"")"),"Minbarra li joħolqu drittijiet għal ""ħaddiema"" li ġeneralment m'għandhomx poter ta 'negozjar fis-suq, it-trattat dwar il-funzjonament tal-Unjoni Ewropea jipproteġi wkoll il- ""libertà tal-istabbiliment"" fl-Artikolu 49, u ""libertà li tipprovdi servizzi"&amp;""" fl-Artikolu 56. Fil-Gebhard vs Consiglio dell'ordine degli avvocati e procuratori di milano, il-qorti tal-ġustizzja ddeċidiet li tkun ""stabbilita"" tfisser li tipparteċipa fil-ħajja ekonomika ""fuq bażi stabbli u kontinwa"", filwaqt li tipprovdi ""ser"&amp;"vizzi"" tfisser li ssegwi attività aktar ""fuq bażi temporanja "". Dan kien ifisser li avukat minn Stuttgart, li kien waqqaf kmamar f'Milan u ġie ċċensurat mill-Kunsill tal-Avukati ta 'Milan talli ma rreġistrax, kien intitolat li jġib talba għal-libertà t"&amp;"a' stabbiliment, aktar milli l-libertà tas-servizz. Madankollu, ir-rekwiżiti li għandhom jiġu rreġistrati f'Milan qabel ma jkunu jistgħu jipprattikaw ikunu permessi kieku ma kinux diskriminatorji, ""ġustifikati minn rekwiżiti imperattivi fl-interess ġener"&amp;"ali"" u applikati b'mod proporzjonat. In-nies jew l-entitajiet kollha li jinvolvu ruħhom f'attività ekonomika, partikolarment dawk li jaħdmu għal rashom, jew ""impriżi"" bħal kumpaniji jew ditti, għandhom id-dritt li jwaqqfu intrapriża mingħajr restrizzjo"&amp;"nijiet mhux ġustifikati. Il-Qorti tal-Ġustizzja ddeċidiet li kemm gvern tal-istat membru kif ukoll parti privata jistgħu jfixklu l-libertà tal-istabbiliment, u għalhekk l-Artikolu 49 għandu effett dirett kemm ""vertikali"" kif ukoll ""orizzontali"". Fil-B"&amp;"elġju fil-Belġju, il-Qorti tal-Ġustizzja ddeċidiet li rifjut li jammetti avukat fil-bar Belġjan għax kien nieqes miċ-ċittadinanza Belġjana ma kienx iġġustifikat. L-Artikolu 49 tat-TFEU jgħid li l-istati huma eżentati milli jiksru l-libertà ta 'stabbilimen"&amp;"t ta' ħaddieħor meta jeżerċitaw ""awtorità uffiċjali"", iżda dan għamel ix-xogħol ta 'avukat (għall-kuntrarju ta' qorti) ma kienx uffiċjali. B'kuntrast fil-Kummissjoni v l-Italja l-Qorti tal-Ġustizzja ddeċidiet li rekwiżit għall-avukati fl-Italja biex jik"&amp;"konformaw mat-tariffi massimi sakemm ma kienx hemm ftehim ma 'klijent ma kienx restrizzjoni. Il-kamra kbira tal-Qorti tal-Ġustizzja ddeċidiet li l-kummissjoni ma wrietx li dan kellu xi oġġett jew effett li jillimitaw prattikanti milli jidħlu fis-suq. Għal"&amp;"hekk, ma kien hemm l-ebda libertà ta 'stabbiliment ta' ksur ta 'prima facie li kellha tkun iġġustifikata.")</f>
        <v>Minbarra li joħolqu drittijiet għal "ħaddiema" li ġeneralment m'għandhomx poter ta 'negozjar fis-suq, it-trattat dwar il-funzjonament tal-Unjoni Ewropea jipproteġi wkoll il- "libertà tal-istabbiliment" fl-Artikolu 49, u "libertà li tipprovdi servizzi" fl-Artikolu 56. Fil-Gebhard vs Consiglio dell'ordine degli avvocati e procuratori di milano, il-qorti tal-ġustizzja ddeċidiet li tkun "stabbilita" tfisser li tipparteċipa fil-ħajja ekonomika "fuq bażi stabbli u kontinwa", filwaqt li tipprovdi "servizzi" tfisser li ssegwi attività aktar "fuq bażi temporanja ". Dan kien ifisser li avukat minn Stuttgart, li kien waqqaf kmamar f'Milan u ġie ċċensurat mill-Kunsill tal-Avukati ta 'Milan talli ma rreġistrax, kien intitolat li jġib talba għal-libertà ta' stabbiliment, aktar milli l-libertà tas-servizz. Madankollu, ir-rekwiżiti li għandhom jiġu rreġistrati f'Milan qabel ma jkunu jistgħu jipprattikaw ikunu permessi kieku ma kinux diskriminatorji, "ġustifikati minn rekwiżiti imperattivi fl-interess ġenerali" u applikati b'mod proporzjonat. In-nies jew l-entitajiet kollha li jinvolvu ruħhom f'attività ekonomika, partikolarment dawk li jaħdmu għal rashom, jew "impriżi" bħal kumpaniji jew ditti, għandhom id-dritt li jwaqqfu intrapriża mingħajr restrizzjonijiet mhux ġustifikati. Il-Qorti tal-Ġustizzja ddeċidiet li kemm gvern tal-istat membru kif ukoll parti privata jistgħu jfixklu l-libertà tal-istabbiliment, u għalhekk l-Artikolu 49 għandu effett dirett kemm "vertikali" kif ukoll "orizzontali". Fil-Belġju fil-Belġju, il-Qorti tal-Ġustizzja ddeċidiet li rifjut li jammetti avukat fil-bar Belġjan għax kien nieqes miċ-ċittadinanza Belġjana ma kienx iġġustifikat. L-Artikolu 49 tat-TFEU jgħid li l-istati huma eżentati milli jiksru l-libertà ta 'stabbiliment ta' ħaddieħor meta jeżerċitaw "awtorità uffiċjali", iżda dan għamel ix-xogħol ta 'avukat (għall-kuntrarju ta' qorti) ma kienx uffiċjali. B'kuntrast fil-Kummissjoni v l-Italja l-Qorti tal-Ġustizzja ddeċidiet li rekwiżit għall-avukati fl-Italja biex jikkonformaw mat-tariffi massimi sakemm ma kienx hemm ftehim ma 'klijent ma kienx restrizzjoni. Il-kamra kbira tal-Qorti tal-Ġustizzja ddeċidiet li l-kummissjoni ma wrietx li dan kellu xi oġġett jew effett li jillimitaw prattikanti milli jidħlu fis-suq. Għalhekk, ma kien hemm l-ebda libertà ta 'stabbiliment ta' ksur ta 'prima facie li kellha tkun iġġustifikata.</v>
      </c>
    </row>
    <row r="3182" ht="15.75" customHeight="1">
      <c r="A3182" s="2" t="s">
        <v>3182</v>
      </c>
      <c r="B3182" s="2" t="str">
        <f>IFERROR(__xludf.DUMMYFUNCTION("GOOGLETRANSLATE(A3182,""en"", ""mt"")"),"Fejn jgħixu Platycenida?")</f>
        <v>Fejn jgħixu Platycenida?</v>
      </c>
    </row>
    <row r="3183" ht="15.75" customHeight="1">
      <c r="A3183" s="2" t="s">
        <v>3183</v>
      </c>
      <c r="B3183" s="2" t="str">
        <f>IFERROR(__xludf.DUMMYFUNCTION("GOOGLETRANSLATE(A3183,""en"", ""mt"")"),"jissupplimentah.")</f>
        <v>jissupplimentah.</v>
      </c>
    </row>
    <row r="3184" ht="15.75" customHeight="1">
      <c r="A3184" s="2" t="s">
        <v>3184</v>
      </c>
      <c r="B3184" s="2" t="str">
        <f>IFERROR(__xludf.DUMMYFUNCTION("GOOGLETRANSLATE(A3184,""en"", ""mt"")"),"Problema tal-funzjoni hija problema tal-komputazzjoni fejn produzzjoni waħda (ta 'funzjoni totali) hija mistennija għal kull input, iżda l-output huwa iktar kumpless minn dak ta' problema ta 'deċiżjoni, jiġifieri, mhuwiex biss iva jew le. Eżempji notevoli"&amp;" jinkludu l-problema tal-bejjiegħ li jivvjaġġa u l-problema ta 'fatturizzazzjoni sħiħa.")</f>
        <v>Problema tal-funzjoni hija problema tal-komputazzjoni fejn produzzjoni waħda (ta 'funzjoni totali) hija mistennija għal kull input, iżda l-output huwa iktar kumpless minn dak ta' problema ta 'deċiżjoni, jiġifieri, mhuwiex biss iva jew le. Eżempji notevoli jinkludu l-problema tal-bejjiegħ li jivvjaġġa u l-problema ta 'fatturizzazzjoni sħiħa.</v>
      </c>
    </row>
    <row r="3185" ht="15.75" customHeight="1">
      <c r="A3185" s="2" t="s">
        <v>3185</v>
      </c>
      <c r="B3185" s="2" t="str">
        <f>IFERROR(__xludf.DUMMYFUNCTION("GOOGLETRANSLATE(A3185,""en"", ""mt"")"),"Magna Probabilistika tat-Turing")</f>
        <v>Magna Probabilistika tat-Turing</v>
      </c>
    </row>
    <row r="3186" ht="15.75" customHeight="1">
      <c r="A3186" s="2" t="s">
        <v>3186</v>
      </c>
      <c r="B3186" s="2" t="str">
        <f>IFERROR(__xludf.DUMMYFUNCTION("GOOGLETRANSLATE(A3186,""en"", ""mt"")"),"X’għamel il-programm Early Entrant għall-istudenti potenzjali?")</f>
        <v>X’għamel il-programm Early Entrant għall-istudenti potenzjali?</v>
      </c>
    </row>
    <row r="3187" ht="15.75" customHeight="1">
      <c r="A3187" s="2" t="s">
        <v>3187</v>
      </c>
      <c r="B3187" s="2" t="str">
        <f>IFERROR(__xludf.DUMMYFUNCTION("GOOGLETRANSLATE(A3187,""en"", ""mt"")"),"Riċetturi tal-limfoċiti varjabbli (VLRs)")</f>
        <v>Riċetturi tal-limfoċiti varjabbli (VLRs)</v>
      </c>
    </row>
    <row r="3188" ht="15.75" customHeight="1">
      <c r="A3188" s="2" t="s">
        <v>3188</v>
      </c>
      <c r="B3188" s="2" t="str">
        <f>IFERROR(__xludf.DUMMYFUNCTION("GOOGLETRANSLATE(A3188,""en"", ""mt"")"),"il-Welsh")</f>
        <v>il-Welsh</v>
      </c>
    </row>
    <row r="3189" ht="15.75" customHeight="1">
      <c r="A3189" s="2" t="s">
        <v>3189</v>
      </c>
      <c r="B3189" s="2" t="str">
        <f>IFERROR(__xludf.DUMMYFUNCTION("GOOGLETRANSLATE(A3189,""en"", ""mt"")"),"Il-politiki tal-kiri tal-kampus barra mill-kampus tal-università.")</f>
        <v>Il-politiki tal-kiri tal-kampus barra mill-kampus tal-università.</v>
      </c>
    </row>
    <row r="3190" ht="15.75" customHeight="1">
      <c r="A3190" s="2" t="s">
        <v>3190</v>
      </c>
      <c r="B3190" s="2" t="str">
        <f>IFERROR(__xludf.DUMMYFUNCTION("GOOGLETRANSLATE(A3190,""en"", ""mt"")"),"X'kien suċċess kbir, speċjalment fil-bini mill-ġdid ta 'Varsavja?")</f>
        <v>X'kien suċċess kbir, speċjalment fil-bini mill-ġdid ta 'Varsavja?</v>
      </c>
    </row>
    <row r="3191" ht="15.75" customHeight="1">
      <c r="A3191" s="2" t="s">
        <v>3191</v>
      </c>
      <c r="B3191" s="2" t="str">
        <f>IFERROR(__xludf.DUMMYFUNCTION("GOOGLETRANSLATE(A3191,""en"", ""mt"")"),"Davies huwa kkreditat li jgħaqqad il-bdil tal-pakketti tal-isem modern u jispira bosta netwerks tal-iswiċċ tal-pakketti fl-Ewropa")</f>
        <v>Davies huwa kkreditat li jgħaqqad il-bdil tal-pakketti tal-isem modern u jispira bosta netwerks tal-iswiċċ tal-pakketti fl-Ewropa</v>
      </c>
    </row>
    <row r="3192" ht="15.75" customHeight="1">
      <c r="A3192" s="2" t="s">
        <v>3192</v>
      </c>
      <c r="B3192" s="2" t="str">
        <f>IFERROR(__xludf.DUMMYFUNCTION("GOOGLETRANSLATE(A3192,""en"", ""mt"")"),"In-naħa tax-Xlokk 'il bogħod")</f>
        <v>In-naħa tax-Xlokk 'il bogħod</v>
      </c>
    </row>
    <row r="3193" ht="15.75" customHeight="1">
      <c r="A3193" s="2" t="s">
        <v>3193</v>
      </c>
      <c r="B3193" s="2" t="str">
        <f>IFERROR(__xludf.DUMMYFUNCTION("GOOGLETRANSLATE(A3193,""en"", ""mt"")"),"Vetra u jien Germanica u XX Valeria kienu ż-żewġ leġjuni għal xiex?")</f>
        <v>Vetra u jien Germanica u XX Valeria kienu ż-żewġ leġjuni għal xiex?</v>
      </c>
    </row>
    <row r="3194" ht="15.75" customHeight="1">
      <c r="A3194" s="2" t="s">
        <v>3194</v>
      </c>
      <c r="B3194" s="2" t="str">
        <f>IFERROR(__xludf.DUMMYFUNCTION("GOOGLETRANSLATE(A3194,""en"", ""mt"")"),"L-ewwel lokomotiva tal-fwar tal-ferrovija fuq skala sħiħa fuq skala sħiħa nbniet minn Richard Trevithick fir-Renju Unit u, fil-21 ta 'Frar 1804, l-ewwel vjaġġ ferrovjarju tad-dinja seħħ hekk kif il-lokomotiva tal-fwar bla isem ta' Trevithick ġab ferrovija"&amp;" tul it-tramway mill-pen-y-daren Ironworks, qrib Merthyr Tydfil lil Abercynon fin-Nofsinhar ta ’Wales. Id-disinn inkorpora numru ta 'innovazzjonijiet importanti li kienu jinkludu l-użu ta' fwar bi pressjoni għolja li naqqas il-piż tal-magna u żied l-effiċ"&amp;"jenza tiegħu. Trevithick żar iż-żona ta ’Newcastle aktar tard fl-1804 u l-Ferroviji tal-Colliery fil-Grigal tal-Ingilterra saru ċ-ċentru ewlieni għall-esperimentazzjoni u l-iżvilupp ta’ lokomottivi tal-fwar.")</f>
        <v>L-ewwel lokomotiva tal-fwar tal-ferrovija fuq skala sħiħa fuq skala sħiħa nbniet minn Richard Trevithick fir-Renju Unit u, fil-21 ta 'Frar 1804, l-ewwel vjaġġ ferrovjarju tad-dinja seħħ hekk kif il-lokomotiva tal-fwar bla isem ta' Trevithick ġab ferrovija tul it-tramway mill-pen-y-daren Ironworks, qrib Merthyr Tydfil lil Abercynon fin-Nofsinhar ta ’Wales. Id-disinn inkorpora numru ta 'innovazzjonijiet importanti li kienu jinkludu l-użu ta' fwar bi pressjoni għolja li naqqas il-piż tal-magna u żied l-effiċjenza tiegħu. Trevithick żar iż-żona ta ’Newcastle aktar tard fl-1804 u l-Ferroviji tal-Colliery fil-Grigal tal-Ingilterra saru ċ-ċentru ewlieni għall-esperimentazzjoni u l-iżvilupp ta’ lokomottivi tal-fwar.</v>
      </c>
    </row>
    <row r="3195" ht="15.75" customHeight="1">
      <c r="A3195" s="2" t="s">
        <v>3195</v>
      </c>
      <c r="B3195" s="2" t="str">
        <f>IFERROR(__xludf.DUMMYFUNCTION("GOOGLETRANSLATE(A3195,""en"", ""mt"")"),"Min spiss jopera l-ispiżeriji tal-internet?")</f>
        <v>Min spiss jopera l-ispiżeriji tal-internet?</v>
      </c>
    </row>
    <row r="3196" ht="15.75" customHeight="1">
      <c r="A3196" s="2" t="s">
        <v>3196</v>
      </c>
      <c r="B3196" s="2" t="str">
        <f>IFERROR(__xludf.DUMMYFUNCTION("GOOGLETRANSLATE(A3196,""en"", ""mt"")"),"tlieta")</f>
        <v>tlieta</v>
      </c>
    </row>
    <row r="3197" ht="15.75" customHeight="1">
      <c r="A3197" s="2" t="s">
        <v>3197</v>
      </c>
      <c r="B3197" s="2" t="str">
        <f>IFERROR(__xludf.DUMMYFUNCTION("GOOGLETRANSLATE(A3197,""en"", ""mt"")"),"tnejn")</f>
        <v>tnejn</v>
      </c>
    </row>
    <row r="3198" ht="15.75" customHeight="1">
      <c r="A3198" s="2" t="s">
        <v>3198</v>
      </c>
      <c r="B3198" s="2" t="str">
        <f>IFERROR(__xludf.DUMMYFUNCTION("GOOGLETRANSLATE(A3198,""en"", ""mt"")"),"Fejn tinsab l-Iskola Hyde Park Day?")</f>
        <v>Fejn tinsab l-Iskola Hyde Park Day?</v>
      </c>
    </row>
    <row r="3199" ht="15.75" customHeight="1">
      <c r="A3199" s="2" t="s">
        <v>3199</v>
      </c>
      <c r="B3199" s="2" t="str">
        <f>IFERROR(__xludf.DUMMYFUNCTION("GOOGLETRANSLATE(A3199,""en"", ""mt"")"),"It-temperaturi u l-livelli tal-baħar kienu qed jiżdiedu fuq jew 'il fuq mir-rati massimi proposti")</f>
        <v>It-temperaturi u l-livelli tal-baħar kienu qed jiżdiedu fuq jew 'il fuq mir-rati massimi proposti</v>
      </c>
    </row>
    <row r="3200" ht="15.75" customHeight="1">
      <c r="A3200" s="2" t="s">
        <v>3200</v>
      </c>
      <c r="B3200" s="2" t="str">
        <f>IFERROR(__xludf.DUMMYFUNCTION("GOOGLETRANSLATE(A3200,""en"", ""mt"")"),"Liema żewġ oqsma fir-Repubblika kienu l-ewwel li jagħtu drittijiet lill-Huguenots?")</f>
        <v>Liema żewġ oqsma fir-Repubblika kienu l-ewwel li jagħtu drittijiet lill-Huguenots?</v>
      </c>
    </row>
    <row r="3201" ht="15.75" customHeight="1">
      <c r="A3201" s="2" t="s">
        <v>3201</v>
      </c>
      <c r="B3201" s="2" t="str">
        <f>IFERROR(__xludf.DUMMYFUNCTION("GOOGLETRANSLATE(A3201,""en"", ""mt"")"),"X'inhuma żewġ fatturi li għamluha diffiċli għall-kolonisti biex il-foresta tal-Amażonja tibqa 'ħajja?")</f>
        <v>X'inhuma żewġ fatturi li għamluha diffiċli għall-kolonisti biex il-foresta tal-Amażonja tibqa 'ħajja?</v>
      </c>
    </row>
    <row r="3202" ht="15.75" customHeight="1">
      <c r="A3202" s="2" t="s">
        <v>3202</v>
      </c>
      <c r="B3202" s="2" t="str">
        <f>IFERROR(__xludf.DUMMYFUNCTION("GOOGLETRANSLATE(A3202,""en"", ""mt"")"),"Kull naħa li tipproponi dik l-azzjoni tittieħed")</f>
        <v>Kull naħa li tipproponi dik l-azzjoni tittieħed</v>
      </c>
    </row>
    <row r="3203" ht="15.75" customHeight="1">
      <c r="A3203" s="2" t="s">
        <v>3203</v>
      </c>
      <c r="B3203" s="2" t="str">
        <f>IFERROR(__xludf.DUMMYFUNCTION("GOOGLETRANSLATE(A3203,""en"", ""mt"")"),"direttament permezz tal-matriċi ta 'l-adjacency tagħhom")</f>
        <v>direttament permezz tal-matriċi ta 'l-adjacency tagħhom</v>
      </c>
    </row>
    <row r="3204" ht="15.75" customHeight="1">
      <c r="A3204" s="2" t="s">
        <v>3204</v>
      </c>
      <c r="B3204" s="2" t="str">
        <f>IFERROR(__xludf.DUMMYFUNCTION("GOOGLETRANSLATE(A3204,""en"", ""mt"")"),"issuġġerixxaha għall-użu fl-arpanet")</f>
        <v>issuġġerixxaha għall-użu fl-arpanet</v>
      </c>
    </row>
    <row r="3205" ht="15.75" customHeight="1">
      <c r="A3205" s="2" t="s">
        <v>3205</v>
      </c>
      <c r="B3205" s="2" t="str">
        <f>IFERROR(__xludf.DUMMYFUNCTION("GOOGLETRANSLATE(A3205,""en"", ""mt"")"),"Skop ta 'telnet")</f>
        <v>Skop ta 'telnet</v>
      </c>
    </row>
    <row r="3206" ht="15.75" customHeight="1">
      <c r="A3206" s="2" t="s">
        <v>3206</v>
      </c>
      <c r="B3206" s="2" t="str">
        <f>IFERROR(__xludf.DUMMYFUNCTION("GOOGLETRANSLATE(A3206,""en"", ""mt"")"),"Kantant Isaac Bashevis")</f>
        <v>Kantant Isaac Bashevis</v>
      </c>
    </row>
    <row r="3207" ht="15.75" customHeight="1">
      <c r="A3207" s="2" t="s">
        <v>3207</v>
      </c>
      <c r="B3207" s="2" t="str">
        <f>IFERROR(__xludf.DUMMYFUNCTION("GOOGLETRANSLATE(A3207,""en"", ""mt"")"),"X'għandhom studji dwar l-inugwaljanza fid-dħul kultant sabu evidenza li tikkonferma?")</f>
        <v>X'għandhom studji dwar l-inugwaljanza fid-dħul kultant sabu evidenza li tikkonferma?</v>
      </c>
    </row>
    <row r="3208" ht="15.75" customHeight="1">
      <c r="A3208" s="2" t="s">
        <v>3208</v>
      </c>
      <c r="B3208" s="2" t="str">
        <f>IFERROR(__xludf.DUMMYFUNCTION("GOOGLETRANSLATE(A3208,""en"", ""mt"")"),"Xi tfisser Yeke Mongghul Ulus?")</f>
        <v>Xi tfisser Yeke Mongghul Ulus?</v>
      </c>
    </row>
    <row r="3209" ht="15.75" customHeight="1">
      <c r="A3209" s="2" t="s">
        <v>3209</v>
      </c>
      <c r="B3209" s="2" t="str">
        <f>IFERROR(__xludf.DUMMYFUNCTION("GOOGLETRANSLATE(A3209,""en"", ""mt"")"),"Irbaħ il-ħelsien u evita ħabs jew multa")</f>
        <v>Irbaħ il-ħelsien u evita ħabs jew multa</v>
      </c>
    </row>
    <row r="3210" ht="15.75" customHeight="1">
      <c r="A3210" s="2" t="s">
        <v>3210</v>
      </c>
      <c r="B3210" s="2" t="str">
        <f>IFERROR(__xludf.DUMMYFUNCTION("GOOGLETRANSLATE(A3210,""en"", ""mt"")"),"Xi nnota Shrewsbury dwar il-pesta?")</f>
        <v>Xi nnota Shrewsbury dwar il-pesta?</v>
      </c>
    </row>
    <row r="3211" ht="15.75" customHeight="1">
      <c r="A3211" s="2" t="s">
        <v>3211</v>
      </c>
      <c r="B3211" s="2" t="str">
        <f>IFERROR(__xludf.DUMMYFUNCTION("GOOGLETRANSLATE(A3211,""en"", ""mt"")"),"il-problema ta 'sodisfazzjon Boolean NP-komplut NP")</f>
        <v>il-problema ta 'sodisfazzjon Boolean NP-komplut NP</v>
      </c>
    </row>
    <row r="3212" ht="15.75" customHeight="1">
      <c r="A3212" s="2" t="s">
        <v>3212</v>
      </c>
      <c r="B3212" s="2" t="str">
        <f>IFERROR(__xludf.DUMMYFUNCTION("GOOGLETRANSLATE(A3212,""en"", ""mt"")"),"Il-viċinat popolari magħruf bħala d-Distrett tat-Torri huwa ċċentrat madwar it-Teatru Storiku tat-Torri, li huwa inkluż fil-lista nazzjonali tal-postijiet storiċi. It-teatru nbena fl-1939 u jinsab fi Olive and Wishon Avenues fil-qalba tad-Distrett tat-Tor"&amp;"ri. (L-isem tat-teatru jirreferi għal torri tal-ilma tal-monument magħruf, li fil-fatt jinsab f'żona oħra fil-viċin). Il-viċinat tad-Distrett tat-Torri jinsab eżatt fit-tramuntana tad-downtown Fresno kif suppost, u nofs mil fin-nofsinhar tal-Kulleġġ tal-B"&amp;"elt ta 'Fresno. Għalkemm il-viċinat kien magħruf bħala żona residenzjali minn qabel, l-istabbilimenti kummerċjali bikrija tad-distrett tat-Torri bdew bi ħwienet u servizzi żgħar li ħarġu fiż-żona ftit wara t-Tieni Gwerra Dinjija. Il-karattru ta 'negozji l"&amp;"okali żgħar fil-biċċa l-kbira jibqa' llum. Sa ċertu punt, in-negozji tad-Distrett tat-Torri ġew żviluppati minħabba l-viċinanza tal-Iskola Normali Fresno oriġinali (aktar tard imsejħa California State University fi Fresno). Fl-1916 il-kulleġġ mar joqgħod "&amp;"għal dak li issa huwa s-sit ta 'Fresno City College nofs mil fit-tramuntana tad-distrett tat-torri.")</f>
        <v>Il-viċinat popolari magħruf bħala d-Distrett tat-Torri huwa ċċentrat madwar it-Teatru Storiku tat-Torri, li huwa inkluż fil-lista nazzjonali tal-postijiet storiċi. It-teatru nbena fl-1939 u jinsab fi Olive and Wishon Avenues fil-qalba tad-Distrett tat-Torri. (L-isem tat-teatru jirreferi għal torri tal-ilma tal-monument magħruf, li fil-fatt jinsab f'żona oħra fil-viċin). Il-viċinat tad-Distrett tat-Torri jinsab eżatt fit-tramuntana tad-downtown Fresno kif suppost, u nofs mil fin-nofsinhar tal-Kulleġġ tal-Belt ta 'Fresno. Għalkemm il-viċinat kien magħruf bħala żona residenzjali minn qabel, l-istabbilimenti kummerċjali bikrija tad-distrett tat-Torri bdew bi ħwienet u servizzi żgħar li ħarġu fiż-żona ftit wara t-Tieni Gwerra Dinjija. Il-karattru ta 'negozji lokali żgħar fil-biċċa l-kbira jibqa' llum. Sa ċertu punt, in-negozji tad-Distrett tat-Torri ġew żviluppati minħabba l-viċinanza tal-Iskola Normali Fresno oriġinali (aktar tard imsejħa California State University fi Fresno). Fl-1916 il-kulleġġ mar joqgħod għal dak li issa huwa s-sit ta 'Fresno City College nofs mil fit-tramuntana tad-distrett tat-torri.</v>
      </c>
    </row>
    <row r="3213" ht="15.75" customHeight="1">
      <c r="A3213" s="2" t="s">
        <v>3213</v>
      </c>
      <c r="B3213" s="2" t="str">
        <f>IFERROR(__xludf.DUMMYFUNCTION("GOOGLETRANSLATE(A3213,""en"", ""mt"")"),"Meta tmur blat, għal xiex hija applikata d-data iżotopika assoluta?")</f>
        <v>Meta tmur blat, għal xiex hija applikata d-data iżotopika assoluta?</v>
      </c>
    </row>
    <row r="3214" ht="15.75" customHeight="1">
      <c r="A3214" s="2" t="s">
        <v>3214</v>
      </c>
      <c r="B3214" s="2" t="str">
        <f>IFERROR(__xludf.DUMMYFUNCTION("GOOGLETRANSLATE(A3214,""en"", ""mt"")"),"dritta 'l isfel")</f>
        <v>dritta 'l isfel</v>
      </c>
    </row>
    <row r="3215" ht="15.75" customHeight="1">
      <c r="A3215" s="2" t="s">
        <v>3215</v>
      </c>
      <c r="B3215" s="2" t="str">
        <f>IFERROR(__xludf.DUMMYFUNCTION("GOOGLETRANSLATE(A3215,""en"", ""mt"")"),"Legrande jikteb li ""l-formulazzjoni ta 'definizzjoni waħda li tiġbor fiha t-terminu hija estremament diffiċli, jekk mhux impossibbli. Meta tirrevedi l-letteratura voluminuża dwar is-suġġett, l-istudent ta' diżubbidjenza ċivili malajr isib ruħu mdawwar mi"&amp;"nn labirint ta 'problemi semantiċi u grammatikali Niceties. Bħal Alice in Wonderland, huwa spiss isib li t-terminoloġija speċifika m'għandhiex aktar (jew xejn inqas) tifsira minn dak li l-orator individwali għandu l-intenzjoni li jkollu. "" Huwa jinkoraġġ"&amp;"ixxi distinzjoni bejn dimostrazzjoni ta 'protesta legali, diżubbidjenza ċivili mhux vjolenti, u diżubbidjenza ċivili vjolenti.")</f>
        <v>Legrande jikteb li "l-formulazzjoni ta 'definizzjoni waħda li tiġbor fiha t-terminu hija estremament diffiċli, jekk mhux impossibbli. Meta tirrevedi l-letteratura voluminuża dwar is-suġġett, l-istudent ta' diżubbidjenza ċivili malajr isib ruħu mdawwar minn labirint ta 'problemi semantiċi u grammatikali Niceties. Bħal Alice in Wonderland, huwa spiss isib li t-terminoloġija speċifika m'għandhiex aktar (jew xejn inqas) tifsira minn dak li l-orator individwali għandu l-intenzjoni li jkollu. " Huwa jinkoraġġixxi distinzjoni bejn dimostrazzjoni ta 'protesta legali, diżubbidjenza ċivili mhux vjolenti, u diżubbidjenza ċivili vjolenti.</v>
      </c>
    </row>
    <row r="3216" ht="15.75" customHeight="1">
      <c r="A3216" s="2" t="s">
        <v>3216</v>
      </c>
      <c r="B3216" s="2" t="str">
        <f>IFERROR(__xludf.DUMMYFUNCTION("GOOGLETRANSLATE(A3216,""en"", ""mt"")")," Meta l-kolonji Spanjoli u Portugiżi tilfu l-indipendenza tagħhom.")</f>
        <v> Meta l-kolonji Spanjoli u Portugiżi tilfu l-indipendenza tagħhom.</v>
      </c>
    </row>
    <row r="3217" ht="15.75" customHeight="1">
      <c r="A3217" s="2" t="s">
        <v>3217</v>
      </c>
      <c r="B3217" s="2" t="str">
        <f>IFERROR(__xludf.DUMMYFUNCTION("GOOGLETRANSLATE(A3217,""en"", ""mt"")"),"repulsjoni ta 'ħlasijiet simili")</f>
        <v>repulsjoni ta 'ħlasijiet simili</v>
      </c>
    </row>
    <row r="3218" ht="15.75" customHeight="1">
      <c r="A3218" s="2" t="s">
        <v>3218</v>
      </c>
      <c r="B3218" s="2" t="str">
        <f>IFERROR(__xludf.DUMMYFUNCTION("GOOGLETRANSLATE(A3218,""en"", ""mt"")"),"dipendenza fuq it-tagħlim ta 'sħabhom")</f>
        <v>dipendenza fuq it-tagħlim ta 'sħabhom</v>
      </c>
    </row>
    <row r="3219" ht="15.75" customHeight="1">
      <c r="A3219" s="2" t="s">
        <v>3219</v>
      </c>
      <c r="B3219" s="2" t="str">
        <f>IFERROR(__xludf.DUMMYFUNCTION("GOOGLETRANSLATE(A3219,""en"", ""mt"")"),"Fl-2001, 16-il Akkademja Nazzjonali tax-Xjenza ħarġu dikjarazzjoni konġunta dwar it-tibdil fil-klima. Id-dikjarazzjoni konġunta saret mill-Akkademja tax-Xjenza Awstraljana, l-Akkademja Irjali tal-Belġju għax-Xjenza u l-Arti, l-Akkademja tax-Xjenzi Brażilj"&amp;"ana, ir-Royal Society of Canada, l-Akkademja tax-Xjenzi tal-Karibew, l-Akkademja Ċiniża tax-Xjenzi, il-Franċiżi, il-Franċiżi Akkademja tax-Xjenzi, L-Akkademja Ġermaniża tax-Xjentisti Naturali Leopoldina, l-Akkademja Nazzjonali tax-Xjenza Indjana, l-Akkade"&amp;"mja tax-Xjenzi Indoneżjani, l-Akkademja Irlandiża Rjali, Akkademja Nazionale Dei Lincei (l-Italja), l-Akkademja tax-Xjenzi tal-Malasja, l-Akkademja tal-Kunsill tas-Soċjetà Rjali ta ’New Zealand, l-Akkademja tax-Xjenzi Irjali Żvediża, u r-Royal Society (ir"&amp;"-Renju Unit). L-istqarrija, ippubblikata wkoll bħala editorjal fil-ġurnal Science, iddikjarat ""Aħna nappoġġjaw il-konklużjoni [TAR] li hija tal-anqas 90% ċerta li t-temperaturi se jkomplu jiżdiedu, bil-medja tat-temperatura globali tal-wiċċ prevista li t"&amp;"iżdied b'2.4 u 5.8 ° C 'il fuq mil-livelli tal-1990 b'2100 "". Il-qatran ġie wkoll approvat mill-Fondazzjoni Kanadiża għax-Xjenzi dwar il-Klima u l-Atmosferiċi, is-Soċjetà Meteoroloġika u Oċeanografika Kanadiża, u l-Unjoni Ewropea tal-Geosciences (irrefer"&amp;"i għal ""approvazzjonijiet ta 'l-IPCC"").")</f>
        <v>Fl-2001, 16-il Akkademja Nazzjonali tax-Xjenza ħarġu dikjarazzjoni konġunta dwar it-tibdil fil-klima. Id-dikjarazzjoni konġunta saret mill-Akkademja tax-Xjenza Awstraljana, l-Akkademja Irjali tal-Belġju għax-Xjenza u l-Arti, l-Akkademja tax-Xjenzi Brażiljana, ir-Royal Society of Canada, l-Akkademja tax-Xjenzi tal-Karibew, l-Akkademja Ċiniża tax-Xjenzi, il-Franċiżi, il-Franċiżi Akkademja tax-Xjenzi, L-Akkademja Ġermaniża tax-Xjentisti Naturali Leopoldina, l-Akkademja Nazzjonali tax-Xjenza Indjana, l-Akkademja tax-Xjenzi Indoneżjani, l-Akkademja Irlandiża Rjali, Akkademja Nazionale Dei Lincei (l-Italja), l-Akkademja tax-Xjenzi tal-Malasja, l-Akkademja tal-Kunsill tas-Soċjetà Rjali ta ’New Zealand, l-Akkademja tax-Xjenzi Irjali Żvediża, u r-Royal Society (ir-Renju Unit). L-istqarrija, ippubblikata wkoll bħala editorjal fil-ġurnal Science, iddikjarat "Aħna nappoġġjaw il-konklużjoni [TAR] li hija tal-anqas 90% ċerta li t-temperaturi se jkomplu jiżdiedu, bil-medja tat-temperatura globali tal-wiċċ prevista li tiżdied b'2.4 u 5.8 ° C 'il fuq mil-livelli tal-1990 b'2100 ". Il-qatran ġie wkoll approvat mill-Fondazzjoni Kanadiża għax-Xjenzi dwar il-Klima u l-Atmosferiċi, is-Soċjetà Meteoroloġika u Oċeanografika Kanadiża, u l-Unjoni Ewropea tal-Geosciences (irreferi għal "approvazzjonijiet ta 'l-IPCC").</v>
      </c>
    </row>
    <row r="3220" ht="15.75" customHeight="1">
      <c r="A3220" s="2" t="s">
        <v>3220</v>
      </c>
      <c r="B3220" s="2" t="str">
        <f>IFERROR(__xludf.DUMMYFUNCTION("GOOGLETRANSLATE(A3220,""en"", ""mt"")"),"Lower Norfolk County")</f>
        <v>Lower Norfolk County</v>
      </c>
    </row>
    <row r="3221" ht="15.75" customHeight="1">
      <c r="A3221" s="2" t="s">
        <v>3221</v>
      </c>
      <c r="B3221" s="2" t="str">
        <f>IFERROR(__xludf.DUMMYFUNCTION("GOOGLETRANSLATE(A3221,""en"", ""mt"")"),"Fir-rebbiegħa tal-1753, Paul Marin de la Malgue ingħata kmand ta ’forza ta’ 2,000 raġel ta ’truppi de la Marine u Indjani. L-ordnijiet tiegħu kienu li jipproteġu l-art tar-re fil-Wied ta 'Ohio mill-Ingliżi. Marin segwa r-rotta li Céloron kien fassal erba "&amp;"'snin qabel, iżda fejn Céloron kien illimita r-rekord tat-talbiet Franċiżi għad-difna ta' pjanċi taċ-ċomb, Marin mibni u forts garrisoned. Huwa l-ewwel bena Fort Presque Isle (ħdejn Erie tal-lum, Pennsylvania) fuq ix-Xatt tan-Nofsinhar tal-Lag Erie. Kellu"&amp;" triq mibnija lejn il-headwaters ta ’Leboeuf Creek. Marin bena t-tieni Fort fil-Fort Le Boeuf (preżenti Waterford, Pennsylvania), iddisinjat biex jgħasses il-headwaters ta 'Leboeuf Creek. Hekk kif mexa lejn in-nofsinhar, huwa saq jew qabad negozjanti Ingl"&amp;"iżi, allarmanti kemm lill-Ingliżi kif ukoll lill-Iroquois. Tanaghrisson, kap tal-Mingo, li kienu fdalijiet ta 'Iroquois u tribujiet oħra li kienu mmexxija lejn il-punent minn espansjoni kolonjali. Huwa ma qagħadx b'mod intensiv lill-Franċiżi (li huwa akku"&amp;"żat li qatel u jiekol lil missieru). Jivvjaġġa lejn Fort Le Boeuf, huwa hedded lill-Franċiżi b'azzjoni militari, li Marin ċaħad b'mod dispreġġjattiv.")</f>
        <v>Fir-rebbiegħa tal-1753, Paul Marin de la Malgue ingħata kmand ta ’forza ta’ 2,000 raġel ta ’truppi de la Marine u Indjani. L-ordnijiet tiegħu kienu li jipproteġu l-art tar-re fil-Wied ta 'Ohio mill-Ingliżi. Marin segwa r-rotta li Céloron kien fassal erba 'snin qabel, iżda fejn Céloron kien illimita r-rekord tat-talbiet Franċiżi għad-difna ta' pjanċi taċ-ċomb, Marin mibni u forts garrisoned. Huwa l-ewwel bena Fort Presque Isle (ħdejn Erie tal-lum, Pennsylvania) fuq ix-Xatt tan-Nofsinhar tal-Lag Erie. Kellu triq mibnija lejn il-headwaters ta ’Leboeuf Creek. Marin bena t-tieni Fort fil-Fort Le Boeuf (preżenti Waterford, Pennsylvania), iddisinjat biex jgħasses il-headwaters ta 'Leboeuf Creek. Hekk kif mexa lejn in-nofsinhar, huwa saq jew qabad negozjanti Ingliżi, allarmanti kemm lill-Ingliżi kif ukoll lill-Iroquois. Tanaghrisson, kap tal-Mingo, li kienu fdalijiet ta 'Iroquois u tribujiet oħra li kienu mmexxija lejn il-punent minn espansjoni kolonjali. Huwa ma qagħadx b'mod intensiv lill-Franċiżi (li huwa akkużat li qatel u jiekol lil missieru). Jivvjaġġa lejn Fort Le Boeuf, huwa hedded lill-Franċiżi b'azzjoni militari, li Marin ċaħad b'mod dispreġġjattiv.</v>
      </c>
    </row>
    <row r="3222" ht="15.75" customHeight="1">
      <c r="A3222" s="2" t="s">
        <v>3222</v>
      </c>
      <c r="B3222" s="2" t="str">
        <f>IFERROR(__xludf.DUMMYFUNCTION("GOOGLETRANSLATE(A3222,""en"", ""mt"")"),"Saħħa Mentali (Kura u Trattament) (l-Iskozja) Att 2003")</f>
        <v>Saħħa Mentali (Kura u Trattament) (l-Iskozja) Att 2003</v>
      </c>
    </row>
    <row r="3223" ht="15.75" customHeight="1">
      <c r="A3223" s="2" t="s">
        <v>3223</v>
      </c>
      <c r="B3223" s="2" t="str">
        <f>IFERROR(__xludf.DUMMYFUNCTION("GOOGLETRANSLATE(A3223,""en"", ""mt"")"),"X'jiġri wara li ċ-ċomb idub?")</f>
        <v>X'jiġri wara li ċ-ċomb idub?</v>
      </c>
    </row>
    <row r="3224" ht="15.75" customHeight="1">
      <c r="A3224" s="2" t="s">
        <v>3224</v>
      </c>
      <c r="B3224" s="2" t="str">
        <f>IFERROR(__xludf.DUMMYFUNCTION("GOOGLETRANSLATE(A3224,""en"", ""mt"")"),"Kompjuters ospitanti")</f>
        <v>Kompjuters ospitanti</v>
      </c>
    </row>
    <row r="3225" ht="15.75" customHeight="1">
      <c r="A3225" s="2" t="s">
        <v>3225</v>
      </c>
      <c r="B3225" s="2" t="str">
        <f>IFERROR(__xludf.DUMMYFUNCTION("GOOGLETRANSLATE(A3225,""en"", ""mt"")"),"L-ekwilibriju dinamiku ġie deskritt għall-ewwel darba minn Galileo li ndunat li ċerti suppożizzjonijiet tal-fiżika aristoteljana kienu kontradetti minn osservazzjonijiet u loġika. Galileo induna li żieda sempliċi ta 'veloċità titlob li l-kunċett ta' ""qaf"&amp;"as ta 'mistrieħ assolut"" ma jeżistix. Galileo kkonkluda li l-mozzjoni f'veloċità kostanti kienet kompletament ekwivalenti għall-mistrieħ. Dan kien kuntrarju għall-kunċett ta 'Aristotile ta' ""stat naturali"" ta 'mistrieħ li joġġezzjona bil-massa avviċina"&amp;"ti b'mod naturali. Esperimenti sempliċi wrew li l-fehim ta 'Galileo dwar l-ekwivalenza tal-veloċità kostanti u l-mistrieħ kienu korretti. Pereżempju, jekk baħħara waqqa 'kanun mill-bejta taċ-ċawla ta' vapur li jiċċaqlaq b'veloċità kostanti, il-fiżika Aris"&amp;"toteljana jkollha l-kanun tal-kanun jaqa 'dritt' l isfel waqt li l-vapur mexa taħtha. Għalhekk, f'univers aristoteljan, il-kanun tal-waqgħa jinżel wara l-qiegħ tal-arblu ta 'vapur li jiċċaqlaq. Madankollu, meta dan l-esperiment jitmexxa fil-fatt, il-kanun"&amp;" tal-kanun dejjem jaqa 'f'riġlejn l-arblu, bħallikieku l-kanun tal-kanun jaf jivvjaġġa mal-vapur minkejja li jkun separat minnu. Peress li m'hemm l-ebda forza orizzontali 'l quddiem li qed tiġi applikata fuq il-kanun tal-kanun hekk kif taqa', l-unika konk"&amp;"lużjoni li fadal hija li l-cannonball ikompli jimxi bl-istess veloċità bħad-dgħajsa kif taqa '. Għalhekk, l-ebda forza mhija meħtieġa biex iżżomm il-kanun jiċċaqlaq bil-veloċità kostanti.")</f>
        <v>L-ekwilibriju dinamiku ġie deskritt għall-ewwel darba minn Galileo li ndunat li ċerti suppożizzjonijiet tal-fiżika aristoteljana kienu kontradetti minn osservazzjonijiet u loġika. Galileo induna li żieda sempliċi ta 'veloċità titlob li l-kunċett ta' "qafas ta 'mistrieħ assolut" ma jeżistix. Galileo kkonkluda li l-mozzjoni f'veloċità kostanti kienet kompletament ekwivalenti għall-mistrieħ. Dan kien kuntrarju għall-kunċett ta 'Aristotile ta' "stat naturali" ta 'mistrieħ li joġġezzjona bil-massa avviċinati b'mod naturali. Esperimenti sempliċi wrew li l-fehim ta 'Galileo dwar l-ekwivalenza tal-veloċità kostanti u l-mistrieħ kienu korretti. Pereżempju, jekk baħħara waqqa 'kanun mill-bejta taċ-ċawla ta' vapur li jiċċaqlaq b'veloċità kostanti, il-fiżika Aristoteljana jkollha l-kanun tal-kanun jaqa 'dritt' l isfel waqt li l-vapur mexa taħtha. Għalhekk, f'univers aristoteljan, il-kanun tal-waqgħa jinżel wara l-qiegħ tal-arblu ta 'vapur li jiċċaqlaq. Madankollu, meta dan l-esperiment jitmexxa fil-fatt, il-kanun tal-kanun dejjem jaqa 'f'riġlejn l-arblu, bħallikieku l-kanun tal-kanun jaf jivvjaġġa mal-vapur minkejja li jkun separat minnu. Peress li m'hemm l-ebda forza orizzontali 'l quddiem li qed tiġi applikata fuq il-kanun tal-kanun hekk kif taqa', l-unika konklużjoni li fadal hija li l-cannonball ikompli jimxi bl-istess veloċità bħad-dgħajsa kif taqa '. Għalhekk, l-ebda forza mhija meħtieġa biex iżżomm il-kanun jiċċaqlaq bil-veloċità kostanti.</v>
      </c>
    </row>
    <row r="3226" ht="15.75" customHeight="1">
      <c r="A3226" s="2" t="s">
        <v>3226</v>
      </c>
      <c r="B3226" s="2" t="str">
        <f>IFERROR(__xludf.DUMMYFUNCTION("GOOGLETRANSLATE(A3226,""en"", ""mt"")"),"Is-sitt inqas")</f>
        <v>Is-sitt inqas</v>
      </c>
    </row>
    <row r="3227" ht="15.75" customHeight="1">
      <c r="A3227" s="2" t="s">
        <v>3227</v>
      </c>
      <c r="B3227" s="2" t="str">
        <f>IFERROR(__xludf.DUMMYFUNCTION("GOOGLETRANSLATE(A3227,""en"", ""mt"")"),"Il-klassifikazzjoni industrijali standard u s-sistema l-aktar ġdida ta 'klassifikazzjoni tal-industrija tal-Amerika ta' Fuq għandhom sistema ta 'klassifikazzjoni għal kumpaniji li jwettqu jew inkella jidħlu fil-kostruzzjoni. Biex tirrikonoxxi d-differenzi"&amp;" tal-kumpaniji f'dan is-settur, hija maqsuma fi tliet subsetturi: kostruzzjoni tal-bini, kostruzzjoni ta 'inġinerija tqila u ċivili, u kuntratturi tal-kummerċ ta' speċjalità. Hemm ukoll kategoriji għal ditti ta 'servizzi ta' kostruzzjoni (per eżempju, inġ"&amp;"inerija, arkitettura) u maniġers ta 'kostruzzjoni (ditti involuti fil-ġestjoni ta' proġetti ta 'kostruzzjoni mingħajr ma jassumu r-responsabbiltà finanzjarja diretta għat-tlestija tal-proġett ta' kostruzzjoni).")</f>
        <v>Il-klassifikazzjoni industrijali standard u s-sistema l-aktar ġdida ta 'klassifikazzjoni tal-industrija tal-Amerika ta' Fuq għandhom sistema ta 'klassifikazzjoni għal kumpaniji li jwettqu jew inkella jidħlu fil-kostruzzjoni. Biex tirrikonoxxi d-differenzi tal-kumpaniji f'dan is-settur, hija maqsuma fi tliet subsetturi: kostruzzjoni tal-bini, kostruzzjoni ta 'inġinerija tqila u ċivili, u kuntratturi tal-kummerċ ta' speċjalità. Hemm ukoll kategoriji għal ditti ta 'servizzi ta' kostruzzjoni (per eżempju, inġinerija, arkitettura) u maniġers ta 'kostruzzjoni (ditti involuti fil-ġestjoni ta' proġetti ta 'kostruzzjoni mingħajr ma jassumu r-responsabbiltà finanzjarja diretta għat-tlestija tal-proġett ta' kostruzzjoni).</v>
      </c>
    </row>
    <row r="3228" ht="15.75" customHeight="1">
      <c r="A3228" s="2" t="s">
        <v>3228</v>
      </c>
      <c r="B3228" s="2" t="str">
        <f>IFERROR(__xludf.DUMMYFUNCTION("GOOGLETRANSLATE(A3228,""en"", ""mt"")"),"Tim tal-Università tat-Tramuntana tal-Florida")</f>
        <v>Tim tal-Università tat-Tramuntana tal-Florida</v>
      </c>
    </row>
    <row r="3229" ht="15.75" customHeight="1">
      <c r="A3229" s="2" t="s">
        <v>3229</v>
      </c>
      <c r="B3229" s="2" t="str">
        <f>IFERROR(__xludf.DUMMYFUNCTION("GOOGLETRANSLATE(A3229,""en"", ""mt"")"),"Valley Rhine")</f>
        <v>Valley Rhine</v>
      </c>
    </row>
    <row r="3230" ht="15.75" customHeight="1">
      <c r="A3230" s="2" t="s">
        <v>3230</v>
      </c>
      <c r="B3230" s="2" t="str">
        <f>IFERROR(__xludf.DUMMYFUNCTION("GOOGLETRANSLATE(A3230,""en"", ""mt"")"),"Il-President Eġizzjan Anwar Sadat - li l-politiki tiegħu kienu jinkludu l-ftuħ tal-Eġittu għall-Investiment tal-Punent (Infitah); it-trasferiment tal-lealtà tal-Eġittu mill-Unjoni Sovjetika lejn l-Istati Uniti; U jagħmel il-paċi ma 'l-Iżrael - rilaxxat Iż"&amp;"lamisti mill-ħabs u laqgħu l-eżiljati tad-dar fl-iskambju taċitu għall-appoġġ politiku fit-taqbida tiegħu kontra x-xellugin. L- ""inkoraġġiment tal-emerġenza tal-moviment Iżlamista"" kien qal li kien ""imitat minn bosta mexxejja Musulmani oħra fis-snin li"&amp;" ġew wara."" Dan il- ""ftehim ta 'rġulija"" bejn Sadat u Iżlamisti kissru fl-1975 iżda mhux qabel l-Iżlamisti waslu biex jiddominaw kompletament l-għaqdiet ta' studenti universitarji. Sadat aktar tard ġie maqtul u ribelljoni formidabbli ġiet iffurmata fl-"&amp;"Eġittu fid-disgħinijiet. Il-gvern Franċiż ġie rrappurtat ukoll li ppromwova l-predikaturi Iżlamisti ""bit-tama li jwasslu l-enerġiji Musulmani f'żoni ta 'pjetà u karità.""")</f>
        <v>Il-President Eġizzjan Anwar Sadat - li l-politiki tiegħu kienu jinkludu l-ftuħ tal-Eġittu għall-Investiment tal-Punent (Infitah); it-trasferiment tal-lealtà tal-Eġittu mill-Unjoni Sovjetika lejn l-Istati Uniti; U jagħmel il-paċi ma 'l-Iżrael - rilaxxat Iżlamisti mill-ħabs u laqgħu l-eżiljati tad-dar fl-iskambju taċitu għall-appoġġ politiku fit-taqbida tiegħu kontra x-xellugin. L- "inkoraġġiment tal-emerġenza tal-moviment Iżlamista" kien qal li kien "imitat minn bosta mexxejja Musulmani oħra fis-snin li ġew wara." Dan il- "ftehim ta 'rġulija" bejn Sadat u Iżlamisti kissru fl-1975 iżda mhux qabel l-Iżlamisti waslu biex jiddominaw kompletament l-għaqdiet ta' studenti universitarji. Sadat aktar tard ġie maqtul u ribelljoni formidabbli ġiet iffurmata fl-Eġittu fid-disgħinijiet. Il-gvern Franċiż ġie rrappurtat ukoll li ppromwova l-predikaturi Iżlamisti "bit-tama li jwasslu l-enerġiji Musulmani f'żoni ta 'pjetà u karità."</v>
      </c>
    </row>
    <row r="3231" ht="15.75" customHeight="1">
      <c r="A3231" s="2" t="s">
        <v>3231</v>
      </c>
      <c r="B3231" s="2" t="str">
        <f>IFERROR(__xludf.DUMMYFUNCTION("GOOGLETRANSLATE(A3231,""en"", ""mt"")"),"Otilling")</f>
        <v>Otilling</v>
      </c>
    </row>
    <row r="3232" ht="15.75" customHeight="1">
      <c r="A3232" s="2" t="s">
        <v>3232</v>
      </c>
      <c r="B3232" s="2" t="str">
        <f>IFERROR(__xludf.DUMMYFUNCTION("GOOGLETRANSLATE(A3232,""en"", ""mt"")"),"Xi Huguenots ġġieldu fil-pajjiżi baxxi flimkien mal-Olandiżi kontra Spanja matul l-ewwel snin tar-rewwixta Olandiża (1568-1609). Ir-Repubblika Olandiża malajr saret destinazzjoni għal Huguenot Exiles. Ir-rabtiet bikrija kienu diġà viżibbli fl- ""apologie"&amp;""" ta 'William is-siekta, li kkundanna l-Inkwiżizzjoni Spanjola, li kienet miktuba mill-ministru tal-qorti tiegħu, il-Huguenot Pierre L'Oyseleur, Lord of Villiers. Louise de Coligny, bint il-mexxej tal-Huguenot maqtul Gaspard de Coligny, iżżewġet lil Will"&amp;"iam is-Silent, mexxej tar-rewwixta Olandiża (Kalvinista) kontra l-ħakma Spanjola (Kattolika). Hekk kif it-tnejn tkellmu bil-Franċiż fil-ħajja ta ’kuljum, il-knisja tal-qorti tagħhom fil-Prinsenhof f’Delft kellha servizzi bil-Franċiż. Il-prattika kompliet "&amp;"sal-ġurnata tal-lum. Il-Prinsenhof hija waħda mill-14-il knisja attiva tal-walloon tal-Knisja Riformata Olandiża. Ir-rabtiet bejn Huguenots u t-tmexxija militari u politika tar-Repubblika Olandiża, il-Kamra ta 'Orange-Nassau, li kienet teżisti mill-jiem b"&amp;"ikrija tar-rewwixta Olandiża, għenu biex jappoġġjaw il-bosta insedjamenti bikrija ta' Huguenots fil-kolonji tar-Repubblika Olandiża. Huma stabbilixxew fil-Kap ta ’Tama Tajba fl-Afrika t'Isfel u l-Olanda Ġdida fl-Amerika ta’ Fuq.")</f>
        <v>Xi Huguenots ġġieldu fil-pajjiżi baxxi flimkien mal-Olandiżi kontra Spanja matul l-ewwel snin tar-rewwixta Olandiża (1568-1609). Ir-Repubblika Olandiża malajr saret destinazzjoni għal Huguenot Exiles. Ir-rabtiet bikrija kienu diġà viżibbli fl- "apologie" ta 'William is-siekta, li kkundanna l-Inkwiżizzjoni Spanjola, li kienet miktuba mill-ministru tal-qorti tiegħu, il-Huguenot Pierre L'Oyseleur, Lord of Villiers. Louise de Coligny, bint il-mexxej tal-Huguenot maqtul Gaspard de Coligny, iżżewġet lil William is-Silent, mexxej tar-rewwixta Olandiża (Kalvinista) kontra l-ħakma Spanjola (Kattolika). Hekk kif it-tnejn tkellmu bil-Franċiż fil-ħajja ta ’kuljum, il-knisja tal-qorti tagħhom fil-Prinsenhof f’Delft kellha servizzi bil-Franċiż. Il-prattika kompliet sal-ġurnata tal-lum. Il-Prinsenhof hija waħda mill-14-il knisja attiva tal-walloon tal-Knisja Riformata Olandiża. Ir-rabtiet bejn Huguenots u t-tmexxija militari u politika tar-Repubblika Olandiża, il-Kamra ta 'Orange-Nassau, li kienet teżisti mill-jiem bikrija tar-rewwixta Olandiża, għenu biex jappoġġjaw il-bosta insedjamenti bikrija ta' Huguenots fil-kolonji tar-Repubblika Olandiża. Huma stabbilixxew fil-Kap ta ’Tama Tajba fl-Afrika t'Isfel u l-Olanda Ġdida fl-Amerika ta’ Fuq.</v>
      </c>
    </row>
    <row r="3233" ht="15.75" customHeight="1">
      <c r="A3233" s="2" t="s">
        <v>3233</v>
      </c>
      <c r="B3233" s="2" t="str">
        <f>IFERROR(__xludf.DUMMYFUNCTION("GOOGLETRANSLATE(A3233,""en"", ""mt"")"),"Fuq liema riżorsa hija l-ekonomija tan-Nofsinhar tal-Kalifornja?")</f>
        <v>Fuq liema riżorsa hija l-ekonomija tan-Nofsinhar tal-Kalifornja?</v>
      </c>
    </row>
    <row r="3234" ht="15.75" customHeight="1">
      <c r="A3234" s="2" t="s">
        <v>3234</v>
      </c>
      <c r="B3234" s="2" t="str">
        <f>IFERROR(__xludf.DUMMYFUNCTION("GOOGLETRANSLATE(A3234,""en"", ""mt"")"),"Fattur importanti fil-ħolqien ta 'inugwaljanza huwa l-varjazzjoni fl-aċċess ta' individwi għall-edukazzjoni. L-edukazzjoni, speċjalment f'qasam fejn hemm domanda għolja għall-ħaddiema, toħloq pagi għoljin għal dawk b'din l-edukazzjoni, madankollu, żidiet "&amp;"fl-edukazzjoni l-ewwel jiżdiedu u mbagħad inaqqsu t-tkabbir kif ukoll l-inugwaljanza tad-dħul. Bħala riżultat, dawk li ma jistgħux jaffordjaw edukazzjoni, jew jagħżlu li ma jsegwux edukazzjoni fakultattiva, ġeneralment jirċievu pagi ferm aktar baxxi. Il-ġ"&amp;"ustifikazzjoni għal dan hija li nuqqas ta 'edukazzjoni jwassal direttament għal dħul aktar baxx, u b'hekk aktar baxxi ffrankar u investiment aggregat. Bil-maqlub, l-edukazzjoni tqajjem id-dħul u tippromwovi t-tkabbir minħabba li tgħin biex tinħeles il-pot"&amp;"enzjal produttiv tal-foqra.")</f>
        <v>Fattur importanti fil-ħolqien ta 'inugwaljanza huwa l-varjazzjoni fl-aċċess ta' individwi għall-edukazzjoni. L-edukazzjoni, speċjalment f'qasam fejn hemm domanda għolja għall-ħaddiema, toħloq pagi għoljin għal dawk b'din l-edukazzjoni, madankollu, żidiet fl-edukazzjoni l-ewwel jiżdiedu u mbagħad inaqqsu t-tkabbir kif ukoll l-inugwaljanza tad-dħul. Bħala riżultat, dawk li ma jistgħux jaffordjaw edukazzjoni, jew jagħżlu li ma jsegwux edukazzjoni fakultattiva, ġeneralment jirċievu pagi ferm aktar baxxi. Il-ġustifikazzjoni għal dan hija li nuqqas ta 'edukazzjoni jwassal direttament għal dħul aktar baxx, u b'hekk aktar baxxi ffrankar u investiment aggregat. Bil-maqlub, l-edukazzjoni tqajjem id-dħul u tippromwovi t-tkabbir minħabba li tgħin biex tinħeles il-potenzjal produttiv tal-foqra.</v>
      </c>
    </row>
    <row r="3235" ht="15.75" customHeight="1">
      <c r="A3235" s="2" t="s">
        <v>3235</v>
      </c>
      <c r="B3235" s="2" t="str">
        <f>IFERROR(__xludf.DUMMYFUNCTION("GOOGLETRANSLATE(A3235,""en"", ""mt"")"),"Priestley x’jiġri l-esperiment tal-gass tiegħu?")</f>
        <v>Priestley x’jiġri l-esperiment tal-gass tiegħu?</v>
      </c>
    </row>
    <row r="3236" ht="15.75" customHeight="1">
      <c r="A3236" s="2" t="s">
        <v>3236</v>
      </c>
      <c r="B3236" s="2" t="str">
        <f>IFERROR(__xludf.DUMMYFUNCTION("GOOGLETRANSLATE(A3236,""en"", ""mt"")"),"L-idrografija tad-delta attwali hija kkaratterizzata mill-armi ewlenin tad-delta, armi skonnettjati (Hollandse ijssel, linge, vecht, eċċ.) U xmajjar u nixxigħat iżgħar. Ħafna xmajjar ingħalqu (""imtaqqba"") u issa jservu bħala kanali tad-drenaġġ għall-pol"&amp;"ders numerużi. Il-kostruzzjoni ta 'xogħlijiet ta' Delta biddlet id-delta fit-tieni nofs tas-seklu 20. Bħalissa Rhine Water tidħol fil-baħar, jew ġo bajjiet tal-baħar preċedenti issa separati mill-baħar, f'ħames postijiet, jiġifieri f'ħalq in-Nieuwe Merwed"&amp;"e, Nieuwe Waterway (Nieuwe Maas), Dordtse Kil, SPUI u IJSel.")</f>
        <v>L-idrografija tad-delta attwali hija kkaratterizzata mill-armi ewlenin tad-delta, armi skonnettjati (Hollandse ijssel, linge, vecht, eċċ.) U xmajjar u nixxigħat iżgħar. Ħafna xmajjar ingħalqu ("imtaqqba") u issa jservu bħala kanali tad-drenaġġ għall-polders numerużi. Il-kostruzzjoni ta 'xogħlijiet ta' Delta biddlet id-delta fit-tieni nofs tas-seklu 20. Bħalissa Rhine Water tidħol fil-baħar, jew ġo bajjiet tal-baħar preċedenti issa separati mill-baħar, f'ħames postijiet, jiġifieri f'ħalq in-Nieuwe Merwede, Nieuwe Waterway (Nieuwe Maas), Dordtse Kil, SPUI u IJSel.</v>
      </c>
    </row>
    <row r="3237" ht="15.75" customHeight="1">
      <c r="A3237" s="2" t="s">
        <v>3237</v>
      </c>
      <c r="B3237" s="2" t="str">
        <f>IFERROR(__xludf.DUMMYFUNCTION("GOOGLETRANSLATE(A3237,""en"", ""mt"")"),"Field Marshall")</f>
        <v>Field Marshall</v>
      </c>
    </row>
    <row r="3238" ht="15.75" customHeight="1">
      <c r="A3238" s="2" t="s">
        <v>3238</v>
      </c>
      <c r="B3238" s="2" t="str">
        <f>IFERROR(__xludf.DUMMYFUNCTION("GOOGLETRANSLATE(A3238,""en"", ""mt"")"),"Għalkemm il-biċċa l-kbira mhumiex allinjati, uħud mill-iskejjel indipendenti l-aktar magħrufa jappartjenu wkoll għall-pedamenti reliġjużi l-kbar li ilhom stabbiliti, bħall-Knisja Anglikana, l-għaqda tal-Knisja u l-Knisja Presbiterjana, iżda f'ħafna każiji"&amp;"et, ma jinsistux fuq l-istudenti tagħhom 'lealtà reliġjuża. Dawn l-iskejjel huma tipikament meqjusa bħala 'skejjel elite'. Ħafna mill- ""iskejjel tal-grammatika"" jaqgħu wkoll f'din il-kategorija. Normalment huma skejjel għaljin li għandhom it-tendenza li"&amp;" jkunu fis-suq u fl-istil tradizzjonali, xi skejjel Kattoliċi jaqgħu f'din il-kategorija wkoll, p.e. St Joseph's College, Gregory Terrace, Saint Injatius 'College, Riverview, St Gregory's College, Campbelltown, St Aloysius' College (Sydney) u St Joseph's "&amp;"College, Hunters Hill, kif ukoll Loreto Kirribilli, Monte Sant Angelo Mercy College, St Ursula College, College's u Loreto Normanhurst għall-bniet.")</f>
        <v>Għalkemm il-biċċa l-kbira mhumiex allinjati, uħud mill-iskejjel indipendenti l-aktar magħrufa jappartjenu wkoll għall-pedamenti reliġjużi l-kbar li ilhom stabbiliti, bħall-Knisja Anglikana, l-għaqda tal-Knisja u l-Knisja Presbiterjana, iżda f'ħafna każijiet, ma jinsistux fuq l-istudenti tagħhom 'lealtà reliġjuża. Dawn l-iskejjel huma tipikament meqjusa bħala 'skejjel elite'. Ħafna mill- "iskejjel tal-grammatika" jaqgħu wkoll f'din il-kategorija. Normalment huma skejjel għaljin li għandhom it-tendenza li jkunu fis-suq u fl-istil tradizzjonali, xi skejjel Kattoliċi jaqgħu f'din il-kategorija wkoll, p.e. St Joseph's College, Gregory Terrace, Saint Injatius 'College, Riverview, St Gregory's College, Campbelltown, St Aloysius' College (Sydney) u St Joseph's College, Hunters Hill, kif ukoll Loreto Kirribilli, Monte Sant Angelo Mercy College, St Ursula College, College's u Loreto Normanhurst għall-bniet.</v>
      </c>
    </row>
    <row r="3239" ht="15.75" customHeight="1">
      <c r="A3239" s="2" t="s">
        <v>3239</v>
      </c>
      <c r="B3239" s="2" t="str">
        <f>IFERROR(__xludf.DUMMYFUNCTION("GOOGLETRANSLATE(A3239,""en"", ""mt"")"),"Fit-tarf oppost minn ħalq")</f>
        <v>Fit-tarf oppost minn ħalq</v>
      </c>
    </row>
    <row r="3240" ht="15.75" customHeight="1">
      <c r="A3240" s="2" t="s">
        <v>3240</v>
      </c>
      <c r="B3240" s="2" t="str">
        <f>IFERROR(__xludf.DUMMYFUNCTION("GOOGLETRANSLATE(A3240,""en"", ""mt"")"),"X'inhu l-istadju 1 fil-ħajja ta 'kont?")</f>
        <v>X'inhu l-istadju 1 fil-ħajja ta 'kont?</v>
      </c>
    </row>
    <row r="3241" ht="15.75" customHeight="1">
      <c r="A3241" s="2" t="s">
        <v>3241</v>
      </c>
      <c r="B3241" s="2" t="str">
        <f>IFERROR(__xludf.DUMMYFUNCTION("GOOGLETRANSLATE(A3241,""en"", ""mt"")"),"Liema twemmin liturġiku tal-Knisja Kattolika Lortie kkritikat bil-miftuħ?")</f>
        <v>Liema twemmin liturġiku tal-Knisja Kattolika Lortie kkritikat bil-miftuħ?</v>
      </c>
    </row>
    <row r="3242" ht="15.75" customHeight="1">
      <c r="A3242" s="2" t="s">
        <v>3242</v>
      </c>
      <c r="B3242" s="2" t="str">
        <f>IFERROR(__xludf.DUMMYFUNCTION("GOOGLETRANSLATE(A3242,""en"", ""mt"")"),"Il-forma tad-delta tar-Rhine hija determinata minn żewġ bifurcations: l-ewwel, f'Millingen Aan de Rijn, ir-Rhine jinqasam f'Waal u Pannerdens Kanaal, li jibdel isimha għal Nederrijn f'Rangen, u t-tieni ħdejn Arnhem, l-IJSSEL fergħat barra mill-Nederrijn J"&amp;"onqos Dan joħloq tliet flussi ewlenin, li tnejn minnhom ibiddlu ismijiet pjuttost spiss. L-akbar fergħa ewlenija u fin-Nofsinhar tibda bħala Waal u tkompli bħala Boven MerWede (""Upper MerWede""), Beneden MerWede (""Lower MerWede""), Noord River (""North "&amp;"River""), Nieuwe Maas (""New Meuse""), Het Scheur (""The RIP"") u Nieuwe Waterweg (""New Waterway""). Il-fluss tan-nofs jibda bħala Nederrijn, imbagħad jinbidel f'Lek, imbagħad jingħaqad mal-Noord, u b'hekk jifforma Nieuwe Maas. Il-fluss tat-tramuntana jż"&amp;"omm l-isem IJSSEL sakemm jgħaddi fil-Lag IJsselmeer. Tliet flussi oħra jġorru ammonti sinifikanti ta 'ilma: in-Nieuwe MerWede (""New MerWede""), li fergħat mill-fergħa tan-Nofsinhar fejn tinbidel minn Boven għal Beneden MerWede; L-Oude Maas (""Old Meuse"""&amp;"), li fergħat mill-fergħa tan-Nofsinhar fejn tinbidel minn Beneden MerWede f'Noord, u Dordtse Kil, li fergħat minn Oude Maas.")</f>
        <v>Il-forma tad-delta tar-Rhine hija determinata minn żewġ bifurcations: l-ewwel, f'Millingen Aan de Rijn, ir-Rhine jinqasam f'Waal u Pannerdens Kanaal, li jibdel isimha għal Nederrijn f'Rangen, u t-tieni ħdejn Arnhem, l-IJSSEL fergħat barra mill-Nederrijn Jonqos Dan joħloq tliet flussi ewlenin, li tnejn minnhom ibiddlu ismijiet pjuttost spiss. L-akbar fergħa ewlenija u fin-Nofsinhar tibda bħala Waal u tkompli bħala Boven MerWede ("Upper MerWede"), Beneden MerWede ("Lower MerWede"), Noord River ("North River"), Nieuwe Maas ("New Meuse"), Het Scheur ("The RIP") u Nieuwe Waterweg ("New Waterway"). Il-fluss tan-nofs jibda bħala Nederrijn, imbagħad jinbidel f'Lek, imbagħad jingħaqad mal-Noord, u b'hekk jifforma Nieuwe Maas. Il-fluss tat-tramuntana jżomm l-isem IJSSEL sakemm jgħaddi fil-Lag IJsselmeer. Tliet flussi oħra jġorru ammonti sinifikanti ta 'ilma: in-Nieuwe MerWede ("New MerWede"), li fergħat mill-fergħa tan-Nofsinhar fejn tinbidel minn Boven għal Beneden MerWede; L-Oude Maas ("Old Meuse"), li fergħat mill-fergħa tan-Nofsinhar fejn tinbidel minn Beneden MerWede f'Noord, u Dordtse Kil, li fergħat minn Oude Maas.</v>
      </c>
    </row>
    <row r="3243" ht="15.75" customHeight="1">
      <c r="A3243" s="2" t="s">
        <v>3243</v>
      </c>
      <c r="B3243" s="2" t="str">
        <f>IFERROR(__xludf.DUMMYFUNCTION("GOOGLETRANSLATE(A3243,""en"", ""mt"")"),"Is-suċċess tal-patoġeni huwa mbassar fuq il-kapaċità tagħhom li jagħmlu xiex?")</f>
        <v>Is-suċċess tal-patoġeni huwa mbassar fuq il-kapaċità tagħhom li jagħmlu xiex?</v>
      </c>
    </row>
    <row r="3244" ht="15.75" customHeight="1">
      <c r="A3244" s="2" t="s">
        <v>3244</v>
      </c>
      <c r="B3244" s="2" t="str">
        <f>IFERROR(__xludf.DUMMYFUNCTION("GOOGLETRANSLATE(A3244,""en"", ""mt"")"),"tqajjem il-produttività ta 'kull ħaddiem,")</f>
        <v>tqajjem il-produttività ta 'kull ħaddiem,</v>
      </c>
    </row>
    <row r="3245" ht="15.75" customHeight="1">
      <c r="A3245" s="2" t="s">
        <v>3245</v>
      </c>
      <c r="B3245" s="2" t="str">
        <f>IFERROR(__xludf.DUMMYFUNCTION("GOOGLETRANSLATE(A3245,""en"", ""mt"")"),"Liema organizzazzjoni argumentat li n-nixfa, fost effetti oħra, tista 'tikkawża li l-Forest Amazon jilħaq ""punt li jbaxxi?""")</f>
        <v>Liema organizzazzjoni argumentat li n-nixfa, fost effetti oħra, tista 'tikkawża li l-Forest Amazon jilħaq "punt li jbaxxi?"</v>
      </c>
    </row>
    <row r="3246" ht="15.75" customHeight="1">
      <c r="A3246" s="2" t="s">
        <v>3246</v>
      </c>
      <c r="B3246" s="2" t="str">
        <f>IFERROR(__xludf.DUMMYFUNCTION("GOOGLETRANSLATE(A3246,""en"", ""mt"")"),"X'jiteħtieġu X.25 u Frame Relay it-tnejn")</f>
        <v>X'jiteħtieġu X.25 u Frame Relay it-tnejn</v>
      </c>
    </row>
    <row r="3247" ht="15.75" customHeight="1">
      <c r="A3247" s="2" t="s">
        <v>3247</v>
      </c>
      <c r="B3247" s="2" t="str">
        <f>IFERROR(__xludf.DUMMYFUNCTION("GOOGLETRANSLATE(A3247,""en"", ""mt"")"),"Min kellu Toghtogha pprova jegħleb?")</f>
        <v>Min kellu Toghtogha pprova jegħleb?</v>
      </c>
    </row>
    <row r="3248" ht="15.75" customHeight="1">
      <c r="A3248" s="2" t="s">
        <v>3248</v>
      </c>
      <c r="B3248" s="2" t="str">
        <f>IFERROR(__xludf.DUMMYFUNCTION("GOOGLETRANSLATE(A3248,""en"", ""mt"")"),"""Reduċibilità fost problemi kombinatorji""")</f>
        <v>"Reduċibilità fost problemi kombinatorji"</v>
      </c>
    </row>
    <row r="3249" ht="15.75" customHeight="1">
      <c r="A3249" s="2" t="s">
        <v>3249</v>
      </c>
      <c r="B3249" s="2" t="str">
        <f>IFERROR(__xludf.DUMMYFUNCTION("GOOGLETRANSLATE(A3249,""en"", ""mt"")"),"Kull oġġett jista 'jkun, essenzjalment b'mod uniku, dekompost fil-komponenti ewlenin tiegħu")</f>
        <v>Kull oġġett jista 'jkun, essenzjalment b'mod uniku, dekompost fil-komponenti ewlenin tiegħu</v>
      </c>
    </row>
    <row r="3250" ht="15.75" customHeight="1">
      <c r="A3250" s="2" t="s">
        <v>3250</v>
      </c>
      <c r="B3250" s="2" t="str">
        <f>IFERROR(__xludf.DUMMYFUNCTION("GOOGLETRANSLATE(A3250,""en"", ""mt"")"),"li fih tista 'tagħmel liġijiet")</f>
        <v>li fih tista 'tagħmel liġijiet</v>
      </c>
    </row>
    <row r="3251" ht="15.75" customHeight="1">
      <c r="A3251" s="2" t="s">
        <v>3251</v>
      </c>
      <c r="B3251" s="2" t="str">
        <f>IFERROR(__xludf.DUMMYFUNCTION("GOOGLETRANSLATE(A3251,""en"", ""mt"")"),"Kemm outputs huma mistennija għal kull input fi problema ta 'funzjoni?")</f>
        <v>Kemm outputs huma mistennija għal kull input fi problema ta 'funzjoni?</v>
      </c>
    </row>
    <row r="3252" ht="15.75" customHeight="1">
      <c r="A3252" s="2" t="s">
        <v>3252</v>
      </c>
      <c r="B3252" s="2" t="str">
        <f>IFERROR(__xludf.DUMMYFUNCTION("GOOGLETRANSLATE(A3252,""en"", ""mt"")"),"il-qrati tal-istati membri")</f>
        <v>il-qrati tal-istati membri</v>
      </c>
    </row>
    <row r="3253" ht="15.75" customHeight="1">
      <c r="A3253" s="2" t="s">
        <v>3253</v>
      </c>
      <c r="B3253" s="2" t="str">
        <f>IFERROR(__xludf.DUMMYFUNCTION("GOOGLETRANSLATE(A3253,""en"", ""mt"")"),"Puente Hills")</f>
        <v>Puente Hills</v>
      </c>
    </row>
    <row r="3254" ht="15.75" customHeight="1">
      <c r="A3254" s="2" t="s">
        <v>3254</v>
      </c>
      <c r="B3254" s="2" t="str">
        <f>IFERROR(__xludf.DUMMYFUNCTION("GOOGLETRANSLATE(A3254,""en"", ""mt"")"),"Permezz tal-qbid tan-nixxiegħa, ir-Renu estenda l-ilma tal-baħar lejn in-nofsinhar. Sal-perjodu Pliocene, ir-Renu kien qabad nixxigħat sal-Muntanji Vosges, inklużi l-Mosel, il-Main u l-Neckar. L-Alpi tat-Tramuntana mbagħad ġew imsaffija mir-Rhone. Sal-per"&amp;"jodu bikri tal-Pleistocene, ir-Renu kien qabad il-biċċa l-kbira tal-ilma tal-ilma preżenti tiegħu mill-Rhône, inkluż l-AAR. Minn dak iż-żmien, ir-Rhine żied il-baqra tal-ilma 'l fuq mill-Lag Constance (Vorderrhein, Hinterrhein, Alpenrhein; maqbud mill-Rhô"&amp;"ne), il-parti ta' fuq tal-main, lil hinn minn Schweinfurt u l-muntanji Vosges, maqbuda mill-meuse, għall-ilma tagħha.")</f>
        <v>Permezz tal-qbid tan-nixxiegħa, ir-Renu estenda l-ilma tal-baħar lejn in-nofsinhar. Sal-perjodu Pliocene, ir-Renu kien qabad nixxigħat sal-Muntanji Vosges, inklużi l-Mosel, il-Main u l-Neckar. L-Alpi tat-Tramuntana mbagħad ġew imsaffija mir-Rhone. Sal-perjodu bikri tal-Pleistocene, ir-Renu kien qabad il-biċċa l-kbira tal-ilma tal-ilma preżenti tiegħu mill-Rhône, inkluż l-AAR. Minn dak iż-żmien, ir-Rhine żied il-baqra tal-ilma 'l fuq mill-Lag Constance (Vorderrhein, Hinterrhein, Alpenrhein; maqbud mill-Rhône), il-parti ta' fuq tal-main, lil hinn minn Schweinfurt u l-muntanji Vosges, maqbuda mill-meuse, għall-ilma tagħha.</v>
      </c>
    </row>
    <row r="3255" ht="15.75" customHeight="1">
      <c r="A3255" s="2" t="s">
        <v>3255</v>
      </c>
      <c r="B3255" s="2" t="str">
        <f>IFERROR(__xludf.DUMMYFUNCTION("GOOGLETRANSLATE(A3255,""en"", ""mt"")"),"lura lejn New York")</f>
        <v>lura lejn New York</v>
      </c>
    </row>
    <row r="3256" ht="15.75" customHeight="1">
      <c r="A3256" s="2" t="s">
        <v>3256</v>
      </c>
      <c r="B3256" s="2" t="str">
        <f>IFERROR(__xludf.DUMMYFUNCTION("GOOGLETRANSLATE(A3256,""en"", ""mt"")"),"Ferħ")</f>
        <v>Ferħ</v>
      </c>
    </row>
    <row r="3257" ht="15.75" customHeight="1">
      <c r="A3257" s="2" t="s">
        <v>3257</v>
      </c>
      <c r="B3257" s="2" t="str">
        <f>IFERROR(__xludf.DUMMYFUNCTION("GOOGLETRANSLATE(A3257,""en"", ""mt"")"),"tħeġġeġ")</f>
        <v>tħeġġeġ</v>
      </c>
    </row>
    <row r="3258" ht="15.75" customHeight="1">
      <c r="A3258" s="2" t="s">
        <v>3258</v>
      </c>
      <c r="B3258" s="2" t="str">
        <f>IFERROR(__xludf.DUMMYFUNCTION("GOOGLETRANSLATE(A3258,""en"", ""mt"")"),"Metodu biex jitnaqqas il-kobor ta 'dan it-tisħin u t-tkessiħ ġie vvintat fl-1804 mill-inġinier Ingliż Arthur Woolf, li brevetta l-magna kompost tiegħu bi pressjoni għolja tas-suf fl-1805. Fil-magna kompost, fwar bi pressjoni għolja mill-bojler jespandi f'"&amp;"livell għoli Ċilindru tal-pressjoni (HP) u mbagħad jidħol f'ċilindri sussegwenti jew aktar ta 'pressjoni baxxa (LP). L-espansjoni sħiħa tal-fwar issa sseħħ f'ċilindri multipli u hekk kif inqas espansjoni sseħħ f'kull ċilindru inqas sħana tintilef mill-fwa"&amp;"r f'kull wieħed. Dan inaqqas il-kobor tat-tisħin u t-tkessiħ taċ-ċilindru, u jżid l-effiċjenza tal-magna. Billi twaqqaf l-espansjoni f'ċilindri multipli, il-varjabbiltà tat-torque tista 'titnaqqas. Biex toħroġ xogħol ugwali minn fwar bi pressjoni baxxa te"&amp;"ħtieġ volum ta 'ċilindru akbar peress li dan il-fwar jokkupa volum akbar. Għalhekk, l-imtaqqab, u ħafna drabi l-puplesija, huma miżjuda f'ċilindri ta 'pressjoni baxxa li jirriżultaw f'ċilindri akbar.")</f>
        <v>Metodu biex jitnaqqas il-kobor ta 'dan it-tisħin u t-tkessiħ ġie vvintat fl-1804 mill-inġinier Ingliż Arthur Woolf, li brevetta l-magna kompost tiegħu bi pressjoni għolja tas-suf fl-1805. Fil-magna kompost, fwar bi pressjoni għolja mill-bojler jespandi f'livell għoli Ċilindru tal-pressjoni (HP) u mbagħad jidħol f'ċilindri sussegwenti jew aktar ta 'pressjoni baxxa (LP). L-espansjoni sħiħa tal-fwar issa sseħħ f'ċilindri multipli u hekk kif inqas espansjoni sseħħ f'kull ċilindru inqas sħana tintilef mill-fwar f'kull wieħed. Dan inaqqas il-kobor tat-tisħin u t-tkessiħ taċ-ċilindru, u jżid l-effiċjenza tal-magna. Billi twaqqaf l-espansjoni f'ċilindri multipli, il-varjabbiltà tat-torque tista 'titnaqqas. Biex toħroġ xogħol ugwali minn fwar bi pressjoni baxxa teħtieġ volum ta 'ċilindru akbar peress li dan il-fwar jokkupa volum akbar. Għalhekk, l-imtaqqab, u ħafna drabi l-puplesija, huma miżjuda f'ċilindri ta 'pressjoni baxxa li jirriżultaw f'ċilindri akbar.</v>
      </c>
    </row>
    <row r="3259" ht="15.75" customHeight="1">
      <c r="A3259" s="2" t="s">
        <v>3259</v>
      </c>
      <c r="B3259" s="2" t="str">
        <f>IFERROR(__xludf.DUMMYFUNCTION("GOOGLETRANSLATE(A3259,""en"", ""mt"")"),"mitħna tad-dqiq")</f>
        <v>mitħna tad-dqiq</v>
      </c>
    </row>
    <row r="3260" ht="15.75" customHeight="1">
      <c r="A3260" s="2" t="s">
        <v>3260</v>
      </c>
      <c r="B3260" s="2" t="str">
        <f>IFERROR(__xludf.DUMMYFUNCTION("GOOGLETRANSLATE(A3260,""en"", ""mt"")"),"Aqbad it-TV")</f>
        <v>Aqbad it-TV</v>
      </c>
    </row>
    <row r="3261" ht="15.75" customHeight="1">
      <c r="A3261" s="2" t="s">
        <v>3261</v>
      </c>
      <c r="B3261" s="2" t="str">
        <f>IFERROR(__xludf.DUMMYFUNCTION("GOOGLETRANSLATE(A3261,""en"", ""mt"")"),"Żieda fil-funzjonazzjonijiet (l-affarijiet li persuna tagħmel valuri), kapaċitajiet (il-libertà li tgawdi l-funzjonazzjonijiet) u l-aġenzija (il-kapaċità li ssegwi għanijiet stmati)")</f>
        <v>Żieda fil-funzjonazzjonijiet (l-affarijiet li persuna tagħmel valuri), kapaċitajiet (il-libertà li tgawdi l-funzjonazzjonijiet) u l-aġenzija (il-kapaċità li ssegwi għanijiet stmati)</v>
      </c>
    </row>
    <row r="3262" ht="15.75" customHeight="1">
      <c r="A3262" s="2" t="s">
        <v>3262</v>
      </c>
      <c r="B3262" s="2" t="str">
        <f>IFERROR(__xludf.DUMMYFUNCTION("GOOGLETRANSLATE(A3262,""en"", ""mt"")"),"Steod u ġġieled għall-aħħar")</f>
        <v>Steod u ġġieled għall-aħħar</v>
      </c>
    </row>
    <row r="3263" ht="15.75" customHeight="1">
      <c r="A3263" s="2" t="s">
        <v>3263</v>
      </c>
      <c r="B3263" s="2" t="str">
        <f>IFERROR(__xludf.DUMMYFUNCTION("GOOGLETRANSLATE(A3263,""en"", ""mt"")"),"X'inhu t-terminu għall-arranġament ta 'żewġ elettroni mhux imqabbla f'Dioxygen?")</f>
        <v>X'inhu t-terminu għall-arranġament ta 'żewġ elettroni mhux imqabbla f'Dioxygen?</v>
      </c>
    </row>
    <row r="3264" ht="15.75" customHeight="1">
      <c r="A3264" s="2" t="s">
        <v>3264</v>
      </c>
      <c r="B3264" s="2" t="str">
        <f>IFERROR(__xludf.DUMMYFUNCTION("GOOGLETRANSLATE(A3264,""en"", ""mt"")"),"mgħoddi")</f>
        <v>mgħoddi</v>
      </c>
    </row>
    <row r="3265" ht="15.75" customHeight="1">
      <c r="A3265" s="2" t="s">
        <v>3265</v>
      </c>
      <c r="B3265" s="2" t="str">
        <f>IFERROR(__xludf.DUMMYFUNCTION("GOOGLETRANSLATE(A3265,""en"", ""mt"")"),"tifforma sħubijiet kummerċjali ma 'tobba jew tagħtihom ħlasijiet ""kickback""")</f>
        <v>tifforma sħubijiet kummerċjali ma 'tobba jew tagħtihom ħlasijiet "kickback"</v>
      </c>
    </row>
    <row r="3266" ht="15.75" customHeight="1">
      <c r="A3266" s="2" t="s">
        <v>3266</v>
      </c>
      <c r="B3266" s="2" t="str">
        <f>IFERROR(__xludf.DUMMYFUNCTION("GOOGLETRANSLATE(A3266,""en"", ""mt"")"),"Huguenots individwali stabbilixxew fil-Kap tat-Tama Tajba mill-1671 bil-wasla ta 'François Villion (Viljoen). L-ewwel Huguenot li tasal fil-Kap ta 'Good Hope kienet madankollu Maria de la Queillerie, il-mara tal-Kmandant Jan Van Riebeeck (u bint ministru "&amp;"tal-knisja tal-walloon), li waslet fis-6 ta' April 1652 biex tistabbilixxi ftehim dwar dak li hu llum Cape Town Jonqos Il-koppja telqet għal-Lvant Imbiegħed għaxar snin wara. Fil-31 ta 'Diċembru 1687 l-ewwel grupp organizzat ta' Huguenots waqqaf mill-Olan"&amp;"da sal-Post tal-Kumpanija tal-Indja tal-Lvant Olandiża fil-Kap ta 'Good Hope. L-akbar porzjon tal-Huguenots li joqgħod fil-Kap wasal bejn l-1688 u l-1689 f'seba 'vapuri bħala parti mill-migrazzjoni organizzata, iżda ftit waslu ftit sa l-1700; Wara dan, in"&amp;"-numri naqsu u l-gruppi żgħar biss waslu kull darba.")</f>
        <v>Huguenots individwali stabbilixxew fil-Kap tat-Tama Tajba mill-1671 bil-wasla ta 'François Villion (Viljoen). L-ewwel Huguenot li tasal fil-Kap ta 'Good Hope kienet madankollu Maria de la Queillerie, il-mara tal-Kmandant Jan Van Riebeeck (u bint ministru tal-knisja tal-walloon), li waslet fis-6 ta' April 1652 biex tistabbilixxi ftehim dwar dak li hu llum Cape Town Jonqos Il-koppja telqet għal-Lvant Imbiegħed għaxar snin wara. Fil-31 ta 'Diċembru 1687 l-ewwel grupp organizzat ta' Huguenots waqqaf mill-Olanda sal-Post tal-Kumpanija tal-Indja tal-Lvant Olandiża fil-Kap ta 'Good Hope. L-akbar porzjon tal-Huguenots li joqgħod fil-Kap wasal bejn l-1688 u l-1689 f'seba 'vapuri bħala parti mill-migrazzjoni organizzata, iżda ftit waslu ftit sa l-1700; Wara dan, in-numri naqsu u l-gruppi żgħar biss waslu kull darba.</v>
      </c>
    </row>
    <row r="3267" ht="15.75" customHeight="1">
      <c r="A3267" s="2" t="s">
        <v>3267</v>
      </c>
      <c r="B3267" s="2" t="str">
        <f>IFERROR(__xludf.DUMMYFUNCTION("GOOGLETRANSLATE(A3267,""en"", ""mt"")"),"Xi xerrejja lmentaw id-daqs żgħir tal-ewwel kumpatti Ġappuniżi, u kemm Toyota kif ukoll Nissan (dak iż-żmien magħrufa bħala Datsun) introduċew karozzi ikbar bħalma huma t-Toyota Corona Mark II, it-Toyota Cressida, il-Mazda 616 u Datsun 810, li żiedu l-isp"&amp;"azju tal-passiġġieri u Il-faċilitajiet bħall-kondizzjonament tal-arja, l-isteering tal-enerġija, ir-radji AM-FM, u anke t-twieqi tal-enerġija u l-illokkjar ċentrali mingħajr ma jiżdied il-prezz tal-vettura. Għaxar snin wara l-kriżi taż-żejt tal-1973, Hond"&amp;"a, Toyota u Nissan, affettwati mir-restrizzjonijiet volontarji tal-esportazzjoni tal-1981, fetħu impjanti tal-assemblaġġ tal-Istati Uniti u stabbilixxew id-diviżjonijiet lussużi tagħhom (Acura, Lexus u Infiniti, rispettivament) biex jiddistingwu ruħhom mi"&amp;"ll-marki tas-suq tal-massa tagħhom.")</f>
        <v>Xi xerrejja lmentaw id-daqs żgħir tal-ewwel kumpatti Ġappuniżi, u kemm Toyota kif ukoll Nissan (dak iż-żmien magħrufa bħala Datsun) introduċew karozzi ikbar bħalma huma t-Toyota Corona Mark II, it-Toyota Cressida, il-Mazda 616 u Datsun 810, li żiedu l-ispazju tal-passiġġieri u Il-faċilitajiet bħall-kondizzjonament tal-arja, l-isteering tal-enerġija, ir-radji AM-FM, u anke t-twieqi tal-enerġija u l-illokkjar ċentrali mingħajr ma jiżdied il-prezz tal-vettura. Għaxar snin wara l-kriżi taż-żejt tal-1973, Honda, Toyota u Nissan, affettwati mir-restrizzjonijiet volontarji tal-esportazzjoni tal-1981, fetħu impjanti tal-assemblaġġ tal-Istati Uniti u stabbilixxew id-diviżjonijiet lussużi tagħhom (Acura, Lexus u Infiniti, rispettivament) biex jiddistingwu ruħhom mill-marki tas-suq tal-massa tagħhom.</v>
      </c>
    </row>
    <row r="3268" ht="15.75" customHeight="1">
      <c r="A3268" s="2" t="s">
        <v>3268</v>
      </c>
      <c r="B3268" s="2" t="str">
        <f>IFERROR(__xludf.DUMMYFUNCTION("GOOGLETRANSLATE(A3268,""en"", ""mt"")"),"Is-Sala tal-Assemblea Ġenerali tal-Knisja tal-Iskozja")</f>
        <v>Is-Sala tal-Assemblea Ġenerali tal-Knisja tal-Iskozja</v>
      </c>
    </row>
    <row r="3269" ht="15.75" customHeight="1">
      <c r="A3269" s="2" t="s">
        <v>3269</v>
      </c>
      <c r="B3269" s="2" t="str">
        <f>IFERROR(__xludf.DUMMYFUNCTION("GOOGLETRANSLATE(A3269,""en"", ""mt"")"),"In-Nofsinhar ta ’California hija d-dar għal bosta distretti kummerċjali ewlenin. Distretti tan-Negozju Ċentrali (CBD) jinkludu downtown ta ’Los Angeles, Downtown San Diego, Downtown San Bernardino, Downtown Bakersfield, South Coast Metro u Downtown Rivers"&amp;"ide.")</f>
        <v>In-Nofsinhar ta ’California hija d-dar għal bosta distretti kummerċjali ewlenin. Distretti tan-Negozju Ċentrali (CBD) jinkludu downtown ta ’Los Angeles, Downtown San Diego, Downtown San Bernardino, Downtown Bakersfield, South Coast Metro u Downtown Riverside.</v>
      </c>
    </row>
    <row r="3270" ht="15.75" customHeight="1">
      <c r="A3270" s="2" t="s">
        <v>3270</v>
      </c>
      <c r="B3270" s="2" t="str">
        <f>IFERROR(__xludf.DUMMYFUNCTION("GOOGLETRANSLATE(A3270,""en"", ""mt"")"),"Minn xiex saru Chao?")</f>
        <v>Minn xiex saru Chao?</v>
      </c>
    </row>
    <row r="3271" ht="15.75" customHeight="1">
      <c r="A3271" s="2" t="s">
        <v>3271</v>
      </c>
      <c r="B3271" s="2" t="str">
        <f>IFERROR(__xludf.DUMMYFUNCTION("GOOGLETRANSLATE(A3271,""en"", ""mt"")"),"Re ta ’Franza")</f>
        <v>Re ta ’Franza</v>
      </c>
    </row>
    <row r="3272" ht="15.75" customHeight="1">
      <c r="A3272" s="2" t="s">
        <v>3272</v>
      </c>
      <c r="B3272" s="2" t="str">
        <f>IFERROR(__xludf.DUMMYFUNCTION("GOOGLETRANSLATE(A3272,""en"", ""mt"")"),"Għal xiex ħabbret Microsoft li se tibdel l-isem ta 'Sky Drive Pro?")</f>
        <v>Għal xiex ħabbret Microsoft li se tibdel l-isem ta 'Sky Drive Pro?</v>
      </c>
    </row>
    <row r="3273" ht="15.75" customHeight="1">
      <c r="A3273" s="2" t="s">
        <v>3273</v>
      </c>
      <c r="B3273" s="2" t="str">
        <f>IFERROR(__xludf.DUMMYFUNCTION("GOOGLETRANSLATE(A3273,""en"", ""mt"")"),"it-tieni l-iktar")</f>
        <v>it-tieni l-iktar</v>
      </c>
    </row>
    <row r="3274" ht="15.75" customHeight="1">
      <c r="A3274" s="2" t="s">
        <v>3274</v>
      </c>
      <c r="B3274" s="2" t="str">
        <f>IFERROR(__xludf.DUMMYFUNCTION("GOOGLETRANSLATE(A3274,""en"", ""mt"")"),"Żviluppi li fihom ix-xjenzati influwenzaw il-ħolqien tal-farmakoloġija fl-Islam medjevali?")</f>
        <v>Żviluppi li fihom ix-xjenzati influwenzaw il-ħolqien tal-farmakoloġija fl-Islam medjevali?</v>
      </c>
    </row>
    <row r="3275" ht="15.75" customHeight="1">
      <c r="A3275" s="2" t="s">
        <v>3275</v>
      </c>
      <c r="B3275" s="2" t="str">
        <f>IFERROR(__xludf.DUMMYFUNCTION("GOOGLETRANSLATE(A3275,""en"", ""mt"")"),"X’għamel negozjant greedy lill-sirena?")</f>
        <v>X’għamel negozjant greedy lill-sirena?</v>
      </c>
    </row>
    <row r="3276" ht="15.75" customHeight="1">
      <c r="A3276" s="2" t="s">
        <v>3276</v>
      </c>
      <c r="B3276" s="2" t="str">
        <f>IFERROR(__xludf.DUMMYFUNCTION("GOOGLETRANSLATE(A3276,""en"", ""mt"")"),"L’glise du Saint-Esprit")</f>
        <v>L’glise du Saint-Esprit</v>
      </c>
    </row>
    <row r="3277" ht="15.75" customHeight="1">
      <c r="A3277" s="2" t="s">
        <v>3277</v>
      </c>
      <c r="B3277" s="2" t="str">
        <f>IFERROR(__xludf.DUMMYFUNCTION("GOOGLETRANSLATE(A3277,""en"", ""mt"")"),"Biex tipprovdi metodu ta 'rotta tolleranti għall-ħsarat u effiċjenti għal messaġġi tat-telekomunikazzjoni")</f>
        <v>Biex tipprovdi metodu ta 'rotta tolleranti għall-ħsarat u effiċjenti għal messaġġi tat-telekomunikazzjoni</v>
      </c>
    </row>
    <row r="3278" ht="15.75" customHeight="1">
      <c r="A3278" s="2" t="s">
        <v>3278</v>
      </c>
      <c r="B3278" s="2" t="str">
        <f>IFERROR(__xludf.DUMMYFUNCTION("GOOGLETRANSLATE(A3278,""en"", ""mt"")"),"Liema għażla kellha l-Franċiż għall-art li ċediet?")</f>
        <v>Liema għażla kellha l-Franċiż għall-art li ċediet?</v>
      </c>
    </row>
    <row r="3279" ht="15.75" customHeight="1">
      <c r="A3279" s="2" t="s">
        <v>3279</v>
      </c>
      <c r="B3279" s="2" t="str">
        <f>IFERROR(__xludf.DUMMYFUNCTION("GOOGLETRANSLATE(A3279,""en"", ""mt"")"),"Michael Heckenberger u l-kollegi tal-Università ta ’Florida")</f>
        <v>Michael Heckenberger u l-kollegi tal-Università ta ’Florida</v>
      </c>
    </row>
    <row r="3280" ht="15.75" customHeight="1">
      <c r="A3280" s="2" t="s">
        <v>3280</v>
      </c>
      <c r="B3280" s="2" t="str">
        <f>IFERROR(__xludf.DUMMYFUNCTION("GOOGLETRANSLATE(A3280,""en"", ""mt"")"),"Għal żmien twil, kien maħsub li l-foresta tropikali tal-Amażonja kienet biss ippopolata ftit, peress li kien impossibbli li ssostni popolazzjoni kbira permezz tal-agrikoltura minħabba l-ħamrija fqira. L-arkeologu Betty Meggers kienet proponent prominenti "&amp;"ta 'din l-idea, kif deskritt fil-ktieb tagħha Amazonia: Man and Culture in a Fals Paradise. Hija sostniet li densità ta 'popolazzjoni ta' 0.2 abitanti għal kull kilometru kwadru (0.52 / sq mi) hija l-massimu li jista 'jiġi sostnut fil-foresta tropikali pe"&amp;"rmezz tal-kaċċa, bl-agrikoltura meħtieġa biex tospita popolazzjoni akbar. Madankollu, sejbiet antropoloġiċi reċenti ssuġġerew li r-reġjun kien attwalment popolat densament. Xi 5 miljun persuna setgħu għexu fir-reġjun tal-Amażonja fl-1500 AD, maqsuma bejn "&amp;"insedjamenti kostali densi, bħal dak f'Marijó, u dawk li joqogħdu interni. Sal-1900 il-popolazzjoni kienet naqset għal 1 miljun u sal-bidu tas-snin 1980 kienet inqas minn 200,000.")</f>
        <v>Għal żmien twil, kien maħsub li l-foresta tropikali tal-Amażonja kienet biss ippopolata ftit, peress li kien impossibbli li ssostni popolazzjoni kbira permezz tal-agrikoltura minħabba l-ħamrija fqira. L-arkeologu Betty Meggers kienet proponent prominenti ta 'din l-idea, kif deskritt fil-ktieb tagħha Amazonia: Man and Culture in a Fals Paradise. Hija sostniet li densità ta 'popolazzjoni ta' 0.2 abitanti għal kull kilometru kwadru (0.52 / sq mi) hija l-massimu li jista 'jiġi sostnut fil-foresta tropikali permezz tal-kaċċa, bl-agrikoltura meħtieġa biex tospita popolazzjoni akbar. Madankollu, sejbiet antropoloġiċi reċenti ssuġġerew li r-reġjun kien attwalment popolat densament. Xi 5 miljun persuna setgħu għexu fir-reġjun tal-Amażonja fl-1500 AD, maqsuma bejn insedjamenti kostali densi, bħal dak f'Marijó, u dawk li joqogħdu interni. Sal-1900 il-popolazzjoni kienet naqset għal 1 miljun u sal-bidu tas-snin 1980 kienet inqas minn 200,000.</v>
      </c>
    </row>
    <row r="3281" ht="15.75" customHeight="1">
      <c r="A3281" s="2" t="s">
        <v>3281</v>
      </c>
      <c r="B3281" s="2" t="str">
        <f>IFERROR(__xludf.DUMMYFUNCTION("GOOGLETRANSLATE(A3281,""en"", ""mt"")"),"malajr u deċiżiv")</f>
        <v>malajr u deċiżiv</v>
      </c>
    </row>
    <row r="3282" ht="15.75" customHeight="1">
      <c r="A3282" s="2" t="s">
        <v>3282</v>
      </c>
      <c r="B3282" s="2" t="str">
        <f>IFERROR(__xludf.DUMMYFUNCTION("GOOGLETRANSLATE(A3282,""en"", ""mt"")"),"Madwar l-1685, ir-refuġjati Huguenot sabu kenn fil-Luterani u stati riformati fil-Ġermanja u fl-Iskandinavja. Kważi 50,000 Huguenots stabbilixxew ruħhom fil-Ġermanja, li 20,000 minnhom ġew milqugħa fi Brandenburg-Prussja, fejn ingħataw privileġġi speċjali"&amp;" (editt ta 'Potsdam) u knejjes li fihom għandhom jaduraw (bħalma huma l-Knisja ta' San Pietru u San Pawl, Angermünde ) minn Frederick William, l-Elettur ta 'Brandenburg u Duka tal-Prussja. Il-Huguenots ipprovda żewġ reġimenti ġodda tal-armata tiegħu: ir-r"&amp;"eġimenti tal-infanterija Altpreußische Nru 13 (Reġiment fuq Foot Varenne) u 15 (Regiment fuq Foot Wylich). 4,000 Huguenots oħra stabbilixxew fit-territorji Ġermaniżi ta 'Baden, Franconia (il-Prinċipat ta' Bayreuth, il-Prinċipat ta 'Ansbach), Landgraviate "&amp;"ta' Hesse-Kassel, Dukat ta 'Württemberg, fl-Assoċjazzjoni ta' Wetterau ta 'l-Imperjali, fil-Palatinat u Palatinat-Zweibrücken, Rhine-Main-Area (Frankfurt), fis-Saarland tal-ġurnata moderna; u 1,500 sabu kenn f'Hamburg, Bremen u Sassonja t'Isfel. Tliet mit"&amp;"t refuġjat ingħataw ażil fil-qorti ta ’George William, Duka ta’ Brunswick-Lüneburg f’Celle.")</f>
        <v>Madwar l-1685, ir-refuġjati Huguenot sabu kenn fil-Luterani u stati riformati fil-Ġermanja u fl-Iskandinavja. Kważi 50,000 Huguenots stabbilixxew ruħhom fil-Ġermanja, li 20,000 minnhom ġew milqugħa fi Brandenburg-Prussja, fejn ingħataw privileġġi speċjali (editt ta 'Potsdam) u knejjes li fihom għandhom jaduraw (bħalma huma l-Knisja ta' San Pietru u San Pawl, Angermünde ) minn Frederick William, l-Elettur ta 'Brandenburg u Duka tal-Prussja. Il-Huguenots ipprovda żewġ reġimenti ġodda tal-armata tiegħu: ir-reġimenti tal-infanterija Altpreußische Nru 13 (Reġiment fuq Foot Varenne) u 15 (Regiment fuq Foot Wylich). 4,000 Huguenots oħra stabbilixxew fit-territorji Ġermaniżi ta 'Baden, Franconia (il-Prinċipat ta' Bayreuth, il-Prinċipat ta 'Ansbach), Landgraviate ta' Hesse-Kassel, Dukat ta 'Württemberg, fl-Assoċjazzjoni ta' Wetterau ta 'l-Imperjali, fil-Palatinat u Palatinat-Zweibrücken, Rhine-Main-Area (Frankfurt), fis-Saarland tal-ġurnata moderna; u 1,500 sabu kenn f'Hamburg, Bremen u Sassonja t'Isfel. Tliet mitt refuġjat ingħataw ażil fil-qorti ta ’George William, Duka ta’ Brunswick-Lüneburg f’Celle.</v>
      </c>
    </row>
    <row r="3283" ht="15.75" customHeight="1">
      <c r="A3283" s="2" t="s">
        <v>3283</v>
      </c>
      <c r="B3283" s="2" t="str">
        <f>IFERROR(__xludf.DUMMYFUNCTION("GOOGLETRANSLATE(A3283,""en"", ""mt"")"),"paramagnetiku")</f>
        <v>paramagnetiku</v>
      </c>
    </row>
    <row r="3284" ht="15.75" customHeight="1">
      <c r="A3284" s="2" t="s">
        <v>3284</v>
      </c>
      <c r="B3284" s="2" t="str">
        <f>IFERROR(__xludf.DUMMYFUNCTION("GOOGLETRANSLATE(A3284,""en"", ""mt"")"),"Is-sistema immuni adatta għandha tiddistingwi bejn liema tipi ta 'molekuli?")</f>
        <v>Is-sistema immuni adatta għandha tiddistingwi bejn liema tipi ta 'molekuli?</v>
      </c>
    </row>
    <row r="3285" ht="15.75" customHeight="1">
      <c r="A3285" s="2" t="s">
        <v>3285</v>
      </c>
      <c r="B3285" s="2" t="str">
        <f>IFERROR(__xludf.DUMMYFUNCTION("GOOGLETRANSLATE(A3285,""en"", ""mt"")"),"NP-Complete")</f>
        <v>NP-Complete</v>
      </c>
    </row>
    <row r="3286" ht="15.75" customHeight="1">
      <c r="A3286" s="2" t="s">
        <v>3286</v>
      </c>
      <c r="B3286" s="2" t="str">
        <f>IFERROR(__xludf.DUMMYFUNCTION("GOOGLETRANSLATE(A3286,""en"", ""mt"")"),"Fl-Afganistan, ir-rebħa tal-Mujahideen kontra l-Unjoni Sovjetika fis-snin 80 ma wasslitx għall-ġustizzja u l-prosperità, minħabba gwerra ċivili vizzjuża u distruttiva bejn il-kmandanti tal-gwerra politiċi u tribali, li għamlet l-Afganistan wieħed mill-ifq"&amp;"ar pajjiżi fid-dinja. Fl-1992, ir-Repubblika Demokratika ta 'l-Afganistan immexxija mill-forzi komunisti waqa', u l-elementi Iżlamisti Demokratiċi ta 'Mujahdeen waqqfu l-Istat Iżlamiku ta' l-Afganistan. Fl-1996, moviment Iżlamista aktar konservattiv u ant"&amp;"i-demokratiku magħruf bħala t-Taliban tela 'għall-poter, għeleb ħafna mill-kmandanti tal-gwerra u ħa madwar 80% tal-Afganistan.")</f>
        <v>Fl-Afganistan, ir-rebħa tal-Mujahideen kontra l-Unjoni Sovjetika fis-snin 80 ma wasslitx għall-ġustizzja u l-prosperità, minħabba gwerra ċivili vizzjuża u distruttiva bejn il-kmandanti tal-gwerra politiċi u tribali, li għamlet l-Afganistan wieħed mill-ifqar pajjiżi fid-dinja. Fl-1992, ir-Repubblika Demokratika ta 'l-Afganistan immexxija mill-forzi komunisti waqa', u l-elementi Iżlamisti Demokratiċi ta 'Mujahdeen waqqfu l-Istat Iżlamiku ta' l-Afganistan. Fl-1996, moviment Iżlamista aktar konservattiv u anti-demokratiku magħruf bħala t-Taliban tela 'għall-poter, għeleb ħafna mill-kmandanti tal-gwerra u ħa madwar 80% tal-Afganistan.</v>
      </c>
    </row>
    <row r="3287" ht="15.75" customHeight="1">
      <c r="A3287" s="2" t="s">
        <v>3287</v>
      </c>
      <c r="B3287" s="2" t="str">
        <f>IFERROR(__xludf.DUMMYFUNCTION("GOOGLETRANSLATE(A3287,""en"", ""mt"")"),"Linux")</f>
        <v>Linux</v>
      </c>
    </row>
    <row r="3288" ht="15.75" customHeight="1">
      <c r="A3288" s="2" t="s">
        <v>3288</v>
      </c>
      <c r="B3288" s="2" t="str">
        <f>IFERROR(__xludf.DUMMYFUNCTION("GOOGLETRANSLATE(A3288,""en"", ""mt"")"),"Netwerk tax-Xjenza tal-Kompjuter")</f>
        <v>Netwerk tax-Xjenza tal-Kompjuter</v>
      </c>
    </row>
    <row r="3289" ht="15.75" customHeight="1">
      <c r="A3289" s="2" t="s">
        <v>3289</v>
      </c>
      <c r="B3289" s="2" t="str">
        <f>IFERROR(__xludf.DUMMYFUNCTION("GOOGLETRANSLATE(A3289,""en"", ""mt"")"),"X'inhu l-għan tal-approċċ tal-kapaċitajiet?")</f>
        <v>X'inhu l-għan tal-approċċ tal-kapaċitajiet?</v>
      </c>
    </row>
    <row r="3290" ht="15.75" customHeight="1">
      <c r="A3290" s="2" t="s">
        <v>3290</v>
      </c>
      <c r="B3290" s="2" t="str">
        <f>IFERROR(__xludf.DUMMYFUNCTION("GOOGLETRANSLATE(A3290,""en"", ""mt"")"),"counterflow")</f>
        <v>counterflow</v>
      </c>
    </row>
    <row r="3291" ht="15.75" customHeight="1">
      <c r="A3291" s="2" t="s">
        <v>3291</v>
      </c>
      <c r="B3291" s="2" t="str">
        <f>IFERROR(__xludf.DUMMYFUNCTION("GOOGLETRANSLATE(A3291,""en"", ""mt"")"),"Meta huma meħtieġa inqas ħaddiema, x'jiġri mis-suq tax-xogħol?")</f>
        <v>Meta huma meħtieġa inqas ħaddiema, x'jiġri mis-suq tax-xogħol?</v>
      </c>
    </row>
    <row r="3292" ht="15.75" customHeight="1">
      <c r="A3292" s="2" t="s">
        <v>3292</v>
      </c>
      <c r="B3292" s="2" t="str">
        <f>IFERROR(__xludf.DUMMYFUNCTION("GOOGLETRANSLATE(A3292,""en"", ""mt"")"),"Bidu kemm snin ilu l-Amazon Rainforest estendiet 45 grad fin-nofsinhar?")</f>
        <v>Bidu kemm snin ilu l-Amazon Rainforest estendiet 45 grad fin-nofsinhar?</v>
      </c>
    </row>
    <row r="3293" ht="15.75" customHeight="1">
      <c r="A3293" s="2" t="s">
        <v>3293</v>
      </c>
      <c r="B3293" s="2" t="str">
        <f>IFERROR(__xludf.DUMMYFUNCTION("GOOGLETRANSLATE(A3293,""en"", ""mt"")"),"Liema trattament mediku jintuża biex iżżid l-assorbiment ta 'ossiġnu f'pazjent?")</f>
        <v>Liema trattament mediku jintuża biex iżżid l-assorbiment ta 'ossiġnu f'pazjent?</v>
      </c>
    </row>
    <row r="3294" ht="15.75" customHeight="1">
      <c r="A3294" s="2" t="s">
        <v>3294</v>
      </c>
      <c r="B3294" s="2" t="str">
        <f>IFERROR(__xludf.DUMMYFUNCTION("GOOGLETRANSLATE(A3294,""en"", ""mt"")"),"Fejn se jitwaqqa 'Canonball mill-bejta taċ-ċawla ta' art tal-vapur skond Aristotile?")</f>
        <v>Fejn se jitwaqqa 'Canonball mill-bejta taċ-ċawla ta' art tal-vapur skond Aristotile?</v>
      </c>
    </row>
    <row r="3295" ht="15.75" customHeight="1">
      <c r="A3295" s="2" t="s">
        <v>3295</v>
      </c>
      <c r="B3295" s="2" t="str">
        <f>IFERROR(__xludf.DUMMYFUNCTION("GOOGLETRANSLATE(A3295,""en"", ""mt"")"),"Min irreġistra ""Mixi fi Fresno?""")</f>
        <v>Min irreġistra "Mixi fi Fresno?"</v>
      </c>
    </row>
    <row r="3296" ht="15.75" customHeight="1">
      <c r="A3296" s="2" t="s">
        <v>3296</v>
      </c>
      <c r="B3296" s="2" t="str">
        <f>IFERROR(__xludf.DUMMYFUNCTION("GOOGLETRANSLATE(A3296,""en"", ""mt"")"),"Uffiċċju politiku ogħla")</f>
        <v>Uffiċċju politiku ogħla</v>
      </c>
    </row>
    <row r="3297" ht="15.75" customHeight="1">
      <c r="A3297" s="2" t="s">
        <v>3297</v>
      </c>
      <c r="B3297" s="2" t="str">
        <f>IFERROR(__xludf.DUMMYFUNCTION("GOOGLETRANSLATE(A3297,""en"", ""mt"")"),"Fuq liema lag attakkaw it-truppi Fort Willima Henry fix-xitwa?")</f>
        <v>Fuq liema lag attakkaw it-truppi Fort Willima Henry fix-xitwa?</v>
      </c>
    </row>
    <row r="3298" ht="15.75" customHeight="1">
      <c r="A3298" s="2" t="s">
        <v>3298</v>
      </c>
      <c r="B3298" s="2" t="str">
        <f>IFERROR(__xludf.DUMMYFUNCTION("GOOGLETRANSLATE(A3298,""en"", ""mt"")"),"Att dwar il-Kolonja tar-Rabat")</f>
        <v>Att dwar il-Kolonja tar-Rabat</v>
      </c>
    </row>
    <row r="3299" ht="15.75" customHeight="1">
      <c r="A3299" s="2" t="s">
        <v>3299</v>
      </c>
      <c r="B3299" s="2" t="str">
        <f>IFERROR(__xludf.DUMMYFUNCTION("GOOGLETRANSLATE(A3299,""en"", ""mt"")"),"Silikati tal-manjeżju u tal-ħadid jagħmlu l-___ tad-dinja")</f>
        <v>Silikati tal-manjeżju u tal-ħadid jagħmlu l-___ tad-dinja</v>
      </c>
    </row>
    <row r="3300" ht="15.75" customHeight="1">
      <c r="A3300" s="2" t="s">
        <v>3300</v>
      </c>
      <c r="B3300" s="2" t="str">
        <f>IFERROR(__xludf.DUMMYFUNCTION("GOOGLETRANSLATE(A3300,""en"", ""mt"")"),"It-tieni korp leġiżlattiv ewlieni huwa l-kunsill, li huwa magħmul minn ministri differenti tal-istati membri. Il-kapijiet tal-Gvern tal-Istati Membri jlaqqgħu wkoll ""Kunsill Ewropew"" (korp distint) li l-Artikolu 15 tat-TEU jiddefinixxi bħala li jipprovd"&amp;"i l- ""impetu meħtieġ għall-iżvilupp tiegħu u għandu jiddefinixxi d-direzzjonijiet u l-prijoritajiet politiċi ġenerali"". Jiltaqa 'ma' kull sitt xhur u l-president tiegħu (bħalissa l-eks Prim Ministru tal-Polonja Donald Tusk) huwa maħsub biex ""isuq ix-xo"&amp;"għol tiegħu"", iżda huwa nnifsu ""funzjonijiet leġiżlattivi"". Il-Kunsill jagħmel dan: Fil-fatt dan huwa l-gvernijiet tal-Istati Membri, iżda se jkun hemm ministru differenti f'kull laqgħa, skont is-suġġett diskuss (per eżempju għal kwistjonijiet ambjenta"&amp;"li, il-ministri tal-ambjent tal-istati membri jattendu u jivvutaw; għal barranin; Affarijiet, il-Ministri Barranin, eċċ.). Il-Ministru għandu jkollu l-awtorità li jirrappreżenta u jġib l-Istati Membri f'deċiżjonijiet. Meta sseħħ il-votazzjoni huwa peżat b"&amp;"'mod invers għad-daqs tal-istat membru, u għalhekk stati membri iżgħar mhumiex iddominati minn stati membri akbar. B’kollox hemm 352 vot, iżda għal ħafna atti jridu jkun hemm vot ta ’maġġoranza kwalifikata, jekk mhux kunsens. L-Artikolu 16 (4) u l-Artikol"&amp;"u TFEU 238 (3) jiddefinixxu dan biex ifissru mill-inqas 55 fil-mija tal-membri tal-kunsill (mhux voti) li jirrappreżentaw 65 fil-mija tal-popolazzjoni ta 'l-UE: bħalissa dan ifisser madwar 74 fil-mija, jew 260 mill-352 vot. Dan huwa kritiku matul il-proċe"&amp;"ss leġiżlattiv.")</f>
        <v>It-tieni korp leġiżlattiv ewlieni huwa l-kunsill, li huwa magħmul minn ministri differenti tal-istati membri. Il-kapijiet tal-Gvern tal-Istati Membri jlaqqgħu wkoll "Kunsill Ewropew" (korp distint) li l-Artikolu 15 tat-TEU jiddefinixxi bħala li jipprovdi l- "impetu meħtieġ għall-iżvilupp tiegħu u għandu jiddefinixxi d-direzzjonijiet u l-prijoritajiet politiċi ġenerali". Jiltaqa 'ma' kull sitt xhur u l-president tiegħu (bħalissa l-eks Prim Ministru tal-Polonja Donald Tusk) huwa maħsub biex "isuq ix-xogħol tiegħu", iżda huwa nnifsu "funzjonijiet leġiżlattivi". Il-Kunsill jagħmel dan: Fil-fatt dan huwa l-gvernijiet tal-Istati Membri, iżda se jkun hemm ministru differenti f'kull laqgħa, skont is-suġġett diskuss (per eżempju għal kwistjonijiet ambjentali, il-ministri tal-ambjent tal-istati membri jattendu u jivvutaw; għal barranin; Affarijiet, il-Ministri Barranin, eċċ.). Il-Ministru għandu jkollu l-awtorità li jirrappreżenta u jġib l-Istati Membri f'deċiżjonijiet. Meta sseħħ il-votazzjoni huwa peżat b'mod invers għad-daqs tal-istat membru, u għalhekk stati membri iżgħar mhumiex iddominati minn stati membri akbar. B’kollox hemm 352 vot, iżda għal ħafna atti jridu jkun hemm vot ta ’maġġoranza kwalifikata, jekk mhux kunsens. L-Artikolu 16 (4) u l-Artikolu TFEU 238 (3) jiddefinixxu dan biex ifissru mill-inqas 55 fil-mija tal-membri tal-kunsill (mhux voti) li jirrappreżentaw 65 fil-mija tal-popolazzjoni ta 'l-UE: bħalissa dan ifisser madwar 74 fil-mija, jew 260 mill-352 vot. Dan huwa kritiku matul il-proċess leġiżlattiv.</v>
      </c>
    </row>
    <row r="3301" ht="15.75" customHeight="1">
      <c r="A3301" s="2" t="s">
        <v>3301</v>
      </c>
      <c r="B3301" s="2" t="str">
        <f>IFERROR(__xludf.DUMMYFUNCTION("GOOGLETRANSLATE(A3301,""en"", ""mt"")"),"konnessi permezz ta 'konnessjonijiet dial-up jew konnessjonijiet async iddedikati")</f>
        <v>konnessi permezz ta 'konnessjonijiet dial-up jew konnessjonijiet async iddedikati</v>
      </c>
    </row>
    <row r="3302" ht="15.75" customHeight="1">
      <c r="A3302" s="2" t="s">
        <v>3302</v>
      </c>
      <c r="B3302" s="2" t="str">
        <f>IFERROR(__xludf.DUMMYFUNCTION("GOOGLETRANSLATE(A3302,""en"", ""mt"")"),"Il-President tal-Università Robert Maynard Hutchins de-enfasizzaw l-atletika tal-varsity fl-1939")</f>
        <v>Il-President tal-Università Robert Maynard Hutchins de-enfasizzaw l-atletika tal-varsity fl-1939</v>
      </c>
    </row>
    <row r="3303" ht="15.75" customHeight="1">
      <c r="A3303" s="2" t="s">
        <v>3303</v>
      </c>
      <c r="B3303" s="2" t="str">
        <f>IFERROR(__xludf.DUMMYFUNCTION("GOOGLETRANSLATE(A3303,""en"", ""mt"")"),"miżata għal kull unità ta 'ħin ta' konnessjoni")</f>
        <v>miżata għal kull unità ta 'ħin ta' konnessjoni</v>
      </c>
    </row>
    <row r="3304" ht="15.75" customHeight="1">
      <c r="A3304" s="2" t="s">
        <v>3304</v>
      </c>
      <c r="B3304" s="2" t="str">
        <f>IFERROR(__xludf.DUMMYFUNCTION("GOOGLETRANSLATE(A3304,""en"", ""mt"")"),"Metodu Cascade")</f>
        <v>Metodu Cascade</v>
      </c>
    </row>
    <row r="3305" ht="15.75" customHeight="1">
      <c r="A3305" s="2" t="s">
        <v>3305</v>
      </c>
      <c r="B3305" s="2" t="str">
        <f>IFERROR(__xludf.DUMMYFUNCTION("GOOGLETRANSLATE(A3305,""en"", ""mt"")"),"It-telfa tat-truppi Għarab fil-gwerra ta ’sitt ijiem kienet tikkostitwixxi x’inhi għad-dinja Musulmana Għarbija?")</f>
        <v>It-telfa tat-truppi Għarab fil-gwerra ta ’sitt ijiem kienet tikkostitwixxi x’inhi għad-dinja Musulmana Għarbija?</v>
      </c>
    </row>
    <row r="3306" ht="15.75" customHeight="1">
      <c r="A3306" s="2" t="s">
        <v>3306</v>
      </c>
      <c r="B3306" s="2" t="str">
        <f>IFERROR(__xludf.DUMMYFUNCTION("GOOGLETRANSLATE(A3306,""en"", ""mt"")"),"Iċ-ċili mwebbsa")</f>
        <v>Iċ-ċili mwebbsa</v>
      </c>
    </row>
    <row r="3307" ht="15.75" customHeight="1">
      <c r="A3307" s="2" t="s">
        <v>3307</v>
      </c>
      <c r="B3307" s="2" t="str">
        <f>IFERROR(__xludf.DUMMYFUNCTION("GOOGLETRANSLATE(A3307,""en"", ""mt"")"),"mehrież u lida u l-karattru ℞ (reċipjent)")</f>
        <v>mehrież u lida u l-karattru ℞ (reċipjent)</v>
      </c>
    </row>
    <row r="3308" ht="15.75" customHeight="1">
      <c r="A3308" s="2" t="s">
        <v>3308</v>
      </c>
      <c r="B3308" s="2" t="str">
        <f>IFERROR(__xludf.DUMMYFUNCTION("GOOGLETRANSLATE(A3308,""en"", ""mt"")"),"Stabbiliment ta 'relazzjonijiet ma' parteċipanti oħra meħtieġa permezz tal-proċess ta 'bini tad-disinn")</f>
        <v>Stabbiliment ta 'relazzjonijiet ma' parteċipanti oħra meħtieġa permezz tal-proċess ta 'bini tad-disinn</v>
      </c>
    </row>
    <row r="3309" ht="15.75" customHeight="1">
      <c r="A3309" s="2" t="s">
        <v>3309</v>
      </c>
      <c r="B3309" s="2" t="str">
        <f>IFERROR(__xludf.DUMMYFUNCTION("GOOGLETRANSLATE(A3309,""en"", ""mt"")"),"larva tal-ħut u organiżmi")</f>
        <v>larva tal-ħut u organiżmi</v>
      </c>
    </row>
    <row r="3310" ht="15.75" customHeight="1">
      <c r="A3310" s="2" t="s">
        <v>3310</v>
      </c>
      <c r="B3310" s="2" t="str">
        <f>IFERROR(__xludf.DUMMYFUNCTION("GOOGLETRANSLATE(A3310,""en"", ""mt"")"),"Kien hemm ħafna Ċiniżi b'liema status mhux mistenni?")</f>
        <v>Kien hemm ħafna Ċiniżi b'liema status mhux mistenni?</v>
      </c>
    </row>
    <row r="3311" ht="15.75" customHeight="1">
      <c r="A3311" s="2" t="s">
        <v>3311</v>
      </c>
      <c r="B3311" s="2" t="str">
        <f>IFERROR(__xludf.DUMMYFUNCTION("GOOGLETRANSLATE(A3311,""en"", ""mt"")"),"Kif jiġi ddeterminat il-proċess tal-allokazzjoni tas-sedili sakemm ikunu ġew determinati s-sedili kollha disponibbli?")</f>
        <v>Kif jiġi ddeterminat il-proċess tal-allokazzjoni tas-sedili sakemm ikunu ġew determinati s-sedili kollha disponibbli?</v>
      </c>
    </row>
    <row r="3312" ht="15.75" customHeight="1">
      <c r="A3312" s="2" t="s">
        <v>3312</v>
      </c>
      <c r="B3312" s="2" t="str">
        <f>IFERROR(__xludf.DUMMYFUNCTION("GOOGLETRANSLATE(A3312,""en"", ""mt"")"),"In-netwerk ta ’swiċċjar tal-pakketti Cyclades kien netwerk ta’ riċerka Franċiż iddisinjat u dirett minn Louis Pouzin. L-ewwel muri fl-1973, ġie żviluppat biex jesplora alternattivi għad-disinn ta 'Arpanet bikri u biex jappoġġja r-riċerka tan-netwerk ġener"&amp;"alment. Kien l-ewwel netwerk li għamel lill-ospiti responsabbli għat-twassil ta 'data affidabbli, aktar milli n-netwerk innifsu, bl-użu ta' datagrammi mhux affidabbli u mekkaniżmi ta 'protokoll end-to-end assoċjati. Kunċetti ta 'dan in-netwerk influwenzaw"&amp;" aktar tard l-arkitettura ta' Arpanet.")</f>
        <v>In-netwerk ta ’swiċċjar tal-pakketti Cyclades kien netwerk ta’ riċerka Franċiż iddisinjat u dirett minn Louis Pouzin. L-ewwel muri fl-1973, ġie żviluppat biex jesplora alternattivi għad-disinn ta 'Arpanet bikri u biex jappoġġja r-riċerka tan-netwerk ġeneralment. Kien l-ewwel netwerk li għamel lill-ospiti responsabbli għat-twassil ta 'data affidabbli, aktar milli n-netwerk innifsu, bl-użu ta' datagrammi mhux affidabbli u mekkaniżmi ta 'protokoll end-to-end assoċjati. Kunċetti ta 'dan in-netwerk influwenzaw aktar tard l-arkitettura ta' Arpanet.</v>
      </c>
    </row>
    <row r="3313" ht="15.75" customHeight="1">
      <c r="A3313" s="2" t="s">
        <v>3313</v>
      </c>
      <c r="B3313" s="2" t="str">
        <f>IFERROR(__xludf.DUMMYFUNCTION("GOOGLETRANSLATE(A3313,""en"", ""mt"")"),"Fresno County Courthouse (imwaqqa), il-Librerija Pubblika Fresno Carnegie")</f>
        <v>Fresno County Courthouse (imwaqqa), il-Librerija Pubblika Fresno Carnegie</v>
      </c>
    </row>
    <row r="3314" ht="15.75" customHeight="1">
      <c r="A3314" s="2" t="s">
        <v>3314</v>
      </c>
      <c r="B3314" s="2" t="str">
        <f>IFERROR(__xludf.DUMMYFUNCTION("GOOGLETRANSLATE(A3314,""en"", ""mt"")"),"L-estensjoni tikkawża li l-unitajiet tal-blat kollha kemm huma jsiru itwal u irqaq. Dan jitwettaq primarjament permezz ta 'difetti normali u permezz tat-tiġbid u t-traqqaq duttili. Ħsarat normali jwaqqgħu unitajiet tal-blat li huma ogħla taħt dawk li huma"&amp;" aktar baxxi. Dan tipikament jirriżulta f'unitajiet iżgħar li jitpoġġew taħt unitajiet anzjani. It-tiġbid ta 'unitajiet jista' jirriżulta fit-tnaqqija tagħhom; Fil-fatt, hemm post fiċ-ċinturin tat-tinja Maria u l-ġibda li fiha s-sekwenza sedimentarja koll"&amp;"ha tal-Grand Canyon tista 'tidher fuq tul ta' inqas minn metru. Il-blat fil-fond li għandhom jiġu mġebbda b'mod duttili ħafna drabi huma wkoll metamorfositi. Dawn il-blat imġebbda jistgħu wkoll joqogħdu fil-lentijiet, magħrufa bħala boudins, wara l-kelma "&amp;"Franċiża għal ""zalzett"", minħabba x-xebh viżwali tagħhom.")</f>
        <v>L-estensjoni tikkawża li l-unitajiet tal-blat kollha kemm huma jsiru itwal u irqaq. Dan jitwettaq primarjament permezz ta 'difetti normali u permezz tat-tiġbid u t-traqqaq duttili. Ħsarat normali jwaqqgħu unitajiet tal-blat li huma ogħla taħt dawk li huma aktar baxxi. Dan tipikament jirriżulta f'unitajiet iżgħar li jitpoġġew taħt unitajiet anzjani. It-tiġbid ta 'unitajiet jista' jirriżulta fit-tnaqqija tagħhom; Fil-fatt, hemm post fiċ-ċinturin tat-tinja Maria u l-ġibda li fiha s-sekwenza sedimentarja kollha tal-Grand Canyon tista 'tidher fuq tul ta' inqas minn metru. Il-blat fil-fond li għandhom jiġu mġebbda b'mod duttili ħafna drabi huma wkoll metamorfositi. Dawn il-blat imġebbda jistgħu wkoll joqogħdu fil-lentijiet, magħrufa bħala boudins, wara l-kelma Franċiża għal "zalzett", minħabba x-xebh viżwali tagħhom.</v>
      </c>
    </row>
    <row r="3315" ht="15.75" customHeight="1">
      <c r="A3315" s="2" t="s">
        <v>3315</v>
      </c>
      <c r="B3315" s="2" t="str">
        <f>IFERROR(__xludf.DUMMYFUNCTION("GOOGLETRANSLATE(A3315,""en"", ""mt"")"),"L-avvanzi li saru fil-Lvant Nofsani fil-Botanika u l-Kimika wasslu l-mediċina fl-Iżlam medjevali sostanzjalment biex tiżviluppa farmakoloġija. Muhammad Ibn Zakarīya Rāzi (Rhazes) (865-915), pereżempju, aġixxa biex jippromwovi l-użi mediċi ta 'komposti kim"&amp;"iċi. Abu al-Qasim al-Zahrawi (abulcasis) (936-1013) pijunier fil-preparazzjoni ta 'mediċini permezz ta' sublimazzjoni u distillazzjoni. Il-libertà tiegħu huwa ta 'interess partikolari, peress li jipprovdi lill-qarrej b'riċetti u jispjega kif iħejji l-'fle"&amp;"s' li minnu ġew aggravati l-mediċini kumplessi li mbagħad jintużaw ġeneralment. Sabur Ibn Sahl (D 869), kien, madankollu, l-ewwel tabib li beda l-farmakopoedija, li jiddeskrivi varjetà kbira ta 'mediċini u rimedji għall-mard. Al-Biruni (973-1050) kiteb wa"&amp;"ħda mill-iktar xogħlijiet Iżlamiċi siewja fuq il-farmakoloġija, intitolata Kitab al-Saydalah (il-Ktieb tad-Drogi), li fih iddettalja l-proprjetajiet tad-drogi u ddeskriva r-rwol tal-ispiżerija u l-funzjonijiet u d-dmirijiet tal-ispiżjar. Avicenna wkoll id"&amp;"deskriviet xejn inqas minn 700 preparazzjoni, il-proprjetajiet tagħhom, modi ta 'azzjoni, u l-indikazzjonijiet tagħhom. Huwa ddedika fil-fatt volum sħiħ għal mediċini sempliċi fil-kanon tal-mediċina. Ta 'impatt kbir kienu wkoll ix-xogħlijiet minn al-Marid"&amp;"ini ta' Bagdad u l-Kajr, u Ibn al-Wafid (1008-1074), it-tnejn li t-tnejn ġew stampati bil-Latin aktar minn ħamsin darba, li jidhru bħala de mediciinis universalibus et partikolaribus minn ""mesue"" l-iżgħar, u l-medicamentis sempliċibus minn 'Abenguefit'."&amp;" Peter ta 'Abano (1250-1316) tradotta u żied suppliment għax-xogħol ta' Al-Maridini taħt it-Titolu de Veneris. Il-kontribuzzjonijiet ta 'Al-Muwaffaq fil-qasam huma wkoll pijunieri. Jgħix fis-seklu 10, huwa kiteb il-pedamenti tal-proprjetajiet veri tar-rim"&amp;"edji, fost oħrajn li jiddeskrivu l-ossidu arsenious, u li kienu midħla tal-aċidu siliku. Huwa għamel distinzjoni ċara bejn il-karbonat tas-sodju u l-karbonat tal-potassju, u ġibed l-attenzjoni għan-natura velenuża tal-komposti tar-ram, speċjalment il-vitr"&amp;"iol tar-ram, u wkoll il-komposti taċ-ċomb. Huwa jiddeskrivi wkoll id-distillazzjoni tal-ilma tal-baħar għax-xorb. [Verifika meħtieġa]")</f>
        <v>L-avvanzi li saru fil-Lvant Nofsani fil-Botanika u l-Kimika wasslu l-mediċina fl-Iżlam medjevali sostanzjalment biex tiżviluppa farmakoloġija. Muhammad Ibn Zakarīya Rāzi (Rhazes) (865-915), pereżempju, aġixxa biex jippromwovi l-użi mediċi ta 'komposti kimiċi. Abu al-Qasim al-Zahrawi (abulcasis) (936-1013) pijunier fil-preparazzjoni ta 'mediċini permezz ta' sublimazzjoni u distillazzjoni. Il-libertà tiegħu huwa ta 'interess partikolari, peress li jipprovdi lill-qarrej b'riċetti u jispjega kif iħejji l-'fles' li minnu ġew aggravati l-mediċini kumplessi li mbagħad jintużaw ġeneralment. Sabur Ibn Sahl (D 869), kien, madankollu, l-ewwel tabib li beda l-farmakopoedija, li jiddeskrivi varjetà kbira ta 'mediċini u rimedji għall-mard. Al-Biruni (973-1050) kiteb waħda mill-iktar xogħlijiet Iżlamiċi siewja fuq il-farmakoloġija, intitolata Kitab al-Saydalah (il-Ktieb tad-Drogi), li fih iddettalja l-proprjetajiet tad-drogi u ddeskriva r-rwol tal-ispiżerija u l-funzjonijiet u d-dmirijiet tal-ispiżjar. Avicenna wkoll iddeskriviet xejn inqas minn 700 preparazzjoni, il-proprjetajiet tagħhom, modi ta 'azzjoni, u l-indikazzjonijiet tagħhom. Huwa ddedika fil-fatt volum sħiħ għal mediċini sempliċi fil-kanon tal-mediċina. Ta 'impatt kbir kienu wkoll ix-xogħlijiet minn al-Maridini ta' Bagdad u l-Kajr, u Ibn al-Wafid (1008-1074), it-tnejn li t-tnejn ġew stampati bil-Latin aktar minn ħamsin darba, li jidhru bħala de mediciinis universalibus et partikolaribus minn "mesue" l-iżgħar, u l-medicamentis sempliċibus minn 'Abenguefit'. Peter ta 'Abano (1250-1316) tradotta u żied suppliment għax-xogħol ta' Al-Maridini taħt it-Titolu de Veneris. Il-kontribuzzjonijiet ta 'Al-Muwaffaq fil-qasam huma wkoll pijunieri. Jgħix fis-seklu 10, huwa kiteb il-pedamenti tal-proprjetajiet veri tar-rimedji, fost oħrajn li jiddeskrivu l-ossidu arsenious, u li kienu midħla tal-aċidu siliku. Huwa għamel distinzjoni ċara bejn il-karbonat tas-sodju u l-karbonat tal-potassju, u ġibed l-attenzjoni għan-natura velenuża tal-komposti tar-ram, speċjalment il-vitriol tar-ram, u wkoll il-komposti taċ-ċomb. Huwa jiddeskrivi wkoll id-distillazzjoni tal-ilma tal-baħar għax-xorb. [Verifika meħtieġa]</v>
      </c>
    </row>
    <row r="3316" ht="15.75" customHeight="1">
      <c r="A3316" s="2" t="s">
        <v>3316</v>
      </c>
      <c r="B3316" s="2" t="str">
        <f>IFERROR(__xludf.DUMMYFUNCTION("GOOGLETRANSLATE(A3316,""en"", ""mt"")"),"arkitettura tal-manjerista")</f>
        <v>arkitettura tal-manjerista</v>
      </c>
    </row>
    <row r="3317" ht="15.75" customHeight="1">
      <c r="A3317" s="2" t="s">
        <v>3317</v>
      </c>
      <c r="B3317" s="2" t="str">
        <f>IFERROR(__xludf.DUMMYFUNCTION("GOOGLETRANSLATE(A3317,""en"", ""mt"")"),"Il-pjan ta 'Pitt talab għal liema attakki?")</f>
        <v>Il-pjan ta 'Pitt talab għal liema attakki?</v>
      </c>
    </row>
    <row r="3318" ht="15.75" customHeight="1">
      <c r="A3318" s="2" t="s">
        <v>3318</v>
      </c>
      <c r="B3318" s="2" t="str">
        <f>IFERROR(__xludf.DUMMYFUNCTION("GOOGLETRANSLATE(A3318,""en"", ""mt"")"),"Fl-1854 fi Ballarat kien hemm ribelljoni armata kontra l-Gvern tar-Rabat minn minaturi li qed jipprotestaw kontra t-taxxi tal-minjieri (l- ""Eureka Stockade""). Dan kien mgħaffeġ minn truppi Ingliżi, iżda l-iskuntentizza wasslet lill-awtoritajiet kolonjal"&amp;"i biex jirriformaw l-amministrazzjoni (partikolarment it-tnaqqis tal-miżati tal-liċenzja tal-minjieri mibegħda) u jestendu l-franchise. Fi żmien qasir, il-Parlament Imperjali ta lill-gvern responsabbli tar-Rabat bil-passaġġ tal-Att tal-Kolonja tal-Victori"&amp;"a 1855. Uħud mill-mexxejja tar-ribelljoni tal-Eureka komplew isiru membri tal-Parlament Vittorjan.")</f>
        <v>Fl-1854 fi Ballarat kien hemm ribelljoni armata kontra l-Gvern tar-Rabat minn minaturi li qed jipprotestaw kontra t-taxxi tal-minjieri (l- "Eureka Stockade"). Dan kien mgħaffeġ minn truppi Ingliżi, iżda l-iskuntentizza wasslet lill-awtoritajiet kolonjali biex jirriformaw l-amministrazzjoni (partikolarment it-tnaqqis tal-miżati tal-liċenzja tal-minjieri mibegħda) u jestendu l-franchise. Fi żmien qasir, il-Parlament Imperjali ta lill-gvern responsabbli tar-Rabat bil-passaġġ tal-Att tal-Kolonja tal-Victoria 1855. Uħud mill-mexxejja tar-ribelljoni tal-Eureka komplew isiru membri tal-Parlament Vittorjan.</v>
      </c>
    </row>
    <row r="3319" ht="15.75" customHeight="1">
      <c r="A3319" s="2" t="s">
        <v>3319</v>
      </c>
      <c r="B3319" s="2" t="str">
        <f>IFERROR(__xludf.DUMMYFUNCTION("GOOGLETRANSLATE(A3319,""en"", ""mt"")"),"Louis XIV kiseb it-tron fl-1643 u aġixxa dejjem aktar aggressiv biex iġiegħel lill-Huguenots jikkonvertu. Għall-ewwel huwa bagħat missjunarji, appoġġjat minn fond biex jippremja finanzjarjament konvertiti għall-Kattoliċiżmu. Imbagħad impona pieni, għalaq "&amp;"l-iskejjel Huguenot u eskludahom minn professjonijiet favoriti. Teskala, huwa waqqaf Dragonnades, li kien jinkludi l-okkupazzjoni u l-sakkeġġi ta 'djar Huguenot minn truppi militari, fi sforz biex jikkonvertihom bil-forza. Fl-1685, huwa ħareġ l-editt ta '"&amp;"Fontainebleau, irrevoka l-editt ta' Nantes u ddikjara l-Protestantiżmu illegali. [Ċitazzjoni meħtieġa]")</f>
        <v>Louis XIV kiseb it-tron fl-1643 u aġixxa dejjem aktar aggressiv biex iġiegħel lill-Huguenots jikkonvertu. Għall-ewwel huwa bagħat missjunarji, appoġġjat minn fond biex jippremja finanzjarjament konvertiti għall-Kattoliċiżmu. Imbagħad impona pieni, għalaq l-iskejjel Huguenot u eskludahom minn professjonijiet favoriti. Teskala, huwa waqqaf Dragonnades, li kien jinkludi l-okkupazzjoni u l-sakkeġġi ta 'djar Huguenot minn truppi militari, fi sforz biex jikkonvertihom bil-forza. Fl-1685, huwa ħareġ l-editt ta 'Fontainebleau, irrevoka l-editt ta' Nantes u ddikjara l-Protestantiżmu illegali. [Ċitazzjoni meħtieġa]</v>
      </c>
    </row>
    <row r="3320" ht="15.75" customHeight="1">
      <c r="A3320" s="2" t="s">
        <v>3320</v>
      </c>
      <c r="B3320" s="2" t="str">
        <f>IFERROR(__xludf.DUMMYFUNCTION("GOOGLETRANSLATE(A3320,""en"", ""mt"")"),"Għax ippubblika s-sejbiet tiegħu l-ewwel")</f>
        <v>Għax ippubblika s-sejbiet tiegħu l-ewwel</v>
      </c>
    </row>
    <row r="3321" ht="15.75" customHeight="1">
      <c r="A3321" s="2" t="s">
        <v>3321</v>
      </c>
      <c r="B3321" s="2" t="str">
        <f>IFERROR(__xludf.DUMMYFUNCTION("GOOGLETRANSLATE(A3321,""en"", ""mt"")"),"L-effetti ta 'l-inugwaljanza li r-riċerkaturi sabu jinkludu rati ogħla ta' problemi tas-saħħa u soċjali, u rati aktar baxxi ta 'oġġetti soċjali, livell aktar baxx ta' utilità ekonomika fis-soċjetà minn riżorsi ddedikati fuq konsum high-end, u anke livell "&amp;"aktar baxx ta 'tkabbir ekonomiku meta l-kapital uman huwa traskurat għal konsum high-end. Għall-aqwa 21 pajjiż industrijalizzat, billi tingħadd lil kull persuna bl-istess mod, l-istennija tal-ħajja hija inqas f'pajjiżi aktar inugwali (r = -.907). Relazzjo"&amp;"ni simili teżisti fost l-istati tal-Istati Uniti (r = -.620).")</f>
        <v>L-effetti ta 'l-inugwaljanza li r-riċerkaturi sabu jinkludu rati ogħla ta' problemi tas-saħħa u soċjali, u rati aktar baxxi ta 'oġġetti soċjali, livell aktar baxx ta' utilità ekonomika fis-soċjetà minn riżorsi ddedikati fuq konsum high-end, u anke livell aktar baxx ta 'tkabbir ekonomiku meta l-kapital uman huwa traskurat għal konsum high-end. Għall-aqwa 21 pajjiż industrijalizzat, billi tingħadd lil kull persuna bl-istess mod, l-istennija tal-ħajja hija inqas f'pajjiżi aktar inugwali (r = -.907). Relazzjoni simili teżisti fost l-istati tal-Istati Uniti (r = -.620).</v>
      </c>
    </row>
    <row r="3322" ht="15.75" customHeight="1">
      <c r="A3322" s="2" t="s">
        <v>3322</v>
      </c>
      <c r="B3322" s="2" t="str">
        <f>IFERROR(__xludf.DUMMYFUNCTION("GOOGLETRANSLATE(A3322,""en"", ""mt"")"),"Guo Shoujing applika l-matematika għall-kostruzzjoni ta 'kalendarji. Huwa kien wieħed mill-ewwel matematiċi fiċ-Ċina biex jaħdem fuq trigonometrija sferika. Gou ħareġ formula ta 'interpolazzjoni kubika għall-kalkoli astronomiċi tiegħu. Il-kalendarju tiegħ"&amp;"u, il-Shoushi Li (授時暦) jew il-kalendarju għall-iffissar tal-istaġuni, ġie mxerred fl-1281 bħala l-kalendarju uffiċjali tad-dinastija Yuan. Il-kalendarju seta ’kien influwenzat biss mix-xogħol tal-astronomu tad-dinastija tal-kanzunetta Shen Kuo jew possibi"&amp;"lment mix-xogħol tal-astronomi Għarab. M'hemm l-ebda sinjali espliċiti ta 'influwenzi Musulmani fil-kalendarju ta' Shoushi, iżda l-ħakkiema Mongoljani kienu magħrufa li huma interessati fil-kalendarji Musulmani. L-għarfien matematiku mill-Lvant Nofsani ġi"&amp;"e introdott fiċ-Ċina taħt il-Mongoli, u l-astronomi Musulmani ġabu numri Għarbi fiċ-Ċina fis-seklu 13.")</f>
        <v>Guo Shoujing applika l-matematika għall-kostruzzjoni ta 'kalendarji. Huwa kien wieħed mill-ewwel matematiċi fiċ-Ċina biex jaħdem fuq trigonometrija sferika. Gou ħareġ formula ta 'interpolazzjoni kubika għall-kalkoli astronomiċi tiegħu. Il-kalendarju tiegħu, il-Shoushi Li (授時暦) jew il-kalendarju għall-iffissar tal-istaġuni, ġie mxerred fl-1281 bħala l-kalendarju uffiċjali tad-dinastija Yuan. Il-kalendarju seta ’kien influwenzat biss mix-xogħol tal-astronomu tad-dinastija tal-kanzunetta Shen Kuo jew possibilment mix-xogħol tal-astronomi Għarab. M'hemm l-ebda sinjali espliċiti ta 'influwenzi Musulmani fil-kalendarju ta' Shoushi, iżda l-ħakkiema Mongoljani kienu magħrufa li huma interessati fil-kalendarji Musulmani. L-għarfien matematiku mill-Lvant Nofsani ġie introdott fiċ-Ċina taħt il-Mongoli, u l-astronomi Musulmani ġabu numri Għarbi fiċ-Ċina fis-seklu 13.</v>
      </c>
    </row>
    <row r="3323" ht="15.75" customHeight="1">
      <c r="A3323" s="2" t="s">
        <v>3323</v>
      </c>
      <c r="B3323" s="2" t="str">
        <f>IFERROR(__xludf.DUMMYFUNCTION("GOOGLETRANSLATE(A3323,""en"", ""mt"")"),"Liema grad għall-iktar belt popolata fl-Unjoni Ewropea għandha Varsavja?")</f>
        <v>Liema grad għall-iktar belt popolata fl-Unjoni Ewropea għandha Varsavja?</v>
      </c>
    </row>
    <row r="3324" ht="15.75" customHeight="1">
      <c r="A3324" s="2" t="s">
        <v>3324</v>
      </c>
      <c r="B3324" s="2" t="str">
        <f>IFERROR(__xludf.DUMMYFUNCTION("GOOGLETRANSLATE(A3324,""en"", ""mt"")"),"(titla u taqa 'skont id-domanda tas-suq")</f>
        <v>(titla u taqa 'skont id-domanda tas-suq</v>
      </c>
    </row>
    <row r="3325" ht="15.75" customHeight="1">
      <c r="A3325" s="2" t="s">
        <v>3325</v>
      </c>
      <c r="B3325" s="2" t="str">
        <f>IFERROR(__xludf.DUMMYFUNCTION("GOOGLETRANSLATE(A3325,""en"", ""mt"")"),"Mill-aħħar tas-snin 1340 'il quddiem, in-nies fil-kampanja sofrew minn diżastri naturali frekwenti bħal nixfiet, għargħar u l-ġuħ li jirriżulta, u n-nuqqas ta' politika effettiva tal-gvern wassal għal telf ta 'appoġġ popolari. Fl-1351, ir-Rebellion Turban"&amp;" Red bdiet u kibret f'rewwixta nazzjonali. Fl-1354, meta Toghtogha mexxa armata kbira biex tfarrak ir-ribelli tar-Red Turban, Toghun Temür f'daqqa waħda ċaħadlu minħabba l-biża 'ta' tradiment. Dan irriżulta fir-restawr tal-poter ta 'Toghun Temür minn naħa"&amp;" u dgħajjef rapidu tal-gvern ċentrali mill-ieħor. Huwa ma kellu l-ebda għażla ħlief li jiddependi fuq il-poter militari tal-kmandanti lokali, u gradwalment tilef l-interess tiegħu fil-politika u ma baqax jintervjeni fi ġlidiet politiċi. Huwa ħarab lejn it"&amp;"-tramuntana lejn Shangdu minn Khanbaliq (Beijing preżenti) fl-1368 wara l-approċċ tal-forzi tad-dinastija Míng (1368-1644), imwaqqfa minn Zhu Yuanzhang fin-nofsinhar. Huwa kien ipprova jerġa 'jikseb Khanbaliq, li eventwalment falla; Huwa miet f'Yingchang "&amp;"(li jinsab fil-Mongolja ta 'ġewwa preżenti) sentejn wara (1370). Yingchang ġie maqbud mill-Ming ftit wara mewtu. Xi membri tal-familja rjali għadhom għexu f’Henan illum.")</f>
        <v>Mill-aħħar tas-snin 1340 'il quddiem, in-nies fil-kampanja sofrew minn diżastri naturali frekwenti bħal nixfiet, għargħar u l-ġuħ li jirriżulta, u n-nuqqas ta' politika effettiva tal-gvern wassal għal telf ta 'appoġġ popolari. Fl-1351, ir-Rebellion Turban Red bdiet u kibret f'rewwixta nazzjonali. Fl-1354, meta Toghtogha mexxa armata kbira biex tfarrak ir-ribelli tar-Red Turban, Toghun Temür f'daqqa waħda ċaħadlu minħabba l-biża 'ta' tradiment. Dan irriżulta fir-restawr tal-poter ta 'Toghun Temür minn naħa u dgħajjef rapidu tal-gvern ċentrali mill-ieħor. Huwa ma kellu l-ebda għażla ħlief li jiddependi fuq il-poter militari tal-kmandanti lokali, u gradwalment tilef l-interess tiegħu fil-politika u ma baqax jintervjeni fi ġlidiet politiċi. Huwa ħarab lejn it-tramuntana lejn Shangdu minn Khanbaliq (Beijing preżenti) fl-1368 wara l-approċċ tal-forzi tad-dinastija Míng (1368-1644), imwaqqfa minn Zhu Yuanzhang fin-nofsinhar. Huwa kien ipprova jerġa 'jikseb Khanbaliq, li eventwalment falla; Huwa miet f'Yingchang (li jinsab fil-Mongolja ta 'ġewwa preżenti) sentejn wara (1370). Yingchang ġie maqbud mill-Ming ftit wara mewtu. Xi membri tal-familja rjali għadhom għexu f’Henan illum.</v>
      </c>
    </row>
    <row r="3326" ht="15.75" customHeight="1">
      <c r="A3326" s="2" t="s">
        <v>3326</v>
      </c>
      <c r="B3326" s="2" t="str">
        <f>IFERROR(__xludf.DUMMYFUNCTION("GOOGLETRANSLATE(A3326,""en"", ""mt"")"),"Sar konnessjoni interattiva għall-ospitanti bejn l-IBM Mainframe Computer Systems fl-Università ta 'Michigan f'Ann Arbor u Wayne State")</f>
        <v>Sar konnessjoni interattiva għall-ospitanti bejn l-IBM Mainframe Computer Systems fl-Università ta 'Michigan f'Ann Arbor u Wayne State</v>
      </c>
    </row>
    <row r="3327" ht="15.75" customHeight="1">
      <c r="A3327" s="2" t="s">
        <v>3327</v>
      </c>
      <c r="B3327" s="2" t="str">
        <f>IFERROR(__xludf.DUMMYFUNCTION("GOOGLETRANSLATE(A3327,""en"", ""mt"")"),"X'inhi waħda mill-ikbar u l-aktar istituzzjonijiet onkoloġiċi moderni fl-Ewropa?")</f>
        <v>X'inhi waħda mill-ikbar u l-aktar istituzzjonijiet onkoloġiċi moderni fl-Ewropa?</v>
      </c>
    </row>
    <row r="3328" ht="15.75" customHeight="1">
      <c r="A3328" s="2" t="s">
        <v>3328</v>
      </c>
      <c r="B3328" s="2" t="str">
        <f>IFERROR(__xludf.DUMMYFUNCTION("GOOGLETRANSLATE(A3328,""en"", ""mt"")"),"Marki ewlenin tal-karozzi")</f>
        <v>Marki ewlenin tal-karozzi</v>
      </c>
    </row>
    <row r="3329" ht="15.75" customHeight="1">
      <c r="A3329" s="2" t="s">
        <v>3329</v>
      </c>
      <c r="B3329" s="2" t="str">
        <f>IFERROR(__xludf.DUMMYFUNCTION("GOOGLETRANSLATE(A3329,""en"", ""mt"")"),"Brocard's")</f>
        <v>Brocard's</v>
      </c>
    </row>
    <row r="3330" ht="15.75" customHeight="1">
      <c r="A3330" s="2" t="s">
        <v>3330</v>
      </c>
      <c r="B3330" s="2" t="str">
        <f>IFERROR(__xludf.DUMMYFUNCTION("GOOGLETRANSLATE(A3330,""en"", ""mt"")"),"Il-kamra tad-dibattitu tal-Parlament Skoċċiż għandha bilqiegħda rranġata f'emċiklu, li jirrifletti x-xewqa li jinkoraġġixxi kunsens fost il-membri eletti. Hemm 131 siġġu fil-kamra tad-dibattitu. Mit-total ta '131 siġġu, 129 huma okkupati mill-MSPs eletti "&amp;"tal-Parlament u 2 huma siġġijiet għall-uffiċjali tal-liġi Skoċċiża - l-Avukat tal-Mulej u l-avukat ġenerali għall-Iskozja, li mhumiex eletti membri tal-Parlament iżda huma membri tal-gvern Skoċċiż. Bħala tali l-uffiċjali tal-liġi jistgħu jattendu u jitkel"&amp;"lmu fil-laqgħat plenarji tal-Parlament iżda, peress li mhumiex eletti MSPs, ma jistgħux jivvutaw. Il-membri jistgħu joqogħdu kullimkien fil-kamra tad-dibattitu, iżda tipikament joqogħdu fil-gruppi tal-partit tagħhom. L-ewwel ministru, ministri tal-kabinet"&amp;"t Skoċċiż u uffiċjali tal-liġi joqogħdu fir-ringiela ta ’quddiem, fit-taqsima tan-nofs tal-kamra. L-akbar partit fil-Parlament qiegħed fin-nofs taċ-ċirku, ma 'partijiet opposti fuq kull naħa. L-uffiċjal li jippresiedi, skrivani parlamentari u uffiċjali jo"&amp;"qogħdu membri opposti fuq quddiem tal-kamra tad-dibattitu.")</f>
        <v>Il-kamra tad-dibattitu tal-Parlament Skoċċiż għandha bilqiegħda rranġata f'emċiklu, li jirrifletti x-xewqa li jinkoraġġixxi kunsens fost il-membri eletti. Hemm 131 siġġu fil-kamra tad-dibattitu. Mit-total ta '131 siġġu, 129 huma okkupati mill-MSPs eletti tal-Parlament u 2 huma siġġijiet għall-uffiċjali tal-liġi Skoċċiża - l-Avukat tal-Mulej u l-avukat ġenerali għall-Iskozja, li mhumiex eletti membri tal-Parlament iżda huma membri tal-gvern Skoċċiż. Bħala tali l-uffiċjali tal-liġi jistgħu jattendu u jitkellmu fil-laqgħat plenarji tal-Parlament iżda, peress li mhumiex eletti MSPs, ma jistgħux jivvutaw. Il-membri jistgħu joqogħdu kullimkien fil-kamra tad-dibattitu, iżda tipikament joqogħdu fil-gruppi tal-partit tagħhom. L-ewwel ministru, ministri tal-kabinett Skoċċiż u uffiċjali tal-liġi joqogħdu fir-ringiela ta ’quddiem, fit-taqsima tan-nofs tal-kamra. L-akbar partit fil-Parlament qiegħed fin-nofs taċ-ċirku, ma 'partijiet opposti fuq kull naħa. L-uffiċjal li jippresiedi, skrivani parlamentari u uffiċjali joqogħdu membri opposti fuq quddiem tal-kamra tad-dibattitu.</v>
      </c>
    </row>
    <row r="3331" ht="15.75" customHeight="1">
      <c r="A3331" s="2" t="s">
        <v>3331</v>
      </c>
      <c r="B3331" s="2" t="str">
        <f>IFERROR(__xludf.DUMMYFUNCTION("GOOGLETRANSLATE(A3331,""en"", ""mt"")"),"New Rochelle, li tinsab fil-kontea ta ’Westchester fuq ix-xatt tat-tramuntana ta’ Long Island Sound, dehret li kienet il-post tajjeb ħafna tal-Huguenots fi New York. Jingħad li żbarkaw fuq il-kosta tal-peniżola ta 'Davenports Neck imsejħa ""Bauffet's Poin"&amp;"t"" wara li vvjaġġaw mill-Ingilterra fejn qabel kienu refuġjaw minħabba l-persekuzzjoni reliġjuża, erba' snin qabel ir-revoka tal-editt ta 'Nantes. Huma xtraw mingħand John Pell, Lord of Pelham Manor, medda ta ’art li tikkonsisti f’sitt elf mitt acres bl-"&amp;"għajnuna ta’ Jacob Leisler. Ġie msemmi New Rochelle wara La Rochelle, l-ex-hold qawwi tagħhom fi Franza. Knisja żgħira tal-injam inbniet l-ewwel fil-komunità, segwita minn tieni knisja li nbniet minn ġebla. Qabel it-twaqqif ta 'dan, l-irġiel b'saħħithom s"&amp;"piss jimxu tlieta u għoxrin mil nhar is-Sibt filgħaxija, id-distanza fit-triq minn New Rochelle għal New York, biex jattendu s-servizz tal-Ħadd. Il-knisja eventwalment ġiet sostitwita minn terz, Trinity-St. Il-Knisja Episkopali ta 'Pawlu, li fiha l-werrie"&amp;"t inkluż il-qanpiena oriġinali mill-Knisja Huguenot Franċiża ""Eglise du St Esperit"" fi Triq Pine fi New York City, li hija ppreservata bħala relikwa fil-kamra tat-torri. Iċ-ċimiterju Huguenot, jew ""dfin ta 'Huguenot"", minn dakinhar ġie rikonoxxut bħal"&amp;"a ċimiterju storiku li huwa l-aħħar post ta' mistrieħ għal firxa wiesgħa tal-fundaturi Huguenot, kolonizzaturi bikrija u ċittadini prominenti li jmorru lura aktar minn tliet sekli.")</f>
        <v>New Rochelle, li tinsab fil-kontea ta ’Westchester fuq ix-xatt tat-tramuntana ta’ Long Island Sound, dehret li kienet il-post tajjeb ħafna tal-Huguenots fi New York. Jingħad li żbarkaw fuq il-kosta tal-peniżola ta 'Davenports Neck imsejħa "Bauffet's Point" wara li vvjaġġaw mill-Ingilterra fejn qabel kienu refuġjaw minħabba l-persekuzzjoni reliġjuża, erba' snin qabel ir-revoka tal-editt ta 'Nantes. Huma xtraw mingħand John Pell, Lord of Pelham Manor, medda ta ’art li tikkonsisti f’sitt elf mitt acres bl-għajnuna ta’ Jacob Leisler. Ġie msemmi New Rochelle wara La Rochelle, l-ex-hold qawwi tagħhom fi Franza. Knisja żgħira tal-injam inbniet l-ewwel fil-komunità, segwita minn tieni knisja li nbniet minn ġebla. Qabel it-twaqqif ta 'dan, l-irġiel b'saħħithom spiss jimxu tlieta u għoxrin mil nhar is-Sibt filgħaxija, id-distanza fit-triq minn New Rochelle għal New York, biex jattendu s-servizz tal-Ħadd. Il-knisja eventwalment ġiet sostitwita minn terz, Trinity-St. Il-Knisja Episkopali ta 'Pawlu, li fiha l-werriet inkluż il-qanpiena oriġinali mill-Knisja Huguenot Franċiża "Eglise du St Esperit" fi Triq Pine fi New York City, li hija ppreservata bħala relikwa fil-kamra tat-torri. Iċ-ċimiterju Huguenot, jew "dfin ta 'Huguenot", minn dakinhar ġie rikonoxxut bħala ċimiterju storiku li huwa l-aħħar post ta' mistrieħ għal firxa wiesgħa tal-fundaturi Huguenot, kolonizzaturi bikrija u ċittadini prominenti li jmorru lura aktar minn tliet sekli.</v>
      </c>
    </row>
    <row r="3332" ht="15.75" customHeight="1">
      <c r="A3332" s="2" t="s">
        <v>3332</v>
      </c>
      <c r="B3332" s="2" t="str">
        <f>IFERROR(__xludf.DUMMYFUNCTION("GOOGLETRANSLATE(A3332,""en"", ""mt"")"),"Is-soċjalisti jattribwixxu d-differenzi kbar fil-ġid lill-pussess privat tal-mezzi ta 'produzzjoni minn klassi ta' sidien, li joħolqu sitwazzjoni fejn porzjon żgħir tal-popolazzjoni jgħix dħul mill-propjetà mhux mistħoqq bis-saħħa ta 'titli ta' sjieda f't"&amp;"agħmir kapitali, assi finanzjarji u korporattivi stokk. B'kuntrast, il-maġġoranza l-kbira tal-popolazzjoni tiddependi fuq id-dħul fil-forma ta 'paga jew salarju. Sabiex jiġu rranġati din is-sitwazzjoni, is-soċjalisti jargumentaw li l-mezzi ta 'produzzjoni"&amp;" għandhom ikunu proprjetà soċjalment sabiex id-differenzjali tad-dħul jirriflettu l-kontribuzzjonijiet individwali għall-prodott soċjali.")</f>
        <v>Is-soċjalisti jattribwixxu d-differenzi kbar fil-ġid lill-pussess privat tal-mezzi ta 'produzzjoni minn klassi ta' sidien, li joħolqu sitwazzjoni fejn porzjon żgħir tal-popolazzjoni jgħix dħul mill-propjetà mhux mistħoqq bis-saħħa ta 'titli ta' sjieda f'tagħmir kapitali, assi finanzjarji u korporattivi stokk. B'kuntrast, il-maġġoranza l-kbira tal-popolazzjoni tiddependi fuq id-dħul fil-forma ta 'paga jew salarju. Sabiex jiġu rranġati din is-sitwazzjoni, is-soċjalisti jargumentaw li l-mezzi ta 'produzzjoni għandhom ikunu proprjetà soċjalment sabiex id-differenzjali tad-dħul jirriflettu l-kontribuzzjonijiet individwali għall-prodott soċjali.</v>
      </c>
    </row>
    <row r="3333" ht="15.75" customHeight="1">
      <c r="A3333" s="2" t="s">
        <v>3333</v>
      </c>
      <c r="B3333" s="2" t="str">
        <f>IFERROR(__xludf.DUMMYFUNCTION("GOOGLETRANSLATE(A3333,""en"", ""mt"")"),"X'kienet is-sinifikat tar-rebħa fil-Forth Niagara għall-Ingliżi?")</f>
        <v>X'kienet is-sinifikat tar-rebħa fil-Forth Niagara għall-Ingliżi?</v>
      </c>
    </row>
    <row r="3334" ht="15.75" customHeight="1">
      <c r="A3334" s="2" t="s">
        <v>3334</v>
      </c>
      <c r="B3334" s="2" t="str">
        <f>IFERROR(__xludf.DUMMYFUNCTION("GOOGLETRANSLATE(A3334,""en"", ""mt"")"),"Kif kienet tissejjaħ il-kolonja Franċiża Brażiljana?")</f>
        <v>Kif kienet tissejjaħ il-kolonja Franċiża Brażiljana?</v>
      </c>
    </row>
    <row r="3335" ht="15.75" customHeight="1">
      <c r="A3335" s="2" t="s">
        <v>3335</v>
      </c>
      <c r="B3335" s="2" t="str">
        <f>IFERROR(__xludf.DUMMYFUNCTION("GOOGLETRANSLATE(A3335,""en"", ""mt"")"),"Għal liema raġuni xi ħadd jevita reati waqt li jipprotesta?")</f>
        <v>Għal liema raġuni xi ħadd jevita reati waqt li jipprotesta?</v>
      </c>
    </row>
    <row r="3336" ht="15.75" customHeight="1">
      <c r="A3336" s="2" t="s">
        <v>3336</v>
      </c>
      <c r="B3336" s="2" t="str">
        <f>IFERROR(__xludf.DUMMYFUNCTION("GOOGLETRANSLATE(A3336,""en"", ""mt"")"),"il-proporzjon baxx tagħhom ta 'materja organika għal melħ u ilma")</f>
        <v>il-proporzjon baxx tagħhom ta 'materja organika għal melħ u ilma</v>
      </c>
    </row>
    <row r="3337" ht="15.75" customHeight="1">
      <c r="A3337" s="2" t="s">
        <v>3337</v>
      </c>
      <c r="B3337" s="2" t="str">
        <f>IFERROR(__xludf.DUMMYFUNCTION("GOOGLETRANSLATE(A3337,""en"", ""mt"")"),"L-evoluzzjoni tas-sistema immunitarja adattiva seħħet f'antenat tal-vertebrati tax-xedaq. Ħafna mill-molekuli klassiċi tas-sistema immuni adatta (per eżempju, immunoglobulini u riċetturi taċ-ċelloli T) jeżistu biss fil-vertebrati tax-xedaq. Madankollu, ġi"&amp;"et skoperta molekula derivata minn limfoċiti distinta fil-vertebrati primittivi tax-xedaq, bħalma huma l-lamprey u l-hagfish. Dawn l-annimali għandhom firxa kbira ta 'molekuli msejħa riċetturi ta' limfoċiti varjabbli (VLRs) li, bħar-riċetturi tal-antiġen "&amp;"tal-vertebrati tax-xedaq, huma prodotti minn numru żgħir biss (wieħed jew tnejn) ta 'ġeni. Dawn il-molekuli huma maħsuba li jorbtu antiġeni patoġeniċi b'mod simili għal antikorpi, u bl-istess grad ta 'speċifiċità.")</f>
        <v>L-evoluzzjoni tas-sistema immunitarja adattiva seħħet f'antenat tal-vertebrati tax-xedaq. Ħafna mill-molekuli klassiċi tas-sistema immuni adatta (per eżempju, immunoglobulini u riċetturi taċ-ċelloli T) jeżistu biss fil-vertebrati tax-xedaq. Madankollu, ġiet skoperta molekula derivata minn limfoċiti distinta fil-vertebrati primittivi tax-xedaq, bħalma huma l-lamprey u l-hagfish. Dawn l-annimali għandhom firxa kbira ta 'molekuli msejħa riċetturi ta' limfoċiti varjabbli (VLRs) li, bħar-riċetturi tal-antiġen tal-vertebrati tax-xedaq, huma prodotti minn numru żgħir biss (wieħed jew tnejn) ta 'ġeni. Dawn il-molekuli huma maħsuba li jorbtu antiġeni patoġeniċi b'mod simili għal antikorpi, u bl-istess grad ta 'speċifiċità.</v>
      </c>
    </row>
    <row r="3338" ht="15.75" customHeight="1">
      <c r="A3338" s="2" t="s">
        <v>3338</v>
      </c>
      <c r="B3338" s="2" t="str">
        <f>IFERROR(__xludf.DUMMYFUNCTION("GOOGLETRANSLATE(A3338,""en"", ""mt"")"),"Datapac ġie żviluppat minn Bell Northern Research")</f>
        <v>Datapac ġie żviluppat minn Bell Northern Research</v>
      </c>
    </row>
    <row r="3339" ht="15.75" customHeight="1">
      <c r="A3339" s="2" t="s">
        <v>3339</v>
      </c>
      <c r="B3339" s="2" t="str">
        <f>IFERROR(__xludf.DUMMYFUNCTION("GOOGLETRANSLATE(A3339,""en"", ""mt"")"),"Ħafna mill-istess deċiżjonijiet u prinċipji li japplikaw f'investigazzjonijiet u arresti kriminali oħra jinqalgħu wkoll f'każijiet ta 'diżubbidjenza ċivili. Pereżempju, is-suspettat jista 'jkollu bżonn jiddeċiedi jekk jagħtix tfittxija ta' kunsens jew le,"&amp;" u jekk tkellemx jew le ma 'uffiċjali tal-pulizija jew le. Ġeneralment huwa miftiehem fi ħdan il-komunità legali, u ħafna drabi huwa maħsub fil-komunità attivisti, li suspettat jitkellem ma 'investigaturi kriminali jista' jservi l-ebda skop utli, u jista "&amp;"'jkun ta' ħsara. Madankollu, xi diżubbidjenti ċivili madankollu sabuha diffiċli biex jirreżistu li jirrispondu għall-mistoqsijiet tal-investigaturi, xi kultant minħabba nuqqas ta 'fehim tar-ramifikazzjonijiet legali, jew minħabba l-biża' li tidher rude. U"&amp;"koll, xi diżubbidjenti ċivili jfittxu li jużaw l-arrest bħala opportunità biex jagħmlu impressjoni fuq l-uffiċjali. Thoreau kiteb, ""Il-proxxmu ċivili tiegħi, il-ġbir tat-taxxa, huwa l-bniedem stess li għandi nittratta - għax wara kollox, ma 'l-irġiel u m"&amp;"hux mal-parċmina li kont nitfa' - u huwa volontarjament għażel li jkun aġent tal-gvern. Kif għandu jkun jaf sew li hu u jagħmel bħala uffiċjal tal-gvern, jew bħala raġel, sakemm ikun obbligat jikkunsidra jekk hux se jittratta lili, il-proxxmu tiegħu, li g"&amp;"ħalih hu għandu rispett, bħala Ġirien u raġel imħasseb sew, jew bħala maniac u jfixklu l-paċi, u ara jekk jistax jaqbeż din l-ostruzzjoni lejn il-viċinat tiegħu mingħajr ħsieb jew diskors aktar imxerred u aktar impetuż li jikkorrispondu mal-azzjoni tiegħu"&amp;". """)</f>
        <v>Ħafna mill-istess deċiżjonijiet u prinċipji li japplikaw f'investigazzjonijiet u arresti kriminali oħra jinqalgħu wkoll f'każijiet ta 'diżubbidjenza ċivili. Pereżempju, is-suspettat jista 'jkollu bżonn jiddeċiedi jekk jagħtix tfittxija ta' kunsens jew le, u jekk tkellemx jew le ma 'uffiċjali tal-pulizija jew le. Ġeneralment huwa miftiehem fi ħdan il-komunità legali, u ħafna drabi huwa maħsub fil-komunità attivisti, li suspettat jitkellem ma 'investigaturi kriminali jista' jservi l-ebda skop utli, u jista 'jkun ta' ħsara. Madankollu, xi diżubbidjenti ċivili madankollu sabuha diffiċli biex jirreżistu li jirrispondu għall-mistoqsijiet tal-investigaturi, xi kultant minħabba nuqqas ta 'fehim tar-ramifikazzjonijiet legali, jew minħabba l-biża' li tidher rude. Ukoll, xi diżubbidjenti ċivili jfittxu li jużaw l-arrest bħala opportunità biex jagħmlu impressjoni fuq l-uffiċjali. Thoreau kiteb, "Il-proxxmu ċivili tiegħi, il-ġbir tat-taxxa, huwa l-bniedem stess li għandi nittratta - għax wara kollox, ma 'l-irġiel u mhux mal-parċmina li kont nitfa' - u huwa volontarjament għażel li jkun aġent tal-gvern. Kif għandu jkun jaf sew li hu u jagħmel bħala uffiċjal tal-gvern, jew bħala raġel, sakemm ikun obbligat jikkunsidra jekk hux se jittratta lili, il-proxxmu tiegħu, li għalih hu għandu rispett, bħala Ġirien u raġel imħasseb sew, jew bħala maniac u jfixklu l-paċi, u ara jekk jistax jaqbeż din l-ostruzzjoni lejn il-viċinat tiegħu mingħajr ħsieb jew diskors aktar imxerred u aktar impetuż li jikkorrispondu mal-azzjoni tiegħu. "</v>
      </c>
    </row>
    <row r="3340" ht="15.75" customHeight="1">
      <c r="A3340" s="2" t="s">
        <v>3340</v>
      </c>
      <c r="B3340" s="2" t="str">
        <f>IFERROR(__xludf.DUMMYFUNCTION("GOOGLETRANSLATE(A3340,""en"", ""mt"")"),"Kemm-il koordinazzjoni ta 'awturi ewlenin għandu kapitolu ta' rapport IPCC?")</f>
        <v>Kemm-il koordinazzjoni ta 'awturi ewlenin għandu kapitolu ta' rapport IPCC?</v>
      </c>
    </row>
    <row r="3341" ht="15.75" customHeight="1">
      <c r="A3341" s="2" t="s">
        <v>3341</v>
      </c>
      <c r="B3341" s="2" t="str">
        <f>IFERROR(__xludf.DUMMYFUNCTION("GOOGLETRANSLATE(A3341,""en"", ""mt"")"),"Downtown Santa Monica u Downtown Glendale huma parti minn liema żona?")</f>
        <v>Downtown Santa Monica u Downtown Glendale huma parti minn liema żona?</v>
      </c>
    </row>
    <row r="3342" ht="15.75" customHeight="1">
      <c r="A3342" s="2" t="s">
        <v>3342</v>
      </c>
      <c r="B3342" s="2" t="str">
        <f>IFERROR(__xludf.DUMMYFUNCTION("GOOGLETRANSLATE(A3342,""en"", ""mt"")"),"It-Trattat ta ’Ruma 1957 u t-Trattat Maastricht 1992")</f>
        <v>It-Trattat ta ’Ruma 1957 u t-Trattat Maastricht 1992</v>
      </c>
    </row>
    <row r="3343" ht="15.75" customHeight="1">
      <c r="A3343" s="2" t="s">
        <v>3343</v>
      </c>
      <c r="B3343" s="2" t="str">
        <f>IFERROR(__xludf.DUMMYFUNCTION("GOOGLETRANSLATE(A3343,""en"", ""mt"")"),"Norm isir iżgħar")</f>
        <v>Norm isir iżgħar</v>
      </c>
    </row>
    <row r="3344" ht="15.75" customHeight="1">
      <c r="A3344" s="2" t="s">
        <v>3344</v>
      </c>
      <c r="B3344" s="2" t="str">
        <f>IFERROR(__xludf.DUMMYFUNCTION("GOOGLETRANSLATE(A3344,""en"", ""mt"")"),"Genghis Khan għaqqad it-tribujiet tal-Mongolja u Turkiċi tal-Steppes u sar Khan kbir fl-1206. Huwa u s-suċċessuri tiegħu kabbru l-imperu Mongoljan madwar l-Asja. Taħt ir-renju tat-tielet iben ta 'Genghis, Ögedei Khan, il-Mongoli qerdu d-dinastija Jin imdg"&amp;"ħajfa fl-1234, li jirbħu ħafna miċ-Ċina tat-Tramuntana. Ögedei offra lin-neputi Kublai pożizzjoni f'Xingzhou, Hebei. Kublai ma setax jaqra ċ-Ċiniż iżda kellu diversi għalliema Ċiniżi Han marbuta miegħu mis-snin bikrin tiegħu minn ommu Sorghaghtani. Huwa f"&amp;"ittex l-avukat tal-konsulenti Buddisti Ċiniżi u Confucian. Möngke Khan irnexxielu lil ibnu Ögedei, Güyük, bħala Khan kbir fl-1251. Huwa ta l-kontroll ta 'ħuh Kublai fuq il-Mongolja li kellu territorji fiċ-Ċina. Kublai bena skejjel għal studjużi Confucian,"&amp;" ħarġu flus tal-karti, reġgħu reġgħu ritwali Ċiniżi u approvaw politiki li stimulaw tkabbir agrikolu u kummerċjali. Huwa adotta bħala l-belt kapitali tiegħu Kaiping fil-Mongolja ta 'ġewwa, aktar tard semmieh Shangdu.")</f>
        <v>Genghis Khan għaqqad it-tribujiet tal-Mongolja u Turkiċi tal-Steppes u sar Khan kbir fl-1206. Huwa u s-suċċessuri tiegħu kabbru l-imperu Mongoljan madwar l-Asja. Taħt ir-renju tat-tielet iben ta 'Genghis, Ögedei Khan, il-Mongoli qerdu d-dinastija Jin imdgħajfa fl-1234, li jirbħu ħafna miċ-Ċina tat-Tramuntana. Ögedei offra lin-neputi Kublai pożizzjoni f'Xingzhou, Hebei. Kublai ma setax jaqra ċ-Ċiniż iżda kellu diversi għalliema Ċiniżi Han marbuta miegħu mis-snin bikrin tiegħu minn ommu Sorghaghtani. Huwa fittex l-avukat tal-konsulenti Buddisti Ċiniżi u Confucian. Möngke Khan irnexxielu lil ibnu Ögedei, Güyük, bħala Khan kbir fl-1251. Huwa ta l-kontroll ta 'ħuh Kublai fuq il-Mongolja li kellu territorji fiċ-Ċina. Kublai bena skejjel għal studjużi Confucian, ħarġu flus tal-karti, reġgħu reġgħu ritwali Ċiniżi u approvaw politiki li stimulaw tkabbir agrikolu u kummerċjali. Huwa adotta bħala l-belt kapitali tiegħu Kaiping fil-Mongolja ta 'ġewwa, aktar tard semmieh Shangdu.</v>
      </c>
    </row>
    <row r="3345" ht="15.75" customHeight="1">
      <c r="A3345" s="2" t="s">
        <v>3345</v>
      </c>
      <c r="B3345" s="2" t="str">
        <f>IFERROR(__xludf.DUMMYFUNCTION("GOOGLETRANSLATE(A3345,""en"", ""mt"")"),"It-tul tar-Rhine huwa mkejjel b'mod konvenzjonali f '""Rhine-Kilometri"" (Rheinkilometer), skala introdotta fl-1939 li tmur mill-Old Rhine Bridge f'Constance (0 km) għal Hoek van Holland (1036.20 km). It-tul tax-xmara huwa mqassar b'mod sinifikanti mill-k"&amp;"ors naturali tax-xmara minħabba numru ta 'proġetti ta' kanalizzazzjoni kompluti fis-seklu 19 u 20 diffiċli biex titkejjel b'mod oġġettiv; Ġie kkwotat bħala 1,232 kilometru (766 mil) mir-Rijkswaterstaat Olandiż fl-2010. [Nota 1]")</f>
        <v>It-tul tar-Rhine huwa mkejjel b'mod konvenzjonali f '"Rhine-Kilometri" (Rheinkilometer), skala introdotta fl-1939 li tmur mill-Old Rhine Bridge f'Constance (0 km) għal Hoek van Holland (1036.20 km). It-tul tax-xmara huwa mqassar b'mod sinifikanti mill-kors naturali tax-xmara minħabba numru ta 'proġetti ta' kanalizzazzjoni kompluti fis-seklu 19 u 20 diffiċli biex titkejjel b'mod oġġettiv; Ġie kkwotat bħala 1,232 kilometru (766 mil) mir-Rijkswaterstaat Olandiż fl-2010. [Nota 1]</v>
      </c>
    </row>
    <row r="3346" ht="15.75" customHeight="1">
      <c r="A3346" s="2" t="s">
        <v>3346</v>
      </c>
      <c r="B3346" s="2" t="str">
        <f>IFERROR(__xludf.DUMMYFUNCTION("GOOGLETRANSLATE(A3346,""en"", ""mt"")"),"Min notevolment tejjeb il-pompa tal-ilma tas-salvataġġ?")</f>
        <v>Min notevolment tejjeb il-pompa tal-ilma tas-salvataġġ?</v>
      </c>
    </row>
    <row r="3347" ht="15.75" customHeight="1">
      <c r="A3347" s="2" t="s">
        <v>3347</v>
      </c>
      <c r="B3347" s="2" t="str">
        <f>IFERROR(__xludf.DUMMYFUNCTION("GOOGLETRANSLATE(A3347,""en"", ""mt"")"),"Il-konġettura ta 'Goldbach")</f>
        <v>Il-konġettura ta 'Goldbach</v>
      </c>
    </row>
    <row r="3348" ht="15.75" customHeight="1">
      <c r="A3348" s="2" t="s">
        <v>3348</v>
      </c>
      <c r="B3348" s="2" t="str">
        <f>IFERROR(__xludf.DUMMYFUNCTION("GOOGLETRANSLATE(A3348,""en"", ""mt"")"),"gass ​​ikkompressat")</f>
        <v>gass ​​ikkompressat</v>
      </c>
    </row>
    <row r="3349" ht="15.75" customHeight="1">
      <c r="A3349" s="2" t="s">
        <v>3349</v>
      </c>
      <c r="B3349" s="2" t="str">
        <f>IFERROR(__xludf.DUMMYFUNCTION("GOOGLETRANSLATE(A3349,""en"", ""mt"")"),"Kemm mill-fluss tar-Renu jġorr l-ijssel?")</f>
        <v>Kemm mill-fluss tar-Renu jġorr l-ijssel?</v>
      </c>
    </row>
    <row r="3350" ht="15.75" customHeight="1">
      <c r="A3350" s="2" t="s">
        <v>3350</v>
      </c>
      <c r="B3350" s="2" t="str">
        <f>IFERROR(__xludf.DUMMYFUNCTION("GOOGLETRANSLATE(A3350,""en"", ""mt"")"),"Liema moviment tad-drittijiet ċivili fl-Istati Uniti kien magħruf għad-diżubbidjenza tiegħu?")</f>
        <v>Liema moviment tad-drittijiet ċivili fl-Istati Uniti kien magħruf għad-diżubbidjenza tiegħu?</v>
      </c>
    </row>
    <row r="3351" ht="15.75" customHeight="1">
      <c r="A3351" s="2" t="s">
        <v>3351</v>
      </c>
      <c r="B3351" s="2" t="str">
        <f>IFERROR(__xludf.DUMMYFUNCTION("GOOGLETRANSLATE(A3351,""en"", ""mt"")"),"Jappartjeni lil Warsz")</f>
        <v>Jappartjeni lil Warsz</v>
      </c>
    </row>
    <row r="3352" ht="15.75" customHeight="1">
      <c r="A3352" s="2" t="s">
        <v>3352</v>
      </c>
      <c r="B3352" s="2" t="str">
        <f>IFERROR(__xludf.DUMMYFUNCTION("GOOGLETRANSLATE(A3352,""en"", ""mt"")"),"Fejn huma n-nixxigħat li jinqabdu r-Rhine?")</f>
        <v>Fejn huma n-nixxigħat li jinqabdu r-Rhine?</v>
      </c>
    </row>
    <row r="3353" ht="15.75" customHeight="1">
      <c r="A3353" s="2" t="s">
        <v>3353</v>
      </c>
      <c r="B3353" s="2" t="str">
        <f>IFERROR(__xludf.DUMMYFUNCTION("GOOGLETRANSLATE(A3353,""en"", ""mt"")"),"Kemm żdiedet il-popolazzjoni ta 'Victoria f'għaxar snin wara l-iskoperta tad-deheb?")</f>
        <v>Kemm żdiedet il-popolazzjoni ta 'Victoria f'għaxar snin wara l-iskoperta tad-deheb?</v>
      </c>
    </row>
    <row r="3354" ht="15.75" customHeight="1">
      <c r="A3354" s="2" t="s">
        <v>3354</v>
      </c>
      <c r="B3354" s="2" t="str">
        <f>IFERROR(__xludf.DUMMYFUNCTION("GOOGLETRANSLATE(A3354,""en"", ""mt"")"),"Fuq xiex ipproponiet il-ħlasijiet ta 'benefiċċji ta' Alec Shelbrooke?")</f>
        <v>Fuq xiex ipproponiet il-ħlasijiet ta 'benefiċċji ta' Alec Shelbrooke?</v>
      </c>
    </row>
    <row r="3355" ht="15.75" customHeight="1">
      <c r="A3355" s="2" t="s">
        <v>3355</v>
      </c>
      <c r="B3355" s="2" t="str">
        <f>IFERROR(__xludf.DUMMYFUNCTION("GOOGLETRANSLATE(A3355,""en"", ""mt"")"),"Komunista")</f>
        <v>Komunista</v>
      </c>
    </row>
    <row r="3356" ht="15.75" customHeight="1">
      <c r="A3356" s="2" t="s">
        <v>3356</v>
      </c>
      <c r="B3356" s="2" t="str">
        <f>IFERROR(__xludf.DUMMYFUNCTION("GOOGLETRANSLATE(A3356,""en"", ""mt"")"),"Birefringence, pleochroism, ġemellaġġ, u proprjetajiet ta 'interferenza")</f>
        <v>Birefringence, pleochroism, ġemellaġġ, u proprjetajiet ta 'interferenza</v>
      </c>
    </row>
    <row r="3357" ht="15.75" customHeight="1">
      <c r="A3357" s="2" t="s">
        <v>3357</v>
      </c>
      <c r="B3357" s="2" t="str">
        <f>IFERROR(__xludf.DUMMYFUNCTION("GOOGLETRANSLATE(A3357,""en"", ""mt"")"),"Il-ġeografu ta 'Wilson")</f>
        <v>Il-ġeografu ta 'Wilson</v>
      </c>
    </row>
    <row r="3358" ht="15.75" customHeight="1">
      <c r="A3358" s="2" t="s">
        <v>3358</v>
      </c>
      <c r="B3358" s="2" t="str">
        <f>IFERROR(__xludf.DUMMYFUNCTION("GOOGLETRANSLATE(A3358,""en"", ""mt"")"),"medja ta ’182 miljun")</f>
        <v>medja ta ’182 miljun</v>
      </c>
    </row>
    <row r="3359" ht="15.75" customHeight="1">
      <c r="A3359" s="2" t="s">
        <v>3359</v>
      </c>
      <c r="B3359" s="2" t="str">
        <f>IFERROR(__xludf.DUMMYFUNCTION("GOOGLETRANSLATE(A3359,""en"", ""mt"")"),"barriera tad-demm-moħħ, barriera ta 'fluwidu tad-demm - ċerikrospinali")</f>
        <v>barriera tad-demm-moħħ, barriera ta 'fluwidu tad-demm - ċerikrospinali</v>
      </c>
    </row>
    <row r="3360" ht="15.75" customHeight="1">
      <c r="A3360" s="2" t="s">
        <v>3360</v>
      </c>
      <c r="B3360" s="2" t="str">
        <f>IFERROR(__xludf.DUMMYFUNCTION("GOOGLETRANSLATE(A3360,""en"", ""mt"")"),"Kont privat")</f>
        <v>Kont privat</v>
      </c>
    </row>
    <row r="3361" ht="15.75" customHeight="1">
      <c r="A3361" s="2" t="s">
        <v>3361</v>
      </c>
      <c r="B3361" s="2" t="str">
        <f>IFERROR(__xludf.DUMMYFUNCTION("GOOGLETRANSLATE(A3361,""en"", ""mt"")"),"wara s-sieq tal-arblu ta 'vapur li jiċċaqlaq")</f>
        <v>wara s-sieq tal-arblu ta 'vapur li jiċċaqlaq</v>
      </c>
    </row>
    <row r="3362" ht="15.75" customHeight="1">
      <c r="A3362" s="2" t="s">
        <v>3362</v>
      </c>
      <c r="B3362" s="2" t="str">
        <f>IFERROR(__xludf.DUMMYFUNCTION("GOOGLETRANSLATE(A3362,""en"", ""mt"")"),"Li tgħaqqad il-pakkett tal-isem modern li jaqleb")</f>
        <v>Li tgħaqqad il-pakkett tal-isem modern li jaqleb</v>
      </c>
    </row>
    <row r="3363" ht="15.75" customHeight="1">
      <c r="A3363" s="2" t="s">
        <v>3363</v>
      </c>
      <c r="B3363" s="2" t="str">
        <f>IFERROR(__xludf.DUMMYFUNCTION("GOOGLETRANSLATE(A3363,""en"", ""mt"")"),"wieħed mill-aktar influwenti")</f>
        <v>wieħed mill-aktar influwenti</v>
      </c>
    </row>
    <row r="3364" ht="15.75" customHeight="1">
      <c r="A3364" s="2" t="s">
        <v>3364</v>
      </c>
      <c r="B3364" s="2" t="str">
        <f>IFERROR(__xludf.DUMMYFUNCTION("GOOGLETRANSLATE(A3364,""en"", ""mt"")"),"38–41 ° C.")</f>
        <v>38–41 ° C.</v>
      </c>
    </row>
    <row r="3365" ht="15.75" customHeight="1">
      <c r="A3365" s="2" t="s">
        <v>3365</v>
      </c>
      <c r="B3365" s="2" t="str">
        <f>IFERROR(__xludf.DUMMYFUNCTION("GOOGLETRANSLATE(A3365,""en"", ""mt"")"),"L-ispiżjara huma professjonisti tal-kura tas-saħħa b'edukazzjoni u taħriġ speċjalizzati li jwettqu diversi rwoli biex jiżguraw riżultati tas-saħħa ottimali għall-pazjenti tagħhom permezz tal-użu tal-kwalità tal-mediċini. L-ispiżjara jistgħu jkunu wkoll si"&amp;"dien ta 'negozji żgħar, li jippossjedu l-ispiżerija li fihom jipprattikaw. Peress li l-ispiżjara jafu dwar il-mod ta 'azzjoni ta' mediċina partikolari, u l-metaboliżmu u l-effetti fiżjoloġiċi tagħha fuq il-ġisem tal-bniedem fid-dettall, huma għandhom rwol"&amp;" importanti fl-ottimizzazzjoni ta 'trattament ta' mediċina għal individwu.")</f>
        <v>L-ispiżjara huma professjonisti tal-kura tas-saħħa b'edukazzjoni u taħriġ speċjalizzati li jwettqu diversi rwoli biex jiżguraw riżultati tas-saħħa ottimali għall-pazjenti tagħhom permezz tal-użu tal-kwalità tal-mediċini. L-ispiżjara jistgħu jkunu wkoll sidien ta 'negozji żgħar, li jippossjedu l-ispiżerija li fihom jipprattikaw. Peress li l-ispiżjara jafu dwar il-mod ta 'azzjoni ta' mediċina partikolari, u l-metaboliżmu u l-effetti fiżjoloġiċi tagħha fuq il-ġisem tal-bniedem fid-dettall, huma għandhom rwol importanti fl-ottimizzazzjoni ta 'trattament ta' mediċina għal individwu.</v>
      </c>
    </row>
    <row r="3366" ht="15.75" customHeight="1">
      <c r="A3366" s="2" t="s">
        <v>3366</v>
      </c>
      <c r="B3366" s="2" t="str">
        <f>IFERROR(__xludf.DUMMYFUNCTION("GOOGLETRANSLATE(A3366,""en"", ""mt"")"),"Inizjattivi tal-Finanzi Privati ​​(PFIS)")</f>
        <v>Inizjattivi tal-Finanzi Privati ​​(PFIS)</v>
      </c>
    </row>
    <row r="3367" ht="15.75" customHeight="1">
      <c r="A3367" s="2" t="s">
        <v>3367</v>
      </c>
      <c r="B3367" s="2" t="str">
        <f>IFERROR(__xludf.DUMMYFUNCTION("GOOGLETRANSLATE(A3367,""en"", ""mt"")"),"Żoni kklerjati mill-foresta")</f>
        <v>Żoni kklerjati mill-foresta</v>
      </c>
    </row>
    <row r="3368" ht="15.75" customHeight="1">
      <c r="A3368" s="2" t="s">
        <v>3368</v>
      </c>
      <c r="B3368" s="2" t="str">
        <f>IFERROR(__xludf.DUMMYFUNCTION("GOOGLETRANSLATE(A3368,""en"", ""mt"")"),"X'inhuma żewġ tipi ta 'fagoċiti li jivvjaġġaw minn ġol-ġisem biex isibu patoġeni li jinvadu?")</f>
        <v>X'inhuma żewġ tipi ta 'fagoċiti li jivvjaġġaw minn ġol-ġisem biex isibu patoġeni li jinvadu?</v>
      </c>
    </row>
    <row r="3369" ht="15.75" customHeight="1">
      <c r="A3369" s="2" t="s">
        <v>3369</v>
      </c>
      <c r="B3369" s="2" t="str">
        <f>IFERROR(__xludf.DUMMYFUNCTION("GOOGLETRANSLATE(A3369,""en"", ""mt"")"),"Il-qrati ddistingwew bejn żewġ tipi ta 'diżubbidjenza ċivili: ""Id-diżubbidjenza ċivili indiretta tinvolvi li tikser liġi li mhix, fiha nnifisha, l-oġġett ta' protesta, filwaqt li d-diżubbidjenza ċivili diretta tinvolvi li tipprotesta l-eżistenza ta 'liġi"&amp;" partikolari billi tikser dik il-liġi."" Matul il-Gwerra tal-Vjetnam, il-qrati tipikament irrifjutaw li jiskużaw lill-awturi ta ’protesti illegali mill-kastig abbażi tal-isfida tagħhom il-legalità tal-Gwerra tal-Vjetnam; Il-qrati ddeċidew li kienet kwistj"&amp;"oni politika. Id-difiża tal-ħtieġa xi kultant intużat bħala difiża dell minn diżubbidjenti ċivili biex tiċħad il-ħtija mingħajr ma tinnunzja l-atti motivati ​​politikament tagħhom, u biex tippreżenta t-twemmin politiku tagħhom fl-awla. Madankollu, każijie"&amp;"t tal-qorti bħall-Istati Uniti v. Schoon naqqsu ħafna d-disponibbiltà tad-difiża tal-ħtieġa politika. Bl-istess mod, meta Carter Wentworth ġie akkużat għar-rwol tiegħu fl-okkupazzjoni illegali tal-1977 tal-Alleanza Clamshell fl-impjant nukleari tal-istazz"&amp;"jon ta 'Seabrook, l-imħallef ta struzzjonijiet lill-ġurija biex tinjora d-difiża tal-ħsara li tikkompeti tiegħu, u nstab ħati. Attivisti tal-assoċjazzjoni tal-ġurija infurmati bis-sħiħ xi kultant ingħataw fuljetti edukattivi ġewwa l-kmamar tal-qorti minke"&amp;"jja li ma jagħtux; Skond il-Fija, ħafna minnhom ħarbu mill-prosekuzzjoni minħabba li ""l-prosekuturi rraġunaw (b'mod korrett) li jekk jarrestaw fuljetti tal-ġurija infurmati bis-sħiħ, il-fuljetti għandhom jingħataw lill-ġurija tal-fuljett stess bħala evid"&amp;"enza.""")</f>
        <v>Il-qrati ddistingwew bejn żewġ tipi ta 'diżubbidjenza ċivili: "Id-diżubbidjenza ċivili indiretta tinvolvi li tikser liġi li mhix, fiha nnifisha, l-oġġett ta' protesta, filwaqt li d-diżubbidjenza ċivili diretta tinvolvi li tipprotesta l-eżistenza ta 'liġi partikolari billi tikser dik il-liġi." Matul il-Gwerra tal-Vjetnam, il-qrati tipikament irrifjutaw li jiskużaw lill-awturi ta ’protesti illegali mill-kastig abbażi tal-isfida tagħhom il-legalità tal-Gwerra tal-Vjetnam; Il-qrati ddeċidew li kienet kwistjoni politika. Id-difiża tal-ħtieġa xi kultant intużat bħala difiża dell minn diżubbidjenti ċivili biex tiċħad il-ħtija mingħajr ma tinnunzja l-atti motivati ​​politikament tagħhom, u biex tippreżenta t-twemmin politiku tagħhom fl-awla. Madankollu, każijiet tal-qorti bħall-Istati Uniti v. Schoon naqqsu ħafna d-disponibbiltà tad-difiża tal-ħtieġa politika. Bl-istess mod, meta Carter Wentworth ġie akkużat għar-rwol tiegħu fl-okkupazzjoni illegali tal-1977 tal-Alleanza Clamshell fl-impjant nukleari tal-istazzjon ta 'Seabrook, l-imħallef ta struzzjonijiet lill-ġurija biex tinjora d-difiża tal-ħsara li tikkompeti tiegħu, u nstab ħati. Attivisti tal-assoċjazzjoni tal-ġurija infurmati bis-sħiħ xi kultant ingħataw fuljetti edukattivi ġewwa l-kmamar tal-qorti minkejja li ma jagħtux; Skond il-Fija, ħafna minnhom ħarbu mill-prosekuzzjoni minħabba li "l-prosekuturi rraġunaw (b'mod korrett) li jekk jarrestaw fuljetti tal-ġurija infurmati bis-sħiħ, il-fuljetti għandhom jingħataw lill-ġurija tal-fuljett stess bħala evidenza."</v>
      </c>
    </row>
    <row r="3370" ht="15.75" customHeight="1">
      <c r="A3370" s="2" t="s">
        <v>3370</v>
      </c>
      <c r="B3370" s="2" t="str">
        <f>IFERROR(__xludf.DUMMYFUNCTION("GOOGLETRANSLATE(A3370,""en"", ""mt"")"),"Netwerk Pubbliku Awstraljan X.25 Mħaddem minn Telstra")</f>
        <v>Netwerk Pubbliku Awstraljan X.25 Mħaddem minn Telstra</v>
      </c>
    </row>
    <row r="3371" ht="15.75" customHeight="1">
      <c r="A3371" s="2" t="s">
        <v>3371</v>
      </c>
      <c r="B3371" s="2" t="str">
        <f>IFERROR(__xludf.DUMMYFUNCTION("GOOGLETRANSLATE(A3371,""en"", ""mt"")"),"1688–1692")</f>
        <v>1688–1692</v>
      </c>
    </row>
    <row r="3372" ht="15.75" customHeight="1">
      <c r="A3372" s="2" t="s">
        <v>3372</v>
      </c>
      <c r="B3372" s="2" t="str">
        <f>IFERROR(__xludf.DUMMYFUNCTION("GOOGLETRANSLATE(A3372,""en"", ""mt"")"),"X'inhuma Los Angeles, Orange, San Diego, San Bernardino u Riverside?")</f>
        <v>X'inhuma Los Angeles, Orange, San Diego, San Bernardino u Riverside?</v>
      </c>
    </row>
    <row r="3373" ht="15.75" customHeight="1">
      <c r="A3373" s="2" t="s">
        <v>3373</v>
      </c>
      <c r="B3373" s="2" t="str">
        <f>IFERROR(__xludf.DUMMYFUNCTION("GOOGLETRANSLATE(A3373,""en"", ""mt"")"),"Min japplika l-liġi tal-Unjoni Ewropea?")</f>
        <v>Min japplika l-liġi tal-Unjoni Ewropea?</v>
      </c>
    </row>
    <row r="3374" ht="15.75" customHeight="1">
      <c r="A3374" s="2" t="s">
        <v>3374</v>
      </c>
      <c r="B3374" s="2" t="str">
        <f>IFERROR(__xludf.DUMMYFUNCTION("GOOGLETRANSLATE(A3374,""en"", ""mt"")"),"Agħmel pjanijiet dettaljati u żżomm sorveljanza bir-reqqa")</f>
        <v>Agħmel pjanijiet dettaljati u żżomm sorveljanza bir-reqqa</v>
      </c>
    </row>
    <row r="3375" ht="15.75" customHeight="1">
      <c r="A3375" s="2" t="s">
        <v>3375</v>
      </c>
      <c r="B3375" s="2" t="str">
        <f>IFERROR(__xludf.DUMMYFUNCTION("GOOGLETRANSLATE(A3375,""en"", ""mt"")"),"moxt ġelatina")</f>
        <v>moxt ġelatina</v>
      </c>
    </row>
    <row r="3376" ht="15.75" customHeight="1">
      <c r="A3376" s="2" t="s">
        <v>3376</v>
      </c>
      <c r="B3376" s="2" t="str">
        <f>IFERROR(__xludf.DUMMYFUNCTION("GOOGLETRANSLATE(A3376,""en"", ""mt"")"),"Hemm ukoll ħafna postijiet li jfakkru l-istorja erojka ta 'Varsavja. Pawiak, ħabs infami Ġermaniż ta 'Gestapo issa okkupat minn mausoleum ta' memorja tal-martirju u l-mużew, huwa biss il-bidu ta 'mixja fit-traċċi tal-belt erojka. Iċ-Ċittadella ta ’Varsavj"&amp;"a, fortifikazzjoni impressjonanti tas-seklu 19 mibnija wara t-telfa tar-rewwixta ta’ Novembru, kienet post ta ’martri għall-Pollakki. Monument importanti ieħor, l-istatwa ta 'ftit ribelli li tinsab fis-swar tal-belt il-qadima, tikkommemora lit-tfal li ser"&amp;"vew bħala messaġġiera u truppi ta' quddiem fir-rewwixta ta 'Varsavja, filwaqt li l-impressjonanti Monument ta' Varsavja minn Wincenty Kućma ġie mtella 'fil-memorja tal-ikbar insurrezzjoni tat-Tieni Gwerra Dinjija.")</f>
        <v>Hemm ukoll ħafna postijiet li jfakkru l-istorja erojka ta 'Varsavja. Pawiak, ħabs infami Ġermaniż ta 'Gestapo issa okkupat minn mausoleum ta' memorja tal-martirju u l-mużew, huwa biss il-bidu ta 'mixja fit-traċċi tal-belt erojka. Iċ-Ċittadella ta ’Varsavja, fortifikazzjoni impressjonanti tas-seklu 19 mibnija wara t-telfa tar-rewwixta ta’ Novembru, kienet post ta ’martri għall-Pollakki. Monument importanti ieħor, l-istatwa ta 'ftit ribelli li tinsab fis-swar tal-belt il-qadima, tikkommemora lit-tfal li servew bħala messaġġiera u truppi ta' quddiem fir-rewwixta ta 'Varsavja, filwaqt li l-impressjonanti Monument ta' Varsavja minn Wincenty Kućma ġie mtella 'fil-memorja tal-ikbar insurrezzjoni tat-Tieni Gwerra Dinjija.</v>
      </c>
    </row>
    <row r="3377" ht="15.75" customHeight="1">
      <c r="A3377" s="2" t="s">
        <v>3377</v>
      </c>
      <c r="B3377" s="2" t="str">
        <f>IFERROR(__xludf.DUMMYFUNCTION("GOOGLETRANSLATE(A3377,""en"", ""mt"")"),"Jekk tinżamm elezzjoni straordinarja f'inqas minn sitt xhur qabel id-data ta 'elezzjoni ordinarja, x'tagħmel għall-elezzjoni ordinarja?")</f>
        <v>Jekk tinżamm elezzjoni straordinarja f'inqas minn sitt xhur qabel id-data ta 'elezzjoni ordinarja, x'tagħmel għall-elezzjoni ordinarja?</v>
      </c>
    </row>
    <row r="3378" ht="15.75" customHeight="1">
      <c r="A3378" s="2" t="s">
        <v>3378</v>
      </c>
      <c r="B3378" s="2" t="str">
        <f>IFERROR(__xludf.DUMMYFUNCTION("GOOGLETRANSLATE(A3378,""en"", ""mt"")"),"Għaliex in-nazzjonijiet Ewropej u l-Ġappun isseparaw ruħhom mill-Istati Uniti waqt il-kriżi?")</f>
        <v>Għaliex in-nazzjonijiet Ewropej u l-Ġappun isseparaw ruħhom mill-Istati Uniti waqt il-kriżi?</v>
      </c>
    </row>
    <row r="3379" ht="15.75" customHeight="1">
      <c r="A3379" s="2" t="s">
        <v>3379</v>
      </c>
      <c r="B3379" s="2" t="str">
        <f>IFERROR(__xludf.DUMMYFUNCTION("GOOGLETRANSLATE(A3379,""en"", ""mt"")"),"ħamsa")</f>
        <v>ħamsa</v>
      </c>
    </row>
    <row r="3380" ht="15.75" customHeight="1">
      <c r="A3380" s="2" t="s">
        <v>3380</v>
      </c>
      <c r="B3380" s="2" t="str">
        <f>IFERROR(__xludf.DUMMYFUNCTION("GOOGLETRANSLATE(A3380,""en"", ""mt"")"),"Il-Qorti Ewropea tal-Ġustizzja")</f>
        <v>Il-Qorti Ewropea tal-Ġustizzja</v>
      </c>
    </row>
    <row r="3381" ht="15.75" customHeight="1">
      <c r="A3381" s="2" t="s">
        <v>3381</v>
      </c>
      <c r="B3381" s="2" t="str">
        <f>IFERROR(__xludf.DUMMYFUNCTION("GOOGLETRANSLATE(A3381,""en"", ""mt"")"),"Sett ta 'problema li dak huwa diffiċli għall-espressjoni NP jista' jkun iddikjarat ukoll kif?")</f>
        <v>Sett ta 'problema li dak huwa diffiċli għall-espressjoni NP jista' jkun iddikjarat ukoll kif?</v>
      </c>
    </row>
    <row r="3382" ht="15.75" customHeight="1">
      <c r="A3382" s="2" t="s">
        <v>3382</v>
      </c>
      <c r="B3382" s="2" t="str">
        <f>IFERROR(__xludf.DUMMYFUNCTION("GOOGLETRANSLATE(A3382,""en"", ""mt"")"),"Min jippreżenta ideat differenti dwar kif jistgħu jintlaħqu l-għanijiet?")</f>
        <v>Min jippreżenta ideat differenti dwar kif jistgħu jintlaħqu l-għanijiet?</v>
      </c>
    </row>
    <row r="3383" ht="15.75" customHeight="1">
      <c r="A3383" s="2" t="s">
        <v>3383</v>
      </c>
      <c r="B3383" s="2" t="str">
        <f>IFERROR(__xludf.DUMMYFUNCTION("GOOGLETRANSLATE(A3383,""en"", ""mt"")"),"L-imperjalizmu u l-kolonjaliżmu jiddettaw it-tnejn il-vantaġġ politiku u ekonomiku fuq art u l-popolazzjonijiet indiġeni li jikkontrollaw, iżda l-istudjużi kultant isibuha diffiċli biex juru d-differenza bejn it-tnejn. Għalkemm l-imperjalizmu u l-kolonjal"&amp;"iżmu jiffokaw fuq it-trażżin ta 'ieħor, jekk il-kolonjaliżmu jirreferi għall-proċess ta' pajjiż li jieħu kontroll fiżiku ta 'ieħor, l-imperjalizmu jirreferi għad-dominanza politika u monetarja, jew formalment jew informalment. Il-kolonjaliżmu huwa meqjus "&amp;"li huwa l-perit li jiddeċiedi kif jibda dominanti żoni u allura l-imperjalizmu jista 'jitqies bħala li joħloq l-idea wara l-konkwista li tikkoopera mal-kolonjaliżmu. Il-kolonjaliżmu huwa meta n-nazzjon imperjali jibda konkwista fuq żona u mbagħad eventwal"&amp;"ment ikun kapaċi jiddeċiedi fuq l-oqsma li n-nazzjon ta 'qabel kien ikkontrolla. It-tifsira ewlenija tal-kolonjaliżmu hija l-isfruttament tal-assi u l-provvisti siewja tan-nazzjon li ġie maħkuma u n-nazzjon li jirbħu u mbagħad jikseb il-benefiċċji mill-im"&amp;"ħassra tal-gwerra. It-tifsira tal-imperjalizmu hija li toħloq imperu, billi tirbaħ l-artijiet tal-istat l-ieħor u għalhekk iżżid id-dominanza tiegħu stess. Il-kolonjaliżmu huwa l-bennej u l-preservatur tal-possedimenti kolonjali f'żona minn popolazzjoni l"&amp;"i ġejja minn reġjun barrani. Il-kolonjaliżmu jista 'jbiddel kompletament l-istruttura soċjali eżistenti, l-istruttura fiżika u l-ekonomija ta' żona; Mhuwiex tas-soltu li l-karatteristiċi tal-popli li jirbħu jiġu wirt mill-popolazzjonijiet indiġeni maħkuma"&amp;".")</f>
        <v>L-imperjalizmu u l-kolonjaliżmu jiddettaw it-tnejn il-vantaġġ politiku u ekonomiku fuq art u l-popolazzjonijiet indiġeni li jikkontrollaw, iżda l-istudjużi kultant isibuha diffiċli biex juru d-differenza bejn it-tnejn. Għalkemm l-imperjalizmu u l-kolonjaliżmu jiffokaw fuq it-trażżin ta 'ieħor, jekk il-kolonjaliżmu jirreferi għall-proċess ta' pajjiż li jieħu kontroll fiżiku ta 'ieħor, l-imperjalizmu jirreferi għad-dominanza politika u monetarja, jew formalment jew informalment. Il-kolonjaliżmu huwa meqjus li huwa l-perit li jiddeċiedi kif jibda dominanti żoni u allura l-imperjalizmu jista 'jitqies bħala li joħloq l-idea wara l-konkwista li tikkoopera mal-kolonjaliżmu. Il-kolonjaliżmu huwa meta n-nazzjon imperjali jibda konkwista fuq żona u mbagħad eventwalment ikun kapaċi jiddeċiedi fuq l-oqsma li n-nazzjon ta 'qabel kien ikkontrolla. It-tifsira ewlenija tal-kolonjaliżmu hija l-isfruttament tal-assi u l-provvisti siewja tan-nazzjon li ġie maħkuma u n-nazzjon li jirbħu u mbagħad jikseb il-benefiċċji mill-imħassra tal-gwerra. It-tifsira tal-imperjalizmu hija li toħloq imperu, billi tirbaħ l-artijiet tal-istat l-ieħor u għalhekk iżżid id-dominanza tiegħu stess. Il-kolonjaliżmu huwa l-bennej u l-preservatur tal-possedimenti kolonjali f'żona minn popolazzjoni li ġejja minn reġjun barrani. Il-kolonjaliżmu jista 'jbiddel kompletament l-istruttura soċjali eżistenti, l-istruttura fiżika u l-ekonomija ta' żona; Mhuwiex tas-soltu li l-karatteristiċi tal-popli li jirbħu jiġu wirt mill-popolazzjonijiet indiġeni maħkuma.</v>
      </c>
    </row>
    <row r="3384" ht="15.75" customHeight="1">
      <c r="A3384" s="2" t="s">
        <v>3384</v>
      </c>
      <c r="B3384" s="2" t="str">
        <f>IFERROR(__xludf.DUMMYFUNCTION("GOOGLETRANSLATE(A3384,""en"", ""mt"")"),"weraq tar-rmied")</f>
        <v>weraq tar-rmied</v>
      </c>
    </row>
    <row r="3385" ht="15.75" customHeight="1">
      <c r="A3385" s="2" t="s">
        <v>3385</v>
      </c>
      <c r="B3385" s="2" t="str">
        <f>IFERROR(__xludf.DUMMYFUNCTION("GOOGLETRANSLATE(A3385,""en"", ""mt"")"),"Is-sistema tal-librerija tal-Università ta ’Chicago tiġbor fiha sitt libreriji li fihom total ta’ 9.8 miljun volum, il-11 l-iktar fost is-sistemi tal-librerija fl-Istati Uniti. Il-librerija ewlenija tal-università hija l-Librerija Regenstein, li fiha waħd"&amp;"a mill-ikbar kollezzjonijiet ta 'volumi stampati fl-Istati Uniti. Il-librerija Joe u Rika Mansueto, mibnija fl-2011, tospita spazju kbir ta 'studju u sistema awtomatika ta' ħażna u rkupru ta 'kotba. Il-librerija John Crerar fiha aktar minn 1.3 miljun volu"&amp;"m fix-xjenzi bijoloġiċi, mediċi u fiżiċi u kollezzjonijiet fix-xjenza ġenerali u l-filosofija u l-istorja tax-xjenza, il-mediċina, u t-teknoloġija. L-università topera wkoll numru ta 'libreriji speċjali, inklużi l-Librerija tal-Liġi D'Angelo, il-Librerija"&amp;" tal-Amministrazzjoni tas-Servizz Soċjali, u l-Librerija Eckhart għall-Matematika u x-Xjenza tal-Kompjuter, li għalqet temporanjament għar-rinnovazzjoni fit-8 ta' Lulju, 2013. Harper Memorial Library m'għadhiex fih xi volumi; Madankollu huwa, minbarra l-l"&amp;"ibrerija Regenstein, spazju ta 'studju ta' 24 siegħa fuq il-kampus.")</f>
        <v>Is-sistema tal-librerija tal-Università ta ’Chicago tiġbor fiha sitt libreriji li fihom total ta’ 9.8 miljun volum, il-11 l-iktar fost is-sistemi tal-librerija fl-Istati Uniti. Il-librerija ewlenija tal-università hija l-Librerija Regenstein, li fiha waħda mill-ikbar kollezzjonijiet ta 'volumi stampati fl-Istati Uniti. Il-librerija Joe u Rika Mansueto, mibnija fl-2011, tospita spazju kbir ta 'studju u sistema awtomatika ta' ħażna u rkupru ta 'kotba. Il-librerija John Crerar fiha aktar minn 1.3 miljun volum fix-xjenzi bijoloġiċi, mediċi u fiżiċi u kollezzjonijiet fix-xjenza ġenerali u l-filosofija u l-istorja tax-xjenza, il-mediċina, u t-teknoloġija. L-università topera wkoll numru ta 'libreriji speċjali, inklużi l-Librerija tal-Liġi D'Angelo, il-Librerija tal-Amministrazzjoni tas-Servizz Soċjali, u l-Librerija Eckhart għall-Matematika u x-Xjenza tal-Kompjuter, li għalqet temporanjament għar-rinnovazzjoni fit-8 ta' Lulju, 2013. Harper Memorial Library m'għadhiex fih xi volumi; Madankollu huwa, minbarra l-librerija Regenstein, spazju ta 'studju ta' 24 siegħa fuq il-kampus.</v>
      </c>
    </row>
    <row r="3386" ht="15.75" customHeight="1">
      <c r="A3386" s="2" t="s">
        <v>3386</v>
      </c>
      <c r="B3386" s="2" t="str">
        <f>IFERROR(__xludf.DUMMYFUNCTION("GOOGLETRANSLATE(A3386,""en"", ""mt"")"),"X'inhu 565 ° C il-limitu ta 'creep?")</f>
        <v>X'inhu 565 ° C il-limitu ta 'creep?</v>
      </c>
    </row>
    <row r="3387" ht="15.75" customHeight="1">
      <c r="A3387" s="2" t="s">
        <v>3387</v>
      </c>
      <c r="B3387" s="2" t="str">
        <f>IFERROR(__xludf.DUMMYFUNCTION("GOOGLETRANSLATE(A3387,""en"", ""mt"")"),"Identifika, tirrekluta")</f>
        <v>Identifika, tirrekluta</v>
      </c>
    </row>
    <row r="3388" ht="15.75" customHeight="1">
      <c r="A3388" s="2" t="s">
        <v>3388</v>
      </c>
      <c r="B3388" s="2" t="str">
        <f>IFERROR(__xludf.DUMMYFUNCTION("GOOGLETRANSLATE(A3388,""en"", ""mt"")"),"fid-direzzjoni li fiha l-ħalq qed jipponta,")</f>
        <v>fid-direzzjoni li fiha l-ħalq qed jipponta,</v>
      </c>
    </row>
    <row r="3389" ht="15.75" customHeight="1">
      <c r="A3389" s="2" t="s">
        <v>3389</v>
      </c>
      <c r="B3389" s="2" t="str">
        <f>IFERROR(__xludf.DUMMYFUNCTION("GOOGLETRANSLATE(A3389,""en"", ""mt"")"),"Il-kontijiet kontemporanji kienu esaġerazzjonijiet")</f>
        <v>Il-kontijiet kontemporanji kienu esaġerazzjonijiet</v>
      </c>
    </row>
    <row r="3390" ht="15.75" customHeight="1">
      <c r="A3390" s="2" t="s">
        <v>3390</v>
      </c>
      <c r="B3390" s="2" t="str">
        <f>IFERROR(__xludf.DUMMYFUNCTION("GOOGLETRANSLATE(A3390,""en"", ""mt"")"),"Att dwar il-Konservazzjoni tal-Enerġija ta 'Emerġenza ta' Emerġenza")</f>
        <v>Att dwar il-Konservazzjoni tal-Enerġija ta 'Emerġenza ta' Emerġenza</v>
      </c>
    </row>
    <row r="3391" ht="15.75" customHeight="1">
      <c r="A3391" s="2" t="s">
        <v>3391</v>
      </c>
      <c r="B3391" s="2" t="str">
        <f>IFERROR(__xludf.DUMMYFUNCTION("GOOGLETRANSLATE(A3391,""en"", ""mt"")"),"Tard tas-snin sebgħin")</f>
        <v>Tard tas-snin sebgħin</v>
      </c>
    </row>
    <row r="3392" ht="15.75" customHeight="1">
      <c r="A3392" s="2" t="s">
        <v>3392</v>
      </c>
      <c r="B3392" s="2" t="str">
        <f>IFERROR(__xludf.DUMMYFUNCTION("GOOGLETRANSLATE(A3392,""en"", ""mt"")"),"B'kuntrast, matul il-perjodi ta 'qawmien iddifferenzja ċelloli effetturi, bħal ċelloli killer naturali ċitotossiċi u CTLs (limfoċiti T ċitotossiċi), quċċata sabiex tinkiseb rispons effettiv kontra kwalunkwe patoġeni intrużi. Kif ukoll waqt żminijiet attiv"&amp;"i imqajjmin, molekuli anti-infjammatorji, bħal kortisol u katekolamini, quċċata. Hemm żewġ teoriji dwar għaliex l-istat pro-infjammatorju huwa riservat għall-ħin tal-irqad. L-ewwel, l-infjammazzjoni tikkawża indebolimenti konjittivi u fiżiċi serji jekk da"&amp;"n iseħħ waqt il-ħinijiet ta 'qawmien. It-tieni, infjammazzjoni tista 'sseħħ waqt il-ħinijiet ta' l-irqad minħabba l-preżenza ta 'melatonin. L-infjammazzjoni tikkawża ħafna stress ossidattiv u l-preżenza ta 'melatonin waqt il-ħinijiet ta' l-irqad tista 'ti"&amp;"kkontrolla b'mod attiv il-produzzjoni radikali ħielsa matul dan iż-żmien.")</f>
        <v>B'kuntrast, matul il-perjodi ta 'qawmien iddifferenzja ċelloli effetturi, bħal ċelloli killer naturali ċitotossiċi u CTLs (limfoċiti T ċitotossiċi), quċċata sabiex tinkiseb rispons effettiv kontra kwalunkwe patoġeni intrużi. Kif ukoll waqt żminijiet attivi imqajjmin, molekuli anti-infjammatorji, bħal kortisol u katekolamini, quċċata. Hemm żewġ teoriji dwar għaliex l-istat pro-infjammatorju huwa riservat għall-ħin tal-irqad. L-ewwel, l-infjammazzjoni tikkawża indebolimenti konjittivi u fiżiċi serji jekk dan iseħħ waqt il-ħinijiet ta 'qawmien. It-tieni, infjammazzjoni tista 'sseħħ waqt il-ħinijiet ta' l-irqad minħabba l-preżenza ta 'melatonin. L-infjammazzjoni tikkawża ħafna stress ossidattiv u l-preżenza ta 'melatonin waqt il-ħinijiet ta' l-irqad tista 'tikkontrolla b'mod attiv il-produzzjoni radikali ħielsa matul dan iż-żmien.</v>
      </c>
    </row>
    <row r="3393" ht="15.75" customHeight="1">
      <c r="A3393" s="2" t="s">
        <v>3393</v>
      </c>
      <c r="B3393" s="2" t="str">
        <f>IFERROR(__xludf.DUMMYFUNCTION("GOOGLETRANSLATE(A3393,""en"", ""mt"")"),"Università ta ’Washington")</f>
        <v>Università ta ’Washington</v>
      </c>
    </row>
    <row r="3394" ht="15.75" customHeight="1">
      <c r="A3394" s="2" t="s">
        <v>3394</v>
      </c>
      <c r="B3394" s="2" t="str">
        <f>IFERROR(__xludf.DUMMYFUNCTION("GOOGLETRANSLATE(A3394,""en"", ""mt"")"),"Min ħabb lil Varsavja tant li baqa ’jpoġġih fir-rumanzi tiegħu?")</f>
        <v>Min ħabb lil Varsavja tant li baqa ’jpoġġih fir-rumanzi tiegħu?</v>
      </c>
    </row>
    <row r="3395" ht="15.75" customHeight="1">
      <c r="A3395" s="2" t="s">
        <v>3395</v>
      </c>
      <c r="B3395" s="2" t="str">
        <f>IFERROR(__xludf.DUMMYFUNCTION("GOOGLETRANSLATE(A3395,""en"", ""mt"")"),"żieda fl-aċċess għall-edukazzjoni")</f>
        <v>żieda fl-aċċess għall-edukazzjoni</v>
      </c>
    </row>
    <row r="3396" ht="15.75" customHeight="1">
      <c r="A3396" s="2" t="s">
        <v>3396</v>
      </c>
      <c r="B3396" s="2" t="str">
        <f>IFERROR(__xludf.DUMMYFUNCTION("GOOGLETRANSLATE(A3396,""en"", ""mt"")"),"Kif jitwasslu l-messaġġi tal-forza tal-ajru")</f>
        <v>Kif jitwasslu l-messaġġi tal-forza tal-ajru</v>
      </c>
    </row>
    <row r="3397" ht="15.75" customHeight="1">
      <c r="A3397" s="2" t="s">
        <v>3397</v>
      </c>
      <c r="B3397" s="2" t="str">
        <f>IFERROR(__xludf.DUMMYFUNCTION("GOOGLETRANSLATE(A3397,""en"", ""mt"")"),"Stephen Eilmann jistaqsi għaliex turi diżubbidjenza ċivili pubblika minflok x'inhi idea aħjar?")</f>
        <v>Stephen Eilmann jistaqsi għaliex turi diżubbidjenza ċivili pubblika minflok x'inhi idea aħjar?</v>
      </c>
    </row>
    <row r="3398" ht="15.75" customHeight="1">
      <c r="A3398" s="2" t="s">
        <v>3398</v>
      </c>
      <c r="B3398" s="2" t="str">
        <f>IFERROR(__xludf.DUMMYFUNCTION("GOOGLETRANSLATE(A3398,""en"", ""mt"")"),"Djar mill-bidu tas-seklu 20 jillinjaw dan il-boulevard fil-qalba tal-passaġġ storiku Alta Vista. Is-sezzjoni ta ’Huntington Boulevard bejn l-Ewwel Triq fuq il-Punent sa Vjal Cedar fuq il-lvant hija d-dar għal ħafna djar kbar u mwarrba. L-iżvilupp oriġinal"&amp;"i ta 'din iż-żona beda madwar l-1910, fuq 190 acres ta' dak li kien qasam tal-alfalfa. Il-passaġġ Alta Vista, hekk kif l-art kienet issir magħrufa, kienet immappjata minn William Stranahan għall-Korporazzjoni ta 'Titjib tal-Paċifiku, u kienet uffiċjalment"&amp;" imqabbda fl-1911. ta 'Platt Avenue (fil-lvant tas-Sitt Triq) u Avenue Platt (fil-punent ta' Triq is-Sitt) fit-tramuntana, u l-Ewwel Triq fil-punent. Is-suddiviżjoni ġiet annessa mal-belt f'Jannar 1912, f'elezzjoni li kienet l-ewwel waħda li fiha n-nisa v"&amp;"vutaw fil-komunità. Fil-ħin tal-ammissjoni tagħha fil-belt, il-passaġġ Alta Vista kien abitat iżda msawwar, għalkemm is-siġar kellhom jiġu mdgħajfa mill-vagun tat-tank. Fl-1914 l-iżviluppaturi Billings &amp; Meyering akkwistaw il-passaġġ, komplew l-iżvilupp t"&amp;"at-triq, ipprovdew l-aħħar mit-titjib muniċipali meħtieġ inkluż is-servizz tal-ilma, u bdew jikkummerċjalizzaw il-propjetà bil-ħrara. Sempliċi nofs għaxar snin wara l-passaġġ kellu 267 djar. Dan l-iżvilupp rapidu kien bla dubju mgħaġġel mill-Kumpanija Fre"&amp;"sno Traction Land-of-way tul Huntington Boulevard, li pprovda konnessjonijiet tat-triq bejn iċ-ċentru u l-isptar tal-kontea.")</f>
        <v>Djar mill-bidu tas-seklu 20 jillinjaw dan il-boulevard fil-qalba tal-passaġġ storiku Alta Vista. Is-sezzjoni ta ’Huntington Boulevard bejn l-Ewwel Triq fuq il-Punent sa Vjal Cedar fuq il-lvant hija d-dar għal ħafna djar kbar u mwarrba. L-iżvilupp oriġinali ta 'din iż-żona beda madwar l-1910, fuq 190 acres ta' dak li kien qasam tal-alfalfa. Il-passaġġ Alta Vista, hekk kif l-art kienet issir magħrufa, kienet immappjata minn William Stranahan għall-Korporazzjoni ta 'Titjib tal-Paċifiku, u kienet uffiċjalment imqabbda fl-1911. ta 'Platt Avenue (fil-lvant tas-Sitt Triq) u Avenue Platt (fil-punent ta' Triq is-Sitt) fit-tramuntana, u l-Ewwel Triq fil-punent. Is-suddiviżjoni ġiet annessa mal-belt f'Jannar 1912, f'elezzjoni li kienet l-ewwel waħda li fiha n-nisa vvutaw fil-komunità. Fil-ħin tal-ammissjoni tagħha fil-belt, il-passaġġ Alta Vista kien abitat iżda msawwar, għalkemm is-siġar kellhom jiġu mdgħajfa mill-vagun tat-tank. Fl-1914 l-iżviluppaturi Billings &amp; Meyering akkwistaw il-passaġġ, komplew l-iżvilupp tat-triq, ipprovdew l-aħħar mit-titjib muniċipali meħtieġ inkluż is-servizz tal-ilma, u bdew jikkummerċjalizzaw il-propjetà bil-ħrara. Sempliċi nofs għaxar snin wara l-passaġġ kellu 267 djar. Dan l-iżvilupp rapidu kien bla dubju mgħaġġel mill-Kumpanija Fresno Traction Land-of-way tul Huntington Boulevard, li pprovda konnessjonijiet tat-triq bejn iċ-ċentru u l-isptar tal-kontea.</v>
      </c>
    </row>
    <row r="3399" ht="15.75" customHeight="1">
      <c r="A3399" s="2" t="s">
        <v>3399</v>
      </c>
      <c r="B3399" s="2" t="str">
        <f>IFERROR(__xludf.DUMMYFUNCTION("GOOGLETRANSLATE(A3399,""en"", ""mt"")"),"Liema gass jifforma 20.8% tal-atmosfera tad-Dinja?")</f>
        <v>Liema gass jifforma 20.8% tal-atmosfera tad-Dinja?</v>
      </c>
    </row>
    <row r="3400" ht="15.75" customHeight="1">
      <c r="A3400" s="2" t="s">
        <v>3400</v>
      </c>
      <c r="B3400" s="2" t="str">
        <f>IFERROR(__xludf.DUMMYFUNCTION("GOOGLETRANSLATE(A3400,""en"", ""mt"")"),"L-Iskola tal-Amministrazzjoni tas-Servizz Soċjali tal-Università")</f>
        <v>L-Iskola tal-Amministrazzjoni tas-Servizz Soċjali tal-Università</v>
      </c>
    </row>
    <row r="3401" ht="15.75" customHeight="1">
      <c r="A3401" s="2" t="s">
        <v>3401</v>
      </c>
      <c r="B3401" s="2" t="str">
        <f>IFERROR(__xludf.DUMMYFUNCTION("GOOGLETRANSLATE(A3401,""en"", ""mt"")"),"Qawwija")</f>
        <v>Qawwija</v>
      </c>
    </row>
    <row r="3402" ht="15.75" customHeight="1">
      <c r="A3402" s="2" t="s">
        <v>3402</v>
      </c>
      <c r="B3402" s="2" t="str">
        <f>IFERROR(__xludf.DUMMYFUNCTION("GOOGLETRANSLATE(A3402,""en"", ""mt"")"),"−11.7 ° C.")</f>
        <v>−11.7 ° C.</v>
      </c>
    </row>
    <row r="3403" ht="15.75" customHeight="1">
      <c r="A3403" s="2" t="s">
        <v>3403</v>
      </c>
      <c r="B3403" s="2" t="str">
        <f>IFERROR(__xludf.DUMMYFUNCTION("GOOGLETRANSLATE(A3403,""en"", ""mt"")"),"In-Nofsinhar ta ’California tikkonsisti f’waħda mill-kollezzjonijiet l-aktar varjati ta’ pajsaġġi ta ’ekosistema ġeoloġika, topografika u naturali f’diversità li taqbeż reġjuni ewlenin oħra fl-istat u fil-pajjiż. Ir-reġjun jifrex mill-gżejjer tal-Oċean Pa"&amp;"ċifiku, xtut, bajjiet, u pjanuri kostali, permezz tal-meded trasversali u peninsulari bil-qċaċet tagħhom, fil-widien interni kbar u żgħar, għad-deżerti vasti ta 'California.")</f>
        <v>In-Nofsinhar ta ’California tikkonsisti f’waħda mill-kollezzjonijiet l-aktar varjati ta’ pajsaġġi ta ’ekosistema ġeoloġika, topografika u naturali f’diversità li taqbeż reġjuni ewlenin oħra fl-istat u fil-pajjiż. Ir-reġjun jifrex mill-gżejjer tal-Oċean Paċifiku, xtut, bajjiet, u pjanuri kostali, permezz tal-meded trasversali u peninsulari bil-qċaċet tagħhom, fil-widien interni kbar u żgħar, għad-deżerti vasti ta 'California.</v>
      </c>
    </row>
    <row r="3404" ht="15.75" customHeight="1">
      <c r="A3404" s="2" t="s">
        <v>3404</v>
      </c>
      <c r="B3404" s="2" t="str">
        <f>IFERROR(__xludf.DUMMYFUNCTION("GOOGLETRANSLATE(A3404,""en"", ""mt"")"),"Wirja ta 'Londra")</f>
        <v>Wirja ta 'Londra</v>
      </c>
    </row>
    <row r="3405" ht="15.75" customHeight="1">
      <c r="A3405" s="2" t="s">
        <v>3405</v>
      </c>
      <c r="B3405" s="2" t="str">
        <f>IFERROR(__xludf.DUMMYFUNCTION("GOOGLETRANSLATE(A3405,""en"", ""mt"")"),"L-iskejjel għolja tilfu l-akkreditazzjoni tagħhom")</f>
        <v>L-iskejjel għolja tilfu l-akkreditazzjoni tagħhom</v>
      </c>
    </row>
    <row r="3406" ht="15.75" customHeight="1">
      <c r="A3406" s="2" t="s">
        <v>3406</v>
      </c>
      <c r="B3406" s="2" t="str">
        <f>IFERROR(__xludf.DUMMYFUNCTION("GOOGLETRANSLATE(A3406,""en"", ""mt"")"),"Ferra anti-komunista li qed tikber")</f>
        <v>Ferra anti-komunista li qed tikber</v>
      </c>
    </row>
    <row r="3407" ht="15.75" customHeight="1">
      <c r="A3407" s="2" t="s">
        <v>3407</v>
      </c>
      <c r="B3407" s="2" t="str">
        <f>IFERROR(__xludf.DUMMYFUNCTION("GOOGLETRANSLATE(A3407,""en"", ""mt"")"),"attakka lill-Ingliżi")</f>
        <v>attakka lill-Ingliżi</v>
      </c>
    </row>
    <row r="3408" ht="15.75" customHeight="1">
      <c r="A3408" s="2" t="s">
        <v>3408</v>
      </c>
      <c r="B3408" s="2" t="str">
        <f>IFERROR(__xludf.DUMMYFUNCTION("GOOGLETRANSLATE(A3408,""en"", ""mt"")"),"Mongoljan, Tibetan, u Ċiniż")</f>
        <v>Mongoljan, Tibetan, u Ċiniż</v>
      </c>
    </row>
    <row r="3409" ht="15.75" customHeight="1">
      <c r="A3409" s="2" t="s">
        <v>3409</v>
      </c>
      <c r="B3409" s="2" t="str">
        <f>IFERROR(__xludf.DUMMYFUNCTION("GOOGLETRANSLATE(A3409,""en"", ""mt"")"),"Libertarju")</f>
        <v>Libertarju</v>
      </c>
    </row>
    <row r="3410" ht="15.75" customHeight="1">
      <c r="A3410" s="2" t="s">
        <v>3410</v>
      </c>
      <c r="B3410" s="2" t="str">
        <f>IFERROR(__xludf.DUMMYFUNCTION("GOOGLETRANSLATE(A3410,""en"", ""mt"")"),"It-Torri Mitchell huwa ddisinjat biex jidher bħal dak it-Torri ta 'Oxford?")</f>
        <v>It-Torri Mitchell huwa ddisinjat biex jidher bħal dak it-Torri ta 'Oxford?</v>
      </c>
    </row>
    <row r="3411" ht="15.75" customHeight="1">
      <c r="A3411" s="2" t="s">
        <v>3411</v>
      </c>
      <c r="B3411" s="2" t="str">
        <f>IFERROR(__xludf.DUMMYFUNCTION("GOOGLETRANSLATE(A3411,""en"", ""mt"")"),"Konsorzju ta 'Netwerking tal-Kompjuter ta' l-Istati Uniti mhux għall-profitt immexxi minn membri mill-komunitajiet ta 'riċerka u edukazzjoni, industrija u gvern")</f>
        <v>Konsorzju ta 'Netwerking tal-Kompjuter ta' l-Istati Uniti mhux għall-profitt immexxi minn membri mill-komunitajiet ta 'riċerka u edukazzjoni, industrija u gvern</v>
      </c>
    </row>
    <row r="3412" ht="15.75" customHeight="1">
      <c r="A3412" s="2" t="s">
        <v>3412</v>
      </c>
      <c r="B3412" s="2" t="str">
        <f>IFERROR(__xludf.DUMMYFUNCTION("GOOGLETRANSLATE(A3412,""en"", ""mt"")"),"direzzjoni li fiha l-ħalq qed jipponta")</f>
        <v>direzzjoni li fiha l-ħalq qed jipponta</v>
      </c>
    </row>
    <row r="3413" ht="15.75" customHeight="1">
      <c r="A3413" s="2" t="s">
        <v>3413</v>
      </c>
      <c r="B3413" s="2" t="str">
        <f>IFERROR(__xludf.DUMMYFUNCTION("GOOGLETRANSLATE(A3413,""en"", ""mt"")"),"Ortodossija Kattolika")</f>
        <v>Ortodossija Kattolika</v>
      </c>
    </row>
    <row r="3414" ht="15.75" customHeight="1">
      <c r="A3414" s="2" t="s">
        <v>3414</v>
      </c>
      <c r="B3414" s="2" t="str">
        <f>IFERROR(__xludf.DUMMYFUNCTION("GOOGLETRANSLATE(A3414,""en"", ""mt"")"),"Lawbreakers tal-Kuxjenza")</f>
        <v>Lawbreakers tal-Kuxjenza</v>
      </c>
    </row>
    <row r="3415" ht="15.75" customHeight="1">
      <c r="A3415" s="2" t="s">
        <v>3415</v>
      </c>
      <c r="B3415" s="2" t="str">
        <f>IFERROR(__xludf.DUMMYFUNCTION("GOOGLETRANSLATE(A3415,""en"", ""mt"")"),"tnaqqas it-tkabbir")</f>
        <v>tnaqqas it-tkabbir</v>
      </c>
    </row>
    <row r="3416" ht="15.75" customHeight="1">
      <c r="A3416" s="2" t="s">
        <v>3416</v>
      </c>
      <c r="B3416" s="2" t="str">
        <f>IFERROR(__xludf.DUMMYFUNCTION("GOOGLETRANSLATE(A3416,""en"", ""mt"")"),"Liema dmir xi nies jemmnu li għandhom id-diżubbidjenti ċivili?")</f>
        <v>Liema dmir xi nies jemmnu li għandhom id-diżubbidjenti ċivili?</v>
      </c>
    </row>
    <row r="3417" ht="15.75" customHeight="1">
      <c r="A3417" s="2" t="s">
        <v>3417</v>
      </c>
      <c r="B3417" s="2" t="str">
        <f>IFERROR(__xludf.DUMMYFUNCTION("GOOGLETRANSLATE(A3417,""en"", ""mt"")"),"Kattoliku Ruman")</f>
        <v>Kattoliku Ruman</v>
      </c>
    </row>
    <row r="3418" ht="15.75" customHeight="1">
      <c r="A3418" s="2" t="s">
        <v>3418</v>
      </c>
      <c r="B3418" s="2" t="str">
        <f>IFERROR(__xludf.DUMMYFUNCTION("GOOGLETRANSLATE(A3418,""en"", ""mt"")"),"L-attività tal-bini seħħet f'ħafna palazzi nobbli u knejjes matul id-deċennji aktar tard tas-seklu 17. Wieħed mill-aħjar eżempji ta 'din l-arkitettura huma l-Palazz Krasiński (1677-1683), il-Palazz Wiranów (1677-1696) u l-Knisja ta' San Kazimierz (1688-16"&amp;"92). L-iktar eżempji impressjonanti ta 'arkitettura ta' Rococo huma l-Palazz Czapski (1712-1721), Palazz ta 'l-Erba' Irjieħ (1730s) u Knisja Viżitantista (Faċċata 1728-1761). L-arkitettura neoklassika f'Varsavja tista 'tiġi deskritta mis-sempliċità tal-fo"&amp;"rom ġeometriċi magħquda b'ispirazzjoni kbira mill-perjodu Ruman. Uħud mill-aħjar eżempji ta 'l-istil neoklasiku huma l-palazz fuq l-ilma (mibnija mill-ġdid 1775-1795), Królikarnia (1782-1786), Knisja Karmelitana (Faċċata 1761-1783) u Knisja Evanġelika Mqa"&amp;"ddsa tat-Trinità (1777-1782). It-tkabbir ekonomiku matul l-ewwel snin tal-Kungress il-Polonja kkawża arkitettura ta 'żieda mgħaġġla. Il-qawmien mill-ġdid neoklassiku affettwa l-aspetti kollha tal-arkitettura, l-iktar notevoli huma t-Teatru l-Kbir (1825-18"&amp;"33) u bini li jinsab fil-Pjazza Bank (1825-1828).")</f>
        <v>L-attività tal-bini seħħet f'ħafna palazzi nobbli u knejjes matul id-deċennji aktar tard tas-seklu 17. Wieħed mill-aħjar eżempji ta 'din l-arkitettura huma l-Palazz Krasiński (1677-1683), il-Palazz Wiranów (1677-1696) u l-Knisja ta' San Kazimierz (1688-1692). L-iktar eżempji impressjonanti ta 'arkitettura ta' Rococo huma l-Palazz Czapski (1712-1721), Palazz ta 'l-Erba' Irjieħ (1730s) u Knisja Viżitantista (Faċċata 1728-1761). L-arkitettura neoklassika f'Varsavja tista 'tiġi deskritta mis-sempliċità tal-forom ġeometriċi magħquda b'ispirazzjoni kbira mill-perjodu Ruman. Uħud mill-aħjar eżempji ta 'l-istil neoklasiku huma l-palazz fuq l-ilma (mibnija mill-ġdid 1775-1795), Królikarnia (1782-1786), Knisja Karmelitana (Faċċata 1761-1783) u Knisja Evanġelika Mqaddsa tat-Trinità (1777-1782). It-tkabbir ekonomiku matul l-ewwel snin tal-Kungress il-Polonja kkawża arkitettura ta 'żieda mgħaġġla. Il-qawmien mill-ġdid neoklassiku affettwa l-aspetti kollha tal-arkitettura, l-iktar notevoli huma t-Teatru l-Kbir (1825-1833) u bini li jinsab fil-Pjazza Bank (1825-1828).</v>
      </c>
    </row>
    <row r="3419" ht="15.75" customHeight="1">
      <c r="A3419" s="2" t="s">
        <v>3419</v>
      </c>
      <c r="B3419" s="2" t="str">
        <f>IFERROR(__xludf.DUMMYFUNCTION("GOOGLETRANSLATE(A3419,""en"", ""mt"")"),"Il-Mewt l-Iswed huwa maħsub li oriġina fil-pjanuri aridi ta 'l-Asja Ċentrali, fejn imbagħad ivvjaġġa fit-triq tal-ħarir, u laħaq il-Krimea sal-1343. Minn hemm, x'aktarx kien jinġarr minn briegħed tal-far orjentali li jgħixu fuq il-firien suwed li kienu re"&amp;"golari passiġġieri fuq vapuri merkantili. It-tixrid madwar il-Mediterran u l-Ewropa, il-mewt sewda hija stmata li qatlet 30-60% tal-popolazzjoni totali tal-Ewropa. B'kollox, il-pesta naqqset il-popolazzjoni dinjija minn madwar 450 miljun għal 350-375 milj"&amp;"un fis-seklu 14. Il-popolazzjoni dinjija kollha kemm hi ma rkupratx għal-livelli ta 'qabel il-pesta sas-seklu 17. Il-pesta reġgħet ħarġet kultant fl-Ewropa sas-seklu 19.")</f>
        <v>Il-Mewt l-Iswed huwa maħsub li oriġina fil-pjanuri aridi ta 'l-Asja Ċentrali, fejn imbagħad ivvjaġġa fit-triq tal-ħarir, u laħaq il-Krimea sal-1343. Minn hemm, x'aktarx kien jinġarr minn briegħed tal-far orjentali li jgħixu fuq il-firien suwed li kienu regolari passiġġieri fuq vapuri merkantili. It-tixrid madwar il-Mediterran u l-Ewropa, il-mewt sewda hija stmata li qatlet 30-60% tal-popolazzjoni totali tal-Ewropa. B'kollox, il-pesta naqqset il-popolazzjoni dinjija minn madwar 450 miljun għal 350-375 miljun fis-seklu 14. Il-popolazzjoni dinjija kollha kemm hi ma rkupratx għal-livelli ta 'qabel il-pesta sas-seklu 17. Il-pesta reġgħet ħarġet kultant fl-Ewropa sas-seklu 19.</v>
      </c>
    </row>
    <row r="3420" ht="15.75" customHeight="1">
      <c r="A3420" s="2" t="s">
        <v>3420</v>
      </c>
      <c r="B3420" s="2" t="str">
        <f>IFERROR(__xludf.DUMMYFUNCTION("GOOGLETRANSLATE(A3420,""en"", ""mt"")"),"Ajruport Internazzjonali ta ’Los Angeles")</f>
        <v>Ajruport Internazzjonali ta ’Los Angeles</v>
      </c>
    </row>
    <row r="3421" ht="15.75" customHeight="1">
      <c r="A3421" s="2" t="s">
        <v>3421</v>
      </c>
      <c r="B3421" s="2" t="str">
        <f>IFERROR(__xludf.DUMMYFUNCTION("GOOGLETRANSLATE(A3421,""en"", ""mt"")"),"diversi")</f>
        <v>diversi</v>
      </c>
    </row>
    <row r="3422" ht="15.75" customHeight="1">
      <c r="A3422" s="2" t="s">
        <v>3422</v>
      </c>
      <c r="B3422" s="2" t="str">
        <f>IFERROR(__xludf.DUMMYFUNCTION("GOOGLETRANSLATE(A3422,""en"", ""mt"")"),"Liema organizzazzjonijiet tan-NU stabbilixxew l-IPCC?")</f>
        <v>Liema organizzazzjonijiet tan-NU stabbilixxew l-IPCC?</v>
      </c>
    </row>
    <row r="3423" ht="15.75" customHeight="1">
      <c r="A3423" s="2" t="s">
        <v>3423</v>
      </c>
      <c r="B3423" s="2" t="str">
        <f>IFERROR(__xludf.DUMMYFUNCTION("GOOGLETRANSLATE(A3423,""en"", ""mt"")"),"Minbarra vapuri tal-gwerra, liema vapuri tipikament kienu jeħtieġu veloċitajiet għoljin?")</f>
        <v>Minbarra vapuri tal-gwerra, liema vapuri tipikament kienu jeħtieġu veloċitajiet għoljin?</v>
      </c>
    </row>
    <row r="3424" ht="15.75" customHeight="1">
      <c r="A3424" s="2" t="s">
        <v>3424</v>
      </c>
      <c r="B3424" s="2" t="str">
        <f>IFERROR(__xludf.DUMMYFUNCTION("GOOGLETRANSLATE(A3424,""en"", ""mt"")"),"X'kien l-isem mogħti lill-kurrikulu liberali tal-kulleġġ li għadhom ma ggradwawx?")</f>
        <v>X'kien l-isem mogħti lill-kurrikulu liberali tal-kulleġġ li għadhom ma ggradwawx?</v>
      </c>
    </row>
    <row r="3425" ht="15.75" customHeight="1">
      <c r="A3425" s="2" t="s">
        <v>3425</v>
      </c>
      <c r="B3425" s="2" t="str">
        <f>IFERROR(__xludf.DUMMYFUNCTION("GOOGLETRANSLATE(A3425,""en"", ""mt"")"),"Fuq liema kantuniera jinsab iċ-ċentru tax-xiri?")</f>
        <v>Fuq liema kantuniera jinsab iċ-ċentru tax-xiri?</v>
      </c>
    </row>
    <row r="3426" ht="15.75" customHeight="1">
      <c r="A3426" s="2" t="s">
        <v>3426</v>
      </c>
      <c r="B3426" s="2" t="str">
        <f>IFERROR(__xludf.DUMMYFUNCTION("GOOGLETRANSLATE(A3426,""en"", ""mt"")"),"L-għanijiet ta 'spiss li għadhom jopponu l-IPCC?")</f>
        <v>L-għanijiet ta 'spiss li għadhom jopponu l-IPCC?</v>
      </c>
    </row>
    <row r="3427" ht="15.75" customHeight="1">
      <c r="A3427" s="2" t="s">
        <v>3427</v>
      </c>
      <c r="B3427" s="2" t="str">
        <f>IFERROR(__xludf.DUMMYFUNCTION("GOOGLETRANSLATE(A3427,""en"", ""mt"")"),"Kemm horsepower kienet il-magna ta 'Watt?")</f>
        <v>Kemm horsepower kienet il-magna ta 'Watt?</v>
      </c>
    </row>
    <row r="3428" ht="15.75" customHeight="1">
      <c r="A3428" s="2" t="s">
        <v>3428</v>
      </c>
      <c r="B3428" s="2" t="str">
        <f>IFERROR(__xludf.DUMMYFUNCTION("GOOGLETRANSLATE(A3428,""en"", ""mt"")"),"Kull naħa hija kapaċi twettaq l-obbligi stabbiliti")</f>
        <v>Kull naħa hija kapaċi twettaq l-obbligi stabbiliti</v>
      </c>
    </row>
    <row r="3429" ht="15.75" customHeight="1">
      <c r="A3429" s="2" t="s">
        <v>3429</v>
      </c>
      <c r="B3429" s="2" t="str">
        <f>IFERROR(__xludf.DUMMYFUNCTION("GOOGLETRANSLATE(A3429,""en"", ""mt"")"),"L-armata ta 'min ħelsien Varsavja fl-1806?")</f>
        <v>L-armata ta 'min ħelsien Varsavja fl-1806?</v>
      </c>
    </row>
    <row r="3430" ht="15.75" customHeight="1">
      <c r="A3430" s="2" t="s">
        <v>3430</v>
      </c>
      <c r="B3430" s="2" t="str">
        <f>IFERROR(__xludf.DUMMYFUNCTION("GOOGLETRANSLATE(A3430,""en"", ""mt"")"),"mezz biex tagħmel it-teknoloġija arpanet pubblika")</f>
        <v>mezz biex tagħmel it-teknoloġija arpanet pubblika</v>
      </c>
    </row>
    <row r="3431" ht="15.75" customHeight="1">
      <c r="A3431" s="2" t="s">
        <v>3431</v>
      </c>
      <c r="B3431" s="2" t="str">
        <f>IFERROR(__xludf.DUMMYFUNCTION("GOOGLETRANSLATE(A3431,""en"", ""mt"")"),"Għal xiex għandu proġett?")</f>
        <v>Għal xiex għandu proġett?</v>
      </c>
    </row>
    <row r="3432" ht="15.75" customHeight="1">
      <c r="A3432" s="2" t="s">
        <v>3432</v>
      </c>
      <c r="B3432" s="2" t="str">
        <f>IFERROR(__xludf.DUMMYFUNCTION("GOOGLETRANSLATE(A3432,""en"", ""mt"")"),"Studenti fl-Università ta ’Chicago jmexxu aktar minn 400 klabb u organizzazzjonijiet magħrufa bħala organizzazzjonijiet ta’ studenti rikonoxxuti (RSOs). Dawn jinkludu gruppi kulturali u reliġjużi, klabbs u timijiet akkademiċi, u organizzazzjonijiet ta 'in"&amp;"teress komuni. Gruppi extra-kurrikulari notevoli jinkludu t-tim tal-Università ta 'Chicago College Bowl, li rebaħ 118-il tournaments u 15-il kampjonat nazzjonali, li jwasslu ż-żewġ kategoriji internazzjonalment. Il-mudell kompetittiv tal-università tat-ti"&amp;"m tan-Nazzjonijiet Uniti kien l-aqwa tim ikklassifikat fl-Amerika ta ’Fuq fl-2013-14 u fl-2014-2015. Fost l-RSOs notevoli hemm l-itwal films tal-films tal-istudenti li jmexxu kontinwament in-nazzjon, Kumitat Organizzazzjoni għall-Università ta 'Chicago Sc"&amp;"avenger Hunt, il-gazzetta studenti darbtejn fil-ġimgħa The Chicago Maroon, il-gazzetta tal-istudenti alternattivi ta' kull ġimgħa South Side Weekly, it-tieni l-eqdem tan-nazzjon kontinwament ġiri kontinwament Studenti Improvisational Theatre Troupe Off-Of"&amp;"f Campus, u l-istazzjon tar-radju tal-università WHPK.")</f>
        <v>Studenti fl-Università ta ’Chicago jmexxu aktar minn 400 klabb u organizzazzjonijiet magħrufa bħala organizzazzjonijiet ta’ studenti rikonoxxuti (RSOs). Dawn jinkludu gruppi kulturali u reliġjużi, klabbs u timijiet akkademiċi, u organizzazzjonijiet ta 'interess komuni. Gruppi extra-kurrikulari notevoli jinkludu t-tim tal-Università ta 'Chicago College Bowl, li rebaħ 118-il tournaments u 15-il kampjonat nazzjonali, li jwasslu ż-żewġ kategoriji internazzjonalment. Il-mudell kompetittiv tal-università tat-tim tan-Nazzjonijiet Uniti kien l-aqwa tim ikklassifikat fl-Amerika ta ’Fuq fl-2013-14 u fl-2014-2015. Fost l-RSOs notevoli hemm l-itwal films tal-films tal-istudenti li jmexxu kontinwament in-nazzjon, Kumitat Organizzazzjoni għall-Università ta 'Chicago Scavenger Hunt, il-gazzetta studenti darbtejn fil-ġimgħa The Chicago Maroon, il-gazzetta tal-istudenti alternattivi ta' kull ġimgħa South Side Weekly, it-tieni l-eqdem tan-nazzjon kontinwament ġiri kontinwament Studenti Improvisational Theatre Troupe Off-Off Campus, u l-istazzjon tar-radju tal-università WHPK.</v>
      </c>
    </row>
    <row r="3433" ht="15.75" customHeight="1">
      <c r="A3433" s="2" t="s">
        <v>3433</v>
      </c>
      <c r="B3433" s="2" t="str">
        <f>IFERROR(__xludf.DUMMYFUNCTION("GOOGLETRANSLATE(A3433,""en"", ""mt"")"),"biex tnaddafhom minn pjanti u sedimenti")</f>
        <v>biex tnaddafhom minn pjanti u sedimenti</v>
      </c>
    </row>
    <row r="3434" ht="15.75" customHeight="1">
      <c r="A3434" s="2" t="s">
        <v>3434</v>
      </c>
      <c r="B3434" s="2" t="str">
        <f>IFERROR(__xludf.DUMMYFUNCTION("GOOGLETRANSLATE(A3434,""en"", ""mt"")"),"Liema metodu intuża biex jitnaddaf il-foresta għall-kultivazzjoni tal-għelejjel fil-foresta tal-Amażonja?")</f>
        <v>Liema metodu intuża biex jitnaddaf il-foresta għall-kultivazzjoni tal-għelejjel fil-foresta tal-Amażonja?</v>
      </c>
    </row>
    <row r="3435" ht="15.75" customHeight="1">
      <c r="A3435" s="2" t="s">
        <v>3435</v>
      </c>
      <c r="B3435" s="2" t="str">
        <f>IFERROR(__xludf.DUMMYFUNCTION("GOOGLETRANSLATE(A3435,""en"", ""mt"")"),"Trespassing f'installazzjoni ta 'missili nukleari")</f>
        <v>Trespassing f'installazzjoni ta 'missili nukleari</v>
      </c>
    </row>
    <row r="3436" ht="15.75" customHeight="1">
      <c r="A3436" s="2" t="s">
        <v>3436</v>
      </c>
      <c r="B3436" s="2" t="str">
        <f>IFERROR(__xludf.DUMMYFUNCTION("GOOGLETRANSLATE(A3436,""en"", ""mt"")"),"fil-pussess ta 'individwi jew entitajiet diġà sinjuri")</f>
        <v>fil-pussess ta 'individwi jew entitajiet diġà sinjuri</v>
      </c>
    </row>
    <row r="3437" ht="15.75" customHeight="1">
      <c r="A3437" s="2" t="s">
        <v>3437</v>
      </c>
      <c r="B3437" s="2" t="str">
        <f>IFERROR(__xludf.DUMMYFUNCTION("GOOGLETRANSLATE(A3437,""en"", ""mt"")"),"Jekk id-dispożizzjonijiet tat-trattati għandhom effett dirett u huma ċari biżżejjed, preċiżi u inkondizzjonati")</f>
        <v>Jekk id-dispożizzjonijiet tat-trattati għandhom effett dirett u huma ċari biżżejjed, preċiżi u inkondizzjonati</v>
      </c>
    </row>
    <row r="3438" ht="15.75" customHeight="1">
      <c r="A3438" s="2" t="s">
        <v>3438</v>
      </c>
      <c r="B3438" s="2" t="str">
        <f>IFERROR(__xludf.DUMMYFUNCTION("GOOGLETRANSLATE(A3438,""en"", ""mt"")"),"Agħmel pjanijiet dettaljati u żżomm sorveljanza bir-reqqa matul il-proġett")</f>
        <v>Agħmel pjanijiet dettaljati u żżomm sorveljanza bir-reqqa matul il-proġett</v>
      </c>
    </row>
    <row r="3439" ht="15.75" customHeight="1">
      <c r="A3439" s="2" t="s">
        <v>3439</v>
      </c>
      <c r="B3439" s="2" t="str">
        <f>IFERROR(__xludf.DUMMYFUNCTION("GOOGLETRANSLATE(A3439,""en"", ""mt"")"),"X'jiera Robert Koch li kienet il-kawża ta 'mard infettiv?")</f>
        <v>X'jiera Robert Koch li kienet il-kawża ta 'mard infettiv?</v>
      </c>
    </row>
    <row r="3440" ht="15.75" customHeight="1">
      <c r="A3440" s="2" t="s">
        <v>3440</v>
      </c>
      <c r="B3440" s="2" t="str">
        <f>IFERROR(__xludf.DUMMYFUNCTION("GOOGLETRANSLATE(A3440,""en"", ""mt"")"),"Organiżmi anerobiċi obbligati")</f>
        <v>Organiżmi anerobiċi obbligati</v>
      </c>
    </row>
    <row r="3441" ht="15.75" customHeight="1">
      <c r="A3441" s="2" t="s">
        <v>3441</v>
      </c>
      <c r="B3441" s="2" t="str">
        <f>IFERROR(__xludf.DUMMYFUNCTION("GOOGLETRANSLATE(A3441,""en"", ""mt"")"),"biex tiflaħ il-mewġ u l-partiċelli tas-sediment li jdawru")</f>
        <v>biex tiflaħ il-mewġ u l-partiċelli tas-sediment li jdawru</v>
      </c>
    </row>
    <row r="3442" ht="15.75" customHeight="1">
      <c r="A3442" s="2" t="s">
        <v>3442</v>
      </c>
      <c r="B3442" s="2" t="str">
        <f>IFERROR(__xludf.DUMMYFUNCTION("GOOGLETRANSLATE(A3442,""en"", ""mt"")"),"X'inhu l-isem ta 'tip wieħed ta' metodu ta 'komputazzjoni li jintuża biex issib numri ewlenin?")</f>
        <v>X'inhu l-isem ta 'tip wieħed ta' metodu ta 'komputazzjoni li jintuża biex issib numri ewlenin?</v>
      </c>
    </row>
    <row r="3443" ht="15.75" customHeight="1">
      <c r="A3443" s="2" t="s">
        <v>3443</v>
      </c>
      <c r="B3443" s="2" t="str">
        <f>IFERROR(__xludf.DUMMYFUNCTION("GOOGLETRANSLATE(A3443,""en"", ""mt"")"),"In-Netwerk tax-Xjenza tal-Kompjuter (CSNET) kien netwerk tal-kompjuter iffinanzjat mill-Fondazzjoni Nazzjonali tax-Xjenza tal-Istati Uniti (NSF) li beda jopera fl-1981. L-iskop tagħha kien li jestendi l-benefiċċji tan-netwerking, għad-dipartimenti tax-xje"&amp;"nza tal-kompjuter f'istituzzjonijiet akkademiċi u ta 'riċerka li ma setgħux jiġu konnessi direttament għal arpanet, minħabba l-finanzjament jew il-limitazzjonijiet ta 'awtorizzazzjoni. Huwa kellu rwol sinifikanti fit-tixrid tal-għarfien dwar, u l-aċċess g"&amp;"ħan-netwerking nazzjonali u kien pass importanti fit-triq għall-iżvilupp tal-internet globali.")</f>
        <v>In-Netwerk tax-Xjenza tal-Kompjuter (CSNET) kien netwerk tal-kompjuter iffinanzjat mill-Fondazzjoni Nazzjonali tax-Xjenza tal-Istati Uniti (NSF) li beda jopera fl-1981. L-iskop tagħha kien li jestendi l-benefiċċji tan-netwerking, għad-dipartimenti tax-xjenza tal-kompjuter f'istituzzjonijiet akkademiċi u ta 'riċerka li ma setgħux jiġu konnessi direttament għal arpanet, minħabba l-finanzjament jew il-limitazzjonijiet ta 'awtorizzazzjoni. Huwa kellu rwol sinifikanti fit-tixrid tal-għarfien dwar, u l-aċċess għan-netwerking nazzjonali u kien pass importanti fit-triq għall-iżvilupp tal-internet globali.</v>
      </c>
    </row>
    <row r="3444" ht="15.75" customHeight="1">
      <c r="A3444" s="2" t="s">
        <v>3444</v>
      </c>
      <c r="B3444" s="2" t="str">
        <f>IFERROR(__xludf.DUMMYFUNCTION("GOOGLETRANSLATE(A3444,""en"", ""mt"")"),"Diversi eluf")</f>
        <v>Diversi eluf</v>
      </c>
    </row>
    <row r="3445" ht="15.75" customHeight="1">
      <c r="A3445" s="2" t="s">
        <v>3445</v>
      </c>
      <c r="B3445" s="2" t="str">
        <f>IFERROR(__xludf.DUMMYFUNCTION("GOOGLETRANSLATE(A3445,""en"", ""mt"")"),"Liema kejl użaw ix-xjenzati biex jiddeterminaw il-kwalità tal-ilma?")</f>
        <v>Liema kejl użaw ix-xjenzati biex jiddeterminaw il-kwalità tal-ilma?</v>
      </c>
    </row>
    <row r="3446" ht="15.75" customHeight="1">
      <c r="A3446" s="2" t="s">
        <v>3446</v>
      </c>
      <c r="B3446" s="2" t="str">
        <f>IFERROR(__xludf.DUMMYFUNCTION("GOOGLETRANSLATE(A3446,""en"", ""mt"")"),"Kemm hemm presidenti tal-Istati Uniti tal-iskola?")</f>
        <v>Kemm hemm presidenti tal-Istati Uniti tal-iskola?</v>
      </c>
    </row>
    <row r="3447" ht="15.75" customHeight="1">
      <c r="A3447" s="2" t="s">
        <v>3447</v>
      </c>
      <c r="B3447" s="2" t="str">
        <f>IFERROR(__xludf.DUMMYFUNCTION("GOOGLETRANSLATE(A3447,""en"", ""mt"")"),"F’Settembru 1958, il-Bank of America nieda prodott ġdid imsejjaħ BankaMericard fi Fresno. Wara ġestazzjoni mnikkta li matulha rriżenja mill-kreatur tagħha, BankAmericard kompla jsir l-ewwel karta ta 'kreditu ta' suċċess; Jiġifieri, strument finanzjarju li"&amp;" jista 'jintuża minn numru kbir ta' negozjanti u wkoll ippermetta lid-detenturi tal-kard iduru bilanċ (prodotti finanzjarji preċedenti jistgħu jagħmlu wieħed jew l-ieħor iżda mhux it-tnejn). Fl-1976, BankAmericard ġie msejjaħ u nbidel f'kumpanija separata"&amp;" magħrufa llum bħala Visa Inc.")</f>
        <v>F’Settembru 1958, il-Bank of America nieda prodott ġdid imsejjaħ BankaMericard fi Fresno. Wara ġestazzjoni mnikkta li matulha rriżenja mill-kreatur tagħha, BankAmericard kompla jsir l-ewwel karta ta 'kreditu ta' suċċess; Jiġifieri, strument finanzjarju li jista 'jintuża minn numru kbir ta' negozjanti u wkoll ippermetta lid-detenturi tal-kard iduru bilanċ (prodotti finanzjarji preċedenti jistgħu jagħmlu wieħed jew l-ieħor iżda mhux it-tnejn). Fl-1976, BankAmericard ġie msejjaħ u nbidel f'kumpanija separata magħrufa llum bħala Visa Inc.</v>
      </c>
    </row>
    <row r="3448" ht="15.75" customHeight="1">
      <c r="A3448" s="2" t="s">
        <v>3448</v>
      </c>
      <c r="B3448" s="2" t="str">
        <f>IFERROR(__xludf.DUMMYFUNCTION("GOOGLETRANSLATE(A3448,""en"", ""mt"")"),"Aktar tard Architecture Arpanet")</f>
        <v>Aktar tard Architecture Arpanet</v>
      </c>
    </row>
    <row r="3449" ht="15.75" customHeight="1">
      <c r="A3449" s="2" t="s">
        <v>3449</v>
      </c>
      <c r="B3449" s="2" t="str">
        <f>IFERROR(__xludf.DUMMYFUNCTION("GOOGLETRANSLATE(A3449,""en"", ""mt"")"),"Jevalwa l-livelli ta 'tagħlim fl-Indja rurali")</f>
        <v>Jevalwa l-livelli ta 'tagħlim fl-Indja rurali</v>
      </c>
    </row>
    <row r="3450" ht="15.75" customHeight="1">
      <c r="A3450" s="2" t="s">
        <v>3450</v>
      </c>
      <c r="B3450" s="2" t="str">
        <f>IFERROR(__xludf.DUMMYFUNCTION("GOOGLETRANSLATE(A3450,""en"", ""mt"")"),"Biex tenfasizza l-akkademiċi fuq l-atletika")</f>
        <v>Biex tenfasizza l-akkademiċi fuq l-atletika</v>
      </c>
    </row>
    <row r="3451" ht="15.75" customHeight="1">
      <c r="A3451" s="2" t="s">
        <v>3451</v>
      </c>
      <c r="B3451" s="2" t="str">
        <f>IFERROR(__xludf.DUMMYFUNCTION("GOOGLETRANSLATE(A3451,""en"", ""mt"")"),"Dokumenti li jakkumpanjawhom")</f>
        <v>Dokumenti li jakkumpanjawhom</v>
      </c>
    </row>
    <row r="3452" ht="15.75" customHeight="1">
      <c r="A3452" s="2" t="s">
        <v>3452</v>
      </c>
      <c r="B3452" s="2" t="str">
        <f>IFERROR(__xludf.DUMMYFUNCTION("GOOGLETRANSLATE(A3452,""en"", ""mt"")"),"Ossiġenu-16")</f>
        <v>Ossiġenu-16</v>
      </c>
    </row>
    <row r="3453" ht="15.75" customHeight="1">
      <c r="A3453" s="2" t="s">
        <v>3453</v>
      </c>
      <c r="B3453" s="2" t="str">
        <f>IFERROR(__xludf.DUMMYFUNCTION("GOOGLETRANSLATE(A3453,""en"", ""mt"")"),"innifsek")</f>
        <v>innifsek</v>
      </c>
    </row>
    <row r="3454" ht="15.75" customHeight="1">
      <c r="A3454" s="2" t="s">
        <v>3454</v>
      </c>
      <c r="B3454" s="2" t="str">
        <f>IFERROR(__xludf.DUMMYFUNCTION("GOOGLETRANSLATE(A3454,""en"", ""mt"")"),"Robert Guiscard")</f>
        <v>Robert Guiscard</v>
      </c>
    </row>
    <row r="3455" ht="15.75" customHeight="1">
      <c r="A3455" s="2" t="s">
        <v>3455</v>
      </c>
      <c r="B3455" s="2" t="str">
        <f>IFERROR(__xludf.DUMMYFUNCTION("GOOGLETRANSLATE(A3455,""en"", ""mt"")"),"Franċiż_and_indian_war")</f>
        <v>Franċiż_and_indian_war</v>
      </c>
    </row>
    <row r="3456" ht="15.75" customHeight="1">
      <c r="A3456" s="2" t="s">
        <v>3456</v>
      </c>
      <c r="B3456" s="2" t="str">
        <f>IFERROR(__xludf.DUMMYFUNCTION("GOOGLETRANSLATE(A3456,""en"", ""mt"")"),"Magni Uniflow jippruvaw jirrimedjaw id-diffikultajiet li joħorġu miċ-ċiklu tas-soltu tal-kontro-fluss fejn, matul kull puplesija, il-port u l-ħitan taċ-ċilindru jiġu mkessħa mill-fwar tal-egżost li jgħaddi, filwaqt li l-istim tad-dħul li jidħol jaħraq se "&amp;"jaħli ftit mill-enerġija tiegħu fir-restawr tat-temperatura tax-xogħol Jonqos L-għan tal-Uniflow huwa li tirrimedja dan id-difett u ttejjeb l-effiċjenza billi tipprovdi port addizzjonali mikxuf mill-pistun fl-aħħar ta 'kull puplesija li tagħmel il-fluss t"&amp;"al-fwar biss f'direzzjoni waħda. B'dan il-mezz, il-magna uniflow ta 'espansjoni sempliċi tagħti effiċjenza ekwivalenti għal dik ta' sistemi komposti klassiċi bil-vantaġġ miżjud ta 'prestazzjoni ta' tagħbija parzjali superjuri, u effiċjenza komparabbli ma "&amp;"'turbini għal magni iżgħar taħt elf elf horsepower. Madankollu, il-magni uniflow tal-gradjent tal-espansjoni termali jipproduċu tul il-ħajt taċ-ċilindru jagħti diffikultajiet prattiċi. [Ċitazzjoni meħtieġa]. Il-quasiturbine hija magna tal-fwar li jdur uni"&amp;"flow fejn il-fwar tal-fwar f'żoni sħan, waqt li tkun qed teżawrixxi f'żoni kesħin.")</f>
        <v>Magni Uniflow jippruvaw jirrimedjaw id-diffikultajiet li joħorġu miċ-ċiklu tas-soltu tal-kontro-fluss fejn, matul kull puplesija, il-port u l-ħitan taċ-ċilindru jiġu mkessħa mill-fwar tal-egżost li jgħaddi, filwaqt li l-istim tad-dħul li jidħol jaħraq se jaħli ftit mill-enerġija tiegħu fir-restawr tat-temperatura tax-xogħol Jonqos L-għan tal-Uniflow huwa li tirrimedja dan id-difett u ttejjeb l-effiċjenza billi tipprovdi port addizzjonali mikxuf mill-pistun fl-aħħar ta 'kull puplesija li tagħmel il-fluss tal-fwar biss f'direzzjoni waħda. B'dan il-mezz, il-magna uniflow ta 'espansjoni sempliċi tagħti effiċjenza ekwivalenti għal dik ta' sistemi komposti klassiċi bil-vantaġġ miżjud ta 'prestazzjoni ta' tagħbija parzjali superjuri, u effiċjenza komparabbli ma 'turbini għal magni iżgħar taħt elf elf horsepower. Madankollu, il-magni uniflow tal-gradjent tal-espansjoni termali jipproduċu tul il-ħajt taċ-ċilindru jagħti diffikultajiet prattiċi. [Ċitazzjoni meħtieġa]. Il-quasiturbine hija magna tal-fwar li jdur uniflow fejn il-fwar tal-fwar f'żoni sħan, waqt li tkun qed teżawrixxi f'żoni kesħin.</v>
      </c>
    </row>
    <row r="3457" ht="15.75" customHeight="1">
      <c r="A3457" s="2" t="s">
        <v>3457</v>
      </c>
      <c r="B3457" s="2" t="str">
        <f>IFERROR(__xludf.DUMMYFUNCTION("GOOGLETRANSLATE(A3457,""en"", ""mt"")"),"Kemm tiswa biex tidħol għal laqgħa tal-Parlament?")</f>
        <v>Kemm tiswa biex tidħol għal laqgħa tal-Parlament?</v>
      </c>
    </row>
    <row r="3458" ht="15.75" customHeight="1">
      <c r="A3458" s="2" t="s">
        <v>3458</v>
      </c>
      <c r="B3458" s="2" t="str">
        <f>IFERROR(__xludf.DUMMYFUNCTION("GOOGLETRANSLATE(A3458,""en"", ""mt"")"),"imnissel bħala kandidati tal-partit uffiċjali")</f>
        <v>imnissel bħala kandidati tal-partit uffiċjali</v>
      </c>
    </row>
    <row r="3459" ht="15.75" customHeight="1">
      <c r="A3459" s="2" t="s">
        <v>3459</v>
      </c>
      <c r="B3459" s="2" t="str">
        <f>IFERROR(__xludf.DUMMYFUNCTION("GOOGLETRANSLATE(A3459,""en"", ""mt"")"),"Il-Knisja Kattolika fi Franza u ħafna mill-membri tagħha opponew il-Huguenots. Xi predikaturi u kongreganti Huguenot ġew attakkati waqt li ppruvaw jiltaqgħu għall-qima. L-eqqel ta 'din il-persekuzzjoni kien il-massakru ta' Jum San Bartolomew meta nqatlu 5"&amp;",000 sa 30,000, għalkemm kien hemm ukoll raġunijiet politiċi sottostanti għal dan ukoll, peress li wħud mill-Huguenots kienu nobbli li ppruvaw jistabbilixxu ċentri separati ta 'poter fin-Nofsinhar ta' Franza. Ir-ritaljazzjoni kontra l-Kattoliċi Franċiżi, "&amp;"il-Huguenots kellhom il-milizja tagħhom stess.")</f>
        <v>Il-Knisja Kattolika fi Franza u ħafna mill-membri tagħha opponew il-Huguenots. Xi predikaturi u kongreganti Huguenot ġew attakkati waqt li ppruvaw jiltaqgħu għall-qima. L-eqqel ta 'din il-persekuzzjoni kien il-massakru ta' Jum San Bartolomew meta nqatlu 5,000 sa 30,000, għalkemm kien hemm ukoll raġunijiet politiċi sottostanti għal dan ukoll, peress li wħud mill-Huguenots kienu nobbli li ppruvaw jistabbilixxu ċentri separati ta 'poter fin-Nofsinhar ta' Franza. Ir-ritaljazzjoni kontra l-Kattoliċi Franċiżi, il-Huguenots kellhom il-milizja tagħhom stess.</v>
      </c>
    </row>
    <row r="3460" ht="15.75" customHeight="1">
      <c r="A3460" s="2" t="s">
        <v>3460</v>
      </c>
      <c r="B3460" s="2" t="str">
        <f>IFERROR(__xludf.DUMMYFUNCTION("GOOGLETRANSLATE(A3460,""en"", ""mt"")"),"1⁄3")</f>
        <v>1⁄3</v>
      </c>
    </row>
    <row r="3461" ht="15.75" customHeight="1">
      <c r="A3461" s="2" t="s">
        <v>3461</v>
      </c>
      <c r="B3461" s="2" t="str">
        <f>IFERROR(__xludf.DUMMYFUNCTION("GOOGLETRANSLATE(A3461,""en"", ""mt"")"),"L-għoti ta 'liema status jippermetti skejjel privati ​​mhux reliġjużi fl-Istati Uniti jirċievu fondi pubbliċi?")</f>
        <v>L-għoti ta 'liema status jippermetti skejjel privati ​​mhux reliġjużi fl-Istati Uniti jirċievu fondi pubbliċi?</v>
      </c>
    </row>
    <row r="3462" ht="15.75" customHeight="1">
      <c r="A3462" s="2" t="s">
        <v>3462</v>
      </c>
      <c r="B3462" s="2" t="str">
        <f>IFERROR(__xludf.DUMMYFUNCTION("GOOGLETRANSLATE(A3462,""en"", ""mt"")"),"Jekk lista kompluta ta 'primes sa hija magħrufa")</f>
        <v>Jekk lista kompluta ta 'primes sa hija magħrufa</v>
      </c>
    </row>
    <row r="3463" ht="15.75" customHeight="1">
      <c r="A3463" s="2" t="s">
        <v>3463</v>
      </c>
      <c r="B3463" s="2" t="str">
        <f>IFERROR(__xludf.DUMMYFUNCTION("GOOGLETRANSLATE(A3463,""en"", ""mt"")"),"Lista kompluta ta 'primes sa hija magħrufa")</f>
        <v>Lista kompluta ta 'primes sa hija magħrufa</v>
      </c>
    </row>
    <row r="3464" ht="15.75" customHeight="1">
      <c r="A3464" s="2" t="s">
        <v>3464</v>
      </c>
      <c r="B3464" s="2" t="str">
        <f>IFERROR(__xludf.DUMMYFUNCTION("GOOGLETRANSLATE(A3464,""en"", ""mt"")"),"X'kien l-isem tal-Konti ta 'Apulia")</f>
        <v>X'kien l-isem tal-Konti ta 'Apulia</v>
      </c>
    </row>
    <row r="3465" ht="15.75" customHeight="1">
      <c r="A3465" s="2" t="s">
        <v>3465</v>
      </c>
      <c r="B3465" s="2" t="str">
        <f>IFERROR(__xludf.DUMMYFUNCTION("GOOGLETRANSLATE(A3465,""en"", ""mt"")"),"Ctenophores kienu meqjusa bħala ""truf mejta"" fil-ktajjen tal-ikel tal-baħar minħabba li kien maħsub il-proporzjon baxx tagħhom ta 'materja organika għall-melħ u l-ilma għamilhom dieta ħażina għal annimali oħra. Ħafna drabi huwa wkoll diffiċli li jiġu id"&amp;"entifikati l-fdalijiet ta 'ctenophores fl-imsaren ta' predaturi possibbli, għalkemm il-pettnijiet kultant jibqgħu intatti biżżejjed biex jipprovdu ħjiel. Investigazzjoni dettaljata tas-salamun chum, Oncorhynchus keta, wriet li dawn il-ħut diġestiti ctenop"&amp;"hores 20 darba malajr daqs piż ugwali ta 'gambli, u li ċ-ċtenofori jistgħu jipprovdu dieta tajba jekk hemm biżżejjed minnhom madwarhom. Beroids priża prinċipalment fuq ctenophores oħra. Xi bram u fkieren jieklu kwantitajiet kbar ta 'ctenophores, u l-bram "&amp;"jista' temporanjament iħassar il-popolazzjonijiet ta 'ctenophore. Peress li ċ-ċtenofori u l-bram spiss ikollhom varjazzjonijiet staġjonali kbar fil-popolazzjoni, il-biċċa l-kbira tal-ħut li priża fuqhom huma ġeneralisti, u jista 'jkollhom effett akbar fuq"&amp;" il-popolazzjonijiet milli l-ispeċjalisti tal-ġelatina. Dan huwa enfasizzat minn osservazzjoni ta 'ħut erbivori li jitma' deliberatament fuq zooplankton ġelatinuż waqt fjorituri fil-Baħar l-Aħmar. Il-larva ta 'xi anemoni tal-baħar huma parassiti fuq cteno"&amp;"phores, bħalma huma l-larva ta' xi dud tal-flat li parassitizzaw il-ħut meta jilħqu l-età adulta.")</f>
        <v>Ctenophores kienu meqjusa bħala "truf mejta" fil-ktajjen tal-ikel tal-baħar minħabba li kien maħsub il-proporzjon baxx tagħhom ta 'materja organika għall-melħ u l-ilma għamilhom dieta ħażina għal annimali oħra. Ħafna drabi huwa wkoll diffiċli li jiġu identifikati l-fdalijiet ta 'ctenophores fl-imsaren ta' predaturi possibbli, għalkemm il-pettnijiet kultant jibqgħu intatti biżżejjed biex jipprovdu ħjiel. Investigazzjoni dettaljata tas-salamun chum, Oncorhynchus keta, wriet li dawn il-ħut diġestiti ctenophores 20 darba malajr daqs piż ugwali ta 'gambli, u li ċ-ċtenofori jistgħu jipprovdu dieta tajba jekk hemm biżżejjed minnhom madwarhom. Beroids priża prinċipalment fuq ctenophores oħra. Xi bram u fkieren jieklu kwantitajiet kbar ta 'ctenophores, u l-bram jista' temporanjament iħassar il-popolazzjonijiet ta 'ctenophore. Peress li ċ-ċtenofori u l-bram spiss ikollhom varjazzjonijiet staġjonali kbar fil-popolazzjoni, il-biċċa l-kbira tal-ħut li priża fuqhom huma ġeneralisti, u jista 'jkollhom effett akbar fuq il-popolazzjonijiet milli l-ispeċjalisti tal-ġelatina. Dan huwa enfasizzat minn osservazzjoni ta 'ħut erbivori li jitma' deliberatament fuq zooplankton ġelatinuż waqt fjorituri fil-Baħar l-Aħmar. Il-larva ta 'xi anemoni tal-baħar huma parassiti fuq ctenophores, bħalma huma l-larva ta' xi dud tal-flat li parassitizzaw il-ħut meta jilħqu l-età adulta.</v>
      </c>
    </row>
    <row r="3466" ht="15.75" customHeight="1">
      <c r="A3466" s="2" t="s">
        <v>3466</v>
      </c>
      <c r="B3466" s="2" t="str">
        <f>IFERROR(__xludf.DUMMYFUNCTION("GOOGLETRANSLATE(A3466,""en"", ""mt"")"),"Karta")</f>
        <v>Karta</v>
      </c>
    </row>
    <row r="3467" ht="15.75" customHeight="1">
      <c r="A3467" s="2" t="s">
        <v>3467</v>
      </c>
      <c r="B3467" s="2" t="str">
        <f>IFERROR(__xludf.DUMMYFUNCTION("GOOGLETRANSLATE(A3467,""en"", ""mt"")"),"Ħafna kumpaniji tal-kostruzzjoni issa qed ipoġġu aktar enfasi fuq xiex?")</f>
        <v>Ħafna kumpaniji tal-kostruzzjoni issa qed ipoġġu aktar enfasi fuq xiex?</v>
      </c>
    </row>
    <row r="3468" ht="15.75" customHeight="1">
      <c r="A3468" s="2" t="s">
        <v>3468</v>
      </c>
      <c r="B3468" s="2" t="str">
        <f>IFERROR(__xludf.DUMMYFUNCTION("GOOGLETRANSLATE(A3468,""en"", ""mt"")"),"Kif huma ffinanzjati ErgänZungsschulen?")</f>
        <v>Kif huma ffinanzjati ErgänZungsschulen?</v>
      </c>
    </row>
    <row r="3469" ht="15.75" customHeight="1">
      <c r="A3469" s="2" t="s">
        <v>3469</v>
      </c>
      <c r="B3469" s="2" t="str">
        <f>IFERROR(__xludf.DUMMYFUNCTION("GOOGLETRANSLATE(A3469,""en"", ""mt"")"),"Liema nazzjonalità kienet Arthur Woolf?")</f>
        <v>Liema nazzjonalità kienet Arthur Woolf?</v>
      </c>
    </row>
    <row r="3470" ht="15.75" customHeight="1">
      <c r="A3470" s="2" t="s">
        <v>3470</v>
      </c>
      <c r="B3470" s="2" t="str">
        <f>IFERROR(__xludf.DUMMYFUNCTION("GOOGLETRANSLATE(A3470,""en"", ""mt"")"),"Charles W. Eliot, il-President 1869–1909, elimina l-pożizzjoni favorita tal-Kristjaneżmu mill-kurrikulu waqt li fetaħha għall-awto-direzzjoni tal-istudenti. Filwaqt li Eliot kien l-iktar figura kruċjali fis-sekularizzazzjoni tal-edukazzjoni għolja Amerika"&amp;"na, huwa kien motivat mhux minn xewqa li sekularizza l-edukazzjoni, iżda minn kundanni unitarji traxxendentisti. Derivati ​​minn William Ellery Channing u Ralph Waldo Emerson, dawn il-kundanni kienu ffokati fuq id-dinjità u l-valur tan-natura umana, id-dr"&amp;"itt u l-abbiltà ta 'kull persuna li tipperċepixxi l-verità, u l-alla li qed toqgħod f'kull persuna.")</f>
        <v>Charles W. Eliot, il-President 1869–1909, elimina l-pożizzjoni favorita tal-Kristjaneżmu mill-kurrikulu waqt li fetaħha għall-awto-direzzjoni tal-istudenti. Filwaqt li Eliot kien l-iktar figura kruċjali fis-sekularizzazzjoni tal-edukazzjoni għolja Amerikana, huwa kien motivat mhux minn xewqa li sekularizza l-edukazzjoni, iżda minn kundanni unitarji traxxendentisti. Derivati ​​minn William Ellery Channing u Ralph Waldo Emerson, dawn il-kundanni kienu ffokati fuq id-dinjità u l-valur tan-natura umana, id-dritt u l-abbiltà ta 'kull persuna li tipperċepixxi l-verità, u l-alla li qed toqgħod f'kull persuna.</v>
      </c>
    </row>
    <row r="3471" ht="15.75" customHeight="1">
      <c r="A3471" s="2" t="s">
        <v>3471</v>
      </c>
      <c r="B3471" s="2" t="str">
        <f>IFERROR(__xludf.DUMMYFUNCTION("GOOGLETRANSLATE(A3471,""en"", ""mt"")"),"Gold Rushes")</f>
        <v>Gold Rushes</v>
      </c>
    </row>
    <row r="3472" ht="15.75" customHeight="1">
      <c r="A3472" s="2" t="s">
        <v>3472</v>
      </c>
      <c r="B3472" s="2" t="str">
        <f>IFERROR(__xludf.DUMMYFUNCTION("GOOGLETRANSLATE(A3472,""en"", ""mt"")"),"Liema jum tal-ġimgħa jsiru l-elezzjonijiet ġenerali?")</f>
        <v>Liema jum tal-ġimgħa jsiru l-elezzjonijiet ġenerali?</v>
      </c>
    </row>
    <row r="3473" ht="15.75" customHeight="1">
      <c r="A3473" s="2" t="s">
        <v>3473</v>
      </c>
      <c r="B3473" s="2" t="str">
        <f>IFERROR(__xludf.DUMMYFUNCTION("GOOGLETRANSLATE(A3473,""en"", ""mt"")"),"ekonomiku")</f>
        <v>ekonomiku</v>
      </c>
    </row>
    <row r="3474" ht="15.75" customHeight="1">
      <c r="A3474" s="2" t="s">
        <v>3474</v>
      </c>
      <c r="B3474" s="2" t="str">
        <f>IFERROR(__xludf.DUMMYFUNCTION("GOOGLETRANSLATE(A3474,""en"", ""mt"")"),"Belt Konsolidata ta 'Jacksonville")</f>
        <v>Belt Konsolidata ta 'Jacksonville</v>
      </c>
    </row>
    <row r="3475" ht="15.75" customHeight="1">
      <c r="A3475" s="2" t="s">
        <v>3475</v>
      </c>
      <c r="B3475" s="2" t="str">
        <f>IFERROR(__xludf.DUMMYFUNCTION("GOOGLETRANSLATE(A3475,""en"", ""mt"")"),"X'inhu involut f'reviżjoni ta 'mediċini preskritti?")</f>
        <v>X'inhu involut f'reviżjoni ta 'mediċini preskritti?</v>
      </c>
    </row>
    <row r="3476" ht="15.75" customHeight="1">
      <c r="A3476" s="2" t="s">
        <v>3476</v>
      </c>
      <c r="B3476" s="2" t="str">
        <f>IFERROR(__xludf.DUMMYFUNCTION("GOOGLETRANSLATE(A3476,""en"", ""mt"")"),"Meta kienu jeżistu s-sitt ministeri?")</f>
        <v>Meta kienu jeżistu s-sitt ministeri?</v>
      </c>
    </row>
    <row r="3477" ht="15.75" customHeight="1">
      <c r="A3477" s="2" t="s">
        <v>3477</v>
      </c>
      <c r="B3477" s="2" t="str">
        <f>IFERROR(__xludf.DUMMYFUNCTION("GOOGLETRANSLATE(A3477,""en"", ""mt"")"),"Liema lingwi użaw l-iskrittura Phags-PA?")</f>
        <v>Liema lingwi użaw l-iskrittura Phags-PA?</v>
      </c>
    </row>
    <row r="3478" ht="15.75" customHeight="1">
      <c r="A3478" s="2" t="s">
        <v>3478</v>
      </c>
      <c r="B3478" s="2" t="str">
        <f>IFERROR(__xludf.DUMMYFUNCTION("GOOGLETRANSLATE(A3478,""en"", ""mt"")"),"1,600 mil")</f>
        <v>1,600 mil</v>
      </c>
    </row>
    <row r="3479" ht="15.75" customHeight="1">
      <c r="A3479" s="2" t="s">
        <v>3479</v>
      </c>
      <c r="B3479" s="2" t="str">
        <f>IFERROR(__xludf.DUMMYFUNCTION("GOOGLETRANSLATE(A3479,""en"", ""mt"")"),"X'inhi t-traduzzjoni tal-fergħa l-qadima tat-tramuntana tar-Rhine?")</f>
        <v>X'inhi t-traduzzjoni tal-fergħa l-qadima tat-tramuntana tar-Rhine?</v>
      </c>
    </row>
    <row r="3480" ht="15.75" customHeight="1">
      <c r="A3480" s="2" t="s">
        <v>3480</v>
      </c>
      <c r="B3480" s="2" t="str">
        <f>IFERROR(__xludf.DUMMYFUNCTION("GOOGLETRANSLATE(A3480,""en"", ""mt"")"),"Dan il-kunċett jikkuntrasta u jikkontradixxi l-prinċipji stabbiliti minn hemm 'il quddiem ta' allokazzjoni ta 'frekwenza tan-netwerk")</f>
        <v>Dan il-kunċett jikkuntrasta u jikkontradixxi l-prinċipji stabbiliti minn hemm 'il quddiem ta' allokazzjoni ta 'frekwenza tan-netwerk</v>
      </c>
    </row>
    <row r="3481" ht="15.75" customHeight="1">
      <c r="A3481" s="2" t="s">
        <v>3481</v>
      </c>
      <c r="B3481" s="2" t="str">
        <f>IFERROR(__xludf.DUMMYFUNCTION("GOOGLETRANSLATE(A3481,""en"", ""mt"")"),"X'naqqsu l-awtoritajiet kolonjali minħabba r-rewwixta ta 'Ballarat?")</f>
        <v>X'naqqsu l-awtoritajiet kolonjali minħabba r-rewwixta ta 'Ballarat?</v>
      </c>
    </row>
    <row r="3482" ht="15.75" customHeight="1">
      <c r="A3482" s="2" t="s">
        <v>3482</v>
      </c>
      <c r="B3482" s="2" t="str">
        <f>IFERROR(__xludf.DUMMYFUNCTION("GOOGLETRANSLATE(A3482,""en"", ""mt"")"),"anke")</f>
        <v>anke</v>
      </c>
    </row>
    <row r="3483" ht="15.75" customHeight="1">
      <c r="A3483" s="2" t="s">
        <v>3483</v>
      </c>
      <c r="B3483" s="2" t="str">
        <f>IFERROR(__xludf.DUMMYFUNCTION("GOOGLETRANSLATE(A3483,""en"", ""mt"")"),"Aqta 'b'suċċess il-fortizzi tal-fruntiera Franċiża")</f>
        <v>Aqta 'b'suċċess il-fortizzi tal-fruntiera Franċiża</v>
      </c>
    </row>
    <row r="3484" ht="15.75" customHeight="1">
      <c r="A3484" s="2" t="s">
        <v>3484</v>
      </c>
      <c r="B3484" s="2" t="str">
        <f>IFERROR(__xludf.DUMMYFUNCTION("GOOGLETRANSLATE(A3484,""en"", ""mt"")"),"Spiżeriji ta 'speċjalità jfornu spiża għolja injettabbli, orali, infuża, jew inalata mediċini li jintużaw għal stati ta' mard kroniku u kumpless bħal kanċer, epatite, u artrite rewmatojde. B'differenza mill-ispiżerija tal-komunità tradizzjonali fejn il-pr"&amp;"eskrizzjonijiet għal kwalunkwe medikazzjoni komuni jistgħu jinġiebu u jimtlew, l-ispiżeriji speċjalizzati jġorru mediċini ġodda li jeħtieġu li jinħażnu sewwa, jiġu amministrati, immonitorjati bir-reqqa, u ġestiti klinikament. Minbarra li jfornu dawn il-me"&amp;"diċini, l-ispiżeriji ta 'speċjalità jipprovdu wkoll monitoraġġ tal-laboratorju, pariri ta' aderenza, u jgħinu lill-pazjenti bi strateġiji ta 'l-ispejjeż meħtieġa biex jiksbu l-mediċini speċjalizzati tagħhom. Bħalissa huwa s-settur li qed jikber bl-iktar m"&amp;"għaġġel ta 'l-industrija farmaċewtika b'19 minn 28 mediċini approvati mill-FDA li għadhom kemm ġew approvati fl-2013 li huma mediċini speċjalizzati.")</f>
        <v>Spiżeriji ta 'speċjalità jfornu spiża għolja injettabbli, orali, infuża, jew inalata mediċini li jintużaw għal stati ta' mard kroniku u kumpless bħal kanċer, epatite, u artrite rewmatojde. B'differenza mill-ispiżerija tal-komunità tradizzjonali fejn il-preskrizzjonijiet għal kwalunkwe medikazzjoni komuni jistgħu jinġiebu u jimtlew, l-ispiżeriji speċjalizzati jġorru mediċini ġodda li jeħtieġu li jinħażnu sewwa, jiġu amministrati, immonitorjati bir-reqqa, u ġestiti klinikament. Minbarra li jfornu dawn il-mediċini, l-ispiżeriji ta 'speċjalità jipprovdu wkoll monitoraġġ tal-laboratorju, pariri ta' aderenza, u jgħinu lill-pazjenti bi strateġiji ta 'l-ispejjeż meħtieġa biex jiksbu l-mediċini speċjalizzati tagħhom. Bħalissa huwa s-settur li qed jikber bl-iktar mgħaġġel ta 'l-industrija farmaċewtika b'19 minn 28 mediċini approvati mill-FDA li għadhom kemm ġew approvati fl-2013 li huma mediċini speċjalizzati.</v>
      </c>
    </row>
    <row r="3485" ht="15.75" customHeight="1">
      <c r="A3485" s="2" t="s">
        <v>3485</v>
      </c>
      <c r="B3485" s="2" t="str">
        <f>IFERROR(__xludf.DUMMYFUNCTION("GOOGLETRANSLATE(A3485,""en"", ""mt"")"),"Anke qabel il-konkwista Norman tal-Ingilterra, in-Normanni ġew f'kuntatt ma 'Wales. Edward il-konfessur waqqaf lil Ralph imsemmi hawn fuq bħala Earl of Hereford u akkużah li jiddefendi l-marċi u jiġġieled mal-Welsh. F’dawn l-impriżi oriġinali, in-Normanni"&amp;" naqsu milli jagħmlu l-ebda pass f’Wales.")</f>
        <v>Anke qabel il-konkwista Norman tal-Ingilterra, in-Normanni ġew f'kuntatt ma 'Wales. Edward il-konfessur waqqaf lil Ralph imsemmi hawn fuq bħala Earl of Hereford u akkużah li jiddefendi l-marċi u jiġġieled mal-Welsh. F’dawn l-impriżi oriġinali, in-Normanni naqsu milli jagħmlu l-ebda pass f’Wales.</v>
      </c>
    </row>
    <row r="3486" ht="15.75" customHeight="1">
      <c r="A3486" s="2" t="s">
        <v>3486</v>
      </c>
      <c r="B3486" s="2" t="str">
        <f>IFERROR(__xludf.DUMMYFUNCTION("GOOGLETRANSLATE(A3486,""en"", ""mt"")"),"żied il-prezz mitlub")</f>
        <v>żied il-prezz mitlub</v>
      </c>
    </row>
    <row r="3487" ht="15.75" customHeight="1">
      <c r="A3487" s="2" t="s">
        <v>3487</v>
      </c>
      <c r="B3487" s="2" t="str">
        <f>IFERROR(__xludf.DUMMYFUNCTION("GOOGLETRANSLATE(A3487,""en"", ""mt"")"),"Wied Buckland ħdejn Bright")</f>
        <v>Wied Buckland ħdejn Bright</v>
      </c>
    </row>
    <row r="3488" ht="15.75" customHeight="1">
      <c r="A3488" s="2" t="s">
        <v>3488</v>
      </c>
      <c r="B3488" s="2" t="str">
        <f>IFERROR(__xludf.DUMMYFUNCTION("GOOGLETRANSLATE(A3488,""en"", ""mt"")"),"Park Roeding")</f>
        <v>Park Roeding</v>
      </c>
    </row>
    <row r="3489" ht="15.75" customHeight="1">
      <c r="A3489" s="2" t="s">
        <v>3489</v>
      </c>
      <c r="B3489" s="2" t="str">
        <f>IFERROR(__xludf.DUMMYFUNCTION("GOOGLETRANSLATE(A3489,""en"", ""mt"")"),"Qlib tal-pakketti")</f>
        <v>Qlib tal-pakketti</v>
      </c>
    </row>
    <row r="3490" ht="15.75" customHeight="1">
      <c r="A3490" s="2" t="s">
        <v>3490</v>
      </c>
      <c r="B3490" s="2" t="str">
        <f>IFERROR(__xludf.DUMMYFUNCTION("GOOGLETRANSLATE(A3490,""en"", ""mt"")"),"AppleTalk kienet suite proprjetarja ta 'protokolli ta' netwerking żviluppati minn Apple Inc. fl-1985 għall-kompjuters ta 'Apple Macintosh. Kien il-protokoll primarju użat mill-apparati tat-tuffieħ matul is-snin 1980 u 90. AppleTalk kien jinkludi karatteri"&amp;"stiċi li ppermettew li n-netwerks taż-żona lokali jiġu stabbiliti ad hoc mingħajr il-ħtieġa għal router jew server ċentralizzat. Is-sistema AppleTalk assenjata awtomatikament indirizzi, aġġornat l-ispazju ta 'l-ismijiet distribwit, u kkonfigurat kwalunkwe"&amp;" rotta ta' bejn in-netwerk meħtieġa. Kienet sistema plug-n-play.")</f>
        <v>AppleTalk kienet suite proprjetarja ta 'protokolli ta' netwerking żviluppati minn Apple Inc. fl-1985 għall-kompjuters ta 'Apple Macintosh. Kien il-protokoll primarju użat mill-apparati tat-tuffieħ matul is-snin 1980 u 90. AppleTalk kien jinkludi karatteristiċi li ppermettew li n-netwerks taż-żona lokali jiġu stabbiliti ad hoc mingħajr il-ħtieġa għal router jew server ċentralizzat. Is-sistema AppleTalk assenjata awtomatikament indirizzi, aġġornat l-ispazju ta 'l-ismijiet distribwit, u kkonfigurat kwalunkwe rotta ta' bejn in-netwerk meħtieġa. Kienet sistema plug-n-play.</v>
      </c>
    </row>
    <row r="3491" ht="15.75" customHeight="1">
      <c r="A3491" s="2" t="s">
        <v>3491</v>
      </c>
      <c r="B3491" s="2" t="str">
        <f>IFERROR(__xludf.DUMMYFUNCTION("GOOGLETRANSLATE(A3491,""en"", ""mt"")"),"50–140 cm")</f>
        <v>50–140 cm</v>
      </c>
    </row>
    <row r="3492" ht="15.75" customHeight="1">
      <c r="A3492" s="2" t="s">
        <v>3492</v>
      </c>
      <c r="B3492" s="2" t="str">
        <f>IFERROR(__xludf.DUMMYFUNCTION("GOOGLETRANSLATE(A3492,""en"", ""mt"")"),"Għaliex l-arċipelagos tal-gżira jinkludu numru iżgħar ta 'eletturi?")</f>
        <v>Għaliex l-arċipelagos tal-gżira jinkludu numru iżgħar ta 'eletturi?</v>
      </c>
    </row>
    <row r="3493" ht="15.75" customHeight="1">
      <c r="A3493" s="2" t="s">
        <v>3493</v>
      </c>
      <c r="B3493" s="2" t="str">
        <f>IFERROR(__xludf.DUMMYFUNCTION("GOOGLETRANSLATE(A3493,""en"", ""mt"")"),"Negozjanti u Negozjanti ta ’Hamburg")</f>
        <v>Negozjanti u Negozjanti ta ’Hamburg</v>
      </c>
    </row>
    <row r="3494" ht="15.75" customHeight="1">
      <c r="A3494" s="2" t="s">
        <v>3494</v>
      </c>
      <c r="B3494" s="2" t="str">
        <f>IFERROR(__xludf.DUMMYFUNCTION("GOOGLETRANSLATE(A3494,""en"", ""mt"")"),"Il-fossili sessili sessili bikri ta 'frond stromatoveris, miċ-Ċina Chengjiang Lagerstätte u datat għal madwar 515 miljun sena ilu, huwa simili ħafna għal vendobionta tal-perjodu preċedenti ta' Ediacaran. De-Gan Shu, Simon Conway Morris et al. misjuba fuq "&amp;"il-fergħat tagħha dak li huma kkunsidraw ringieli ta 'cili, użati għall-għalf tal-filtri. Huma ssuġġerew li Stromatoveris kienet ""zija"" evoluzzjonarja ta 'ctenophores, u li ċ-ctenophores oriġinaw minn annimali sessili li d-dixxendenti tagħhom saru għaww"&amp;"iema u biddlu ċ-ċili minn mekkaniżmu ta' għalf għal sistema ta 'propulsjoni.")</f>
        <v>Il-fossili sessili sessili bikri ta 'frond stromatoveris, miċ-Ċina Chengjiang Lagerstätte u datat għal madwar 515 miljun sena ilu, huwa simili ħafna għal vendobionta tal-perjodu preċedenti ta' Ediacaran. De-Gan Shu, Simon Conway Morris et al. misjuba fuq il-fergħat tagħha dak li huma kkunsidraw ringieli ta 'cili, użati għall-għalf tal-filtri. Huma ssuġġerew li Stromatoveris kienet "zija" evoluzzjonarja ta 'ctenophores, u li ċ-ctenophores oriġinaw minn annimali sessili li d-dixxendenti tagħhom saru għawwiema u biddlu ċ-ċili minn mekkaniżmu ta' għalf għal sistema ta 'propulsjoni.</v>
      </c>
    </row>
    <row r="3495" ht="15.75" customHeight="1">
      <c r="A3495" s="2" t="s">
        <v>3495</v>
      </c>
      <c r="B3495" s="2" t="str">
        <f>IFERROR(__xludf.DUMMYFUNCTION("GOOGLETRANSLATE(A3495,""en"", ""mt"")"),"żagħżugħ u anzjani")</f>
        <v>żagħżugħ u anzjani</v>
      </c>
    </row>
    <row r="3496" ht="15.75" customHeight="1">
      <c r="A3496" s="2" t="s">
        <v>3496</v>
      </c>
      <c r="B3496" s="2" t="str">
        <f>IFERROR(__xludf.DUMMYFUNCTION("GOOGLETRANSLATE(A3496,""en"", ""mt"")"),"Minn xiex ġej l-ipoteżi ta 'Riemann li ġej is-sors ta' irregolarità fid-distribuzzjoni tal-punti?")</f>
        <v>Minn xiex ġej l-ipoteżi ta 'Riemann li ġej is-sors ta' irregolarità fid-distribuzzjoni tal-punti?</v>
      </c>
    </row>
    <row r="3497" ht="15.75" customHeight="1">
      <c r="A3497" s="2" t="s">
        <v>3497</v>
      </c>
      <c r="B3497" s="2" t="str">
        <f>IFERROR(__xludf.DUMMYFUNCTION("GOOGLETRANSLATE(A3497,""en"", ""mt"")"),"Fl-ewwel nofs tas-seklu 17, pesta sostniet madwar 1.7 miljun vittma fl-Italja, jew madwar 14% tal-popolazzjoni. Fl-1656, il-pesta qatel madwar nofs it-300,000 abitant ta 'Napli. Aktar minn 1.25 miljun mewt irriżultaw mill-inċidenza estrema tal-pesta fi Sp"&amp;"anja tas-seklu 17. Il-pesta tal-1649 probabbilment naqqset il-popolazzjoni ta ’Sivilja bin-nofs. Fl-1709–13, epidemija tal-pesta li segwiet il-Gwerra l-Kbira tat-Tramuntana (1700–21, l-Isvezja v. Russja u Alleati) qatlet madwar 100,000 fl-Iżvezja, u 300,0"&amp;"00 fil-Prussja. Il-pesta qatel żewġ terzi tal-abitanti ta 'Ħelsinki, u ddikjarat terz tal-popolazzjoni ta' Stokkolma. L-aħħar epidemija ewlenija tal-Ewropa seħħet fl-1720 f'Marsilja.")</f>
        <v>Fl-ewwel nofs tas-seklu 17, pesta sostniet madwar 1.7 miljun vittma fl-Italja, jew madwar 14% tal-popolazzjoni. Fl-1656, il-pesta qatel madwar nofs it-300,000 abitant ta 'Napli. Aktar minn 1.25 miljun mewt irriżultaw mill-inċidenza estrema tal-pesta fi Spanja tas-seklu 17. Il-pesta tal-1649 probabbilment naqqset il-popolazzjoni ta ’Sivilja bin-nofs. Fl-1709–13, epidemija tal-pesta li segwiet il-Gwerra l-Kbira tat-Tramuntana (1700–21, l-Isvezja v. Russja u Alleati) qatlet madwar 100,000 fl-Iżvezja, u 300,000 fil-Prussja. Il-pesta qatel żewġ terzi tal-abitanti ta 'Ħelsinki, u ddikjarat terz tal-popolazzjoni ta' Stokkolma. L-aħħar epidemija ewlenija tal-Ewropa seħħet fl-1720 f'Marsilja.</v>
      </c>
    </row>
    <row r="3498" ht="15.75" customHeight="1">
      <c r="A3498" s="2" t="s">
        <v>3498</v>
      </c>
      <c r="B3498" s="2" t="str">
        <f>IFERROR(__xludf.DUMMYFUNCTION("GOOGLETRANSLATE(A3498,""en"", ""mt"")"),"Mill-inqas xi ippjanar minn qabel u dfin Kristjan")</f>
        <v>Mill-inqas xi ippjanar minn qabel u dfin Kristjan</v>
      </c>
    </row>
    <row r="3499" ht="15.75" customHeight="1">
      <c r="A3499" s="2" t="s">
        <v>3499</v>
      </c>
      <c r="B3499" s="2" t="str">
        <f>IFERROR(__xludf.DUMMYFUNCTION("GOOGLETRANSLATE(A3499,""en"", ""mt"")"),"tilħaq postijiet mhux fuq in-netwerk privat")</f>
        <v>tilħaq postijiet mhux fuq in-netwerk privat</v>
      </c>
    </row>
    <row r="3500" ht="15.75" customHeight="1">
      <c r="A3500" s="2" t="s">
        <v>3500</v>
      </c>
      <c r="B3500" s="2" t="str">
        <f>IFERROR(__xludf.DUMMYFUNCTION("GOOGLETRANSLATE(A3500,""en"", ""mt"")"),"Aqbadni Min Jista '")</f>
        <v>Aqbadni Min Jista '</v>
      </c>
    </row>
    <row r="3501" ht="15.75" customHeight="1">
      <c r="A3501" s="2" t="s">
        <v>3501</v>
      </c>
      <c r="B3501" s="2" t="str">
        <f>IFERROR(__xludf.DUMMYFUNCTION("GOOGLETRANSLATE(A3501,""en"", ""mt"")"),"In-nazzjonijiet industrijalizzati żiedu r-riservi tagħhom (billi espandu l-provvisti ta 'flushom) f'ammonti ferm akbar minn qabel")</f>
        <v>In-nazzjonijiet industrijalizzati żiedu r-riservi tagħhom (billi espandu l-provvisti ta 'flushom) f'ammonti ferm akbar minn qabel</v>
      </c>
    </row>
    <row r="3502" ht="15.75" customHeight="1">
      <c r="A3502" s="2" t="s">
        <v>3502</v>
      </c>
      <c r="B3502" s="2" t="str">
        <f>IFERROR(__xludf.DUMMYFUNCTION("GOOGLETRANSLATE(A3502,""en"", ""mt"")"),"Is-sistema immuni intrinsika tirrispondi b'mod ġeneriku, fis-sens li hu?")</f>
        <v>Is-sistema immuni intrinsika tirrispondi b'mod ġeneriku, fis-sens li hu?</v>
      </c>
    </row>
    <row r="3503" ht="15.75" customHeight="1">
      <c r="A3503" s="2" t="s">
        <v>3503</v>
      </c>
      <c r="B3503" s="2" t="str">
        <f>IFERROR(__xludf.DUMMYFUNCTION("GOOGLETRANSLATE(A3503,""en"", ""mt"")"),"L-ewwel ippubblikat minn Sir Charles Lyell fl-1830 Dan il-ktieb kien jissejjaħ xiex?")</f>
        <v>L-ewwel ippubblikat minn Sir Charles Lyell fl-1830 Dan il-ktieb kien jissejjaħ xiex?</v>
      </c>
    </row>
    <row r="3504" ht="15.75" customHeight="1">
      <c r="A3504" s="2" t="s">
        <v>3504</v>
      </c>
      <c r="B3504" s="2" t="str">
        <f>IFERROR(__xludf.DUMMYFUNCTION("GOOGLETRANSLATE(A3504,""en"", ""mt"")"),"L-Università ta ’Varsavja ġiet stabbilita fl-1816, meta l-qasmiet tal-Polonja separaw lil Varsavja miċ-Ċentru Akkademiku Pollakk l-aktar eqdem u l-iktar influwenti, fi Kraków. L-Università tat-Teknoloġija ta 'Varsavja hija t-tieni skola akkademika tat-tek"&amp;"noloġija fil-pajjiż, u waħda mill-ikbar fl-Ewropa ċentrali tal-lvant, li timpjega 2,000 professuri. Istituzzjonijiet oħra għall-edukazzjoni għolja jinkludu l-Università Medika ta 'Varsav Il-Polonja, u waħda mill-ikbar fl-Ewropa, l-Iskola ta 'l-Ekonomija t"&amp;"a' Varsavja, l-eqdem u l-iktar università ekonomika magħrufa fil-pajjiż, u l-Università tax-Xjenzi tal-Ħajja ta 'Varsavja l-akbar università agrikola mwaqqfa fl-1818.")</f>
        <v>L-Università ta ’Varsavja ġiet stabbilita fl-1816, meta l-qasmiet tal-Polonja separaw lil Varsavja miċ-Ċentru Akkademiku Pollakk l-aktar eqdem u l-iktar influwenti, fi Kraków. L-Università tat-Teknoloġija ta 'Varsavja hija t-tieni skola akkademika tat-teknoloġija fil-pajjiż, u waħda mill-ikbar fl-Ewropa ċentrali tal-lvant, li timpjega 2,000 professuri. Istituzzjonijiet oħra għall-edukazzjoni għolja jinkludu l-Università Medika ta 'Varsav Il-Polonja, u waħda mill-ikbar fl-Ewropa, l-Iskola ta 'l-Ekonomija ta' Varsavja, l-eqdem u l-iktar università ekonomika magħrufa fil-pajjiż, u l-Università tax-Xjenzi tal-Ħajja ta 'Varsavja l-akbar università agrikola mwaqqfa fl-1818.</v>
      </c>
    </row>
    <row r="3505" ht="15.75" customHeight="1">
      <c r="A3505" s="2" t="s">
        <v>3505</v>
      </c>
      <c r="B3505" s="2" t="str">
        <f>IFERROR(__xludf.DUMMYFUNCTION("GOOGLETRANSLATE(A3505,""en"", ""mt"")"),"L-isem Rijn, minn hawn 'il quddiem, jintuża biss għal nixxigħat iżgħar' il bogħod lejn it-tramuntana, li flimkien iffurmaw ix-xmara ewlenija Rhine fi żminijiet Rumani. Għalkemm żammew l-isem, dawn il-flussi m'għadhomx iġorru l-ilma mir-Renu, iżda jintużaw"&amp;" biex ixxotta l-art tal-madwar u l-polders. Minn Wijk Bij Duurstede, il-fergħa l-qadima tat-Tramuntana tar-Renu tissejjaħ Kromme Rijn (""Bent Rhine"") passat Utrecht, l-ewwel Leidse Rijn (""Rhine of Leiden"") u mbagħad, Oud Rijn (""Old Rhine""). Dan tal-a"&amp;"ħħar jiċċirkola lejn il-punent ġo sluice f'Katwijk, fejn l-ilmijiet tiegħu jistgħu jiġu mormija fil-Baħar tat-Tramuntana. Din il-fergħa darba ffurmat il-linja li matulu nbnew il-Ġermaniku. Matul perjodi ta 'livelli aktar baxxi tal-baħar fi ħdan l-etajiet "&amp;"tas-silġ varji, ir-Rhine ħa dawra fuq ix-xellug, li ħoloq ix-Xmara Channel, li l-kors tiegħu issa jinsab taħt il-Kanal Ingliż.")</f>
        <v>L-isem Rijn, minn hawn 'il quddiem, jintuża biss għal nixxigħat iżgħar' il bogħod lejn it-tramuntana, li flimkien iffurmaw ix-xmara ewlenija Rhine fi żminijiet Rumani. Għalkemm żammew l-isem, dawn il-flussi m'għadhomx iġorru l-ilma mir-Renu, iżda jintużaw biex ixxotta l-art tal-madwar u l-polders. Minn Wijk Bij Duurstede, il-fergħa l-qadima tat-Tramuntana tar-Renu tissejjaħ Kromme Rijn ("Bent Rhine") passat Utrecht, l-ewwel Leidse Rijn ("Rhine of Leiden") u mbagħad, Oud Rijn ("Old Rhine"). Dan tal-aħħar jiċċirkola lejn il-punent ġo sluice f'Katwijk, fejn l-ilmijiet tiegħu jistgħu jiġu mormija fil-Baħar tat-Tramuntana. Din il-fergħa darba ffurmat il-linja li matulu nbnew il-Ġermaniku. Matul perjodi ta 'livelli aktar baxxi tal-baħar fi ħdan l-etajiet tas-silġ varji, ir-Rhine ħa dawra fuq ix-xellug, li ħoloq ix-Xmara Channel, li l-kors tiegħu issa jinsab taħt il-Kanal Ingliż.</v>
      </c>
    </row>
    <row r="3506" ht="15.75" customHeight="1">
      <c r="A3506" s="2" t="s">
        <v>3506</v>
      </c>
      <c r="B3506" s="2" t="str">
        <f>IFERROR(__xludf.DUMMYFUNCTION("GOOGLETRANSLATE(A3506,""en"", ""mt"")"),"X'għamel nsfnet eventwalment")</f>
        <v>X'għamel nsfnet eventwalment</v>
      </c>
    </row>
    <row r="3507" ht="15.75" customHeight="1">
      <c r="A3507" s="2" t="s">
        <v>3507</v>
      </c>
      <c r="B3507" s="2" t="str">
        <f>IFERROR(__xludf.DUMMYFUNCTION("GOOGLETRANSLATE(A3507,""en"", ""mt"")"),"Suppliment tal-Ħlas tat-Tagħlim")</f>
        <v>Suppliment tal-Ħlas tat-Tagħlim</v>
      </c>
    </row>
    <row r="3508" ht="15.75" customHeight="1">
      <c r="A3508" s="2" t="s">
        <v>3508</v>
      </c>
      <c r="B3508" s="2" t="str">
        <f>IFERROR(__xludf.DUMMYFUNCTION("GOOGLETRANSLATE(A3508,""en"", ""mt"")"),"Il-liberalizzazzjoni tal-kummerċ tista 'tbiddel l-inugwaljanza ekonomika minn skala globali għal domestika. Meta pajjiżi sinjuri jinnegozjaw ma 'pajjiżi foqra, il-ħaddiema b'ħiliet baxxi fil-pajjiżi sinjuri jistgħu jaraw pagi mnaqqsa bħala riżultat tal-ko"&amp;"mpetizzjoni, filwaqt li ħaddiema b'ħiliet baxxi fil-pajjiżi foqra jistgħu jaraw żieda fil-pagi. L-ekonomista tal-kummerċ Paul Krugman jistma li l-liberalizzazzjoni tal-kummerċ kellha effett li jista 'jitkejjel fuq l-inugwaljanza dejjem tikber fl-Istati Un"&amp;"iti. Huwa jattribwixxi din ix-xejra għal żieda fil-kummerċ ma 'pajjiżi foqra u l-frammentazzjoni tal-mezzi ta' produzzjoni, li tirriżulta f'impjiegi b'ħiliet baxxi jsiru aktar kummerċjabbli. Madankollu, huwa jammetti li l-effett tal-kummerċ fuq l-inugwalj"&amp;"anza fl-Amerika huwa minuri meta mqabbel ma 'kawżi oħra, bħal innovazzjoni teknoloġika, fehma maqsuma minn esperti oħra. L-ekonomisti empiriċi Max Roser u Jesus Crespo-Cuaresma jsibu appoġġ fid-dejta li l-kummerċ internazzjonali qed iżid l-inugwaljanza fi"&amp;"d-dħul. Huma jikkonfermaw b'mod empiriku l-previżjonijiet tat-teorema ta 'Stolper - Samuelson rigward l-effetti tal-kummerċ internazzjonali fuq id-distribuzzjoni tad-dħul. Lawrence Katz jistma li l-kummerċ kien jirrappreżenta biss 5-15% tal-inugwaljanza t"&amp;"ad-dħul dejjem tiżdied. Robert Lawrence jargumenta li l-innovazzjoni u l-awtomazzjoni teknoloġika fissru li impjiegi b'ħiliet baxxi ġew sostitwiti minn xogħol tal-magni f'pajjiżi sinjuri, u li pajjiżi aktar sinjuri m'għadx għandhom numru sinifikanti ta 'ħ"&amp;"addiema tal-manifattura b'ħiliet baxxi li jistgħu jiġu affettwati mill-kompetizzjoni minn pajjiżi foqra.")</f>
        <v>Il-liberalizzazzjoni tal-kummerċ tista 'tbiddel l-inugwaljanza ekonomika minn skala globali għal domestika. Meta pajjiżi sinjuri jinnegozjaw ma 'pajjiżi foqra, il-ħaddiema b'ħiliet baxxi fil-pajjiżi sinjuri jistgħu jaraw pagi mnaqqsa bħala riżultat tal-kompetizzjoni, filwaqt li ħaddiema b'ħiliet baxxi fil-pajjiżi foqra jistgħu jaraw żieda fil-pagi. L-ekonomista tal-kummerċ Paul Krugman jistma li l-liberalizzazzjoni tal-kummerċ kellha effett li jista 'jitkejjel fuq l-inugwaljanza dejjem tikber fl-Istati Uniti. Huwa jattribwixxi din ix-xejra għal żieda fil-kummerċ ma 'pajjiżi foqra u l-frammentazzjoni tal-mezzi ta' produzzjoni, li tirriżulta f'impjiegi b'ħiliet baxxi jsiru aktar kummerċjabbli. Madankollu, huwa jammetti li l-effett tal-kummerċ fuq l-inugwaljanza fl-Amerika huwa minuri meta mqabbel ma 'kawżi oħra, bħal innovazzjoni teknoloġika, fehma maqsuma minn esperti oħra. L-ekonomisti empiriċi Max Roser u Jesus Crespo-Cuaresma jsibu appoġġ fid-dejta li l-kummerċ internazzjonali qed iżid l-inugwaljanza fid-dħul. Huma jikkonfermaw b'mod empiriku l-previżjonijiet tat-teorema ta 'Stolper - Samuelson rigward l-effetti tal-kummerċ internazzjonali fuq id-distribuzzjoni tad-dħul. Lawrence Katz jistma li l-kummerċ kien jirrappreżenta biss 5-15% tal-inugwaljanza tad-dħul dejjem tiżdied. Robert Lawrence jargumenta li l-innovazzjoni u l-awtomazzjoni teknoloġika fissru li impjiegi b'ħiliet baxxi ġew sostitwiti minn xogħol tal-magni f'pajjiżi sinjuri, u li pajjiżi aktar sinjuri m'għadx għandhom numru sinifikanti ta 'ħaddiema tal-manifattura b'ħiliet baxxi li jistgħu jiġu affettwati mill-kompetizzjoni minn pajjiżi foqra.</v>
      </c>
    </row>
    <row r="3509" ht="15.75" customHeight="1">
      <c r="A3509" s="2" t="s">
        <v>3509</v>
      </c>
      <c r="B3509" s="2" t="str">
        <f>IFERROR(__xludf.DUMMYFUNCTION("GOOGLETRANSLATE(A3509,""en"", ""mt"")"),"sakemm waqa 'l-imperu")</f>
        <v>sakemm waqa 'l-imperu</v>
      </c>
    </row>
    <row r="3510" ht="15.75" customHeight="1">
      <c r="A3510" s="2" t="s">
        <v>3510</v>
      </c>
      <c r="B3510" s="2" t="str">
        <f>IFERROR(__xludf.DUMMYFUNCTION("GOOGLETRANSLATE(A3510,""en"", ""mt"")"),"Nuqqas ta 'Parlament tal-Iskozja")</f>
        <v>Nuqqas ta 'Parlament tal-Iskozja</v>
      </c>
    </row>
    <row r="3511" ht="15.75" customHeight="1">
      <c r="A3511" s="2" t="s">
        <v>3511</v>
      </c>
      <c r="B3511" s="2" t="str">
        <f>IFERROR(__xludf.DUMMYFUNCTION("GOOGLETRANSLATE(A3511,""en"", ""mt"")"),"Min jistgħu l-membri jidderieġu mistoqsijiet lejn il-ħin ġenerali tal-mistoqsija?")</f>
        <v>Min jistgħu l-membri jidderieġu mistoqsijiet lejn il-ħin ġenerali tal-mistoqsija?</v>
      </c>
    </row>
    <row r="3512" ht="15.75" customHeight="1">
      <c r="A3512" s="2" t="s">
        <v>3512</v>
      </c>
      <c r="B3512" s="2" t="str">
        <f>IFERROR(__xludf.DUMMYFUNCTION("GOOGLETRANSLATE(A3512,""en"", ""mt"")"),"Prevenzjoni milli tinqata '")</f>
        <v>Prevenzjoni milli tinqata '</v>
      </c>
    </row>
    <row r="3513" ht="15.75" customHeight="1">
      <c r="A3513" s="2" t="s">
        <v>3513</v>
      </c>
      <c r="B3513" s="2" t="str">
        <f>IFERROR(__xludf.DUMMYFUNCTION("GOOGLETRANSLATE(A3513,""en"", ""mt"")"),"F'liema kundizzjonijiet il-forzi ġew imkejla l-ewwel storikament?")</f>
        <v>F'liema kundizzjonijiet il-forzi ġew imkejla l-ewwel storikament?</v>
      </c>
    </row>
    <row r="3514" ht="15.75" customHeight="1">
      <c r="A3514" s="2" t="s">
        <v>3514</v>
      </c>
      <c r="B3514" s="2" t="str">
        <f>IFERROR(__xludf.DUMMYFUNCTION("GOOGLETRANSLATE(A3514,""en"", ""mt"")"),"Kif tissejjaħ iż-żona fejn żewġ pjanċi jiċċaqalqu?")</f>
        <v>Kif tissejjaħ iż-żona fejn żewġ pjanċi jiċċaqalqu?</v>
      </c>
    </row>
    <row r="3515" ht="15.75" customHeight="1">
      <c r="A3515" s="2" t="s">
        <v>3515</v>
      </c>
      <c r="B3515" s="2" t="str">
        <f>IFERROR(__xludf.DUMMYFUNCTION("GOOGLETRANSLATE(A3515,""en"", ""mt"")"),"X'wassal għal inugwaljanza fid-dħul aktar baxxa?")</f>
        <v>X'wassal għal inugwaljanza fid-dħul aktar baxxa?</v>
      </c>
    </row>
    <row r="3516" ht="15.75" customHeight="1">
      <c r="A3516" s="2" t="s">
        <v>3516</v>
      </c>
      <c r="B3516" s="2" t="str">
        <f>IFERROR(__xludf.DUMMYFUNCTION("GOOGLETRANSLATE(A3516,""en"", ""mt"")"),"Kemm interazzjonijiet huma bbażati fuq il-forzi universali kollha?")</f>
        <v>Kemm interazzjonijiet huma bbażati fuq il-forzi universali kollha?</v>
      </c>
    </row>
    <row r="3517" ht="15.75" customHeight="1">
      <c r="A3517" s="2" t="s">
        <v>3517</v>
      </c>
      <c r="B3517" s="2" t="str">
        <f>IFERROR(__xludf.DUMMYFUNCTION("GOOGLETRANSLATE(A3517,""en"", ""mt"")"),"renji")</f>
        <v>renji</v>
      </c>
    </row>
    <row r="3518" ht="15.75" customHeight="1">
      <c r="A3518" s="2" t="s">
        <v>3518</v>
      </c>
      <c r="B3518" s="2" t="str">
        <f>IFERROR(__xludf.DUMMYFUNCTION("GOOGLETRANSLATE(A3518,""en"", ""mt"")"),"X'inhi barriera mekkanika fl-insetti li tipproteġi l-insett?")</f>
        <v>X'inhi barriera mekkanika fl-insetti li tipproteġi l-insett?</v>
      </c>
    </row>
    <row r="3519" ht="15.75" customHeight="1">
      <c r="A3519" s="2" t="s">
        <v>3519</v>
      </c>
      <c r="B3519" s="2" t="str">
        <f>IFERROR(__xludf.DUMMYFUNCTION("GOOGLETRANSLATE(A3519,""en"", ""mt"")"),"""Wid [en] l-għażliet tan-nies u l-livell tal-benesseri miksub tagħhom""")</f>
        <v>"Wid [en] l-għażliet tan-nies u l-livell tal-benesseri miksub tagħhom"</v>
      </c>
    </row>
    <row r="3520" ht="15.75" customHeight="1">
      <c r="A3520" s="2" t="s">
        <v>3520</v>
      </c>
      <c r="B3520" s="2" t="str">
        <f>IFERROR(__xludf.DUMMYFUNCTION("GOOGLETRANSLATE(A3520,""en"", ""mt"")"),"V8 u sitt magni taċ-ċilindru")</f>
        <v>V8 u sitt magni taċ-ċilindru</v>
      </c>
    </row>
    <row r="3521" ht="15.75" customHeight="1">
      <c r="A3521" s="2" t="s">
        <v>3521</v>
      </c>
      <c r="B3521" s="2" t="str">
        <f>IFERROR(__xludf.DUMMYFUNCTION("GOOGLETRANSLATE(A3521,""en"", ""mt"")"),"kinetiku")</f>
        <v>kinetiku</v>
      </c>
    </row>
    <row r="3522" ht="15.75" customHeight="1">
      <c r="A3522" s="2" t="s">
        <v>3522</v>
      </c>
      <c r="B3522" s="2" t="str">
        <f>IFERROR(__xludf.DUMMYFUNCTION("GOOGLETRANSLATE(A3522,""en"", ""mt"")"),"Il-bord tal-IPCC huwa magħmul minn rappreżentanti maħtura minn gvernijiet u organizzazzjonijiet. Il-parteċipazzjoni ta 'delegati b'kompetenza xierqa hija mħeġġa. Is-sessjonijiet plenarji tal-gruppi ta 'ħidma tal-IPCC u tal-IPCC huma miżmuma fil-livell tar"&amp;"-rappreżentanti tal-gvern. Organizzazzjonijiet mhux governattivi u intergovernattivi jistgħu jitħallew jattendu bħala osservaturi. Is-sessjonijiet tal-Uffiċċju tal-IPCC, workshops, esperti u laqgħat tal-awturi ewlenin huma bi stedina biss. L-attendenza fi"&amp;"l-laqgħa tal-2003 kienet tinkludi 350 uffiċjal tal-gvern u esperti fil-bidla fil-klima. Wara ċ-ċerimonji tal-ftuħ, saru sessjonijiet plenarji magħluqa. Ir-rapport tal-laqgħa jiddikjara li kien hemm 322 persuna li attendew f’sessjonijiet b’madwar sebgħa u "&amp;"tmienja tal-parteċipanti li huma minn organizzazzjonijiet governattivi.")</f>
        <v>Il-bord tal-IPCC huwa magħmul minn rappreżentanti maħtura minn gvernijiet u organizzazzjonijiet. Il-parteċipazzjoni ta 'delegati b'kompetenza xierqa hija mħeġġa. Is-sessjonijiet plenarji tal-gruppi ta 'ħidma tal-IPCC u tal-IPCC huma miżmuma fil-livell tar-rappreżentanti tal-gvern. Organizzazzjonijiet mhux governattivi u intergovernattivi jistgħu jitħallew jattendu bħala osservaturi. Is-sessjonijiet tal-Uffiċċju tal-IPCC, workshops, esperti u laqgħat tal-awturi ewlenin huma bi stedina biss. L-attendenza fil-laqgħa tal-2003 kienet tinkludi 350 uffiċjal tal-gvern u esperti fil-bidla fil-klima. Wara ċ-ċerimonji tal-ftuħ, saru sessjonijiet plenarji magħluqa. Ir-rapport tal-laqgħa jiddikjara li kien hemm 322 persuna li attendew f’sessjonijiet b’madwar sebgħa u tmienja tal-parteċipanti li huma minn organizzazzjonijiet governattivi.</v>
      </c>
    </row>
    <row r="3523" ht="15.75" customHeight="1">
      <c r="A3523" s="2" t="s">
        <v>3523</v>
      </c>
      <c r="B3523" s="2" t="str">
        <f>IFERROR(__xludf.DUMMYFUNCTION("GOOGLETRANSLATE(A3523,""en"", ""mt"")"),"James Hutton ħafna drabi huwa meqjus bħala l-ewwel ġeologu modern. Fl-1785 huwa ppreżenta dokument intitolat Teorija tad-Dinja lis-Soċjetà Rjali ta 'Edinburgu. Fil-karta tiegħu, huwa spjega t-teorija tiegħu li d-dinja trid tkun ferm ixjeħ milli suppost ki"&amp;"enet suppost biex tippermetti ħin biżżejjed biex il-muntanji jitnaqqru u għas-sedimenti jiffurmaw blat ġodda fil-qiegħ tal-baħar, li mbagħad tqajmu sa art niexfa. Hutton ippubblika verżjoni b'żewġ volumi ta 'l-ideat tiegħu fl-1795 (Vol. 1, vol. 2).")</f>
        <v>James Hutton ħafna drabi huwa meqjus bħala l-ewwel ġeologu modern. Fl-1785 huwa ppreżenta dokument intitolat Teorija tad-Dinja lis-Soċjetà Rjali ta 'Edinburgu. Fil-karta tiegħu, huwa spjega t-teorija tiegħu li d-dinja trid tkun ferm ixjeħ milli suppost kienet suppost biex tippermetti ħin biżżejjed biex il-muntanji jitnaqqru u għas-sedimenti jiffurmaw blat ġodda fil-qiegħ tal-baħar, li mbagħad tqajmu sa art niexfa. Hutton ippubblika verżjoni b'żewġ volumi ta 'l-ideat tiegħu fl-1795 (Vol. 1, vol. 2).</v>
      </c>
    </row>
    <row r="3524" ht="15.75" customHeight="1">
      <c r="A3524" s="2" t="s">
        <v>3524</v>
      </c>
      <c r="B3524" s="2" t="str">
        <f>IFERROR(__xludf.DUMMYFUNCTION("GOOGLETRANSLATE(A3524,""en"", ""mt"")"),"infurmaw lil Céloron li huma kellhom il-pajjiż ta 'Ohio u li kienu se jinnegozjaw mal-Ingliżi irrispettivament mill-Franċiżi")</f>
        <v>infurmaw lil Céloron li huma kellhom il-pajjiż ta 'Ohio u li kienu se jinnegozjaw mal-Ingliżi irrispettivament mill-Franċiżi</v>
      </c>
    </row>
    <row r="3525" ht="15.75" customHeight="1">
      <c r="A3525" s="2" t="s">
        <v>3525</v>
      </c>
      <c r="B3525" s="2" t="str">
        <f>IFERROR(__xludf.DUMMYFUNCTION("GOOGLETRANSLATE(A3525,""en"", ""mt"")"),"riżorsi mhux tas-soltu")</f>
        <v>riżorsi mhux tas-soltu</v>
      </c>
    </row>
    <row r="3526" ht="15.75" customHeight="1">
      <c r="A3526" s="2" t="s">
        <v>3526</v>
      </c>
      <c r="B3526" s="2" t="str">
        <f>IFERROR(__xludf.DUMMYFUNCTION("GOOGLETRANSLATE(A3526,""en"", ""mt"")"),"Liema bidla fil-kundizzjonijiet tista 'tagħmel il-foresta tropikali tal-Amazon insostenibbli?")</f>
        <v>Liema bidla fil-kundizzjonijiet tista 'tagħmel il-foresta tropikali tal-Amazon insostenibbli?</v>
      </c>
    </row>
    <row r="3527" ht="15.75" customHeight="1">
      <c r="A3527" s="2" t="s">
        <v>3527</v>
      </c>
      <c r="B3527" s="2" t="str">
        <f>IFERROR(__xludf.DUMMYFUNCTION("GOOGLETRANSLATE(A3527,""en"", ""mt"")"),"______ kemm fil-forma likwida kif ukoll fil-gass jistgħu jirriżultaw malajr f'eżlposion.")</f>
        <v>______ kemm fil-forma likwida kif ukoll fil-gass jistgħu jirriżultaw malajr f'eżlposion.</v>
      </c>
    </row>
    <row r="3528" ht="15.75" customHeight="1">
      <c r="A3528" s="2" t="s">
        <v>3528</v>
      </c>
      <c r="B3528" s="2" t="str">
        <f>IFERROR(__xludf.DUMMYFUNCTION("GOOGLETRANSLATE(A3528,""en"", ""mt"")"),"B'liema mezzi kienu x-xjenzati kapaċi li likwidi l-arja?")</f>
        <v>B'liema mezzi kienu x-xjenzati kapaċi li likwidi l-arja?</v>
      </c>
    </row>
    <row r="3529" ht="15.75" customHeight="1">
      <c r="A3529" s="2" t="s">
        <v>3529</v>
      </c>
      <c r="B3529" s="2" t="str">
        <f>IFERROR(__xludf.DUMMYFUNCTION("GOOGLETRANSLATE(A3529,""en"", ""mt"")"),"F'liema data seħħ l-ewwel vjaġġ bil-ferrovija fid-dinja?")</f>
        <v>F'liema data seħħ l-ewwel vjaġġ bil-ferrovija fid-dinja?</v>
      </c>
    </row>
    <row r="3530" ht="15.75" customHeight="1">
      <c r="A3530" s="2" t="s">
        <v>3530</v>
      </c>
      <c r="B3530" s="2" t="str">
        <f>IFERROR(__xludf.DUMMYFUNCTION("GOOGLETRANSLATE(A3530,""en"", ""mt"")"),"Iż-żieda attwali fil-livell tal-baħar kienet 'il fuq mill-parti ta' fuq tal-firxa")</f>
        <v>Iż-żieda attwali fil-livell tal-baħar kienet 'il fuq mill-parti ta' fuq tal-firxa</v>
      </c>
    </row>
    <row r="3531" ht="15.75" customHeight="1">
      <c r="A3531" s="2" t="s">
        <v>3531</v>
      </c>
      <c r="B3531" s="2" t="str">
        <f>IFERROR(__xludf.DUMMYFUNCTION("GOOGLETRANSLATE(A3531,""en"", ""mt"")"),"Evita t-talbiet ta 'dota li jiswew ħafna flus")</f>
        <v>Evita t-talbiet ta 'dota li jiswew ħafna flus</v>
      </c>
    </row>
    <row r="3532" ht="15.75" customHeight="1">
      <c r="A3532" s="2" t="s">
        <v>3532</v>
      </c>
      <c r="B3532" s="2" t="str">
        <f>IFERROR(__xludf.DUMMYFUNCTION("GOOGLETRANSLATE(A3532,""en"", ""mt"")"),"tiffoka l-attenzjoni fuq it-theddida tal-kastig u mhux ir-raġunijiet morali biex issegwi din il-liġi")</f>
        <v>tiffoka l-attenzjoni fuq it-theddida tal-kastig u mhux ir-raġunijiet morali biex issegwi din il-liġi</v>
      </c>
    </row>
    <row r="3533" ht="15.75" customHeight="1">
      <c r="A3533" s="2" t="s">
        <v>3533</v>
      </c>
      <c r="B3533" s="2" t="str">
        <f>IFERROR(__xludf.DUMMYFUNCTION("GOOGLETRANSLATE(A3533,""en"", ""mt"")"),"Tbattal l-art tal-madwar u l-polders")</f>
        <v>Tbattal l-art tal-madwar u l-polders</v>
      </c>
    </row>
    <row r="3534" ht="15.75" customHeight="1">
      <c r="A3534" s="2" t="s">
        <v>3534</v>
      </c>
      <c r="B3534" s="2" t="str">
        <f>IFERROR(__xludf.DUMMYFUNCTION("GOOGLETRANSLATE(A3534,""en"", ""mt"")"),"Dak li ġie ppruvat faċilment dwar il-foresta tropikali")</f>
        <v>Dak li ġie ppruvat faċilment dwar il-foresta tropikali</v>
      </c>
    </row>
    <row r="3535" ht="15.75" customHeight="1">
      <c r="A3535" s="2" t="s">
        <v>3535</v>
      </c>
      <c r="B3535" s="2" t="str">
        <f>IFERROR(__xludf.DUMMYFUNCTION("GOOGLETRANSLATE(A3535,""en"", ""mt"")"),"Relazzjonijiet ta 'qtugħ")</f>
        <v>Relazzjonijiet ta 'qtugħ</v>
      </c>
    </row>
    <row r="3536" ht="15.75" customHeight="1">
      <c r="A3536" s="2" t="s">
        <v>3536</v>
      </c>
      <c r="B3536" s="2" t="str">
        <f>IFERROR(__xludf.DUMMYFUNCTION("GOOGLETRANSLATE(A3536,""en"", ""mt"")"),"Fl-Ewropa hemm spiżeriji qodma li għadhom joperaw f'Dubrovnik, il-Kroazja, li tinsab ġewwa l-monasteru Franġiskan, infetħet fl-1317; u fil-kwadru tal-muniċipju ta 'Tallinn, l-Estonja, li tmur mill-inqas 1422. L-eqdem huwa ddikjarat li ġie stabbilit fl-122"&amp;"1 fil-Knisja ta' Santa Maria Novella f'Firenze, l-Italja, li issa fih mużew tal-fwieħa. L-ispiżerija medjevali ta 'Esteve, li tinsab f'Lívia, enklavi Katalana viċin Puigcerdà, issa wkoll mużew, tmur lura għas-seklu 15, u żżomm Albarellos mis-sekli 16 u 17"&amp;", kotba ta' preskrizzjoni qodma u drogi tal-antikità.")</f>
        <v>Fl-Ewropa hemm spiżeriji qodma li għadhom joperaw f'Dubrovnik, il-Kroazja, li tinsab ġewwa l-monasteru Franġiskan, infetħet fl-1317; u fil-kwadru tal-muniċipju ta 'Tallinn, l-Estonja, li tmur mill-inqas 1422. L-eqdem huwa ddikjarat li ġie stabbilit fl-1221 fil-Knisja ta' Santa Maria Novella f'Firenze, l-Italja, li issa fih mużew tal-fwieħa. L-ispiżerija medjevali ta 'Esteve, li tinsab f'Lívia, enklavi Katalana viċin Puigcerdà, issa wkoll mużew, tmur lura għas-seklu 15, u żżomm Albarellos mis-sekli 16 u 17, kotba ta' preskrizzjoni qodma u drogi tal-antikità.</v>
      </c>
    </row>
    <row r="3537" ht="15.75" customHeight="1">
      <c r="A3537" s="2" t="s">
        <v>3537</v>
      </c>
      <c r="B3537" s="2" t="str">
        <f>IFERROR(__xludf.DUMMYFUNCTION("GOOGLETRANSLATE(A3537,""en"", ""mt"")"),"il-ħila li ssegwi għanijiet stmati")</f>
        <v>il-ħila li ssegwi għanijiet stmati</v>
      </c>
    </row>
    <row r="3538" ht="15.75" customHeight="1">
      <c r="A3538" s="2" t="s">
        <v>3538</v>
      </c>
      <c r="B3538" s="2" t="str">
        <f>IFERROR(__xludf.DUMMYFUNCTION("GOOGLETRANSLATE(A3538,""en"", ""mt"")"),"Il-fruntiera tal-istati tal-Messiku - United")</f>
        <v>Il-fruntiera tal-istati tal-Messiku - United</v>
      </c>
    </row>
    <row r="3539" ht="15.75" customHeight="1">
      <c r="A3539" s="2" t="s">
        <v>3539</v>
      </c>
      <c r="B3539" s="2" t="str">
        <f>IFERROR(__xludf.DUMMYFUNCTION("GOOGLETRANSLATE(A3539,""en"", ""mt"")"),"La kuxjenzjuż u lanqas ta 'benefiċċju soċjali")</f>
        <v>La kuxjenzjuż u lanqas ta 'benefiċċju soċjali</v>
      </c>
    </row>
    <row r="3540" ht="15.75" customHeight="1">
      <c r="A3540" s="2" t="s">
        <v>3540</v>
      </c>
      <c r="B3540" s="2" t="str">
        <f>IFERROR(__xludf.DUMMYFUNCTION("GOOGLETRANSLATE(A3540,""en"", ""mt"")"),"Il-konġettura ta 'Brocard")</f>
        <v>Il-konġettura ta 'Brocard</v>
      </c>
    </row>
    <row r="3541" ht="15.75" customHeight="1">
      <c r="A3541" s="2" t="s">
        <v>3541</v>
      </c>
      <c r="B3541" s="2" t="str">
        <f>IFERROR(__xludf.DUMMYFUNCTION("GOOGLETRANSLATE(A3541,""en"", ""mt"")"),"X'inhu jinsab f'dan id-distrett?")</f>
        <v>X'inhu jinsab f'dan id-distrett?</v>
      </c>
    </row>
    <row r="3542" ht="15.75" customHeight="1">
      <c r="A3542" s="2" t="s">
        <v>3542</v>
      </c>
      <c r="B3542" s="2" t="str">
        <f>IFERROR(__xludf.DUMMYFUNCTION("GOOGLETRANSLATE(A3542,""en"", ""mt"")"),"theddida tal-gwerra")</f>
        <v>theddida tal-gwerra</v>
      </c>
    </row>
    <row r="3543" ht="15.75" customHeight="1">
      <c r="A3543" s="2" t="s">
        <v>3543</v>
      </c>
      <c r="B3543" s="2" t="str">
        <f>IFERROR(__xludf.DUMMYFUNCTION("GOOGLETRANSLATE(A3543,""en"", ""mt"")"),"X’jipprevjenu livelli għoljin ta ’inugwaljanza lil hinn mill-prosperità ekonomika?")</f>
        <v>X’jipprevjenu livelli għoljin ta ’inugwaljanza lil hinn mill-prosperità ekonomika?</v>
      </c>
    </row>
    <row r="3544" ht="15.75" customHeight="1">
      <c r="A3544" s="2" t="s">
        <v>3544</v>
      </c>
      <c r="B3544" s="2" t="str">
        <f>IFERROR(__xludf.DUMMYFUNCTION("GOOGLETRANSLATE(A3544,""en"", ""mt"")"),"Ir-rikostruzzjoni tal-ħsieb reliġjuż fl-Islam")</f>
        <v>Ir-rikostruzzjoni tal-ħsieb reliġjuż fl-Islam</v>
      </c>
    </row>
    <row r="3545" ht="15.75" customHeight="1">
      <c r="A3545" s="2" t="s">
        <v>3545</v>
      </c>
      <c r="B3545" s="2" t="str">
        <f>IFERROR(__xludf.DUMMYFUNCTION("GOOGLETRANSLATE(A3545,""en"", ""mt"")"),"Erba 'skejjel charter pubbliċi")</f>
        <v>Erba 'skejjel charter pubbliċi</v>
      </c>
    </row>
    <row r="3546" ht="15.75" customHeight="1">
      <c r="A3546" s="2" t="s">
        <v>3546</v>
      </c>
      <c r="B3546" s="2" t="str">
        <f>IFERROR(__xludf.DUMMYFUNCTION("GOOGLETRANSLATE(A3546,""en"", ""mt"")"),"Il-korrelazzjoni bejn il-kapitaliżmu, l-aristokrazija u l-imperjalizmu ilha diskussa fost l-istoriċi u t-teoriċi politiċi. Ħafna mid-dibattitu kien pijunier minn teoriċi bħal J. A. Hobson (1858–1940), Joseph Schumpeter (1883–1950), Thorstein Veblen (1857–"&amp;"1929), u Norman Angell (1872–1967). Filwaqt li dawn il-kittieba mhux Marxisti kienu l-iktar prolifiċi tagħhom qabel l-Ewwel Gwerra Dinjija, huma baqgħu attivi fis-snin interwar. Ix-xogħol ikkombinat tagħhom informa l-istudju dwar l-imperjalizmu u l-impatt"&amp;" tiegħu fuq l-Ewropa, kif ukoll ikkontribwixxa għal riflessjonijiet dwar iż-żieda tal-kumpless politiku militari fl-Istati Uniti mill-ħamsinijiet. Hobson argumenta li r-riformi soċjali domestiċi jistgħu jfejqu l-marda internazzjonali tal-imperjalizmu bill"&amp;"i jneħħu l-fondazzjoni ekonomika tiegħu. Hobson teorizza li l-intervent tal-istat permezz tat-tassazzjoni jista 'jagħti spinta lill-konsum usa', joħloq il-ġid, u jinkoraġġixxi ordni dinjija paċifika, tolleranti u multipolari.")</f>
        <v>Il-korrelazzjoni bejn il-kapitaliżmu, l-aristokrazija u l-imperjalizmu ilha diskussa fost l-istoriċi u t-teoriċi politiċi. Ħafna mid-dibattitu kien pijunier minn teoriċi bħal J. A. Hobson (1858–1940), Joseph Schumpeter (1883–1950), Thorstein Veblen (1857–1929), u Norman Angell (1872–1967). Filwaqt li dawn il-kittieba mhux Marxisti kienu l-iktar prolifiċi tagħhom qabel l-Ewwel Gwerra Dinjija, huma baqgħu attivi fis-snin interwar. Ix-xogħol ikkombinat tagħhom informa l-istudju dwar l-imperjalizmu u l-impatt tiegħu fuq l-Ewropa, kif ukoll ikkontribwixxa għal riflessjonijiet dwar iż-żieda tal-kumpless politiku militari fl-Istati Uniti mill-ħamsinijiet. Hobson argumenta li r-riformi soċjali domestiċi jistgħu jfejqu l-marda internazzjonali tal-imperjalizmu billi jneħħu l-fondazzjoni ekonomika tiegħu. Hobson teorizza li l-intervent tal-istat permezz tat-tassazzjoni jista 'jagħti spinta lill-konsum usa', joħloq il-ġid, u jinkoraġġixxi ordni dinjija paċifika, tolleranti u multipolari.</v>
      </c>
    </row>
    <row r="3547" ht="15.75" customHeight="1">
      <c r="A3547" s="2" t="s">
        <v>3547</v>
      </c>
      <c r="B3547" s="2" t="str">
        <f>IFERROR(__xludf.DUMMYFUNCTION("GOOGLETRANSLATE(A3547,""en"", ""mt"")"),"Taxxa fuq il-bejgħ nofs-penny")</f>
        <v>Taxxa fuq il-bejgħ nofs-penny</v>
      </c>
    </row>
    <row r="3548" ht="15.75" customHeight="1">
      <c r="A3548" s="2" t="s">
        <v>3548</v>
      </c>
      <c r="B3548" s="2" t="str">
        <f>IFERROR(__xludf.DUMMYFUNCTION("GOOGLETRANSLATE(A3548,""en"", ""mt"")"),"Il-prinċipju ta 'inklużjonijiet u komponenti jiddikjara li, bi blat sedimentarji, jekk inklużjonijiet (jew clasts) jinstabu f'formazzjoni, allura l-inklużjonijiet għandhom ikunu eqdem mill-formazzjoni li fiha. Pereżempju, fil-blat sedimentarji, huwa komun"&amp;"i għal żrar minn formazzjoni anzjana li għandha tinqata 'u tkun inkluża f'saff aktar ġdid. Sitwazzjoni simili bi blat igneous isseħħ meta jinstabu xenoliti. Dawn il-korpi barranin jinġabru bħala flussi tal-magma jew tal-lava, u huma inkorporati, aktar tar"&amp;"d biex jiksħu fil-matriċi. Bħala riżultat, il-ksenoliti huma eqdem mill-blat li fih.")</f>
        <v>Il-prinċipju ta 'inklużjonijiet u komponenti jiddikjara li, bi blat sedimentarji, jekk inklużjonijiet (jew clasts) jinstabu f'formazzjoni, allura l-inklużjonijiet għandhom ikunu eqdem mill-formazzjoni li fiha. Pereżempju, fil-blat sedimentarji, huwa komuni għal żrar minn formazzjoni anzjana li għandha tinqata 'u tkun inkluża f'saff aktar ġdid. Sitwazzjoni simili bi blat igneous isseħħ meta jinstabu xenoliti. Dawn il-korpi barranin jinġabru bħala flussi tal-magma jew tal-lava, u huma inkorporati, aktar tard biex jiksħu fil-matriċi. Bħala riżultat, il-ksenoliti huma eqdem mill-blat li fih.</v>
      </c>
    </row>
    <row r="3549" ht="15.75" customHeight="1">
      <c r="A3549" s="2" t="s">
        <v>3549</v>
      </c>
      <c r="B3549" s="2" t="str">
        <f>IFERROR(__xludf.DUMMYFUNCTION("GOOGLETRANSLATE(A3549,""en"", ""mt"")"),"Xi jsostnu xi teoriji dwar id-diżubbidjenza ċivili?")</f>
        <v>Xi jsostnu xi teoriji dwar id-diżubbidjenza ċivili?</v>
      </c>
    </row>
    <row r="3550" ht="15.75" customHeight="1">
      <c r="A3550" s="2" t="s">
        <v>3550</v>
      </c>
      <c r="B3550" s="2" t="str">
        <f>IFERROR(__xludf.DUMMYFUNCTION("GOOGLETRANSLATE(A3550,""en"", ""mt"")"),"Għal ħafna mill-istorja tal-bniedem livelli ta 'ħajja ogħla - stonku sħiħ, aċċess għal ilma nadif u sħana mill-fjuwil - wassal għal saħħa aħjar u ħajja itwal. Dan ix-xejra ta 'ħajja ogħla ta' dħul li għadha kemm hi żżomm fost pajjiżi l-aktar fqar, fejn l-"&amp;"istennija tal-ħajja tiżdied malajr hekk kif id-dħul per capita jiżdied, iżda f'dawn l-aħħar għexieren ta 'snin naqas fost il-pajjiżi tad-dħul medju u plateaued fost l-aktar sinjuri tletin pajjiż jew aktar fid-dinja. L-Amerikani jgħixu bħala medja (madwar "&amp;"77 sena fl-2004) minn Griegi (78 sena) jew New Zealanders (78), għalkemm l-Istati Uniti għandhom PGD ogħla per capita. L-istennija tal-ħajja fl-Iżvezja (80 sena) u l-Ġappun (82) - fejn id-dħul kien imqassam aktar bl-istess mod - kien itwal.")</f>
        <v>Għal ħafna mill-istorja tal-bniedem livelli ta 'ħajja ogħla - stonku sħiħ, aċċess għal ilma nadif u sħana mill-fjuwil - wassal għal saħħa aħjar u ħajja itwal. Dan ix-xejra ta 'ħajja ogħla ta' dħul li għadha kemm hi żżomm fost pajjiżi l-aktar fqar, fejn l-istennija tal-ħajja tiżdied malajr hekk kif id-dħul per capita jiżdied, iżda f'dawn l-aħħar għexieren ta 'snin naqas fost il-pajjiżi tad-dħul medju u plateaued fost l-aktar sinjuri tletin pajjiż jew aktar fid-dinja. L-Amerikani jgħixu bħala medja (madwar 77 sena fl-2004) minn Griegi (78 sena) jew New Zealanders (78), għalkemm l-Istati Uniti għandhom PGD ogħla per capita. L-istennija tal-ħajja fl-Iżvezja (80 sena) u l-Ġappun (82) - fejn id-dħul kien imqassam aktar bl-istess mod - kien itwal.</v>
      </c>
    </row>
    <row r="3551" ht="15.75" customHeight="1">
      <c r="A3551" s="2" t="s">
        <v>3551</v>
      </c>
      <c r="B3551" s="2" t="str">
        <f>IFERROR(__xludf.DUMMYFUNCTION("GOOGLETRANSLATE(A3551,""en"", ""mt"")"),"X'inhuma t-tliet tipi ewlenin ta 'blat?")</f>
        <v>X'inhuma t-tliet tipi ewlenin ta 'blat?</v>
      </c>
    </row>
    <row r="3552" ht="15.75" customHeight="1">
      <c r="A3552" s="2" t="s">
        <v>3552</v>
      </c>
      <c r="B3552" s="2" t="str">
        <f>IFERROR(__xludf.DUMMYFUNCTION("GOOGLETRANSLATE(A3552,""en"", ""mt"")"),"Mantell")</f>
        <v>Mantell</v>
      </c>
    </row>
    <row r="3553" ht="15.75" customHeight="1">
      <c r="A3553" s="2" t="s">
        <v>3553</v>
      </c>
      <c r="B3553" s="2" t="str">
        <f>IFERROR(__xludf.DUMMYFUNCTION("GOOGLETRANSLATE(A3553,""en"", ""mt"")"),"Jekk problema x hija f'c u iebsa għal C, allura X jingħad li huwa komplut għal C. Dan ifisser li X hija l-iktar problema diffiċli f'C. (Peress li ħafna problemi jistgħu jkunu daqstant diffiċli, wieħed jista 'jgħid li X huwa wieħed L-agħar problemi f'C) Għ"&amp;"alhekk il-klassi ta 'problemi kompluti NP fiha l-aktar problemi diffiċli f'NP, fis-sens li huma dawk li x'aktarx ma jkunux f'P. Minħabba li l-problema P = NP mhix solvuta, li tkun Kapaċi tnaqqas problema magħrufa ta 'NP-kompluta, π2, għal problema oħra, π"&amp;"1, tindika li m'hemm l-ebda soluzzjoni magħrufa ta' ħin polinomju għal π1. Dan għaliex soluzzjoni ta 'ħin polinomjali għal π1 tagħti soluzzjoni ta' ħin polinomjali għal π2. Bl-istess mod, minħabba li l-problemi kollha tal-NP jistgħu jitnaqqsu għas-sett, i"&amp;"s-sejba ta 'problema kompluta NP li tista' tissolva fi żmien polinomjali tkun tfisser li P = NP.")</f>
        <v>Jekk problema x hija f'c u iebsa għal C, allura X jingħad li huwa komplut għal C. Dan ifisser li X hija l-iktar problema diffiċli f'C. (Peress li ħafna problemi jistgħu jkunu daqstant diffiċli, wieħed jista 'jgħid li X huwa wieħed L-agħar problemi f'C) Għalhekk il-klassi ta 'problemi kompluti NP fiha l-aktar problemi diffiċli f'NP, fis-sens li huma dawk li x'aktarx ma jkunux f'P. Minħabba li l-problema P = NP mhix solvuta, li tkun Kapaċi tnaqqas problema magħrufa ta 'NP-kompluta, π2, għal problema oħra, π1, tindika li m'hemm l-ebda soluzzjoni magħrufa ta' ħin polinomju għal π1. Dan għaliex soluzzjoni ta 'ħin polinomjali għal π1 tagħti soluzzjoni ta' ħin polinomjali għal π2. Bl-istess mod, minħabba li l-problemi kollha tal-NP jistgħu jitnaqqsu għas-sett, is-sejba ta 'problema kompluta NP li tista' tissolva fi żmien polinomjali tkun tfisser li P = NP.</v>
      </c>
    </row>
    <row r="3554" ht="15.75" customHeight="1">
      <c r="A3554" s="2" t="s">
        <v>3554</v>
      </c>
      <c r="B3554" s="2" t="str">
        <f>IFERROR(__xludf.DUMMYFUNCTION("GOOGLETRANSLATE(A3554,""en"", ""mt"")"),"Kong Duancao")</f>
        <v>Kong Duancao</v>
      </c>
    </row>
    <row r="3555" ht="15.75" customHeight="1">
      <c r="A3555" s="2" t="s">
        <v>3555</v>
      </c>
      <c r="B3555" s="2" t="str">
        <f>IFERROR(__xludf.DUMMYFUNCTION("GOOGLETRANSLATE(A3555,""en"", ""mt"")"),"Li taw isimhom lil Normandija fl-1000 u l-1100")</f>
        <v>Li taw isimhom lil Normandija fl-1000 u l-1100</v>
      </c>
    </row>
    <row r="3556" ht="15.75" customHeight="1">
      <c r="A3556" s="2" t="s">
        <v>3556</v>
      </c>
      <c r="B3556" s="2" t="str">
        <f>IFERROR(__xludf.DUMMYFUNCTION("GOOGLETRANSLATE(A3556,""en"", ""mt"")"),"Xi forom ta 'diżubbidjenza ċivili, bħal bojkotts illegali, ċaħdiet li jħallsu t-taxxi, abbozzi ta' dodging, attakki ta 'ċaħda ta' servizz imqassma, u sit-ins, jagħmluha aktar diffiċli għal sistema li tiffunzjona. B'dan il-mod, dawn jistgħu jiġu kkunsidrat"&amp;"i kostruttivi. Brownlee jinnota li ""għalkemm id-diżubbidjenti ċivili huma limitati fl-użu tagħhom ta 'sfurzar mill-għan kuxjenzjuż tagħhom li jidħlu fid-djalogu morali, madankollu jistgħu jsibuha neċessarja li jimpjegaw sfurzar limitat sabiex jiksbu l-ħr"&amp;"uġ tagħhom fuq il-mejda."" L-organizzazzjoni Plowshares għalqet temporanjament il-GCSB Waihopai billi tittajjar il-gradi u tuża Sickles biex tiddefla waħda mill-koppji l-kbar li jkopru żewġ platti bis-satellita.")</f>
        <v>Xi forom ta 'diżubbidjenza ċivili, bħal bojkotts illegali, ċaħdiet li jħallsu t-taxxi, abbozzi ta' dodging, attakki ta 'ċaħda ta' servizz imqassma, u sit-ins, jagħmluha aktar diffiċli għal sistema li tiffunzjona. B'dan il-mod, dawn jistgħu jiġu kkunsidrati kostruttivi. Brownlee jinnota li "għalkemm id-diżubbidjenti ċivili huma limitati fl-użu tagħhom ta 'sfurzar mill-għan kuxjenzjuż tagħhom li jidħlu fid-djalogu morali, madankollu jistgħu jsibuha neċessarja li jimpjegaw sfurzar limitat sabiex jiksbu l-ħruġ tagħhom fuq il-mejda." L-organizzazzjoni Plowshares għalqet temporanjament il-GCSB Waihopai billi tittajjar il-gradi u tuża Sickles biex tiddefla waħda mill-koppji l-kbar li jkopru żewġ platti bis-satellita.</v>
      </c>
    </row>
    <row r="3557" ht="15.75" customHeight="1">
      <c r="A3557" s="2" t="s">
        <v>3557</v>
      </c>
      <c r="B3557" s="2" t="str">
        <f>IFERROR(__xludf.DUMMYFUNCTION("GOOGLETRANSLATE(A3557,""en"", ""mt"")"),"Kimika")</f>
        <v>Kimika</v>
      </c>
    </row>
    <row r="3558" ht="15.75" customHeight="1">
      <c r="A3558" s="2" t="s">
        <v>3558</v>
      </c>
      <c r="B3558" s="2" t="str">
        <f>IFERROR(__xludf.DUMMYFUNCTION("GOOGLETRANSLATE(A3558,""en"", ""mt"")"),"L-istudjużi tal-Università ta ’Chicago kellhom parti kbira f’liema żvilupp?")</f>
        <v>L-istudjużi tal-Università ta ’Chicago kellhom parti kbira f’liema żvilupp?</v>
      </c>
    </row>
    <row r="3559" ht="15.75" customHeight="1">
      <c r="A3559" s="2" t="s">
        <v>3559</v>
      </c>
      <c r="B3559" s="2" t="str">
        <f>IFERROR(__xludf.DUMMYFUNCTION("GOOGLETRANSLATE(A3559,""en"", ""mt"")"),"aerospazjali")</f>
        <v>aerospazjali</v>
      </c>
    </row>
    <row r="3560" ht="15.75" customHeight="1">
      <c r="A3560" s="2" t="s">
        <v>3560</v>
      </c>
      <c r="B3560" s="2" t="str">
        <f>IFERROR(__xludf.DUMMYFUNCTION("GOOGLETRANSLATE(A3560,""en"", ""mt"")"),"X'kien il-kastig ta 'Thoreau talli ma ħallasx it-taxxi tiegħu?")</f>
        <v>X'kien il-kastig ta 'Thoreau talli ma ħallasx it-taxxi tiegħu?</v>
      </c>
    </row>
    <row r="3561" ht="15.75" customHeight="1">
      <c r="A3561" s="2" t="s">
        <v>3561</v>
      </c>
      <c r="B3561" s="2" t="str">
        <f>IFERROR(__xludf.DUMMYFUNCTION("GOOGLETRANSLATE(A3561,""en"", ""mt"")"),"Probabilistiku (jew ""Monte Carlo"")")</f>
        <v>Probabilistiku (jew "Monte Carlo")</v>
      </c>
    </row>
    <row r="3562" ht="15.75" customHeight="1">
      <c r="A3562" s="2" t="s">
        <v>3562</v>
      </c>
      <c r="B3562" s="2" t="str">
        <f>IFERROR(__xludf.DUMMYFUNCTION("GOOGLETRANSLATE(A3562,""en"", ""mt"")"),"Tribujiet Ġermaniċi qasmu r-Renu fil-perjodu ta 'migrazzjoni, sas-seklu 5 stabbilixxew ir-renji ta' Francia fuq ir-Renu t'isfel, Burgundy fuq ir-Renu ta 'Fuq u l-Alemannia fuq ir-Renu għoli. Din l- ""Età Erojka Ġermanika"" hija riflessa fil-leġġenda medje"&amp;"vali, bħalma huma n-Nibelungenelied li jirrakkonta lill-eroj Siegfried joqtol dragun fuq id-Drachenfels (Siebengebirge) (""Dragons Rock""), ħdejn Bonn fir-Rhine u fil-Burgundians u l-qorti tagħhom fi Worms, fit-Teżor tad-Deheb tar-Renu u Kriemhild, li ġie"&amp;" mitfugħ fir-Renu minn Hagen.")</f>
        <v>Tribujiet Ġermaniċi qasmu r-Renu fil-perjodu ta 'migrazzjoni, sas-seklu 5 stabbilixxew ir-renji ta' Francia fuq ir-Renu t'isfel, Burgundy fuq ir-Renu ta 'Fuq u l-Alemannia fuq ir-Renu għoli. Din l- "Età Erojka Ġermanika" hija riflessa fil-leġġenda medjevali, bħalma huma n-Nibelungenelied li jirrakkonta lill-eroj Siegfried joqtol dragun fuq id-Drachenfels (Siebengebirge) ("Dragons Rock"), ħdejn Bonn fir-Rhine u fil-Burgundians u l-qorti tagħhom fi Worms, fit-Teżor tad-Deheb tar-Renu u Kriemhild, li ġie mitfugħ fir-Renu minn Hagen.</v>
      </c>
    </row>
    <row r="3563" ht="15.75" customHeight="1">
      <c r="A3563" s="2" t="s">
        <v>3563</v>
      </c>
      <c r="B3563" s="2" t="str">
        <f>IFERROR(__xludf.DUMMYFUNCTION("GOOGLETRANSLATE(A3563,""en"", ""mt"")"),"Għal liema livell il-ġerarkija tal-ħin polinomjali tiġġarraf jekk l-isomorfiżmu tal-graff huwa komplut NP?")</f>
        <v>Għal liema livell il-ġerarkija tal-ħin polinomjali tiġġarraf jekk l-isomorfiżmu tal-graff huwa komplut NP?</v>
      </c>
    </row>
    <row r="3564" ht="15.75" customHeight="1">
      <c r="A3564" s="2" t="s">
        <v>3564</v>
      </c>
      <c r="B3564" s="2" t="str">
        <f>IFERROR(__xludf.DUMMYFUNCTION("GOOGLETRANSLATE(A3564,""en"", ""mt"")"),"ingħataw lill-Protestanti ugwaljanza mal-Kattoliċi taħt it-tron u grad ta 'libertà reliġjuża u politika fl-oqsma tagħhom")</f>
        <v>ingħataw lill-Protestanti ugwaljanza mal-Kattoliċi taħt it-tron u grad ta 'libertà reliġjuża u politika fl-oqsma tagħhom</v>
      </c>
    </row>
    <row r="3565" ht="15.75" customHeight="1">
      <c r="A3565" s="2" t="s">
        <v>3565</v>
      </c>
      <c r="B3565" s="2" t="str">
        <f>IFERROR(__xludf.DUMMYFUNCTION("GOOGLETRANSLATE(A3565,""en"", ""mt"")"),"flus mitlufa")</f>
        <v>flus mitlufa</v>
      </c>
    </row>
    <row r="3566" ht="15.75" customHeight="1">
      <c r="A3566" s="2" t="s">
        <v>3566</v>
      </c>
      <c r="B3566" s="2" t="str">
        <f>IFERROR(__xludf.DUMMYFUNCTION("GOOGLETRANSLATE(A3566,""en"", ""mt"")"),"Żewġ aġenziji pubbliċi, speċjalment żewġ fergħat ugwalment sovrani tal-gvern, kunflitti")</f>
        <v>Żewġ aġenziji pubbliċi, speċjalment żewġ fergħat ugwalment sovrani tal-gvern, kunflitti</v>
      </c>
    </row>
    <row r="3567" ht="15.75" customHeight="1">
      <c r="A3567" s="2" t="s">
        <v>3567</v>
      </c>
      <c r="B3567" s="2" t="str">
        <f>IFERROR(__xludf.DUMMYFUNCTION("GOOGLETRANSLATE(A3567,""en"", ""mt"")"),"il-pulizija u l-forzi armati")</f>
        <v>il-pulizija u l-forzi armati</v>
      </c>
    </row>
    <row r="3568" ht="15.75" customHeight="1">
      <c r="A3568" s="2" t="s">
        <v>3568</v>
      </c>
      <c r="B3568" s="2" t="str">
        <f>IFERROR(__xludf.DUMMYFUNCTION("GOOGLETRANSLATE(A3568,""en"", ""mt"")"),"Briefing B-265")</f>
        <v>Briefing B-265</v>
      </c>
    </row>
    <row r="3569" ht="15.75" customHeight="1">
      <c r="A3569" s="2" t="s">
        <v>3569</v>
      </c>
      <c r="B3569" s="2" t="str">
        <f>IFERROR(__xludf.DUMMYFUNCTION("GOOGLETRANSLATE(A3569,""en"", ""mt"")"),"X’kienu l-pjanijiet Ingliżi kontra l-Franċiż?")</f>
        <v>X’kienu l-pjanijiet Ingliżi kontra l-Franċiż?</v>
      </c>
    </row>
    <row r="3570" ht="15.75" customHeight="1">
      <c r="A3570" s="2" t="s">
        <v>3570</v>
      </c>
      <c r="B3570" s="2" t="str">
        <f>IFERROR(__xludf.DUMMYFUNCTION("GOOGLETRANSLATE(A3570,""en"", ""mt"")"),"Semmi pajjiż wieħed li pprojbixxa t-tbaħħir, is-sewqan u ttajjar il-Ħdud.")</f>
        <v>Semmi pajjiż wieħed li pprojbixxa t-tbaħħir, is-sewqan u ttajjar il-Ħdud.</v>
      </c>
    </row>
    <row r="3571" ht="15.75" customHeight="1">
      <c r="A3571" s="2" t="s">
        <v>3571</v>
      </c>
      <c r="B3571" s="2" t="str">
        <f>IFERROR(__xludf.DUMMYFUNCTION("GOOGLETRANSLATE(A3571,""en"", ""mt"")"),"vot")</f>
        <v>vot</v>
      </c>
    </row>
    <row r="3572" ht="15.75" customHeight="1">
      <c r="A3572" s="2" t="s">
        <v>3572</v>
      </c>
      <c r="B3572" s="2" t="str">
        <f>IFERROR(__xludf.DUMMYFUNCTION("GOOGLETRANSLATE(A3572,""en"", ""mt"")"),"Minbarra l-identifikazzjoni tal-blat fil-grawnd, il-petroloġisti jidentifikaw kampjuni tal-blat fil-laboratorju. Tnejn mill-metodi primarji għall-identifikazzjoni tal-blat fil-laboratorju huma permezz ta 'mikroskopija ottika u bl-użu ta' microprobe elettr"&amp;"oniku. F'analiżi tal-mineraloġija ottika, sezzjonijiet irqaq ta 'kampjuni tal-blat huma analizzati permezz ta' mikroskopju petrografiku, fejn il-minerali jistgħu jiġu identifikati permezz tal-proprjetajiet differenti tagħhom fid-dawl polarizzat u polarizz"&amp;"at mill-pjan, inkluż il-birefringenza tagħhom, pleokroiżmu, ġemellaġġ, ġemellaġġ, u proprjetajiet ta 'interferenza ma' lenti konoskopika. Fil-mikroprobe elettroniku, postijiet individwali huma analizzati għall-kompożizzjonijiet kimiċi eżatti tagħhom u l-v"&amp;"arjazzjoni fil-kompożizzjoni fi ħdan kristalli individwali. Studji ta 'iżotopi stabbli u radjuattivi jipprovdu ħarsa lejn l-evoluzzjoni ġeokimika ta' unitajiet tal-blat.")</f>
        <v>Minbarra l-identifikazzjoni tal-blat fil-grawnd, il-petroloġisti jidentifikaw kampjuni tal-blat fil-laboratorju. Tnejn mill-metodi primarji għall-identifikazzjoni tal-blat fil-laboratorju huma permezz ta 'mikroskopija ottika u bl-użu ta' microprobe elettroniku. F'analiżi tal-mineraloġija ottika, sezzjonijiet irqaq ta 'kampjuni tal-blat huma analizzati permezz ta' mikroskopju petrografiku, fejn il-minerali jistgħu jiġu identifikati permezz tal-proprjetajiet differenti tagħhom fid-dawl polarizzat u polarizzat mill-pjan, inkluż il-birefringenza tagħhom, pleokroiżmu, ġemellaġġ, ġemellaġġ, u proprjetajiet ta 'interferenza ma' lenti konoskopika. Fil-mikroprobe elettroniku, postijiet individwali huma analizzati għall-kompożizzjonijiet kimiċi eżatti tagħhom u l-varjazzjoni fil-kompożizzjoni fi ħdan kristalli individwali. Studji ta 'iżotopi stabbli u radjuattivi jipprovdu ħarsa lejn l-evoluzzjoni ġeokimika ta' unitajiet tal-blat.</v>
      </c>
    </row>
    <row r="3573" ht="15.75" customHeight="1">
      <c r="A3573" s="2" t="s">
        <v>3573</v>
      </c>
      <c r="B3573" s="2" t="str">
        <f>IFERROR(__xludf.DUMMYFUNCTION("GOOGLETRANSLATE(A3573,""en"", ""mt"")"),"Fejn CHP ma jintużax, it-turbini tal-fwar fl-istazzjonijiet tal-enerġija jużaw kondensaturi tal-wiċċ bħala sink kiesaħ. Il-kondensaturi huma mkessħa mill-fluss tal-ilma mill-oċeani, xmajjar, lagi, u ħafna drabi minn torrijiet li jkessħu li jevaporaw l-ilm"&amp;"a biex jipprovdu t-tneħħija tal-enerġija tat-tkessiħ. Il-ħruġ ta 'ilma sħun ikkondensat li jirriżulta mill-kondensatur imbagħad jerġa' jitpoġġa fil-bojler permezz ta 'pompa. Torri tat-tkessiħ tat-tip xott huwa simili għal radjatur tal-karozzi u jintuża f'"&amp;"postijiet fejn l-ilma jiswa ħafna. Torrijiet tat-tkessiħ evaporattivi (imxarrbin) jużaw is-sħana rifjutata biex jevaporaw l-ilma; Dan l-ilma jinżamm separat mill-kondensat, li jiċċirkola f'sistema magħluqa u jirritorna fil-bojler. Torrijiet bħal dawn spis"&amp;"s ikollhom plumi viżibbli minħabba l-ilma evaporat li jikkondensa fi qtar imwettaq mill-arja sħuna. Torrijiet tat-tkessiħ evaporattivi għandhom bżonn inqas fluss ta 'ilma minn tkessiħ ""darba"" minn ilma tax-xmara jew tal-lag; Impjant ta 'l-enerġija li ja"&amp;"ħdem bil-faħam ta' 700 megawatt jista 'juża madwar 3600 metru kubu ta' ilma tal-make-up kull siegħa għat-tkessiħ evaporattiv, iżda jkun jeħtieġ madwar għoxrin darba kemm jekk imkessaħ bl-ilma tax-xmara. [Ċitazzjoni meħtieġa]")</f>
        <v>Fejn CHP ma jintużax, it-turbini tal-fwar fl-istazzjonijiet tal-enerġija jużaw kondensaturi tal-wiċċ bħala sink kiesaħ. Il-kondensaturi huma mkessħa mill-fluss tal-ilma mill-oċeani, xmajjar, lagi, u ħafna drabi minn torrijiet li jkessħu li jevaporaw l-ilma biex jipprovdu t-tneħħija tal-enerġija tat-tkessiħ. Il-ħruġ ta 'ilma sħun ikkondensat li jirriżulta mill-kondensatur imbagħad jerġa' jitpoġġa fil-bojler permezz ta 'pompa. Torri tat-tkessiħ tat-tip xott huwa simili għal radjatur tal-karozzi u jintuża f'postijiet fejn l-ilma jiswa ħafna. Torrijiet tat-tkessiħ evaporattivi (imxarrbin) jużaw is-sħana rifjutata biex jevaporaw l-ilma; Dan l-ilma jinżamm separat mill-kondensat, li jiċċirkola f'sistema magħluqa u jirritorna fil-bojler. Torrijiet bħal dawn spiss ikollhom plumi viżibbli minħabba l-ilma evaporat li jikkondensa fi qtar imwettaq mill-arja sħuna. Torrijiet tat-tkessiħ evaporattivi għandhom bżonn inqas fluss ta 'ilma minn tkessiħ "darba" minn ilma tax-xmara jew tal-lag; Impjant ta 'l-enerġija li jaħdem bil-faħam ta' 700 megawatt jista 'juża madwar 3600 metru kubu ta' ilma tal-make-up kull siegħa għat-tkessiħ evaporattiv, iżda jkun jeħtieġ madwar għoxrin darba kemm jekk imkessaħ bl-ilma tax-xmara. [Ċitazzjoni meħtieġa]</v>
      </c>
    </row>
    <row r="3574" ht="15.75" customHeight="1">
      <c r="A3574" s="2" t="s">
        <v>3574</v>
      </c>
      <c r="B3574" s="2" t="str">
        <f>IFERROR(__xludf.DUMMYFUNCTION("GOOGLETRANSLATE(A3574,""en"", ""mt"")"),"Kummissjoni v Italja l-Qorti tal-Ġustizzja")</f>
        <v>Kummissjoni v Italja l-Qorti tal-Ġustizzja</v>
      </c>
    </row>
    <row r="3575" ht="15.75" customHeight="1">
      <c r="A3575" s="2" t="s">
        <v>3575</v>
      </c>
      <c r="B3575" s="2" t="str">
        <f>IFERROR(__xludf.DUMMYFUNCTION("GOOGLETRANSLATE(A3575,""en"", ""mt"")"),"Kumpanija Brittanika tat-Telekomunikazzjoni")</f>
        <v>Kumpanija Brittanika tat-Telekomunikazzjoni</v>
      </c>
    </row>
    <row r="3576" ht="15.75" customHeight="1">
      <c r="A3576" s="2" t="s">
        <v>3576</v>
      </c>
      <c r="B3576" s="2" t="str">
        <f>IFERROR(__xludf.DUMMYFUNCTION("GOOGLETRANSLATE(A3576,""en"", ""mt"")"),"Liema dar kienet is-sit ta 'skola tal-insiġ f'Canterbury?")</f>
        <v>Liema dar kienet is-sit ta 'skola tal-insiġ f'Canterbury?</v>
      </c>
    </row>
    <row r="3577" ht="15.75" customHeight="1">
      <c r="A3577" s="2" t="s">
        <v>3577</v>
      </c>
      <c r="B3577" s="2" t="str">
        <f>IFERROR(__xludf.DUMMYFUNCTION("GOOGLETRANSLATE(A3577,""en"", ""mt"")"),"Il-gwerra fl-Amerika ta ’Fuq intemmet uffiċjalment bl-iffirmar tat-Trattat ta’ Pariġi fl-10 ta ’Frar 1763, u l-Gwerra fit-Teatru Ewropew tas-Seba’ Snin tal-Gwerra ġiet solvuta bit-Trattat ta ’Hubertusburg fil-15 ta’ Frar 1763. ta 'ċediment jew il-possedim"&amp;"enti kontinentali tagħha ta' l-Amerika ta 'Fuq fil-lvant tal-Mississippi jew il-gżejjer tal-Karibew ta' Guadeloupe u Martinique, li kienu okkupati mill-Ingliżi. Franza għażlet li ċediet l-ewwel, iżda kienet kapaċi tinnegozja ż-żamma ta ’San Pierre u Mique"&amp;"lon, żewġ gżejjer żgħar fil-Golf ta’ San Lawrenz, flimkien mad-drittijiet tas-sajd fiż-żona. Huma jaraw il-valur ekonomiku tal-kannamieli tal-gżejjer tal-Karibew biex ikun ikbar u aktar faċli biex jiddefendi mill-pil mill-kontinent. Il-filosfu Franċiż kon"&amp;"temporanju Voltaire irrefera għall-Kanada b’mod qawwi bħala xejn aktar minn ftit acres ta ’borra. Il-Brittaniċi, min-naħa tagħhom, kienu kuntenti li jieħdu Franza ġdida, billi d-difiża tal-kolonji tal-Amerika ta ’Fuq ma tibqax kwistjoni u wkoll minħabba l"&amp;"i diġà kellhom postijiet abbundanti minn fejn jista’ jikseb iz-zokkor. Spanja, li nnegozjat Florida lill-Gran Brittanja biex terġa 'tikseb Kuba, kisbet ukoll Louisiana, inkluż New Orleans, minn Franza bħala kumpens għat-telf tagħha. Il-Gran Brittanja u Sp"&amp;"anja qablu wkoll li n-navigazzjoni fuq ix-Xmara Mississippi kellha tkun miftuħa għal bastimenti tan-nazzjonijiet kollha.")</f>
        <v>Il-gwerra fl-Amerika ta ’Fuq intemmet uffiċjalment bl-iffirmar tat-Trattat ta’ Pariġi fl-10 ta ’Frar 1763, u l-Gwerra fit-Teatru Ewropew tas-Seba’ Snin tal-Gwerra ġiet solvuta bit-Trattat ta ’Hubertusburg fil-15 ta’ Frar 1763. ta 'ċediment jew il-possedimenti kontinentali tagħha ta' l-Amerika ta 'Fuq fil-lvant tal-Mississippi jew il-gżejjer tal-Karibew ta' Guadeloupe u Martinique, li kienu okkupati mill-Ingliżi. Franza għażlet li ċediet l-ewwel, iżda kienet kapaċi tinnegozja ż-żamma ta ’San Pierre u Miquelon, żewġ gżejjer żgħar fil-Golf ta’ San Lawrenz, flimkien mad-drittijiet tas-sajd fiż-żona. Huma jaraw il-valur ekonomiku tal-kannamieli tal-gżejjer tal-Karibew biex ikun ikbar u aktar faċli biex jiddefendi mill-pil mill-kontinent. Il-filosfu Franċiż kontemporanju Voltaire irrefera għall-Kanada b’mod qawwi bħala xejn aktar minn ftit acres ta ’borra. Il-Brittaniċi, min-naħa tagħhom, kienu kuntenti li jieħdu Franza ġdida, billi d-difiża tal-kolonji tal-Amerika ta ’Fuq ma tibqax kwistjoni u wkoll minħabba li diġà kellhom postijiet abbundanti minn fejn jista’ jikseb iz-zokkor. Spanja, li nnegozjat Florida lill-Gran Brittanja biex terġa 'tikseb Kuba, kisbet ukoll Louisiana, inkluż New Orleans, minn Franza bħala kumpens għat-telf tagħha. Il-Gran Brittanja u Spanja qablu wkoll li n-navigazzjoni fuq ix-Xmara Mississippi kellha tkun miftuħa għal bastimenti tan-nazzjonijiet kollha.</v>
      </c>
    </row>
    <row r="3578" ht="15.75" customHeight="1">
      <c r="A3578" s="2" t="s">
        <v>3578</v>
      </c>
      <c r="B3578" s="2" t="str">
        <f>IFERROR(__xludf.DUMMYFUNCTION("GOOGLETRANSLATE(A3578,""en"", ""mt"")"),"X’sar biex tiġi miġġielda l-popolazzjoni żejda ta ’mnemiopsis fil-Baħar l-Iswed?")</f>
        <v>X’sar biex tiġi miġġielda l-popolazzjoni żejda ta ’mnemiopsis fil-Baħar l-Iswed?</v>
      </c>
    </row>
    <row r="3579" ht="15.75" customHeight="1">
      <c r="A3579" s="2" t="s">
        <v>3579</v>
      </c>
      <c r="B3579" s="2" t="str">
        <f>IFERROR(__xludf.DUMMYFUNCTION("GOOGLETRANSLATE(A3579,""en"", ""mt"")"),"biex tissottometti l-kastig preskritt mil-liġi")</f>
        <v>biex tissottometti l-kastig preskritt mil-liġi</v>
      </c>
    </row>
    <row r="3580" ht="15.75" customHeight="1">
      <c r="A3580" s="2" t="s">
        <v>3580</v>
      </c>
      <c r="B3580" s="2" t="str">
        <f>IFERROR(__xludf.DUMMYFUNCTION("GOOGLETRANSLATE(A3580,""en"", ""mt"")"),"X'inhu l-wied alpin glaċjali magħruf bħala?")</f>
        <v>X'inhu l-wied alpin glaċjali magħruf bħala?</v>
      </c>
    </row>
    <row r="3581" ht="15.75" customHeight="1">
      <c r="A3581" s="2" t="s">
        <v>3581</v>
      </c>
      <c r="B3581" s="2" t="str">
        <f>IFERROR(__xludf.DUMMYFUNCTION("GOOGLETRANSLATE(A3581,""en"", ""mt"")"),"Kemm hemm tipi ta 'netwerks x.25 oriġinarjament kien hemm")</f>
        <v>Kemm hemm tipi ta 'netwerks x.25 oriġinarjament kien hemm</v>
      </c>
    </row>
    <row r="3582" ht="15.75" customHeight="1">
      <c r="A3582" s="2" t="s">
        <v>3582</v>
      </c>
      <c r="B3582" s="2" t="str">
        <f>IFERROR(__xludf.DUMMYFUNCTION("GOOGLETRANSLATE(A3582,""en"", ""mt"")"),"Mill-invenzjoni tagħha fl-1269, l-iskrittura 'Phags-Pa, skript unifikat għall-ortografija tal-lingwi Mongoljani, Tibetani u Ċiniżi, ġiet ippreservata fil-qorti sa tmiem id-dinastija. Ħafna mill-imperaturi ma setgħux jaħkmu Ċiniż miktub, iżda ġeneralment j"&amp;"istgħu jitkellmu sew fil-lingwa. Id-drawwa tal-Mongolja ta ’Alleanza ta’ Quda / Żwieġ fit-tul mal-Klann Mongoljani, l-Onggirat, u l-Ikeres, żammew id-demm imperjali purament Mongolja sakemm ir-renju ta ’Tugh Temur, li l-omm tagħha kienet tangut concubine."&amp;" L-imperaturi tal-Mongolja kienu bnew palazzi u pavaljuni kbar, iżda xi wħud xorta baqgħu jgħixu bħala nomadi xi drabi. Madankollu, ftit imperaturi oħra tal-Yuan sponsorjaw attivitajiet kulturali; Eżempju huwa Tugh Temur (Imperatur Wenzong), li kiteb poeż"&amp;"ija, miżbugħa, qara testi klassiċi Ċiniżi, u ordna l-kumpilazzjoni tal-kotba.")</f>
        <v>Mill-invenzjoni tagħha fl-1269, l-iskrittura 'Phags-Pa, skript unifikat għall-ortografija tal-lingwi Mongoljani, Tibetani u Ċiniżi, ġiet ippreservata fil-qorti sa tmiem id-dinastija. Ħafna mill-imperaturi ma setgħux jaħkmu Ċiniż miktub, iżda ġeneralment jistgħu jitkellmu sew fil-lingwa. Id-drawwa tal-Mongolja ta ’Alleanza ta’ Quda / Żwieġ fit-tul mal-Klann Mongoljani, l-Onggirat, u l-Ikeres, żammew id-demm imperjali purament Mongolja sakemm ir-renju ta ’Tugh Temur, li l-omm tagħha kienet tangut concubine. L-imperaturi tal-Mongolja kienu bnew palazzi u pavaljuni kbar, iżda xi wħud xorta baqgħu jgħixu bħala nomadi xi drabi. Madankollu, ftit imperaturi oħra tal-Yuan sponsorjaw attivitajiet kulturali; Eżempju huwa Tugh Temur (Imperatur Wenzong), li kiteb poeżija, miżbugħa, qara testi klassiċi Ċiniżi, u ordna l-kumpilazzjoni tal-kotba.</v>
      </c>
    </row>
    <row r="3583" ht="15.75" customHeight="1">
      <c r="A3583" s="2" t="s">
        <v>3583</v>
      </c>
      <c r="B3583" s="2" t="str">
        <f>IFERROR(__xludf.DUMMYFUNCTION("GOOGLETRANSLATE(A3583,""en"", ""mt"")"),"L-idea ta 'immunità akkwistata fil-vertebrati tax-xedaq hija l-bażi ta' liema trattament mediku?")</f>
        <v>L-idea ta 'immunità akkwistata fil-vertebrati tax-xedaq hija l-bażi ta' liema trattament mediku?</v>
      </c>
    </row>
    <row r="3584" ht="15.75" customHeight="1">
      <c r="A3584" s="2" t="s">
        <v>3584</v>
      </c>
      <c r="B3584" s="2" t="str">
        <f>IFERROR(__xludf.DUMMYFUNCTION("GOOGLETRANSLATE(A3584,""en"", ""mt"")"),"B'mod ġenerali, liema daqs huma t-terremoti li jolqtu n-Nofsinhar ta 'California?")</f>
        <v>B'mod ġenerali, liema daqs huma t-terremoti li jolqtu n-Nofsinhar ta 'California?</v>
      </c>
    </row>
    <row r="3585" ht="15.75" customHeight="1">
      <c r="A3585" s="2" t="s">
        <v>3585</v>
      </c>
      <c r="B3585" s="2" t="str">
        <f>IFERROR(__xludf.DUMMYFUNCTION("GOOGLETRANSLATE(A3585,""en"", ""mt"")"),"William ta 'Montreuil")</f>
        <v>William ta 'Montreuil</v>
      </c>
    </row>
    <row r="3586" ht="15.75" customHeight="1">
      <c r="A3586" s="2" t="s">
        <v>3586</v>
      </c>
      <c r="B3586" s="2" t="str">
        <f>IFERROR(__xludf.DUMMYFUNCTION("GOOGLETRANSLATE(A3586,""en"", ""mt"")"),"l-istess proċeduri bħal għal rapporti ta 'valutazzjoni tal-IPCC")</f>
        <v>l-istess proċeduri bħal għal rapporti ta 'valutazzjoni tal-IPCC</v>
      </c>
    </row>
    <row r="3587" ht="15.75" customHeight="1">
      <c r="A3587" s="2" t="s">
        <v>3587</v>
      </c>
      <c r="B3587" s="2" t="str">
        <f>IFERROR(__xludf.DUMMYFUNCTION("GOOGLETRANSLATE(A3587,""en"", ""mt"")"),"Il-forza dgħajfa hija dovuta għall-iskambju tal-bosons W u Z tqal. L-iktar effett familjari tiegħu huwa t-tħassir beta (ta 'newtroni fin-nuklei atomiċi) u r-radjuattività assoċjata. Il-kelma ""dgħajfa"" ġejja mill-fatt li s-saħħa tal-qasam hija xi 1013 da"&amp;"rbiet inqas minn dik tal-forza qawwija. Xorta, hija iktar b'saħħitha mill-gravità fuq distanzi qosra. Ġiet żviluppata wkoll teorija tal-elettroweak konsistenti, li turi li l-forzi elettromanjetiċi u l-forza dgħajfa ma jistgħux jintgħarfu f'temperaturi li "&amp;"jaqbżu madwar 1015 Kelvins. Temperaturi bħal dawn ġew sondati fl-aċċeleraturi moderni tal-partikuli u juru l-kundizzjonijiet tal-univers fil-mumenti bikrija tal-Big Bang.")</f>
        <v>Il-forza dgħajfa hija dovuta għall-iskambju tal-bosons W u Z tqal. L-iktar effett familjari tiegħu huwa t-tħassir beta (ta 'newtroni fin-nuklei atomiċi) u r-radjuattività assoċjata. Il-kelma "dgħajfa" ġejja mill-fatt li s-saħħa tal-qasam hija xi 1013 darbiet inqas minn dik tal-forza qawwija. Xorta, hija iktar b'saħħitha mill-gravità fuq distanzi qosra. Ġiet żviluppata wkoll teorija tal-elettroweak konsistenti, li turi li l-forzi elettromanjetiċi u l-forza dgħajfa ma jistgħux jintgħarfu f'temperaturi li jaqbżu madwar 1015 Kelvins. Temperaturi bħal dawn ġew sondati fl-aċċeleraturi moderni tal-partikuli u juru l-kundizzjonijiet tal-univers fil-mumenti bikrija tal-Big Bang.</v>
      </c>
    </row>
    <row r="3588" ht="15.75" customHeight="1">
      <c r="A3588" s="2" t="s">
        <v>3588</v>
      </c>
      <c r="B3588" s="2" t="str">
        <f>IFERROR(__xludf.DUMMYFUNCTION("GOOGLETRANSLATE(A3588,""en"", ""mt"")"),"Għandu jinħareġ għal skop mediku leġittimu minn prattikant liċenzjat li jaġixxi matul ir-relazzjoni leġittima ta 'tabib-pazjent")</f>
        <v>Għandu jinħareġ għal skop mediku leġittimu minn prattikant liċenzjat li jaġixxi matul ir-relazzjoni leġittima ta 'tabib-pazjent</v>
      </c>
    </row>
    <row r="3589" ht="15.75" customHeight="1">
      <c r="A3589" s="2" t="s">
        <v>3589</v>
      </c>
      <c r="B3589" s="2" t="str">
        <f>IFERROR(__xludf.DUMMYFUNCTION("GOOGLETRANSLATE(A3589,""en"", ""mt"")"),"Irbaħ il-ħelsien u evita l-ħabs")</f>
        <v>Irbaħ il-ħelsien u evita l-ħabs</v>
      </c>
    </row>
    <row r="3590" ht="15.75" customHeight="1">
      <c r="A3590" s="2" t="s">
        <v>3590</v>
      </c>
      <c r="B3590" s="2" t="str">
        <f>IFERROR(__xludf.DUMMYFUNCTION("GOOGLETRANSLATE(A3590,""en"", ""mt"")"),"Li ssaltan fuq l-Imperu Ottoman meta kien l-iktar qawwi tiegħu.")</f>
        <v>Li ssaltan fuq l-Imperu Ottoman meta kien l-iktar qawwi tiegħu.</v>
      </c>
    </row>
    <row r="3591" ht="15.75" customHeight="1">
      <c r="A3591" s="2" t="s">
        <v>3591</v>
      </c>
      <c r="B3591" s="2" t="str">
        <f>IFERROR(__xludf.DUMMYFUNCTION("GOOGLETRANSLATE(A3591,""en"", ""mt"")"),"1568–1609")</f>
        <v>1568–1609</v>
      </c>
    </row>
    <row r="3592" ht="15.75" customHeight="1">
      <c r="A3592" s="2" t="s">
        <v>3592</v>
      </c>
      <c r="B3592" s="2" t="str">
        <f>IFERROR(__xludf.DUMMYFUNCTION("GOOGLETRANSLATE(A3592,""en"", ""mt"")"),"Is-suċċess ta 'kwalunkwe patoġen jiddependi fuq il-kapaċità tiegħu li jeħles ir-risponsi immuni ospitanti. Għalhekk, il-patoġeni evolvew diversi metodi li jippermettulhom jinfettaw b'suċċess lil host, filwaqt li jevadu d-detezzjoni jew il-qerda mis-sistem"&amp;"a immunitarja. Il-batterji ħafna drabi jegħlbu l-ostakli fiżiċi billi jneħħu enzimi li jiddiġerixxu l-barriera, pereżempju, billi jużaw sistema ta 'sekrezzjoni tat-tip II. Alternattivament, bl-użu ta 'sistema ta' sekrezzjoni tat-tip III, huma jistgħu jdaħ"&amp;"ħlu tubu vojt fiċ-ċellula ospitanti, u jipprovdu rotta diretta għall-proteini biex jimxu mill-patoġen għall-ospitanti. Dawn il-proteini ħafna drabi jintużaw biex jagħlqu d-difiżi ospitanti.")</f>
        <v>Is-suċċess ta 'kwalunkwe patoġen jiddependi fuq il-kapaċità tiegħu li jeħles ir-risponsi immuni ospitanti. Għalhekk, il-patoġeni evolvew diversi metodi li jippermettulhom jinfettaw b'suċċess lil host, filwaqt li jevadu d-detezzjoni jew il-qerda mis-sistema immunitarja. Il-batterji ħafna drabi jegħlbu l-ostakli fiżiċi billi jneħħu enzimi li jiddiġerixxu l-barriera, pereżempju, billi jużaw sistema ta 'sekrezzjoni tat-tip II. Alternattivament, bl-użu ta 'sistema ta' sekrezzjoni tat-tip III, huma jistgħu jdaħħlu tubu vojt fiċ-ċellula ospitanti, u jipprovdu rotta diretta għall-proteini biex jimxu mill-patoġen għall-ospitanti. Dawn il-proteini ħafna drabi jintużaw biex jagħlqu d-difiżi ospitanti.</v>
      </c>
    </row>
    <row r="3593" ht="15.75" customHeight="1">
      <c r="A3593" s="2" t="s">
        <v>3593</v>
      </c>
      <c r="B3593" s="2" t="str">
        <f>IFERROR(__xludf.DUMMYFUNCTION("GOOGLETRANSLATE(A3593,""en"", ""mt"")"),"Ctenophores jiffurmaw phylum ta 'annimali li huwa iktar kumpless minn sponoż, madwar kumpless daqs cnidarians (bram, anemoni tal-baħar, eċċ.), U inqas kumplessi minn bilaterjani (li jinkludu kważi l-annimali l-oħra kollha). B'differenza mill-isponoż, kemm"&amp;" ctenophores kif ukoll cnidarians għandhom: ċelloli marbuta permezz ta 'konnessjonijiet bejn iċ-ċelloli u membrani tal-kantina simili għat-twapet; muskoli; sistemi nervużi; U xi wħud għandhom organi sensorji. Ctenophores huma distinti mill-annimali l-oħra"&amp;" kollha billi għandhom kolloblasti, li huma twaħħal u jaderixxu mal-priża, għalkemm ftit speċi ta 'ctenophore m'għandhomxhom.")</f>
        <v>Ctenophores jiffurmaw phylum ta 'annimali li huwa iktar kumpless minn sponoż, madwar kumpless daqs cnidarians (bram, anemoni tal-baħar, eċċ.), U inqas kumplessi minn bilaterjani (li jinkludu kważi l-annimali l-oħra kollha). B'differenza mill-isponoż, kemm ctenophores kif ukoll cnidarians għandhom: ċelloli marbuta permezz ta 'konnessjonijiet bejn iċ-ċelloli u membrani tal-kantina simili għat-twapet; muskoli; sistemi nervużi; U xi wħud għandhom organi sensorji. Ctenophores huma distinti mill-annimali l-oħra kollha billi għandhom kolloblasti, li huma twaħħal u jaderixxu mal-priża, għalkemm ftit speċi ta 'ctenophore m'għandhomxhom.</v>
      </c>
    </row>
    <row r="3594" ht="15.75" customHeight="1">
      <c r="A3594" s="2" t="s">
        <v>3594</v>
      </c>
      <c r="B3594" s="2" t="str">
        <f>IFERROR(__xludf.DUMMYFUNCTION("GOOGLETRANSLATE(A3594,""en"", ""mt"")"),"jittrattaw il-preskrizzjonijiet tal-pazjenti u l-problemi ta 'sigurtà tal-pazjent")</f>
        <v>jittrattaw il-preskrizzjonijiet tal-pazjenti u l-problemi ta 'sigurtà tal-pazjent</v>
      </c>
    </row>
    <row r="3595" ht="15.75" customHeight="1">
      <c r="A3595" s="2" t="s">
        <v>3595</v>
      </c>
      <c r="B3595" s="2" t="str">
        <f>IFERROR(__xludf.DUMMYFUNCTION("GOOGLETRANSLATE(A3595,""en"", ""mt"")"),"Dawn l-istudji ġew ippreżentati b'mod wiesa 'bħala li juru li l-perjodu ta' tisħin attwali huwa eċċezzjonali meta mqabbel ma 'temperaturi bejn 1000 u 1900, u l-graff ibbażat fuq MBH99 jidher fil-pubbliċità. Anke fl-abbozz tal-palk, din is-sejba ġiet ikkon"&amp;"testata mill-kontrarji: f'Mejju 2000 il-Proġett tal-Politika tax-Xjenza u l-Ambjent ta 'Fred Singer kellu avveniment għall-istampa fuq Capitol Hill, Washington, D.C., li fih kummenti dwar il-graff Wibjörn Karlén u Singer argumentaw kontra l-graff Kumitat "&amp;"tas-Senat tal-Istati Uniti dwar is-Smigħ tal-Kummerċ, ix-Xjenza u t-Trasport fit-18 ta 'Lulju 2000. Il-Kontrarju John Lawrence Daly deher verżjoni modifikata tal-IPCC 1990, li huwa identifika ħażin bħala li jidher fir-rapport tal-IPCC 1995, u argumenta li"&amp;" ""qalbu tiegħu Veduta preċedenti fir-rapport tal-1995, l-IPCC ippreżenta l- ""hockey stick"" bħala l-ortodossija l-ġdida li ma tantx tkun apoloġija jew spjegazzjoni għall-U-turn f'daqqa mir-rapport tal-1995 tiegħu "". Il-kritika tar-rikostruzzjoni MBH99 "&amp;"f'karta ta 'reviżjoni, li ġiet skreditata malajr fil-kontroversja dalwaqt u ta' Baliunas, inqabdet mill-amministrazzjoni ta 'Bush, u diskors tas-Senat mis-Senatur Repubblikan Amerikan James Inhofe allega li ""t-tisħin globali magħmul mill-bniedem huwa l-a"&amp;"kbar ingann li qatt kien hemm imwettqa fuq il-poplu Amerikan "". Id-dejta u l-metodoloġija użata biex tipproduċi l- ""Hockey Stick Graph"" ġiet ikkritikata f'karti minn Stephen McIntyre u Ross McKitrick, u mbagħad il-kritika f'dawn il-karti ġew eżaminati "&amp;"minn studji oħra u rifjutati b'mod komprensiv minn Wahl &amp; Ammann 2007, li wrew żbalji fi Il-metodi użati minn McIntyre u McKitrick.")</f>
        <v>Dawn l-istudji ġew ippreżentati b'mod wiesa 'bħala li juru li l-perjodu ta' tisħin attwali huwa eċċezzjonali meta mqabbel ma 'temperaturi bejn 1000 u 1900, u l-graff ibbażat fuq MBH99 jidher fil-pubbliċità. Anke fl-abbozz tal-palk, din is-sejba ġiet ikkontestata mill-kontrarji: f'Mejju 2000 il-Proġett tal-Politika tax-Xjenza u l-Ambjent ta 'Fred Singer kellu avveniment għall-istampa fuq Capitol Hill, Washington, D.C., li fih kummenti dwar il-graff Wibjörn Karlén u Singer argumentaw kontra l-graff Kumitat tas-Senat tal-Istati Uniti dwar is-Smigħ tal-Kummerċ, ix-Xjenza u t-Trasport fit-18 ta 'Lulju 2000. Il-Kontrarju John Lawrence Daly deher verżjoni modifikata tal-IPCC 1990, li huwa identifika ħażin bħala li jidher fir-rapport tal-IPCC 1995, u argumenta li "qalbu tiegħu Veduta preċedenti fir-rapport tal-1995, l-IPCC ippreżenta l- "hockey stick" bħala l-ortodossija l-ġdida li ma tantx tkun apoloġija jew spjegazzjoni għall-U-turn f'daqqa mir-rapport tal-1995 tiegħu ". Il-kritika tar-rikostruzzjoni MBH99 f'karta ta 'reviżjoni, li ġiet skreditata malajr fil-kontroversja dalwaqt u ta' Baliunas, inqabdet mill-amministrazzjoni ta 'Bush, u diskors tas-Senat mis-Senatur Repubblikan Amerikan James Inhofe allega li "t-tisħin globali magħmul mill-bniedem huwa l-akbar ingann li qatt kien hemm imwettqa fuq il-poplu Amerikan ". Id-dejta u l-metodoloġija użata biex tipproduċi l- "Hockey Stick Graph" ġiet ikkritikata f'karti minn Stephen McIntyre u Ross McKitrick, u mbagħad il-kritika f'dawn il-karti ġew eżaminati minn studji oħra u rifjutati b'mod komprensiv minn Wahl &amp; Ammann 2007, li wrew żbalji fi Il-metodi użati minn McIntyre u McKitrick.</v>
      </c>
    </row>
    <row r="3596" ht="15.75" customHeight="1">
      <c r="A3596" s="2" t="s">
        <v>3596</v>
      </c>
      <c r="B3596" s="2" t="str">
        <f>IFERROR(__xludf.DUMMYFUNCTION("GOOGLETRANSLATE(A3596,""en"", ""mt"")"),"Dak li ġie żviluppat għall-Air Force")</f>
        <v>Dak li ġie żviluppat għall-Air Force</v>
      </c>
    </row>
    <row r="3597" ht="15.75" customHeight="1">
      <c r="A3597" s="2" t="s">
        <v>3597</v>
      </c>
      <c r="B3597" s="2" t="str">
        <f>IFERROR(__xludf.DUMMYFUNCTION("GOOGLETRANSLATE(A3597,""en"", ""mt"")"),"Liema teorema kienet implikata mill-assiomi ta 'Manuel Blum?")</f>
        <v>Liema teorema kienet implikata mill-assiomi ta 'Manuel Blum?</v>
      </c>
    </row>
    <row r="3598" ht="15.75" customHeight="1">
      <c r="A3598" s="2" t="s">
        <v>3598</v>
      </c>
      <c r="B3598" s="2" t="str">
        <f>IFERROR(__xludf.DUMMYFUNCTION("GOOGLETRANSLATE(A3598,""en"", ""mt"")"),"Kif huma eletti l-biċċa l-kbira tal-uffiċjali tal-belt wara s-snin 1960")</f>
        <v>Kif huma eletti l-biċċa l-kbira tal-uffiċjali tal-belt wara s-snin 1960</v>
      </c>
    </row>
    <row r="3599" ht="15.75" customHeight="1">
      <c r="A3599" s="2" t="s">
        <v>3599</v>
      </c>
      <c r="B3599" s="2" t="str">
        <f>IFERROR(__xludf.DUMMYFUNCTION("GOOGLETRANSLATE(A3599,""en"", ""mt"")"),"L-ex kamra tad-dibattitu tal-Kunsill Reġjonali ta 'Strathclyde")</f>
        <v>L-ex kamra tad-dibattitu tal-Kunsill Reġjonali ta 'Strathclyde</v>
      </c>
    </row>
    <row r="3600" ht="15.75" customHeight="1">
      <c r="A3600" s="2" t="s">
        <v>3600</v>
      </c>
      <c r="B3600" s="2" t="str">
        <f>IFERROR(__xludf.DUMMYFUNCTION("GOOGLETRANSLATE(A3600,""en"", ""mt"")"),"Li tipprova li xi waħda minn dawn il-klassijiet mhix ugwali")</f>
        <v>Li tipprova li xi waħda minn dawn il-klassijiet mhix ugwali</v>
      </c>
    </row>
    <row r="3601" ht="15.75" customHeight="1">
      <c r="A3601" s="2" t="s">
        <v>3601</v>
      </c>
      <c r="B3601" s="2" t="str">
        <f>IFERROR(__xludf.DUMMYFUNCTION("GOOGLETRANSLATE(A3601,""en"", ""mt"")"),"Ipproduċi kurrenti tal-ilma li jgħinu priża mikroskopika diretta lejn il-ħalq")</f>
        <v>Ipproduċi kurrenti tal-ilma li jgħinu priża mikroskopika diretta lejn il-ħalq</v>
      </c>
    </row>
    <row r="3602" ht="15.75" customHeight="1">
      <c r="A3602" s="2" t="s">
        <v>3602</v>
      </c>
      <c r="B3602" s="2" t="str">
        <f>IFERROR(__xludf.DUMMYFUNCTION("GOOGLETRANSLATE(A3602,""en"", ""mt"")"),"It-Trattat ta ’Lisbona")</f>
        <v>It-Trattat ta ’Lisbona</v>
      </c>
    </row>
    <row r="3603" ht="15.75" customHeight="1">
      <c r="A3603" s="2" t="s">
        <v>3603</v>
      </c>
      <c r="B3603" s="2" t="str">
        <f>IFERROR(__xludf.DUMMYFUNCTION("GOOGLETRANSLATE(A3603,""en"", ""mt"")"),"Is-silta ta 'liema att ta lil Victoria l-gvern tiegħu stess?")</f>
        <v>Is-silta ta 'liema att ta lil Victoria l-gvern tiegħu stess?</v>
      </c>
    </row>
    <row r="3604" ht="15.75" customHeight="1">
      <c r="A3604" s="2" t="s">
        <v>3604</v>
      </c>
      <c r="B3604" s="2" t="str">
        <f>IFERROR(__xludf.DUMMYFUNCTION("GOOGLETRANSLATE(A3604,""en"", ""mt"")"),"L-iżvilupp tal-bajd fertilizzat huwa dirett, fi kliem ieħor m'hemm l-ebda forma ta 'larva distintiva, u l-minorenni tal-gruppi kollha ġeneralment jixbhu lill-adulti taċ-ċidippidi żgħar. Fil-ġeneru Beroe, il-minorenni, bħall-adulti, m'għandhomx tentakli u "&amp;"għant tat-tentaklu. Fil-biċċa l-kbira tal-ispeċi l-minorenni jiżviluppaw gradwalment il-forom tal-ġisem tal-ġenituri tagħhom. F’xi gruppi, bħalma huma l-platyctenids ċatti u fil-qiegħ, il-minorenni jġibu ruħhom aktar bħal larva vera, hekk kif jgħixu fost "&amp;"il-plankton u b’hekk jokkupaw niċċa ekoloġika differenti mill-ġenituri tagħhom u jilħqu l-forma adulta minn metamorfosi aktar radikali, wara Waqqa 'lejn il-qiegħ tal-baħar.")</f>
        <v>L-iżvilupp tal-bajd fertilizzat huwa dirett, fi kliem ieħor m'hemm l-ebda forma ta 'larva distintiva, u l-minorenni tal-gruppi kollha ġeneralment jixbhu lill-adulti taċ-ċidippidi żgħar. Fil-ġeneru Beroe, il-minorenni, bħall-adulti, m'għandhomx tentakli u għant tat-tentaklu. Fil-biċċa l-kbira tal-ispeċi l-minorenni jiżviluppaw gradwalment il-forom tal-ġisem tal-ġenituri tagħhom. F’xi gruppi, bħalma huma l-platyctenids ċatti u fil-qiegħ, il-minorenni jġibu ruħhom aktar bħal larva vera, hekk kif jgħixu fost il-plankton u b’hekk jokkupaw niċċa ekoloġika differenti mill-ġenituri tagħhom u jilħqu l-forma adulta minn metamorfosi aktar radikali, wara Waqqa 'lejn il-qiegħ tal-baħar.</v>
      </c>
    </row>
    <row r="3605" ht="15.75" customHeight="1">
      <c r="A3605" s="2" t="s">
        <v>3605</v>
      </c>
      <c r="B3605" s="2" t="str">
        <f>IFERROR(__xludf.DUMMYFUNCTION("GOOGLETRANSLATE(A3605,""en"", ""mt"")"),"Storja mqallba tal-belt u pajjiż")</f>
        <v>Storja mqallba tal-belt u pajjiż</v>
      </c>
    </row>
    <row r="3606" ht="15.75" customHeight="1">
      <c r="A3606" s="2" t="s">
        <v>3606</v>
      </c>
      <c r="B3606" s="2" t="str">
        <f>IFERROR(__xludf.DUMMYFUNCTION("GOOGLETRANSLATE(A3606,""en"", ""mt"")"),"X'distrett ta 'negozju ieħor jagħmel il-Kontea ta' Orange barra mill-belt ta 'Santa Ana u ċ-Ċentru ta' Newport?")</f>
        <v>X'distrett ta 'negozju ieħor jagħmel il-Kontea ta' Orange barra mill-belt ta 'Santa Ana u ċ-Ċentru ta' Newport?</v>
      </c>
    </row>
    <row r="3607" ht="15.75" customHeight="1">
      <c r="A3607" s="2" t="s">
        <v>3607</v>
      </c>
      <c r="B3607" s="2" t="str">
        <f>IFERROR(__xludf.DUMMYFUNCTION("GOOGLETRANSLATE(A3607,""en"", ""mt"")"),"Wara l-ftuħ mill-ġdid tagħha, liema tipi ta 'films juru t-Tower Theatre?")</f>
        <v>Wara l-ftuħ mill-ġdid tagħha, liema tipi ta 'films juru t-Tower Theatre?</v>
      </c>
    </row>
    <row r="3608" ht="15.75" customHeight="1">
      <c r="A3608" s="2" t="s">
        <v>3608</v>
      </c>
      <c r="B3608" s="2" t="str">
        <f>IFERROR(__xludf.DUMMYFUNCTION("GOOGLETRANSLATE(A3608,""en"", ""mt"")"),"William III ta 'Orange")</f>
        <v>William III ta 'Orange</v>
      </c>
    </row>
    <row r="3609" ht="15.75" customHeight="1">
      <c r="A3609" s="2" t="s">
        <v>3609</v>
      </c>
      <c r="B3609" s="2" t="str">
        <f>IFERROR(__xludf.DUMMYFUNCTION("GOOGLETRANSLATE(A3609,""en"", ""mt"")"),"Il-kuntatti estensivi tal-Asja u Ewropej tal-Mongoli tal-Mongoli")</f>
        <v>Il-kuntatti estensivi tal-Asja u Ewropej tal-Mongoli tal-Mongoli</v>
      </c>
    </row>
    <row r="3610" ht="15.75" customHeight="1">
      <c r="A3610" s="2" t="s">
        <v>3610</v>
      </c>
      <c r="B3610" s="2" t="str">
        <f>IFERROR(__xludf.DUMMYFUNCTION("GOOGLETRANSLATE(A3610,""en"", ""mt"")"),"Suite proprjetarja ta 'protokolli ta' netwerking żviluppati minn Apple Inc")</f>
        <v>Suite proprjetarja ta 'protokolli ta' netwerking żviluppati minn Apple Inc</v>
      </c>
    </row>
    <row r="3611" ht="15.75" customHeight="1">
      <c r="A3611" s="2" t="s">
        <v>3611</v>
      </c>
      <c r="B3611" s="2" t="str">
        <f>IFERROR(__xludf.DUMMYFUNCTION("GOOGLETRANSLATE(A3611,""en"", ""mt"")"),"Battalja Navali tar-Restigouche")</f>
        <v>Battalja Navali tar-Restigouche</v>
      </c>
    </row>
    <row r="3612" ht="15.75" customHeight="1">
      <c r="A3612" s="2" t="s">
        <v>3612</v>
      </c>
      <c r="B3612" s="2" t="str">
        <f>IFERROR(__xludf.DUMMYFUNCTION("GOOGLETRANSLATE(A3612,""en"", ""mt"")"),"iġibu l-ħruġ tagħhom fuq il-mejda")</f>
        <v>iġibu l-ħruġ tagħhom fuq il-mejda</v>
      </c>
    </row>
    <row r="3613" ht="15.75" customHeight="1">
      <c r="A3613" s="2" t="s">
        <v>3613</v>
      </c>
      <c r="B3613" s="2" t="str">
        <f>IFERROR(__xludf.DUMMYFUNCTION("GOOGLETRANSLATE(A3613,""en"", ""mt"")"),"Porzjon żgħir tal-popolazzjoni jgħix dħul mill-proprjetà mhux mistħoqq")</f>
        <v>Porzjon żgħir tal-popolazzjoni jgħix dħul mill-proprjetà mhux mistħoqq</v>
      </c>
    </row>
    <row r="3614" ht="15.75" customHeight="1">
      <c r="A3614" s="2" t="s">
        <v>3614</v>
      </c>
      <c r="B3614" s="2" t="str">
        <f>IFERROR(__xludf.DUMMYFUNCTION("GOOGLETRANSLATE(A3614,""en"", ""mt"")"),"Thomas Reid u Dugald Stewart")</f>
        <v>Thomas Reid u Dugald Stewart</v>
      </c>
    </row>
    <row r="3615" ht="15.75" customHeight="1">
      <c r="A3615" s="2" t="s">
        <v>3615</v>
      </c>
      <c r="B3615" s="2" t="str">
        <f>IFERROR(__xludf.DUMMYFUNCTION("GOOGLETRANSLATE(A3615,""en"", ""mt"")"),"poteri li huma ""riservati"" lill-parlament tar-Renju Unit")</f>
        <v>poteri li huma "riservati" lill-parlament tar-Renju Unit</v>
      </c>
    </row>
    <row r="3616" ht="15.75" customHeight="1">
      <c r="A3616" s="2" t="s">
        <v>3616</v>
      </c>
      <c r="B3616" s="2" t="str">
        <f>IFERROR(__xludf.DUMMYFUNCTION("GOOGLETRANSLATE(A3616,""en"", ""mt"")"),"Il-forzi kollha fl-univers huma bbażati fuq erba 'interazzjonijiet fundamentali. Il-forzi b'saħħithom u dgħajfa huma forzi nukleari li jaġixxu biss fuq distanzi qosra ħafna, u huma responsabbli għall-interazzjonijiet bejn partiċelli subatomiċi, inklużi nu"&amp;"kleoni u nuklei komposti. Il-forza elettromanjetika taġixxi bejn il-piżijiet elettriċi, u l-forza gravitazzjonali taġixxi bejn il-mases. Il-forzi l-oħra kollha fin-natura joħorġu minn dawn l-erba 'interazzjonijiet fundamentali. Pereżempju, il-frizzjoni hi"&amp;"ja manifestazzjoni tal-forza elettromanjetika li taġixxi bejn l-atomi ta 'żewġ uċuħ, u l-prinċipju ta' esklużjoni ta 'Pauli, li ma jippermettix li l-atomi jgħaddu minn xulxin. Bl-istess mod, il-forzi fil-molol, immudellati mil-liġi ta 'Hooke, huma r-riżul"&amp;"tat tal-forzi elettromanjetiċi u l-prinċipju ta' esklużjoni li jaġixxu flimkien biex jirritornaw oġġett għall-pożizzjoni ta 'ekwilibriju tiegħu. Il-forzi ċentrifugali huma forzi ta 'aċċellerazzjoni li jinqalgħu sempliċement mill-aċċellerazzjoni ta' frejms"&amp;" li jduru ta 'referenza.: 12-11:359")</f>
        <v>Il-forzi kollha fl-univers huma bbażati fuq erba 'interazzjonijiet fundamentali. Il-forzi b'saħħithom u dgħajfa huma forzi nukleari li jaġixxu biss fuq distanzi qosra ħafna, u huma responsabbli għall-interazzjonijiet bejn partiċelli subatomiċi, inklużi nukleoni u nuklei komposti. Il-forza elettromanjetika taġixxi bejn il-piżijiet elettriċi, u l-forza gravitazzjonali taġixxi bejn il-mases. Il-forzi l-oħra kollha fin-natura joħorġu minn dawn l-erba 'interazzjonijiet fundamentali. Pereżempju, il-frizzjoni hija manifestazzjoni tal-forza elettromanjetika li taġixxi bejn l-atomi ta 'żewġ uċuħ, u l-prinċipju ta' esklużjoni ta 'Pauli, li ma jippermettix li l-atomi jgħaddu minn xulxin. Bl-istess mod, il-forzi fil-molol, immudellati mil-liġi ta 'Hooke, huma r-riżultat tal-forzi elettromanjetiċi u l-prinċipju ta' esklużjoni li jaġixxu flimkien biex jirritornaw oġġett għall-pożizzjoni ta 'ekwilibriju tiegħu. Il-forzi ċentrifugali huma forzi ta 'aċċellerazzjoni li jinqalgħu sempliċement mill-aċċellerazzjoni ta' frejms li jduru ta 'referenza.: 12-11:359</v>
      </c>
    </row>
    <row r="3617" ht="15.75" customHeight="1">
      <c r="A3617" s="2" t="s">
        <v>3617</v>
      </c>
      <c r="B3617" s="2" t="str">
        <f>IFERROR(__xludf.DUMMYFUNCTION("GOOGLETRANSLATE(A3617,""en"", ""mt"")"),"X’għandu jonqos il-kolonjaliżmu dak l-imperjalizmu?")</f>
        <v>X’għandu jonqos il-kolonjaliżmu dak l-imperjalizmu?</v>
      </c>
    </row>
    <row r="3618" ht="15.75" customHeight="1">
      <c r="A3618" s="2" t="s">
        <v>3618</v>
      </c>
      <c r="B3618" s="2" t="str">
        <f>IFERROR(__xludf.DUMMYFUNCTION("GOOGLETRANSLATE(A3618,""en"", ""mt"")"),"Il-komunità tal-Internet2, fi sħubija ma 'QWest")</f>
        <v>Il-komunità tal-Internet2, fi sħubija ma 'QWest</v>
      </c>
    </row>
    <row r="3619" ht="15.75" customHeight="1">
      <c r="A3619" s="2" t="s">
        <v>3619</v>
      </c>
      <c r="B3619" s="2" t="str">
        <f>IFERROR(__xludf.DUMMYFUNCTION("GOOGLETRANSLATE(A3619,""en"", ""mt"")"),"Liema kwistjoni kienet qed ibati l-moviment tad-diżubbidjenza ċivili.")</f>
        <v>Liema kwistjoni kienet qed ibati l-moviment tad-diżubbidjenza ċivili.</v>
      </c>
    </row>
    <row r="3620" ht="15.75" customHeight="1">
      <c r="A3620" s="2" t="s">
        <v>3620</v>
      </c>
      <c r="B3620" s="2" t="str">
        <f>IFERROR(__xludf.DUMMYFUNCTION("GOOGLETRANSLATE(A3620,""en"", ""mt"")"),"Sostituzzjoni ta 'tagħmir kapitali għax-xogħol")</f>
        <v>Sostituzzjoni ta 'tagħmir kapitali għax-xogħol</v>
      </c>
    </row>
    <row r="3621" ht="15.75" customHeight="1">
      <c r="A3621" s="2" t="s">
        <v>3621</v>
      </c>
      <c r="B3621" s="2" t="str">
        <f>IFERROR(__xludf.DUMMYFUNCTION("GOOGLETRANSLATE(A3621,""en"", ""mt"")"),"L-ebda ħin tal-ħabs")</f>
        <v>L-ebda ħin tal-ħabs</v>
      </c>
    </row>
    <row r="3622" ht="15.75" customHeight="1">
      <c r="A3622" s="2" t="s">
        <v>3622</v>
      </c>
      <c r="B3622" s="2" t="str">
        <f>IFERROR(__xludf.DUMMYFUNCTION("GOOGLETRANSLATE(A3622,""en"", ""mt"")"),"X'inhuma l-peptidi antimikrobiċi li huma l-forma ewlenija ta 'immunità sistemika invertebrati?")</f>
        <v>X'inhuma l-peptidi antimikrobiċi li huma l-forma ewlenija ta 'immunità sistemika invertebrati?</v>
      </c>
    </row>
    <row r="3623" ht="15.75" customHeight="1">
      <c r="A3623" s="2" t="s">
        <v>3623</v>
      </c>
      <c r="B3623" s="2" t="str">
        <f>IFERROR(__xludf.DUMMYFUNCTION("GOOGLETRANSLATE(A3623,""en"", ""mt"")"),"Kif jista 'xi għoqda tkun indikata b'mod distint?")</f>
        <v>Kif jista 'xi għoqda tkun indikata b'mod distint?</v>
      </c>
    </row>
    <row r="3624" ht="15.75" customHeight="1">
      <c r="A3624" s="2" t="s">
        <v>3624</v>
      </c>
      <c r="B3624" s="2" t="str">
        <f>IFERROR(__xludf.DUMMYFUNCTION("GOOGLETRANSLATE(A3624,""en"", ""mt"")"),"Għal xiex qed jiġi kkumpensat triq waħda billi l-kumitati jservu rwol daqshekk kbir?")</f>
        <v>Għal xiex qed jiġi kkumpensat triq waħda billi l-kumitati jservu rwol daqshekk kbir?</v>
      </c>
    </row>
    <row r="3625" ht="15.75" customHeight="1">
      <c r="A3625" s="2" t="s">
        <v>3625</v>
      </c>
      <c r="B3625" s="2" t="str">
        <f>IFERROR(__xludf.DUMMYFUNCTION("GOOGLETRANSLATE(A3625,""en"", ""mt"")"),"L-imperjalizmu u l-kolonjaliżmu t-tnejn jaffermaw dominanza ta 'stati fuq xiex?")</f>
        <v>L-imperjalizmu u l-kolonjaliżmu t-tnejn jaffermaw dominanza ta 'stati fuq xiex?</v>
      </c>
    </row>
    <row r="3626" ht="15.75" customHeight="1">
      <c r="A3626" s="2" t="s">
        <v>3626</v>
      </c>
      <c r="B3626" s="2" t="str">
        <f>IFERROR(__xludf.DUMMYFUNCTION("GOOGLETRANSLATE(A3626,""en"", ""mt"")"),"X'kienu s-snin sentejn regolamenti li kienu f'kunflitt ma 'liġi Taljana li joriġinaw fil-każ spa ta' simmenthal?")</f>
        <v>X'kienu s-snin sentejn regolamenti li kienu f'kunflitt ma 'liġi Taljana li joriġinaw fil-każ spa ta' simmenthal?</v>
      </c>
    </row>
    <row r="3627" ht="15.75" customHeight="1">
      <c r="A3627" s="2" t="s">
        <v>3627</v>
      </c>
      <c r="B3627" s="2" t="str">
        <f>IFERROR(__xludf.DUMMYFUNCTION("GOOGLETRANSLATE(A3627,""en"", ""mt"")"),"Ferrovija tal-Wied ta 'San Joaquin")</f>
        <v>Ferrovija tal-Wied ta 'San Joaquin</v>
      </c>
    </row>
    <row r="3628" ht="15.75" customHeight="1">
      <c r="A3628" s="2" t="s">
        <v>3628</v>
      </c>
      <c r="B3628" s="2" t="str">
        <f>IFERROR(__xludf.DUMMYFUNCTION("GOOGLETRANSLATE(A3628,""en"", ""mt"")"),"X'inhu terminu ieħor użat għas-sena 13?")</f>
        <v>X'inhu terminu ieħor użat għas-sena 13?</v>
      </c>
    </row>
    <row r="3629" ht="15.75" customHeight="1">
      <c r="A3629" s="2" t="s">
        <v>3629</v>
      </c>
      <c r="B3629" s="2" t="str">
        <f>IFERROR(__xludf.DUMMYFUNCTION("GOOGLETRANSLATE(A3629,""en"", ""mt"")"),"Kemm skejjel pubbliċi charter tmexxi l-università?")</f>
        <v>Kemm skejjel pubbliċi charter tmexxi l-università?</v>
      </c>
    </row>
    <row r="3630" ht="15.75" customHeight="1">
      <c r="A3630" s="2" t="s">
        <v>3630</v>
      </c>
      <c r="B3630" s="2" t="str">
        <f>IFERROR(__xludf.DUMMYFUNCTION("GOOGLETRANSLATE(A3630,""en"", ""mt"")"),"Kull membru tal-gvern Skoċċiż")</f>
        <v>Kull membru tal-gvern Skoċċiż</v>
      </c>
    </row>
    <row r="3631" ht="15.75" customHeight="1">
      <c r="A3631" s="2" t="s">
        <v>3631</v>
      </c>
      <c r="B3631" s="2" t="str">
        <f>IFERROR(__xludf.DUMMYFUNCTION("GOOGLETRANSLATE(A3631,""en"", ""mt"")"),"3600 rivoluzzjoni kull minuta")</f>
        <v>3600 rivoluzzjoni kull minuta</v>
      </c>
    </row>
    <row r="3632" ht="15.75" customHeight="1">
      <c r="A3632" s="2" t="s">
        <v>3632</v>
      </c>
      <c r="B3632" s="2" t="str">
        <f>IFERROR(__xludf.DUMMYFUNCTION("GOOGLETRANSLATE(A3632,""en"", ""mt"")"),"Ġwanni Pawlu II")</f>
        <v>Ġwanni Pawlu II</v>
      </c>
    </row>
    <row r="3633" ht="15.75" customHeight="1">
      <c r="A3633" s="2" t="s">
        <v>3633</v>
      </c>
      <c r="B3633" s="2" t="str">
        <f>IFERROR(__xludf.DUMMYFUNCTION("GOOGLETRANSLATE(A3633,""en"", ""mt"")"),"Mill-Italja, il-marda nfirxet lejn il-majjistral madwar l-Ewropa, li tolqot Franza, Spanja, il-Portugall u l-Ingilterra sa Ġunju 1348, imbagħad inbidlet u nfirxet lejn il-Lvant mill-Ġermanja u l-Iskandinavja mill-1348 sal-1350. Ġie introdott fin-Norveġja "&amp;"fl-1349 meta vapur żbarka f'Askøy, Imbagħad infirex għal Bjørgvin (modern Bergen) u l-Islanda. Fl-aħħarnett infirex lejn il-majjistral tar-Russja fl-1351. Il-pesta kienet kemmxejn inqas komuni f'partijiet tal-Ewropa li kellhom relazzjonijiet kummerċjali i"&amp;"żgħar mal-ġirien tagħhom, inkluż ir-Renju tal-Polonja, il-maġġoranza tal-pajjiż Bask, partijiet iżolati tal-Belġju u l-Olanda, u Irħula alpini iżolati madwar il-kontinent.")</f>
        <v>Mill-Italja, il-marda nfirxet lejn il-majjistral madwar l-Ewropa, li tolqot Franza, Spanja, il-Portugall u l-Ingilterra sa Ġunju 1348, imbagħad inbidlet u nfirxet lejn il-Lvant mill-Ġermanja u l-Iskandinavja mill-1348 sal-1350. Ġie introdott fin-Norveġja fl-1349 meta vapur żbarka f'Askøy, Imbagħad infirex għal Bjørgvin (modern Bergen) u l-Islanda. Fl-aħħarnett infirex lejn il-majjistral tar-Russja fl-1351. Il-pesta kienet kemmxejn inqas komuni f'partijiet tal-Ewropa li kellhom relazzjonijiet kummerċjali iżgħar mal-ġirien tagħhom, inkluż ir-Renju tal-Polonja, il-maġġoranza tal-pajjiż Bask, partijiet iżolati tal-Belġju u l-Olanda, u Irħula alpini iżolati madwar il-kontinent.</v>
      </c>
    </row>
    <row r="3634" ht="15.75" customHeight="1">
      <c r="A3634" s="2" t="s">
        <v>3634</v>
      </c>
      <c r="B3634" s="2" t="str">
        <f>IFERROR(__xludf.DUMMYFUNCTION("GOOGLETRANSLATE(A3634,""en"", ""mt"")"),"Migrazzjoni Interna u Urbanizzazzjoni")</f>
        <v>Migrazzjoni Interna u Urbanizzazzjoni</v>
      </c>
    </row>
    <row r="3635" ht="15.75" customHeight="1">
      <c r="A3635" s="2" t="s">
        <v>3635</v>
      </c>
      <c r="B3635" s="2" t="str">
        <f>IFERROR(__xludf.DUMMYFUNCTION("GOOGLETRANSLATE(A3635,""en"", ""mt"")"),"Liema kundanna motivat lil Eliot biex jersaq lejn sekularizzazzjoni?")</f>
        <v>Liema kundanna motivat lil Eliot biex jersaq lejn sekularizzazzjoni?</v>
      </c>
    </row>
    <row r="3636" ht="15.75" customHeight="1">
      <c r="A3636" s="2" t="s">
        <v>3636</v>
      </c>
      <c r="B3636" s="2" t="str">
        <f>IFERROR(__xludf.DUMMYFUNCTION("GOOGLETRANSLATE(A3636,""en"", ""mt"")"),"Iż-żewġ naħat jirtiraw mill-grawnd")</f>
        <v>Iż-żewġ naħat jirtiraw mill-grawnd</v>
      </c>
    </row>
    <row r="3637" ht="15.75" customHeight="1">
      <c r="A3637" s="2" t="s">
        <v>3637</v>
      </c>
      <c r="B3637" s="2" t="str">
        <f>IFERROR(__xludf.DUMMYFUNCTION("GOOGLETRANSLATE(A3637,""en"", ""mt"")"),"Iżlamiżmu")</f>
        <v>Iżlamiżmu</v>
      </c>
    </row>
    <row r="3638" ht="15.75" customHeight="1">
      <c r="A3638" s="2" t="s">
        <v>3638</v>
      </c>
      <c r="B3638" s="2" t="str">
        <f>IFERROR(__xludf.DUMMYFUNCTION("GOOGLETRANSLATE(A3638,""en"", ""mt"")"),"X'inhuma ismijiet alternattivi oħra għall-Gwerra Franċiża u Indjana?")</f>
        <v>X'inhuma ismijiet alternattivi oħra għall-Gwerra Franċiża u Indjana?</v>
      </c>
    </row>
    <row r="3639" ht="15.75" customHeight="1">
      <c r="A3639" s="2" t="s">
        <v>3639</v>
      </c>
      <c r="B3639" s="2" t="str">
        <f>IFERROR(__xludf.DUMMYFUNCTION("GOOGLETRANSLATE(A3639,""en"", ""mt"")"),"X'jimporta li fil-fatt ikollha li l-mekkanika Newtonjana ma tindirizzax?")</f>
        <v>X'jimporta li fil-fatt ikollha li l-mekkanika Newtonjana ma tindirizzax?</v>
      </c>
    </row>
    <row r="3640" ht="15.75" customHeight="1">
      <c r="A3640" s="2" t="s">
        <v>3640</v>
      </c>
      <c r="B3640" s="2" t="str">
        <f>IFERROR(__xludf.DUMMYFUNCTION("GOOGLETRANSLATE(A3640,""en"", ""mt"")"),"104 ° F.")</f>
        <v>104 ° F.</v>
      </c>
    </row>
    <row r="3641" ht="15.75" customHeight="1">
      <c r="A3641" s="2" t="s">
        <v>3641</v>
      </c>
      <c r="B3641" s="2" t="str">
        <f>IFERROR(__xludf.DUMMYFUNCTION("GOOGLETRANSLATE(A3641,""en"", ""mt"")"),"Ipprovdi limiti assoluti aħjar fuq iż-żmien u r-rati tad-deposizzjoni")</f>
        <v>Ipprovdi limiti assoluti aħjar fuq iż-żmien u r-rati tad-deposizzjoni</v>
      </c>
    </row>
    <row r="3642" ht="15.75" customHeight="1">
      <c r="A3642" s="2" t="s">
        <v>3642</v>
      </c>
      <c r="B3642" s="2" t="str">
        <f>IFERROR(__xludf.DUMMYFUNCTION("GOOGLETRANSLATE(A3642,""en"", ""mt"")"),"livell aktar baxx ta 'utilità ekonomika fis-soċjetà")</f>
        <v>livell aktar baxx ta 'utilità ekonomika fis-soċjetà</v>
      </c>
    </row>
    <row r="3643" ht="15.75" customHeight="1">
      <c r="A3643" s="2" t="s">
        <v>3643</v>
      </c>
      <c r="B3643" s="2" t="str">
        <f>IFERROR(__xludf.DUMMYFUNCTION("GOOGLETRANSLATE(A3643,""en"", ""mt"")"),"imxarrab")</f>
        <v>imxarrab</v>
      </c>
    </row>
    <row r="3644" ht="15.75" customHeight="1">
      <c r="A3644" s="2" t="s">
        <v>3644</v>
      </c>
      <c r="B3644" s="2" t="str">
        <f>IFERROR(__xludf.DUMMYFUNCTION("GOOGLETRANSLATE(A3644,""en"", ""mt"")"),"Negozju / Ċentru Finanzjarju tal-Ospitalità")</f>
        <v>Negozju / Ċentru Finanzjarju tal-Ospitalità</v>
      </c>
    </row>
    <row r="3645" ht="15.75" customHeight="1">
      <c r="A3645" s="2" t="s">
        <v>3645</v>
      </c>
      <c r="B3645" s="2" t="str">
        <f>IFERROR(__xludf.DUMMYFUNCTION("GOOGLETRANSLATE(A3645,""en"", ""mt"")"),"billi n-netwerk intermedju nodi bl-użu b'mod sinkroniku bl-ewwel-in, l-ewwel buffering, iżda jista 'jintbagħat skond xi dixxiplina ta' skedar għal kju ġust")</f>
        <v>billi n-netwerk intermedju nodi bl-użu b'mod sinkroniku bl-ewwel-in, l-ewwel buffering, iżda jista 'jintbagħat skond xi dixxiplina ta' skedar għal kju ġust</v>
      </c>
    </row>
    <row r="3646" ht="15.75" customHeight="1">
      <c r="A3646" s="2" t="s">
        <v>3646</v>
      </c>
      <c r="B3646" s="2" t="str">
        <f>IFERROR(__xludf.DUMMYFUNCTION("GOOGLETRANSLATE(A3646,""en"", ""mt"")"),"Agħmel diskors sfidanti, jew diskors li jispjega l-azzjonijiet tagħhom,")</f>
        <v>Agħmel diskors sfidanti, jew diskors li jispjega l-azzjonijiet tagħhom,</v>
      </c>
    </row>
    <row r="3647" ht="15.75" customHeight="1">
      <c r="A3647" s="2" t="s">
        <v>3647</v>
      </c>
      <c r="B3647" s="2" t="str">
        <f>IFERROR(__xludf.DUMMYFUNCTION("GOOGLETRANSLATE(A3647,""en"", ""mt"")"),"il-Qorti Ewropea")</f>
        <v>il-Qorti Ewropea</v>
      </c>
    </row>
    <row r="3648" ht="15.75" customHeight="1">
      <c r="A3648" s="2" t="s">
        <v>3648</v>
      </c>
      <c r="B3648" s="2" t="str">
        <f>IFERROR(__xludf.DUMMYFUNCTION("GOOGLETRANSLATE(A3648,""en"", ""mt"")"),"X'inhu eżempju ta 'barriera mekkanika fuq il-weraq?")</f>
        <v>X'inhu eżempju ta 'barriera mekkanika fuq il-weraq?</v>
      </c>
    </row>
    <row r="3649" ht="15.75" customHeight="1">
      <c r="A3649" s="2" t="s">
        <v>3649</v>
      </c>
      <c r="B3649" s="2" t="str">
        <f>IFERROR(__xludf.DUMMYFUNCTION("GOOGLETRANSLATE(A3649,""en"", ""mt"")"),"Il-Ġurnal tan-Natura")</f>
        <v>Il-Ġurnal tan-Natura</v>
      </c>
    </row>
    <row r="3650" ht="15.75" customHeight="1">
      <c r="A3650" s="2" t="s">
        <v>3650</v>
      </c>
      <c r="B3650" s="2" t="str">
        <f>IFERROR(__xludf.DUMMYFUNCTION("GOOGLETRANSLATE(A3650,""en"", ""mt"")"),"Tliet korpi ta 'ilma")</f>
        <v>Tliet korpi ta 'ilma</v>
      </c>
    </row>
    <row r="3651" ht="15.75" customHeight="1">
      <c r="A3651" s="2" t="s">
        <v>3651</v>
      </c>
      <c r="B3651" s="2" t="str">
        <f>IFERROR(__xludf.DUMMYFUNCTION("GOOGLETRANSLATE(A3651,""en"", ""mt"")"),"Minbarra s-snin 1980, f'liema għaxar snin żviluppaw il-biċċa l-kbira tal-kontej ta 'San Bernardino u Riverside?")</f>
        <v>Minbarra s-snin 1980, f'liema għaxar snin żviluppaw il-biċċa l-kbira tal-kontej ta 'San Bernardino u Riverside?</v>
      </c>
    </row>
    <row r="3652" ht="15.75" customHeight="1">
      <c r="A3652" s="2" t="s">
        <v>3652</v>
      </c>
      <c r="B3652" s="2" t="str">
        <f>IFERROR(__xludf.DUMMYFUNCTION("GOOGLETRANSLATE(A3652,""en"", ""mt"")"),"Ir-Renu t'isfel")</f>
        <v>Ir-Renu t'isfel</v>
      </c>
    </row>
    <row r="3653" ht="15.75" customHeight="1">
      <c r="A3653" s="2" t="s">
        <v>3653</v>
      </c>
      <c r="B3653" s="2" t="str">
        <f>IFERROR(__xludf.DUMMYFUNCTION("GOOGLETRANSLATE(A3653,""en"", ""mt"")"),"Amministrazzjoni tal-Iskola tas-Servizz Soċjali")</f>
        <v>Amministrazzjoni tal-Iskola tas-Servizz Soċjali</v>
      </c>
    </row>
    <row r="3654" ht="15.75" customHeight="1">
      <c r="A3654" s="2" t="s">
        <v>3654</v>
      </c>
      <c r="B3654" s="2" t="str">
        <f>IFERROR(__xludf.DUMMYFUNCTION("GOOGLETRANSLATE(A3654,""en"", ""mt"")"),"Ċerti numru ta 'salarji tal-għalliema jitħallsu mill-istat")</f>
        <v>Ċerti numru ta 'salarji tal-għalliema jitħallsu mill-istat</v>
      </c>
    </row>
    <row r="3655" ht="15.75" customHeight="1">
      <c r="A3655" s="2" t="s">
        <v>3655</v>
      </c>
      <c r="B3655" s="2" t="str">
        <f>IFERROR(__xludf.DUMMYFUNCTION("GOOGLETRANSLATE(A3655,""en"", ""mt"")"),"Telenet kien l-ewwel netwerk ta 'dejta pubblika liċenzjata mill-FCC fl-Istati Uniti. Din twaqqfet mill-ex direttur tal-IPTO ARPA Larry Roberts bħala mezz biex tagħmel it-teknoloġija ARPANET pubblika. Huwa kien ipprova jinteressa lil AT&amp;T fix-xiri tat-tekn"&amp;"oloġija, iżda r-reazzjoni tal-monopolju kienet li din kienet inkompatibbli mal-futur tagħhom. Bolt, Beranack u Newman (BBN) ipprovdew il-finanzjament. Fil-bidu uża t-teknoloġija ARPANET iżda biddel l-interface ospitanti għal X.25 u l-interface terminali g"&amp;"ħal X.29. Telenet iddisinja dawn il-protokolli u għenhom jistandardizzahom fis-CCITT. Telenet ġie inkorporat fl-1973 u beda l-operazzjonijiet fl-1975. Huwa sar pubbliku fl-1979 u mbagħad inbiegħ lil GTE.")</f>
        <v>Telenet kien l-ewwel netwerk ta 'dejta pubblika liċenzjata mill-FCC fl-Istati Uniti. Din twaqqfet mill-ex direttur tal-IPTO ARPA Larry Roberts bħala mezz biex tagħmel it-teknoloġija ARPANET pubblika. Huwa kien ipprova jinteressa lil AT&amp;T fix-xiri tat-teknoloġija, iżda r-reazzjoni tal-monopolju kienet li din kienet inkompatibbli mal-futur tagħhom. Bolt, Beranack u Newman (BBN) ipprovdew il-finanzjament. Fil-bidu uża t-teknoloġija ARPANET iżda biddel l-interface ospitanti għal X.25 u l-interface terminali għal X.29. Telenet iddisinja dawn il-protokolli u għenhom jistandardizzahom fis-CCITT. Telenet ġie inkorporat fl-1973 u beda l-operazzjonijiet fl-1975. Huwa sar pubbliku fl-1979 u mbagħad inbiegħ lil GTE.</v>
      </c>
    </row>
    <row r="3656" ht="15.75" customHeight="1">
      <c r="A3656" s="2" t="s">
        <v>3656</v>
      </c>
      <c r="B3656" s="2" t="str">
        <f>IFERROR(__xludf.DUMMYFUNCTION("GOOGLETRANSLATE(A3656,""en"", ""mt"")"),"ambigwità")</f>
        <v>ambigwità</v>
      </c>
    </row>
    <row r="3657" ht="15.75" customHeight="1">
      <c r="A3657" s="2" t="s">
        <v>3657</v>
      </c>
      <c r="B3657" s="2" t="str">
        <f>IFERROR(__xludf.DUMMYFUNCTION("GOOGLETRANSLATE(A3657,""en"", ""mt"")"),"prefabbrikat")</f>
        <v>prefabbrikat</v>
      </c>
    </row>
    <row r="3658" ht="15.75" customHeight="1">
      <c r="A3658" s="2" t="s">
        <v>3658</v>
      </c>
      <c r="B3658" s="2" t="str">
        <f>IFERROR(__xludf.DUMMYFUNCTION("GOOGLETRANSLATE(A3658,""en"", ""mt"")"),"Kunflitti ta 'qsim ta' piż reġjonali")</f>
        <v>Kunflitti ta 'qsim ta' piż reġjonali</v>
      </c>
    </row>
    <row r="3659" ht="15.75" customHeight="1">
      <c r="A3659" s="2" t="s">
        <v>3659</v>
      </c>
      <c r="B3659" s="2" t="str">
        <f>IFERROR(__xludf.DUMMYFUNCTION("GOOGLETRANSLATE(A3659,""en"", ""mt"")"),"Paċi Mongolja")</f>
        <v>Paċi Mongolja</v>
      </c>
    </row>
    <row r="3660" ht="15.75" customHeight="1">
      <c r="A3660" s="2" t="s">
        <v>3660</v>
      </c>
      <c r="B3660" s="2" t="str">
        <f>IFERROR(__xludf.DUMMYFUNCTION("GOOGLETRANSLATE(A3660,""en"", ""mt"")"),"bagħat dieskau fil-Fort St Frédéric")</f>
        <v>bagħat dieskau fil-Fort St Frédéric</v>
      </c>
    </row>
    <row r="3661" ht="15.75" customHeight="1">
      <c r="A3661" s="2" t="s">
        <v>3661</v>
      </c>
      <c r="B3661" s="2" t="str">
        <f>IFERROR(__xludf.DUMMYFUNCTION("GOOGLETRANSLATE(A3661,""en"", ""mt"")"),"Il-livell sekondarju jinkludi skejjel li joffru snin 7 sa 12 (is-sena tnax huwa magħruf bħala s-sitt inqas) u s-sena 13 (is-sitta ta ’fuq). Din il-kategorija tinkludi skejjel preparatorji universitarji jew ""skejjel ta 'prep"", skejjel ta' l-imbark u skej"&amp;"jel ta 'kuljum. It-tagħlim fi skejjel sekondarji privati ​​jvarja minn skola għal skola u jiddependi fuq ħafna fatturi, inkluż il-post tal-iskola, ir-rieda tal-ġenituri li jħallsu, tagħlim bejn il-pari u d-dotazzjoni finanzjarja tal-iskola. Tagħlim għoli,"&amp;" pretensjoni tal-iskejjel, jintuża biex iħallas salarji ogħla għall-aħjar għalliema u jintuża wkoll biex jipprovdi ambjenti ta 'tagħlim arrikkiti, inkluż proporzjon baxx ta' student għal għalliem, daqsijiet u servizzi ta 'klassi żgħira, bħal libreriji, la"&amp;"boratorji tax-xjenza u kompjuters. Uħud mill-iskejjel privati ​​huma skejjel imbarkati u ħafna akkademji militari huma proprjetà jew operati privati ​​wkoll.")</f>
        <v>Il-livell sekondarju jinkludi skejjel li joffru snin 7 sa 12 (is-sena tnax huwa magħruf bħala s-sitt inqas) u s-sena 13 (is-sitta ta ’fuq). Din il-kategorija tinkludi skejjel preparatorji universitarji jew "skejjel ta 'prep", skejjel ta' l-imbark u skejjel ta 'kuljum. It-tagħlim fi skejjel sekondarji privati ​​jvarja minn skola għal skola u jiddependi fuq ħafna fatturi, inkluż il-post tal-iskola, ir-rieda tal-ġenituri li jħallsu, tagħlim bejn il-pari u d-dotazzjoni finanzjarja tal-iskola. Tagħlim għoli, pretensjoni tal-iskejjel, jintuża biex iħallas salarji ogħla għall-aħjar għalliema u jintuża wkoll biex jipprovdi ambjenti ta 'tagħlim arrikkiti, inkluż proporzjon baxx ta' student għal għalliem, daqsijiet u servizzi ta 'klassi żgħira, bħal libreriji, laboratorji tax-xjenza u kompjuters. Uħud mill-iskejjel privati ​​huma skejjel imbarkati u ħafna akkademji militari huma proprjetà jew operati privati ​​wkoll.</v>
      </c>
    </row>
    <row r="3662" ht="15.75" customHeight="1">
      <c r="A3662" s="2" t="s">
        <v>3662</v>
      </c>
      <c r="B3662" s="2" t="str">
        <f>IFERROR(__xludf.DUMMYFUNCTION("GOOGLETRANSLATE(A3662,""en"", ""mt"")"),"iċċattjat")</f>
        <v>iċċattjat</v>
      </c>
    </row>
    <row r="3663" ht="15.75" customHeight="1">
      <c r="A3663" s="2" t="s">
        <v>3663</v>
      </c>
      <c r="B3663" s="2" t="str">
        <f>IFERROR(__xludf.DUMMYFUNCTION("GOOGLETRANSLATE(A3663,""en"", ""mt"")"),"Biex tfixkel lil Montcalm")</f>
        <v>Biex tfixkel lil Montcalm</v>
      </c>
    </row>
    <row r="3664" ht="15.75" customHeight="1">
      <c r="A3664" s="2" t="s">
        <v>3664</v>
      </c>
      <c r="B3664" s="2" t="str">
        <f>IFERROR(__xludf.DUMMYFUNCTION("GOOGLETRANSLATE(A3664,""en"", ""mt"")"),"Liema gorge hemm bejn il-bingen u l-bonn?")</f>
        <v>Liema gorge hemm bejn il-bingen u l-bonn?</v>
      </c>
    </row>
    <row r="3665" ht="15.75" customHeight="1">
      <c r="A3665" s="2" t="s">
        <v>3665</v>
      </c>
      <c r="B3665" s="2" t="str">
        <f>IFERROR(__xludf.DUMMYFUNCTION("GOOGLETRANSLATE(A3665,""en"", ""mt"")"),"Id-distrett tat-torri huwa ċċentrat madwar liema teatru storiku?")</f>
        <v>Id-distrett tat-torri huwa ċċentrat madwar liema teatru storiku?</v>
      </c>
    </row>
    <row r="3666" ht="15.75" customHeight="1">
      <c r="A3666" s="2" t="s">
        <v>3666</v>
      </c>
      <c r="B3666" s="2" t="str">
        <f>IFERROR(__xludf.DUMMYFUNCTION("GOOGLETRANSLATE(A3666,""en"", ""mt"")"),"Dubbidjenza ċivili indiretta")</f>
        <v>Dubbidjenza ċivili indiretta</v>
      </c>
    </row>
    <row r="3667" ht="15.75" customHeight="1">
      <c r="A3667" s="2" t="s">
        <v>3667</v>
      </c>
      <c r="B3667" s="2" t="str">
        <f>IFERROR(__xludf.DUMMYFUNCTION("GOOGLETRANSLATE(A3667,""en"", ""mt"")"),"tirrifletti x-xewqa li tħeġġeġ kunsens fost il-membri eletti")</f>
        <v>tirrifletti x-xewqa li tħeġġeġ kunsens fost il-membri eletti</v>
      </c>
    </row>
    <row r="3668" ht="15.75" customHeight="1">
      <c r="A3668" s="2" t="s">
        <v>3668</v>
      </c>
      <c r="B3668" s="2" t="str">
        <f>IFERROR(__xludf.DUMMYFUNCTION("GOOGLETRANSLATE(A3668,""en"", ""mt"")"),"X'għandu jkun l-għan ewlieni li ma tużax kastig f'sistema ġusta?")</f>
        <v>X'għandu jkun l-għan ewlieni li ma tużax kastig f'sistema ġusta?</v>
      </c>
    </row>
    <row r="3669" ht="15.75" customHeight="1">
      <c r="A3669" s="2" t="s">
        <v>3669</v>
      </c>
      <c r="B3669" s="2" t="str">
        <f>IFERROR(__xludf.DUMMYFUNCTION("GOOGLETRANSLATE(A3669,""en"", ""mt"")"),"Minbarra l-istudju tan-numri ewlenin, liema teorija ġenerali kienet ikkunsidrata bħala l-eżempju uffiċjali tal-matematika pura?")</f>
        <v>Minbarra l-istudju tan-numri ewlenin, liema teorija ġenerali kienet ikkunsidrata bħala l-eżempju uffiċjali tal-matematika pura?</v>
      </c>
    </row>
    <row r="3670" ht="15.75" customHeight="1">
      <c r="A3670" s="2" t="s">
        <v>3670</v>
      </c>
      <c r="B3670" s="2" t="str">
        <f>IFERROR(__xludf.DUMMYFUNCTION("GOOGLETRANSLATE(A3670,""en"", ""mt"")"),"Il-kumplessità tal-problemi ħafna drabi tiddependi fuq xiex?")</f>
        <v>Il-kumplessità tal-problemi ħafna drabi tiddependi fuq xiex?</v>
      </c>
    </row>
    <row r="3671" ht="15.75" customHeight="1">
      <c r="A3671" s="2" t="s">
        <v>3671</v>
      </c>
      <c r="B3671" s="2" t="str">
        <f>IFERROR(__xludf.DUMMYFUNCTION("GOOGLETRANSLATE(A3671,""en"", ""mt"")"),"Burlington Northern Santa Fe Railway u Union Pacific Railroad")</f>
        <v>Burlington Northern Santa Fe Railway u Union Pacific Railroad</v>
      </c>
    </row>
    <row r="3672" ht="15.75" customHeight="1">
      <c r="A3672" s="2" t="s">
        <v>3672</v>
      </c>
      <c r="B3672" s="2" t="str">
        <f>IFERROR(__xludf.DUMMYFUNCTION("GOOGLETRANSLATE(A3672,""en"", ""mt"")"),"individwalment, xi kultant jirriżultaw fi mogħdijiet differenti u kunsinna barra mill-ordni")</f>
        <v>individwalment, xi kultant jirriżultaw fi mogħdijiet differenti u kunsinna barra mill-ordni</v>
      </c>
    </row>
    <row r="3673" ht="15.75" customHeight="1">
      <c r="A3673" s="2" t="s">
        <v>3673</v>
      </c>
      <c r="B3673" s="2" t="str">
        <f>IFERROR(__xludf.DUMMYFUNCTION("GOOGLETRANSLATE(A3673,""en"", ""mt"")"),"L-ambjentalisti huma mħassba dwar it-telf tal-bijodiversità li jirriżulta mill-qerda tal-foresta, u wkoll dwar ir-rilaxx tal-karbonju li jinsab fil-veġetazzjoni, li tista 'tħaffef it-tisħin globali. Il-foresti dejjem tħaddar tal-Amazonian jammontaw għal m"&amp;"adwar 10% tal-produttività primarja terrestri tad-dinja u 10% tal-ħwienet tal-karbonju fl-ekosistemi - ta 'l-ordni ta' 1.1 × 1011 tunnellata metrika ta 'karbonju. Il-foresti tal-Amażonja huma stmati li akkumulaw 0.62 ± 0.37 tunnellata ta 'karbonju għal ku"&amp;"ll ettaru fis-sena bejn l-1975 u l-1996.")</f>
        <v>L-ambjentalisti huma mħassba dwar it-telf tal-bijodiversità li jirriżulta mill-qerda tal-foresta, u wkoll dwar ir-rilaxx tal-karbonju li jinsab fil-veġetazzjoni, li tista 'tħaffef it-tisħin globali. Il-foresti dejjem tħaddar tal-Amazonian jammontaw għal madwar 10% tal-produttività primarja terrestri tad-dinja u 10% tal-ħwienet tal-karbonju fl-ekosistemi - ta 'l-ordni ta' 1.1 × 1011 tunnellata metrika ta 'karbonju. Il-foresti tal-Amażonja huma stmati li akkumulaw 0.62 ± 0.37 tunnellata ta 'karbonju għal kull ettaru fis-sena bejn l-1975 u l-1996.</v>
      </c>
    </row>
    <row r="3674" ht="15.75" customHeight="1">
      <c r="A3674" s="2" t="s">
        <v>3674</v>
      </c>
      <c r="B3674" s="2" t="str">
        <f>IFERROR(__xludf.DUMMYFUNCTION("GOOGLETRANSLATE(A3674,""en"", ""mt"")"),"sirena")</f>
        <v>sirena</v>
      </c>
    </row>
    <row r="3675" ht="15.75" customHeight="1">
      <c r="A3675" s="2" t="s">
        <v>3675</v>
      </c>
      <c r="B3675" s="2" t="str">
        <f>IFERROR(__xludf.DUMMYFUNCTION("GOOGLETRANSLATE(A3675,""en"", ""mt"")"),"X'jagħmlu r-razez ta 'y. Pestis jissuġġerixxu li l-pesta?")</f>
        <v>X'jagħmlu r-razez ta 'y. Pestis jissuġġerixxu li l-pesta?</v>
      </c>
    </row>
    <row r="3676" ht="15.75" customHeight="1">
      <c r="A3676" s="2" t="s">
        <v>3676</v>
      </c>
      <c r="B3676" s="2" t="str">
        <f>IFERROR(__xludf.DUMMYFUNCTION("GOOGLETRANSLATE(A3676,""en"", ""mt"")"),"L-iskejjel privati ​​fl-Awstralja jistgħu jiġu ffavoriti għal ħafna raġunijiet: prestiġju u l-istatus soċjali ta 'l-'intabta ta' l-iskola antika '; Infrastruttura fiżika ta 'kwalità aħjar u aktar faċilitajiet (e.ż. kampijiet ta' logħob, pixxini, eċċ.), Għ"&amp;"alliema ta 'ħlas ogħla; u / jew it-twemmin li l-iskejjel privati ​​joffru kwalità ogħla ta 'edukazzjoni. Xi skejjel joffru t-tneħħija tad-distrazzjonijiet allegati ta 'ko-edukazzjoni; il-preżenza ta 'faċilitajiet ta' imbark; jew dixxiplina aktar stretta b"&amp;"bażata fuq il-poter ta 'tkeċċija tagħhom, għodda mhux disponibbli għall-iskejjel tal-gvern. L-uniformijiet tal-istudenti għall-iskejjel privati ​​Awstraljani huma ġeneralment aktar stretti u aktar formali milli fl-iskejjel tal-gvern - pereżempju, blazer o"&amp;"bbligatorju. L-iskejjel privati ​​fl-Awstralja huma dejjem aktar għoljin mill-kontropartijiet pubbliċi tagħhom. [Ċitazzjoni meħtieġa]")</f>
        <v>L-iskejjel privati ​​fl-Awstralja jistgħu jiġu ffavoriti għal ħafna raġunijiet: prestiġju u l-istatus soċjali ta 'l-'intabta ta' l-iskola antika '; Infrastruttura fiżika ta 'kwalità aħjar u aktar faċilitajiet (e.ż. kampijiet ta' logħob, pixxini, eċċ.), Għalliema ta 'ħlas ogħla; u / jew it-twemmin li l-iskejjel privati ​​joffru kwalità ogħla ta 'edukazzjoni. Xi skejjel joffru t-tneħħija tad-distrazzjonijiet allegati ta 'ko-edukazzjoni; il-preżenza ta 'faċilitajiet ta' imbark; jew dixxiplina aktar stretta bbażata fuq il-poter ta 'tkeċċija tagħhom, għodda mhux disponibbli għall-iskejjel tal-gvern. L-uniformijiet tal-istudenti għall-iskejjel privati ​​Awstraljani huma ġeneralment aktar stretti u aktar formali milli fl-iskejjel tal-gvern - pereżempju, blazer obbligatorju. L-iskejjel privati ​​fl-Awstralja huma dejjem aktar għoljin mill-kontropartijiet pubbliċi tagħhom. [Ċitazzjoni meħtieġa]</v>
      </c>
    </row>
    <row r="3677" ht="15.75" customHeight="1">
      <c r="A3677" s="2" t="s">
        <v>3677</v>
      </c>
      <c r="B3677" s="2" t="str">
        <f>IFERROR(__xludf.DUMMYFUNCTION("GOOGLETRANSLATE(A3677,""en"", ""mt"")"),"Min ippubblika r-rapport tal-Istat tal-Pjaneta 2008-2009?")</f>
        <v>Min ippubblika r-rapport tal-Istat tal-Pjaneta 2008-2009?</v>
      </c>
    </row>
    <row r="3678" ht="15.75" customHeight="1">
      <c r="A3678" s="2" t="s">
        <v>3678</v>
      </c>
      <c r="B3678" s="2" t="str">
        <f>IFERROR(__xludf.DUMMYFUNCTION("GOOGLETRANSLATE(A3678,""en"", ""mt"")"),"Ikkastiga lin-nies ta 'Miami ta' Pickawillany talli ma segwewx l-ordnijiet ta 'Céloron biex jieqfu jinnegozjaw mal-Ingliżi")</f>
        <v>Ikkastiga lin-nies ta 'Miami ta' Pickawillany talli ma segwewx l-ordnijiet ta 'Céloron biex jieqfu jinnegozjaw mal-Ingliżi</v>
      </c>
    </row>
    <row r="3679" ht="15.75" customHeight="1">
      <c r="A3679" s="2" t="s">
        <v>3679</v>
      </c>
      <c r="B3679" s="2" t="str">
        <f>IFERROR(__xludf.DUMMYFUNCTION("GOOGLETRANSLATE(A3679,""en"", ""mt"")"),"Stadtholder William III ta 'Orange")</f>
        <v>Stadtholder William III ta 'Orange</v>
      </c>
    </row>
    <row r="3680" ht="15.75" customHeight="1">
      <c r="A3680" s="2" t="s">
        <v>3680</v>
      </c>
      <c r="B3680" s="2" t="str">
        <f>IFERROR(__xludf.DUMMYFUNCTION("GOOGLETRANSLATE(A3680,""en"", ""mt"")"),"dħul rilevanti aħjar.")</f>
        <v>dħul rilevanti aħjar.</v>
      </c>
    </row>
    <row r="3681" ht="15.75" customHeight="1">
      <c r="A3681" s="2" t="s">
        <v>3681</v>
      </c>
      <c r="B3681" s="2" t="str">
        <f>IFERROR(__xludf.DUMMYFUNCTION("GOOGLETRANSLATE(A3681,""en"", ""mt"")"),"Fejn jista 'l-interess innifsu tat-tabib ikun f'kontradizzjoni ma' l-interess innifsu tal-pazjent?")</f>
        <v>Fejn jista 'l-interess innifsu tat-tabib ikun f'kontradizzjoni ma' l-interess innifsu tal-pazjent?</v>
      </c>
    </row>
    <row r="3682" ht="15.75" customHeight="1">
      <c r="A3682" s="2" t="s">
        <v>3682</v>
      </c>
      <c r="B3682" s="2" t="str">
        <f>IFERROR(__xludf.DUMMYFUNCTION("GOOGLETRANSLATE(A3682,""en"", ""mt"")"),"Xjentisti tal-Lvant Nofsani")</f>
        <v>Xjentisti tal-Lvant Nofsani</v>
      </c>
    </row>
    <row r="3683" ht="15.75" customHeight="1">
      <c r="A3683" s="2" t="s">
        <v>3683</v>
      </c>
      <c r="B3683" s="2" t="str">
        <f>IFERROR(__xludf.DUMMYFUNCTION("GOOGLETRANSLATE(A3683,""en"", ""mt"")"),"Uża l-proċeduri bħala forum")</f>
        <v>Uża l-proċeduri bħala forum</v>
      </c>
    </row>
    <row r="3684" ht="15.75" customHeight="1">
      <c r="A3684" s="2" t="s">
        <v>3684</v>
      </c>
      <c r="B3684" s="2" t="str">
        <f>IFERROR(__xludf.DUMMYFUNCTION("GOOGLETRANSLATE(A3684,""en"", ""mt"")"),"Id-direzzjoni li tagħmilha tidher qisha bidla fil-klima hija iktar serja")</f>
        <v>Id-direzzjoni li tagħmilha tidher qisha bidla fil-klima hija iktar serja</v>
      </c>
    </row>
    <row r="3685" ht="15.75" customHeight="1">
      <c r="A3685" s="2" t="s">
        <v>3685</v>
      </c>
      <c r="B3685" s="2" t="str">
        <f>IFERROR(__xludf.DUMMYFUNCTION("GOOGLETRANSLATE(A3685,""en"", ""mt"")"),"Estensjoni")</f>
        <v>Estensjoni</v>
      </c>
    </row>
    <row r="3686" ht="15.75" customHeight="1">
      <c r="A3686" s="2" t="s">
        <v>3686</v>
      </c>
      <c r="B3686" s="2" t="str">
        <f>IFERROR(__xludf.DUMMYFUNCTION("GOOGLETRANSLATE(A3686,""en"", ""mt"")"),"Kumpless tax-Xjenza Allston")</f>
        <v>Kumpless tax-Xjenza Allston</v>
      </c>
    </row>
    <row r="3687" ht="15.75" customHeight="1">
      <c r="A3687" s="2" t="s">
        <v>3687</v>
      </c>
      <c r="B3687" s="2" t="str">
        <f>IFERROR(__xludf.DUMMYFUNCTION("GOOGLETRANSLATE(A3687,""en"", ""mt"")"),"L-ex president tal-IPCC Robert Watson qal li ""l-iżbalji kollha jidhru li marru fid-direzzjoni li jidhru li t-tibdil fil-klima huwa iktar serju billi jnissel l-impatt. Dan huwa inkwetanti. L-IPCC jeħtieġ li jħares lejn din ix-xejra fl-iżbalji u jistaqsu G"&amp;"ħaliex ġara "". Martin Parry, espert fil-klima li kien ko-president tal-Grupp ta 'Ħidma II tal-IPCC, qal li ""dak li beda bi żball wieħed sfortunat fuq il-glaċieri tal-Ħimalaja sar clamor mingħajr sustanza"" u l-IPCC kien investiga l-allegati żbalji l-oħr"&amp;"a l-oħra, li kienu ""ġeneralment infondati u marġinali wkoll għall-valutazzjoni"".")</f>
        <v>L-ex president tal-IPCC Robert Watson qal li "l-iżbalji kollha jidhru li marru fid-direzzjoni li jidhru li t-tibdil fil-klima huwa iktar serju billi jnissel l-impatt. Dan huwa inkwetanti. L-IPCC jeħtieġ li jħares lejn din ix-xejra fl-iżbalji u jistaqsu Għaliex ġara ". Martin Parry, espert fil-klima li kien ko-president tal-Grupp ta 'Ħidma II tal-IPCC, qal li "dak li beda bi żball wieħed sfortunat fuq il-glaċieri tal-Ħimalaja sar clamor mingħajr sustanza" u l-IPCC kien investiga l-allegati żbalji l-oħra l-oħra, li kienu "ġeneralment infondati u marġinali wkoll għall-valutazzjoni".</v>
      </c>
    </row>
    <row r="3688" ht="15.75" customHeight="1">
      <c r="A3688" s="2" t="s">
        <v>3688</v>
      </c>
      <c r="B3688" s="2" t="str">
        <f>IFERROR(__xludf.DUMMYFUNCTION("GOOGLETRANSLATE(A3688,""en"", ""mt"")"),"L-ebda soluzzjoni magħrufa fil-ħin polinomjali")</f>
        <v>L-ebda soluzzjoni magħrufa fil-ħin polinomjali</v>
      </c>
    </row>
    <row r="3689" ht="15.75" customHeight="1">
      <c r="A3689" s="2" t="s">
        <v>3689</v>
      </c>
      <c r="B3689" s="2" t="str">
        <f>IFERROR(__xludf.DUMMYFUNCTION("GOOGLETRANSLATE(A3689,""en"", ""mt"")"),"76,000 sa 540,000")</f>
        <v>76,000 sa 540,000</v>
      </c>
    </row>
    <row r="3690" ht="15.75" customHeight="1">
      <c r="A3690" s="2" t="s">
        <v>3690</v>
      </c>
      <c r="B3690" s="2" t="str">
        <f>IFERROR(__xludf.DUMMYFUNCTION("GOOGLETRANSLATE(A3690,""en"", ""mt"")"),"Is-servizz ferrovjarju tal-passiġġieri huwa pprovdut minn Amtrak San Joaquins. L-istazzjon tal-ferrovija tal-passiġġieri prinċipali huwa l-istoriku storiku rinnovat ta 'Santa Fe Depot fil-belt ta' Fresno. Il-linji ewlenin ta 'Bakersfield-Stockton tal-Ferr"&amp;"ovija ta' Burlington Northern Santa Fe u l-Ferrovija tal-Ferrovija tal-Paċifiku tal-Unjoni fi Fresno, u ż-żewġ ferroviji jżommu l-ferroviji fil-belt; Il-Ferrovija ta ’San Joaquin Valley topera wkoll ex-fergħat tal-Paċifiku tan-Nofsinhar li jmorru lejn il-"&amp;"punent u n-nofsinhar barra mill-belt. Il-belt ta 'Fresno hija ppjanata li sservi l-ferrovija futura ta' veloċità għolja ta 'California.")</f>
        <v>Is-servizz ferrovjarju tal-passiġġieri huwa pprovdut minn Amtrak San Joaquins. L-istazzjon tal-ferrovija tal-passiġġieri prinċipali huwa l-istoriku storiku rinnovat ta 'Santa Fe Depot fil-belt ta' Fresno. Il-linji ewlenin ta 'Bakersfield-Stockton tal-Ferrovija ta' Burlington Northern Santa Fe u l-Ferrovija tal-Ferrovija tal-Paċifiku tal-Unjoni fi Fresno, u ż-żewġ ferroviji jżommu l-ferroviji fil-belt; Il-Ferrovija ta ’San Joaquin Valley topera wkoll ex-fergħat tal-Paċifiku tan-Nofsinhar li jmorru lejn il-punent u n-nofsinhar barra mill-belt. Il-belt ta 'Fresno hija ppjanata li sservi l-ferrovija futura ta' veloċità għolja ta 'California.</v>
      </c>
    </row>
    <row r="3691" ht="15.75" customHeight="1">
      <c r="A3691" s="2" t="s">
        <v>3691</v>
      </c>
      <c r="B3691" s="2" t="str">
        <f>IFERROR(__xludf.DUMMYFUNCTION("GOOGLETRANSLATE(A3691,""en"", ""mt"")"),"L-iktar metodu bażiku biex tiġi ċċekkjata l-primalità ta 'numru sħiħ partikolari huwa msejjaħ diviżjoni ta' prova. Din ir-rutina tikkonsisti f'diviżjoni N minn kull numru sħiħ li huwa akbar minn 1 u inqas minn jew daqs l-għerq kwadru ta 'n. Jekk ir-riżult"&amp;"at ta 'xi waħda minn dawn id-diviżjonijiet huwa numru sħiħ, allura N mhuwiex prim, inkella huwa prim. Tassew, jekk huwa kompost (b'A u B ≠ 1) allura wieħed mill-fatturi A jew B huwa neċessarjament fil-biċċa l-kbira. Pereżempju, għal, id-diviżjonijiet tal-"&amp;"prova huma minn M = 2, 3, 4, 5, u 6. L-ebda wieħed minn dawn in-numri ma jaqsam 37, u għalhekk 37 huwa prim. Din ir-rutina tista 'tiġi implimentata b'mod aktar effiċjenti jekk tkun magħrufa lista kompluta ta' primes - allura d-diviżjonijiet ta 'prova jeħt"&amp;"ieġ li jiġu kkontrollati biss għal dawk m li huma ewlenin. Pereżempju, biex tivverifika l-primalità ta '37, huma meħtieġa tliet diviżjonijiet biss (M = 2, 3, u 5), minħabba li 4 u 6 huma komposti.")</f>
        <v>L-iktar metodu bażiku biex tiġi ċċekkjata l-primalità ta 'numru sħiħ partikolari huwa msejjaħ diviżjoni ta' prova. Din ir-rutina tikkonsisti f'diviżjoni N minn kull numru sħiħ li huwa akbar minn 1 u inqas minn jew daqs l-għerq kwadru ta 'n. Jekk ir-riżultat ta 'xi waħda minn dawn id-diviżjonijiet huwa numru sħiħ, allura N mhuwiex prim, inkella huwa prim. Tassew, jekk huwa kompost (b'A u B ≠ 1) allura wieħed mill-fatturi A jew B huwa neċessarjament fil-biċċa l-kbira. Pereżempju, għal, id-diviżjonijiet tal-prova huma minn M = 2, 3, 4, 5, u 6. L-ebda wieħed minn dawn in-numri ma jaqsam 37, u għalhekk 37 huwa prim. Din ir-rutina tista 'tiġi implimentata b'mod aktar effiċjenti jekk tkun magħrufa lista kompluta ta' primes - allura d-diviżjonijiet ta 'prova jeħtieġ li jiġu kkontrollati biss għal dawk m li huma ewlenin. Pereżempju, biex tivverifika l-primalità ta '37, huma meħtieġa tliet diviżjonijiet biss (M = 2, 3, u 5), minħabba li 4 u 6 huma komposti.</v>
      </c>
    </row>
    <row r="3692" ht="15.75" customHeight="1">
      <c r="A3692" s="2" t="s">
        <v>3692</v>
      </c>
      <c r="B3692" s="2" t="str">
        <f>IFERROR(__xludf.DUMMYFUNCTION("GOOGLETRANSLATE(A3692,""en"", ""mt"")"),"X'inhu l-ogħla quċċata fir-Rabat?")</f>
        <v>X'inhu l-ogħla quċċata fir-Rabat?</v>
      </c>
    </row>
    <row r="3693" ht="15.75" customHeight="1">
      <c r="A3693" s="2" t="s">
        <v>3693</v>
      </c>
      <c r="B3693" s="2" t="str">
        <f>IFERROR(__xludf.DUMMYFUNCTION("GOOGLETRANSLATE(A3693,""en"", ""mt"")"),"L-editt ipproteġi l-Kattoliċi billi jiskoraġġixxi xiex?")</f>
        <v>L-editt ipproteġi l-Kattoliċi billi jiskoraġġixxi xiex?</v>
      </c>
    </row>
    <row r="3694" ht="15.75" customHeight="1">
      <c r="A3694" s="2" t="s">
        <v>3694</v>
      </c>
      <c r="B3694" s="2" t="str">
        <f>IFERROR(__xludf.DUMMYFUNCTION("GOOGLETRANSLATE(A3694,""en"", ""mt"")"),"Il-ħtija timplika tagħmel ħażin")</f>
        <v>Il-ħtija timplika tagħmel ħażin</v>
      </c>
    </row>
    <row r="3695" ht="15.75" customHeight="1">
      <c r="A3695" s="2" t="s">
        <v>3695</v>
      </c>
      <c r="B3695" s="2" t="str">
        <f>IFERROR(__xludf.DUMMYFUNCTION("GOOGLETRANSLATE(A3695,""en"", ""mt"")"),"X'inhuma magħrufa bħala Ctenophora?")</f>
        <v>X'inhuma magħrufa bħala Ctenophora?</v>
      </c>
    </row>
    <row r="3696" ht="15.75" customHeight="1">
      <c r="A3696" s="2" t="s">
        <v>3696</v>
      </c>
      <c r="B3696" s="2" t="str">
        <f>IFERROR(__xludf.DUMMYFUNCTION("GOOGLETRANSLATE(A3696,""en"", ""mt"")"),"Il-Kriżi Finanzjarja tal-2007–08")</f>
        <v>Il-Kriżi Finanzjarja tal-2007–08</v>
      </c>
    </row>
    <row r="3697" ht="15.75" customHeight="1">
      <c r="A3697" s="2" t="s">
        <v>3697</v>
      </c>
      <c r="B3697" s="2" t="str">
        <f>IFERROR(__xludf.DUMMYFUNCTION("GOOGLETRANSLATE(A3697,""en"", ""mt"")"),"Kif irriżulta l-kampanja tal-grupp Iżlamiku biex twaqqa 'l-gvern?")</f>
        <v>Kif irriżulta l-kampanja tal-grupp Iżlamiku biex twaqqa 'l-gvern?</v>
      </c>
    </row>
    <row r="3698" ht="15.75" customHeight="1">
      <c r="A3698" s="2" t="s">
        <v>3698</v>
      </c>
      <c r="B3698" s="2" t="str">
        <f>IFERROR(__xludf.DUMMYFUNCTION("GOOGLETRANSLATE(A3698,""en"", ""mt"")"),"post")</f>
        <v>post</v>
      </c>
    </row>
    <row r="3699" ht="15.75" customHeight="1">
      <c r="A3699" s="2" t="s">
        <v>3699</v>
      </c>
      <c r="B3699" s="2" t="str">
        <f>IFERROR(__xludf.DUMMYFUNCTION("GOOGLETRANSLATE(A3699,""en"", ""mt"")"),"Il-popolazzjoni tal-far ma kinitx biżżejjed")</f>
        <v>Il-popolazzjoni tal-far ma kinitx biżżejjed</v>
      </c>
    </row>
    <row r="3700" ht="15.75" customHeight="1">
      <c r="A3700" s="2" t="s">
        <v>3700</v>
      </c>
      <c r="B3700" s="2" t="str">
        <f>IFERROR(__xludf.DUMMYFUNCTION("GOOGLETRANSLATE(A3700,""en"", ""mt"")"),"L-iktar offerent effiċjenti fl-infiq")</f>
        <v>L-iktar offerent effiċjenti fl-infiq</v>
      </c>
    </row>
    <row r="3701" ht="15.75" customHeight="1">
      <c r="A3701" s="2" t="s">
        <v>3701</v>
      </c>
      <c r="B3701" s="2" t="str">
        <f>IFERROR(__xludf.DUMMYFUNCTION("GOOGLETRANSLATE(A3701,""en"", ""mt"")"),"Imblokka l-portijiet Franċiżi, bagħtu l-flotta tagħhom fi Frar 1755")</f>
        <v>Imblokka l-portijiet Franċiżi, bagħtu l-flotta tagħhom fi Frar 1755</v>
      </c>
    </row>
    <row r="3702" ht="15.75" customHeight="1">
      <c r="A3702" s="2" t="s">
        <v>3702</v>
      </c>
      <c r="B3702" s="2" t="str">
        <f>IFERROR(__xludf.DUMMYFUNCTION("GOOGLETRANSLATE(A3702,""en"", ""mt"")"),"Il-Parlament tar-Rabat")</f>
        <v>Il-Parlament tar-Rabat</v>
      </c>
    </row>
    <row r="3703" ht="15.75" customHeight="1">
      <c r="A3703" s="2" t="s">
        <v>3703</v>
      </c>
      <c r="B3703" s="2" t="str">
        <f>IFERROR(__xludf.DUMMYFUNCTION("GOOGLETRANSLATE(A3703,""en"", ""mt"")"),"Liema pajjiż kien qed jaħseb biex imur il-gwerra biex jieħu bil-forza l-għelieqi taż-żejt tal-Lvant Nofsani?")</f>
        <v>Liema pajjiż kien qed jaħseb biex imur il-gwerra biex jieħu bil-forza l-għelieqi taż-żejt tal-Lvant Nofsani?</v>
      </c>
    </row>
    <row r="3704" ht="15.75" customHeight="1">
      <c r="A3704" s="2" t="s">
        <v>3704</v>
      </c>
      <c r="B3704" s="2" t="str">
        <f>IFERROR(__xludf.DUMMYFUNCTION("GOOGLETRANSLATE(A3704,""en"", ""mt"")"),"Liema amministrazzjoni kienet Ludwig Mies van der Rohe designa Buiding?")</f>
        <v>Liema amministrazzjoni kienet Ludwig Mies van der Rohe designa Buiding?</v>
      </c>
    </row>
    <row r="3705" ht="15.75" customHeight="1">
      <c r="A3705" s="2" t="s">
        <v>3705</v>
      </c>
      <c r="B3705" s="2" t="str">
        <f>IFERROR(__xludf.DUMMYFUNCTION("GOOGLETRANSLATE(A3705,""en"", ""mt"")"),"Tribujiet Mongoljani u Turkiċi")</f>
        <v>Tribujiet Mongoljani u Turkiċi</v>
      </c>
    </row>
    <row r="3706" ht="15.75" customHeight="1">
      <c r="A3706" s="2" t="s">
        <v>3706</v>
      </c>
      <c r="B3706" s="2" t="str">
        <f>IFERROR(__xludf.DUMMYFUNCTION("GOOGLETRANSLATE(A3706,""en"", ""mt"")"),"L-ekonomija tan-Nofsinhar ta 'California tista' tiġi deskritta bħala waħda mill-ikbar fl-Istati Uniti u liema karatteristika oħra?")</f>
        <v>L-ekonomija tan-Nofsinhar ta 'California tista' tiġi deskritta bħala waħda mill-ikbar fl-Istati Uniti u liema karatteristika oħra?</v>
      </c>
    </row>
    <row r="3707" ht="15.75" customHeight="1">
      <c r="A3707" s="2" t="s">
        <v>3707</v>
      </c>
      <c r="B3707" s="2" t="str">
        <f>IFERROR(__xludf.DUMMYFUNCTION("GOOGLETRANSLATE(A3707,""en"", ""mt"")"),"X'kien il-gvernijiet tar-Renju Unit jibbenefikaw l-iċċekkjar tal-agenchy fl-2012?")</f>
        <v>X'kien il-gvernijiet tar-Renju Unit jibbenefikaw l-iċċekkjar tal-agenchy fl-2012?</v>
      </c>
    </row>
    <row r="3708" ht="15.75" customHeight="1">
      <c r="A3708" s="2" t="s">
        <v>3708</v>
      </c>
      <c r="B3708" s="2" t="str">
        <f>IFERROR(__xludf.DUMMYFUNCTION("GOOGLETRANSLATE(A3708,""en"", ""mt"")"),"Kummerċjali, Xjentifiku, u Kulturali")</f>
        <v>Kummerċjali, Xjentifiku, u Kulturali</v>
      </c>
    </row>
    <row r="3709" ht="15.75" customHeight="1">
      <c r="A3709" s="2" t="s">
        <v>3709</v>
      </c>
      <c r="B3709" s="2" t="str">
        <f>IFERROR(__xludf.DUMMYFUNCTION("GOOGLETRANSLATE(A3709,""en"", ""mt"")"),"Liema membri tipikament jiftħu dibattiti?")</f>
        <v>Liema membri tipikament jiftħu dibattiti?</v>
      </c>
    </row>
    <row r="3710" ht="15.75" customHeight="1">
      <c r="A3710" s="2" t="s">
        <v>3710</v>
      </c>
      <c r="B3710" s="2" t="str">
        <f>IFERROR(__xludf.DUMMYFUNCTION("GOOGLETRANSLATE(A3710,""en"", ""mt"")"),"infurmaw lil Céloron li huma kellhom il-pajjiż ta 'Ohio u li kienu jinnegozjaw mal-Ingliżi")</f>
        <v>infurmaw lil Céloron li huma kellhom il-pajjiż ta 'Ohio u li kienu jinnegozjaw mal-Ingliżi</v>
      </c>
    </row>
    <row r="3711" ht="15.75" customHeight="1">
      <c r="A3711" s="2" t="s">
        <v>3711</v>
      </c>
      <c r="B3711" s="2" t="str">
        <f>IFERROR(__xludf.DUMMYFUNCTION("GOOGLETRANSLATE(A3711,""en"", ""mt"")"),"X'jista 'jkun possibbli li ċ-ċikli ta' Kuznets multipli jkunu fi kwalunkwe ħin?")</f>
        <v>X'jista 'jkun possibbli li ċ-ċikli ta' Kuznets multipli jkunu fi kwalunkwe ħin?</v>
      </c>
    </row>
    <row r="3712" ht="15.75" customHeight="1">
      <c r="A3712" s="2" t="s">
        <v>3712</v>
      </c>
      <c r="B3712" s="2" t="str">
        <f>IFERROR(__xludf.DUMMYFUNCTION("GOOGLETRANSLATE(A3712,""en"", ""mt"")"),"X'inhi parti waħda mis-sistema immuni innata li ma tattakkax il-mikrobi direttament?")</f>
        <v>X'inhi parti waħda mis-sistema immuni innata li ma tattakkax il-mikrobi direttament?</v>
      </c>
    </row>
    <row r="3713" ht="15.75" customHeight="1">
      <c r="A3713" s="2" t="s">
        <v>3713</v>
      </c>
      <c r="B3713" s="2" t="str">
        <f>IFERROR(__xludf.DUMMYFUNCTION("GOOGLETRANSLATE(A3713,""en"", ""mt"")"),"Il-pesta nfirxet fl-Iskandinavja jew il-Ġermanja l-ewwel?")</f>
        <v>Il-pesta nfirxet fl-Iskandinavja jew il-Ġermanja l-ewwel?</v>
      </c>
    </row>
    <row r="3714" ht="15.75" customHeight="1">
      <c r="A3714" s="2" t="s">
        <v>3714</v>
      </c>
      <c r="B3714" s="2" t="str">
        <f>IFERROR(__xludf.DUMMYFUNCTION("GOOGLETRANSLATE(A3714,""en"", ""mt"")"),"Tittrasforma")</f>
        <v>Tittrasforma</v>
      </c>
    </row>
    <row r="3715" ht="15.75" customHeight="1">
      <c r="A3715" s="2" t="s">
        <v>3715</v>
      </c>
      <c r="B3715" s="2" t="str">
        <f>IFERROR(__xludf.DUMMYFUNCTION("GOOGLETRANSLATE(A3715,""en"", ""mt"")"),"Liema tipi ta 'programmi jgħinu biex jerġgħu jqassmu l-ġid?")</f>
        <v>Liema tipi ta 'programmi jgħinu biex jerġgħu jqassmu l-ġid?</v>
      </c>
    </row>
    <row r="3716" ht="15.75" customHeight="1">
      <c r="A3716" s="2" t="s">
        <v>3716</v>
      </c>
      <c r="B3716" s="2" t="str">
        <f>IFERROR(__xludf.DUMMYFUNCTION("GOOGLETRANSLATE(A3716,""en"", ""mt"")"),"ċilindri u tagħmir tal-valv")</f>
        <v>ċilindri u tagħmir tal-valv</v>
      </c>
    </row>
    <row r="3717" ht="15.75" customHeight="1">
      <c r="A3717" s="2" t="s">
        <v>3717</v>
      </c>
      <c r="B3717" s="2" t="str">
        <f>IFERROR(__xludf.DUMMYFUNCTION("GOOGLETRANSLATE(A3717,""en"", ""mt"")"),"Kumpanija Ohio")</f>
        <v>Kumpanija Ohio</v>
      </c>
    </row>
    <row r="3718" ht="15.75" customHeight="1">
      <c r="A3718" s="2" t="s">
        <v>3718</v>
      </c>
      <c r="B3718" s="2" t="str">
        <f>IFERROR(__xludf.DUMMYFUNCTION("GOOGLETRANSLATE(A3718,""en"", ""mt"")"),"Liema monument huwa fil-memorja tal-ikbar insurrezzjoni tal-WWII?")</f>
        <v>Liema monument huwa fil-memorja tal-ikbar insurrezzjoni tal-WWII?</v>
      </c>
    </row>
    <row r="3719" ht="15.75" customHeight="1">
      <c r="A3719" s="2" t="s">
        <v>3719</v>
      </c>
      <c r="B3719" s="2" t="str">
        <f>IFERROR(__xludf.DUMMYFUNCTION("GOOGLETRANSLATE(A3719,""en"", ""mt"")"),"Teoriji oħra tal-oriġini tal-kelma jistgħu ġeneralment jiġu kklassifikati bħala xiex?")</f>
        <v>Teoriji oħra tal-oriġini tal-kelma jistgħu ġeneralment jiġu kklassifikati bħala xiex?</v>
      </c>
    </row>
    <row r="3720" ht="15.75" customHeight="1">
      <c r="A3720" s="2" t="s">
        <v>3720</v>
      </c>
      <c r="B3720" s="2" t="str">
        <f>IFERROR(__xludf.DUMMYFUNCTION("GOOGLETRANSLATE(A3720,""en"", ""mt"")"),"Minn min hija applikata l-liġi Ewropea?")</f>
        <v>Minn min hija applikata l-liġi Ewropea?</v>
      </c>
    </row>
    <row r="3721" ht="15.75" customHeight="1">
      <c r="A3721" s="2" t="s">
        <v>3721</v>
      </c>
      <c r="B3721" s="2" t="str">
        <f>IFERROR(__xludf.DUMMYFUNCTION("GOOGLETRANSLATE(A3721,""en"", ""mt"")"),"Żoni kklerjati mill-foresta huma viżibbli għall-għajn")</f>
        <v>Żoni kklerjati mill-foresta huma viżibbli għall-għajn</v>
      </c>
    </row>
    <row r="3722" ht="15.75" customHeight="1">
      <c r="A3722" s="2" t="s">
        <v>3722</v>
      </c>
      <c r="B3722" s="2" t="str">
        <f>IFERROR(__xludf.DUMMYFUNCTION("GOOGLETRANSLATE(A3722,""en"", ""mt"")"),"Università ta 'Chicago College Bowl Team")</f>
        <v>Università ta 'Chicago College Bowl Team</v>
      </c>
    </row>
    <row r="3723" ht="15.75" customHeight="1">
      <c r="A3723" s="2" t="s">
        <v>3723</v>
      </c>
      <c r="B3723" s="2" t="str">
        <f>IFERROR(__xludf.DUMMYFUNCTION("GOOGLETRANSLATE(A3723,""en"", ""mt"")"),"antropoloġiku")</f>
        <v>antropoloġiku</v>
      </c>
    </row>
    <row r="3724" ht="15.75" customHeight="1">
      <c r="A3724" s="2" t="s">
        <v>3724</v>
      </c>
      <c r="B3724" s="2" t="str">
        <f>IFERROR(__xludf.DUMMYFUNCTION("GOOGLETRANSLATE(A3724,""en"", ""mt"")"),"Molekuli tal-Klassi I MHC")</f>
        <v>Molekuli tal-Klassi I MHC</v>
      </c>
    </row>
    <row r="3725" ht="15.75" customHeight="1">
      <c r="A3725" s="2" t="s">
        <v>3725</v>
      </c>
      <c r="B3725" s="2" t="str">
        <f>IFERROR(__xludf.DUMMYFUNCTION("GOOGLETRANSLATE(A3725,""en"", ""mt"")"),"L-użu ta 'telerilevament għall-konservazzjoni tal-Amażonja qed jintuża wkoll mit-tribujiet indiġeni tal-baċin biex jipproteġu l-artijiet tribali tagħhom minn interessi kummerċjali. Bl-użu ta 'apparati u programmi tal-GPS li jinżammu fl-idejn bħal Google E"&amp;"arth, membri tat-Tribe Trio, li jgħixu fil-foresti tropikali tas-Surinam tan-Nofsinhar, mappaw l-artijiet antenati tagħhom biex jgħinu jsaħħu t-talbiet territorjali tagħhom. Bħalissa, il-biċċa l-kbira tat-tribujiet fl-Amażonja m'għandhomx il-konfini defin"&amp;"iti b'mod ċar, li jagħmluha aktar faċli għall-impriżi kummerċjali li jimmiraw it-territorji tagħhom.")</f>
        <v>L-użu ta 'telerilevament għall-konservazzjoni tal-Amażonja qed jintuża wkoll mit-tribujiet indiġeni tal-baċin biex jipproteġu l-artijiet tribali tagħhom minn interessi kummerċjali. Bl-użu ta 'apparati u programmi tal-GPS li jinżammu fl-idejn bħal Google Earth, membri tat-Tribe Trio, li jgħixu fil-foresti tropikali tas-Surinam tan-Nofsinhar, mappaw l-artijiet antenati tagħhom biex jgħinu jsaħħu t-talbiet territorjali tagħhom. Bħalissa, il-biċċa l-kbira tat-tribujiet fl-Amażonja m'għandhomx il-konfini definiti b'mod ċar, li jagħmluha aktar faċli għall-impriżi kummerċjali li jimmiraw it-territorji tagħhom.</v>
      </c>
    </row>
    <row r="3726" ht="15.75" customHeight="1">
      <c r="A3726" s="2" t="s">
        <v>3726</v>
      </c>
      <c r="B3726" s="2" t="str">
        <f>IFERROR(__xludf.DUMMYFUNCTION("GOOGLETRANSLATE(A3726,""en"", ""mt"")"),"Seine")</f>
        <v>Seine</v>
      </c>
    </row>
    <row r="3727" ht="15.75" customHeight="1">
      <c r="A3727" s="2" t="s">
        <v>3727</v>
      </c>
      <c r="B3727" s="2" t="str">
        <f>IFERROR(__xludf.DUMMYFUNCTION("GOOGLETRANSLATE(A3727,""en"", ""mt"")"),"L-ossiġnu huwa l-iktar element kimiku abbundanti bil-massa fil-bijosfera, l-arja, il-baħar u l-art tad-dinja. L-ossiġnu huwa t-tielet l-iktar element kimiku abbundanti fl-univers, wara l-idroġenu u l-elju. Madwar 0.9% tal-massa tax-xemx hija ossiġnu. L-os"&amp;"siġnu jikkostitwixxi 49.2% tal-qoxra tad-dinja bil-massa u huwa l-komponent ewlieni tal-oċeani tad-dinja (88.8% bil-massa). Il-gass tal-ossiġnu huwa t-tieni l-iktar komponent komuni tal-atmosfera tad-Dinja, li jieħu 20.8% tal-volum tiegħu u 23.1% tal-mass"&amp;"a tiegħu (xi 1015 tunnellata). [D] id-Dinja mhix tas-soltu fost il-pjaneti tas-sistema solari meta jkollha daqshekk għolja konċentrazzjoni ta 'gass ta' ossiġnu fl-atmosfera tiegħu: Mars (b'0.1% o
2 mill-volum) u Venere għandhom konċentrazzjonijiet ferm ak"&amp;"tar baxxi. L-o
2 li jdawru dawn il-pjaneti l-oħra huwa prodott biss minn radjazzjoni ultravjola li għandha impatt fuq molekuli li fihom l-ossiġnu bħal dijossidu tal-karbonju.")</f>
        <v>L-ossiġnu huwa l-iktar element kimiku abbundanti bil-massa fil-bijosfera, l-arja, il-baħar u l-art tad-dinja. L-ossiġnu huwa t-tielet l-iktar element kimiku abbundanti fl-univers, wara l-idroġenu u l-elju. Madwar 0.9% tal-massa tax-xemx hija ossiġnu. L-ossiġnu jikkostitwixxi 49.2% tal-qoxra tad-dinja bil-massa u huwa l-komponent ewlieni tal-oċeani tad-dinja (88.8% bil-massa). Il-gass tal-ossiġnu huwa t-tieni l-iktar komponent komuni tal-atmosfera tad-Dinja, li jieħu 20.8% tal-volum tiegħu u 23.1% tal-massa tiegħu (xi 1015 tunnellata). [D] id-Dinja mhix tas-soltu fost il-pjaneti tas-sistema solari meta jkollha daqshekk għolja konċentrazzjoni ta 'gass ta' ossiġnu fl-atmosfera tiegħu: Mars (b'0.1% o
2 mill-volum) u Venere għandhom konċentrazzjonijiet ferm aktar baxxi. L-o
2 li jdawru dawn il-pjaneti l-oħra huwa prodott biss minn radjazzjoni ultravjola li għandha impatt fuq molekuli li fihom l-ossiġnu bħal dijossidu tal-karbonju.</v>
      </c>
    </row>
    <row r="3728" ht="15.75" customHeight="1">
      <c r="A3728" s="2" t="s">
        <v>3728</v>
      </c>
      <c r="B3728" s="2" t="str">
        <f>IFERROR(__xludf.DUMMYFUNCTION("GOOGLETRANSLATE(A3728,""en"", ""mt"")"),"aktar diffiċli")</f>
        <v>aktar diffiċli</v>
      </c>
    </row>
    <row r="3729" ht="15.75" customHeight="1">
      <c r="A3729" s="2" t="s">
        <v>3729</v>
      </c>
      <c r="B3729" s="2" t="str">
        <f>IFERROR(__xludf.DUMMYFUNCTION("GOOGLETRANSLATE(A3729,""en"", ""mt"")"),"Kemm puplesiji tal-pistuni jseħħu f'ċiklu tal-magna?")</f>
        <v>Kemm puplesiji tal-pistuni jseħħu f'ċiklu tal-magna?</v>
      </c>
    </row>
    <row r="3730" ht="15.75" customHeight="1">
      <c r="A3730" s="2" t="s">
        <v>3730</v>
      </c>
      <c r="B3730" s="2" t="str">
        <f>IFERROR(__xludf.DUMMYFUNCTION("GOOGLETRANSLATE(A3730,""en"", ""mt"")"),"depopolazzjoni u bidla permanenti kemm fl-istrutturi ekonomiċi kif ukoll soċjali")</f>
        <v>depopolazzjoni u bidla permanenti kemm fl-istrutturi ekonomiċi kif ukoll soċjali</v>
      </c>
    </row>
    <row r="3731" ht="15.75" customHeight="1">
      <c r="A3731" s="2" t="s">
        <v>3731</v>
      </c>
      <c r="B3731" s="2" t="str">
        <f>IFERROR(__xludf.DUMMYFUNCTION("GOOGLETRANSLATE(A3731,""en"", ""mt"")"),"tiddikjara l-liġi marzjali")</f>
        <v>tiddikjara l-liġi marzjali</v>
      </c>
    </row>
    <row r="3732" ht="15.75" customHeight="1">
      <c r="A3732" s="2" t="s">
        <v>3732</v>
      </c>
      <c r="B3732" s="2" t="str">
        <f>IFERROR(__xludf.DUMMYFUNCTION("GOOGLETRANSLATE(A3732,""en"", ""mt"")"),"Għawwiema iżgħar u aktar dgħajfa bħal rotifers u molluski u larva tal-krustaċji")</f>
        <v>Għawwiema iżgħar u aktar dgħajfa bħal rotifers u molluski u larva tal-krustaċji</v>
      </c>
    </row>
    <row r="3733" ht="15.75" customHeight="1">
      <c r="A3733" s="2" t="s">
        <v>3733</v>
      </c>
      <c r="B3733" s="2" t="str">
        <f>IFERROR(__xludf.DUMMYFUNCTION("GOOGLETRANSLATE(A3733,""en"", ""mt"")"),"Mikroorganiżmi jew tossini li jidħlu b'suċċess f'organiżmu jiltaqgħu maċ-ċelloli u l-mekkaniżmi tas-sistema immuni innata. Ir-rispons intrinsiku ġeneralment jiġi kkawżat meta l-mikrobi jiġu identifikati minn riċetturi ta 'rikonoxximent tal-mudelli, li jir"&amp;"rikonoxxu komponenti li huma kkonservati fost gruppi wesgħin ta' mikro-organiżmi, jew meta ċelloli bil-ħsara, imweġġa 'jew stressati jibagħtu sinjali ta' allarm, li ħafna minnhom (iżda mhux kollha) huma rikonoxxuti Mill-istess riċetturi bħal dawk li jirri"&amp;"konoxxu l-patoġeni. Id-difiżi immuni innati mhumiex speċifiċi, u jfisser li dawn is-sistemi jirrispondu għal patoġeni b'mod ġeneriku. Din is-sistema ma tagħtix immunità dejjiema kontra patoġen. Is-sistema immuni innata hija s-sistema dominanti tad-difiża "&amp;"ospitanti fil-biċċa l-kbira tal-organiżmi.")</f>
        <v>Mikroorganiżmi jew tossini li jidħlu b'suċċess f'organiżmu jiltaqgħu maċ-ċelloli u l-mekkaniżmi tas-sistema immuni innata. Ir-rispons intrinsiku ġeneralment jiġi kkawżat meta l-mikrobi jiġu identifikati minn riċetturi ta 'rikonoxximent tal-mudelli, li jirrikonoxxu komponenti li huma kkonservati fost gruppi wesgħin ta' mikro-organiżmi, jew meta ċelloli bil-ħsara, imweġġa 'jew stressati jibagħtu sinjali ta' allarm, li ħafna minnhom (iżda mhux kollha) huma rikonoxxuti Mill-istess riċetturi bħal dawk li jirrikonoxxu l-patoġeni. Id-difiżi immuni innati mhumiex speċifiċi, u jfisser li dawn is-sistemi jirrispondu għal patoġeni b'mod ġeneriku. Din is-sistema ma tagħtix immunità dejjiema kontra patoġen. Is-sistema immuni innata hija s-sistema dominanti tad-difiża ospitanti fil-biċċa l-kbira tal-organiżmi.</v>
      </c>
    </row>
    <row r="3734" ht="15.75" customHeight="1">
      <c r="A3734" s="2" t="s">
        <v>3734</v>
      </c>
      <c r="B3734" s="2" t="str">
        <f>IFERROR(__xludf.DUMMYFUNCTION("GOOGLETRANSLATE(A3734,""en"", ""mt"")"),"Fryderyk Chopin University of Music")</f>
        <v>Fryderyk Chopin University of Music</v>
      </c>
    </row>
    <row r="3735" ht="15.75" customHeight="1">
      <c r="A3735" s="2" t="s">
        <v>3735</v>
      </c>
      <c r="B3735" s="2" t="str">
        <f>IFERROR(__xludf.DUMMYFUNCTION("GOOGLETRANSLATE(A3735,""en"", ""mt"")"),"Fejn reġgħu reġgħu Brittaniċi ħafna Akkadjani?")</f>
        <v>Fejn reġgħu reġgħu Brittaniċi ħafna Akkadjani?</v>
      </c>
    </row>
    <row r="3736" ht="15.75" customHeight="1">
      <c r="A3736" s="2" t="s">
        <v>3736</v>
      </c>
      <c r="B3736" s="2" t="str">
        <f>IFERROR(__xludf.DUMMYFUNCTION("GOOGLETRANSLATE(A3736,""en"", ""mt"")"),"Il-limitazzjonijiet tal-finanzjament ippermettew li CSNet ikun dak")</f>
        <v>Il-limitazzjonijiet tal-finanzjament ippermettew li CSNet ikun dak</v>
      </c>
    </row>
    <row r="3737" ht="15.75" customHeight="1">
      <c r="A3737" s="2" t="s">
        <v>3737</v>
      </c>
      <c r="B3737" s="2" t="str">
        <f>IFERROR(__xludf.DUMMYFUNCTION("GOOGLETRANSLATE(A3737,""en"", ""mt"")"),"Novembru 1979")</f>
        <v>Novembru 1979</v>
      </c>
    </row>
    <row r="3738" ht="15.75" customHeight="1">
      <c r="A3738" s="2" t="s">
        <v>3738</v>
      </c>
      <c r="B3738" s="2" t="str">
        <f>IFERROR(__xludf.DUMMYFUNCTION("GOOGLETRANSLATE(A3738,""en"", ""mt"")"),"Għaliex il-5 President tal-Università ddeċieda li jeħles mill-programm tal-futbol?")</f>
        <v>Għaliex il-5 President tal-Università ddeċieda li jeħles mill-programm tal-futbol?</v>
      </c>
    </row>
    <row r="3739" ht="15.75" customHeight="1">
      <c r="A3739" s="2" t="s">
        <v>3739</v>
      </c>
      <c r="B3739" s="2" t="str">
        <f>IFERROR(__xludf.DUMMYFUNCTION("GOOGLETRANSLATE(A3739,""en"", ""mt"")"),"jekk hux se jagħmel iktar ħsara milli ġid")</f>
        <v>jekk hux se jagħmel iktar ħsara milli ġid</v>
      </c>
    </row>
    <row r="3740" ht="15.75" customHeight="1">
      <c r="A3740" s="2" t="s">
        <v>3740</v>
      </c>
      <c r="B3740" s="2" t="str">
        <f>IFERROR(__xludf.DUMMYFUNCTION("GOOGLETRANSLATE(A3740,""en"", ""mt"")"),"Liema kritika fl-artiklu ta 'NY Times li tħalli impatt fuq il-kwalità tal-edukazzjoni f'Harvard?")</f>
        <v>Liema kritika fl-artiklu ta 'NY Times li tħalli impatt fuq il-kwalità tal-edukazzjoni f'Harvard?</v>
      </c>
    </row>
    <row r="3741" ht="15.75" customHeight="1">
      <c r="A3741" s="2" t="s">
        <v>3741</v>
      </c>
      <c r="B3741" s="2" t="str">
        <f>IFERROR(__xludf.DUMMYFUNCTION("GOOGLETRANSLATE(A3741,""en"", ""mt"")"),"X'kien il-Jacksonville Fire aktar tard magħruf bħala?")</f>
        <v>X'kien il-Jacksonville Fire aktar tard magħruf bħala?</v>
      </c>
    </row>
    <row r="3742" ht="15.75" customHeight="1">
      <c r="A3742" s="2" t="s">
        <v>3742</v>
      </c>
      <c r="B3742" s="2" t="str">
        <f>IFERROR(__xludf.DUMMYFUNCTION("GOOGLETRANSLATE(A3742,""en"", ""mt"")"),"Wara l-perjodu ta 'Oligocene, taħt liema perjodu bdiet tespandi l-foresta tropikali tal-Amazon?")</f>
        <v>Wara l-perjodu ta 'Oligocene, taħt liema perjodu bdiet tespandi l-foresta tropikali tal-Amazon?</v>
      </c>
    </row>
    <row r="3743" ht="15.75" customHeight="1">
      <c r="A3743" s="2" t="s">
        <v>3743</v>
      </c>
      <c r="B3743" s="2" t="str">
        <f>IFERROR(__xludf.DUMMYFUNCTION("GOOGLETRANSLATE(A3743,""en"", ""mt"")"),"żieda fil-qgħad")</f>
        <v>żieda fil-qgħad</v>
      </c>
    </row>
    <row r="3744" ht="15.75" customHeight="1">
      <c r="A3744" s="2" t="s">
        <v>3744</v>
      </c>
      <c r="B3744" s="2" t="str">
        <f>IFERROR(__xludf.DUMMYFUNCTION("GOOGLETRANSLATE(A3744,""en"", ""mt"")"),"Min kien il-mexxej meta l-Franki daħlu fil-Wied ta ’Euphrates?")</f>
        <v>Min kien il-mexxej meta l-Franki daħlu fil-Wied ta ’Euphrates?</v>
      </c>
    </row>
    <row r="3745" ht="15.75" customHeight="1">
      <c r="A3745" s="2" t="s">
        <v>3745</v>
      </c>
      <c r="B3745" s="2" t="str">
        <f>IFERROR(__xludf.DUMMYFUNCTION("GOOGLETRANSLATE(A3745,""en"", ""mt"")"),"In-Nofsinhar ta ’California hija d-dar tal-Ajruport Internazzjonali ta’ Los Angeles, it-tieni ajruport l-aktar kailniċi fl-Istati Uniti mill-volum tal-passiġġieri (ara l-ajruporti l-aktar traffikużi tad-dinja mit-traffiku tal-passiġġieri) u t-tielet mill-"&amp;"volum internazzjonali tal-passiġġieri (ara l-ajruporti l-aktar traffikużi fl-Istati Uniti bit-traffiku internazzjonali tal-passiġġieri ); L-Ajruport Internazzjonali ta 'San Diego L-Ajruport ta' Runway Uniku l-aktar bieżel fid-dinja; L-Ajruport ta 'Van Nuy"&amp;"s, l-Ajruport ta' l-Avjazzjoni Ġenerali l-aktar traffikuż fid-dinja; Ajruporti kummerċjali ewlenin fil-Kontea ta 'Orange, Bakersfield, Ontario, Burbank u Long Beach; u bosta ajruporti ta 'l-avjazzjoni kummerċjali u ġenerali iżgħar.")</f>
        <v>In-Nofsinhar ta ’California hija d-dar tal-Ajruport Internazzjonali ta’ Los Angeles, it-tieni ajruport l-aktar kailniċi fl-Istati Uniti mill-volum tal-passiġġieri (ara l-ajruporti l-aktar traffikużi tad-dinja mit-traffiku tal-passiġġieri) u t-tielet mill-volum internazzjonali tal-passiġġieri (ara l-ajruporti l-aktar traffikużi fl-Istati Uniti bit-traffiku internazzjonali tal-passiġġieri ); L-Ajruport Internazzjonali ta 'San Diego L-Ajruport ta' Runway Uniku l-aktar bieżel fid-dinja; L-Ajruport ta 'Van Nuys, l-Ajruport ta' l-Avjazzjoni Ġenerali l-aktar traffikuż fid-dinja; Ajruporti kummerċjali ewlenin fil-Kontea ta 'Orange, Bakersfield, Ontario, Burbank u Long Beach; u bosta ajruporti ta 'l-avjazzjoni kummerċjali u ġenerali iżgħar.</v>
      </c>
    </row>
    <row r="3746" ht="15.75" customHeight="1">
      <c r="A3746" s="2" t="s">
        <v>3746</v>
      </c>
      <c r="B3746" s="2" t="str">
        <f>IFERROR(__xludf.DUMMYFUNCTION("GOOGLETRANSLATE(A3746,""en"", ""mt"")"),"Minn liema tista 'tiddependi l-elastiċità tat-tkabbir tal-faqar?")</f>
        <v>Minn liema tista 'tiddependi l-elastiċità tat-tkabbir tal-faqar?</v>
      </c>
    </row>
    <row r="3747" ht="15.75" customHeight="1">
      <c r="A3747" s="2" t="s">
        <v>3747</v>
      </c>
      <c r="B3747" s="2" t="str">
        <f>IFERROR(__xludf.DUMMYFUNCTION("GOOGLETRANSLATE(A3747,""en"", ""mt"")"),"Meta sar referendum ta 'konsolidazzjoni fl-1967, il-votanti approvaw il-pjan. Fl-1 ta 'Ottubru, 1968, il-gvernijiet ingħaqdu biex joħolqu l-belt konsolidata ta' Jacksonville. In-nar, il-pulizija, is-saħħa u l-benesseri, ir-rikreazzjoni, ix-xogħlijiet pubb"&amp;"liċi, u l-iżvilupp tad-djar u urbani kienu kollha kkombinati taħt il-gvern il-ġdid. Fl-unur tal-okkażjoni, dak iż-żmien Hans Tanzler poġġa mal-attriċi Lee Meredith wara sinjal li jimmarka l-fruntiera l-ġdida tal- ""Belt il-Ġdida Bold tan-Nofsinhar"" fi Fl"&amp;"orida 13 u Julington Creek. Il-pjan aħjar ta ’Jacksonville, promoss bħala blueprint għall-futur ta’ Jacksonville u approvat mill-votanti ta ’Jacksonville fl-2000, awtorizza taxxa fuq il-bejgħ nofs penny. Dan jiġġenera ħafna mid-dħul meħtieġ għall-pakkett "&amp;"ta '$ 2.25 biljun ta' proġetti ewlenin li kienu jinkludu titjib fit-toroq u l-infrastruttura, preservazzjoni ambjentali, żvilupp ekonomiku mmirat u faċilitajiet pubbliċi ġodda jew imtejba.")</f>
        <v>Meta sar referendum ta 'konsolidazzjoni fl-1967, il-votanti approvaw il-pjan. Fl-1 ta 'Ottubru, 1968, il-gvernijiet ingħaqdu biex joħolqu l-belt konsolidata ta' Jacksonville. In-nar, il-pulizija, is-saħħa u l-benesseri, ir-rikreazzjoni, ix-xogħlijiet pubbliċi, u l-iżvilupp tad-djar u urbani kienu kollha kkombinati taħt il-gvern il-ġdid. Fl-unur tal-okkażjoni, dak iż-żmien Hans Tanzler poġġa mal-attriċi Lee Meredith wara sinjal li jimmarka l-fruntiera l-ġdida tal- "Belt il-Ġdida Bold tan-Nofsinhar" fi Florida 13 u Julington Creek. Il-pjan aħjar ta ’Jacksonville, promoss bħala blueprint għall-futur ta’ Jacksonville u approvat mill-votanti ta ’Jacksonville fl-2000, awtorizza taxxa fuq il-bejgħ nofs penny. Dan jiġġenera ħafna mid-dħul meħtieġ għall-pakkett ta '$ 2.25 biljun ta' proġetti ewlenin li kienu jinkludu titjib fit-toroq u l-infrastruttura, preservazzjoni ambjentali, żvilupp ekonomiku mmirat u faċilitajiet pubbliċi ġodda jew imtejba.</v>
      </c>
    </row>
    <row r="3748" ht="15.75" customHeight="1">
      <c r="A3748" s="2" t="s">
        <v>3748</v>
      </c>
      <c r="B3748" s="2" t="str">
        <f>IFERROR(__xludf.DUMMYFUNCTION("GOOGLETRANSLATE(A3748,""en"", ""mt"")"),"Liema problemi kellha d-dinastija Yuan qrib it-tmiem tagħha?")</f>
        <v>Liema problemi kellha d-dinastija Yuan qrib it-tmiem tagħha?</v>
      </c>
    </row>
    <row r="3749" ht="15.75" customHeight="1">
      <c r="A3749" s="2" t="s">
        <v>3749</v>
      </c>
      <c r="B3749" s="2" t="str">
        <f>IFERROR(__xludf.DUMMYFUNCTION("GOOGLETRANSLATE(A3749,""en"", ""mt"")"),"Għal liema responsabbiltajiet kienu limitati t-tekniċi tal-ispiżerija?")</f>
        <v>Għal liema responsabbiltajiet kienu limitati t-tekniċi tal-ispiżerija?</v>
      </c>
    </row>
    <row r="3750" ht="15.75" customHeight="1">
      <c r="A3750" s="2" t="s">
        <v>3750</v>
      </c>
      <c r="B3750" s="2" t="str">
        <f>IFERROR(__xludf.DUMMYFUNCTION("GOOGLETRANSLATE(A3750,""en"", ""mt"")"),"Dixxiplini akkademiċi varji")</f>
        <v>Dixxiplini akkademiċi varji</v>
      </c>
    </row>
    <row r="3751" ht="15.75" customHeight="1">
      <c r="A3751" s="2" t="s">
        <v>3751</v>
      </c>
      <c r="B3751" s="2" t="str">
        <f>IFERROR(__xludf.DUMMYFUNCTION("GOOGLETRANSLATE(A3751,""en"", ""mt"")"),"Żieda sostanzjalment il-konċentrazzjonijiet atmosferiċi tal-gassijiet serra")</f>
        <v>Żieda sostanzjalment il-konċentrazzjonijiet atmosferiċi tal-gassijiet serra</v>
      </c>
    </row>
    <row r="3752" ht="15.75" customHeight="1">
      <c r="A3752" s="2" t="s">
        <v>3752</v>
      </c>
      <c r="B3752" s="2" t="str">
        <f>IFERROR(__xludf.DUMMYFUNCTION("GOOGLETRANSLATE(A3752,""en"", ""mt"")"),"Cnidarians")</f>
        <v>Cnidarians</v>
      </c>
    </row>
    <row r="3753" ht="15.75" customHeight="1">
      <c r="A3753" s="2" t="s">
        <v>3753</v>
      </c>
      <c r="B3753" s="2" t="str">
        <f>IFERROR(__xludf.DUMMYFUNCTION("GOOGLETRANSLATE(A3753,""en"", ""mt"")"),"Flimkien mal-Musulmani, il-Lhud u l-Insara Protestanti, liema grupp reliġjuż jopera l-aktar skejjel privati?")</f>
        <v>Flimkien mal-Musulmani, il-Lhud u l-Insara Protestanti, liema grupp reliġjuż jopera l-aktar skejjel privati?</v>
      </c>
    </row>
    <row r="3754" ht="15.75" customHeight="1">
      <c r="A3754" s="2" t="s">
        <v>3754</v>
      </c>
      <c r="B3754" s="2" t="str">
        <f>IFERROR(__xludf.DUMMYFUNCTION("GOOGLETRANSLATE(A3754,""en"", ""mt"")"),"Is-sistema immunitarja adattiva evolviet fil-vertebrati bikrija u tippermetti rispons immuni aktar b'saħħtu kif ukoll memorja immunoloġika, fejn kull patoġen huwa ""mfakkar"" minn antiġen tal-firma. Ir-rispons immunitarju adattiv huwa speċifiku għall-anti"&amp;"ġen u jirrikjedi r-rikonoxximent ta 'antiġeni speċifiċi ""mhux self"" waqt proċess imsejjaħ preżentazzjoni ta' antiġen. L-ispeċifiċità tal-antiġen tippermetti l-ġenerazzjoni ta 'tweġibiet li huma mfassla għal patoġeni speċifiċi jew ċelloli infettati bil-p"&amp;"atoġeni. Il-kapaċità li jintramaw dawn ir-risponsi mfassla tinżamm fil-ġisem permezz ta '""ċelloli tal-memorja"". Jekk patoġen jinfetta l-ġisem aktar minn darba, dawn iċ-ċelloli tal-memorja speċifiċi jintużaw biex jeliminawh malajr.")</f>
        <v>Is-sistema immunitarja adattiva evolviet fil-vertebrati bikrija u tippermetti rispons immuni aktar b'saħħtu kif ukoll memorja immunoloġika, fejn kull patoġen huwa "mfakkar" minn antiġen tal-firma. Ir-rispons immunitarju adattiv huwa speċifiku għall-antiġen u jirrikjedi r-rikonoxximent ta 'antiġeni speċifiċi "mhux self" waqt proċess imsejjaħ preżentazzjoni ta' antiġen. L-ispeċifiċità tal-antiġen tippermetti l-ġenerazzjoni ta 'tweġibiet li huma mfassla għal patoġeni speċifiċi jew ċelloli infettati bil-patoġeni. Il-kapaċità li jintramaw dawn ir-risponsi mfassla tinżamm fil-ġisem permezz ta '"ċelloli tal-memorja". Jekk patoġen jinfetta l-ġisem aktar minn darba, dawn iċ-ċelloli tal-memorja speċifiċi jintużaw biex jeliminawh malajr.</v>
      </c>
    </row>
    <row r="3755" ht="15.75" customHeight="1">
      <c r="A3755" s="2" t="s">
        <v>3755</v>
      </c>
      <c r="B3755" s="2" t="str">
        <f>IFERROR(__xludf.DUMMYFUNCTION("GOOGLETRANSLATE(A3755,""en"", ""mt"")"),"Min kien inkarigat mill-Armata Papali fil-Gwerra ta 'Barbastro?")</f>
        <v>Min kien inkarigat mill-Armata Papali fil-Gwerra ta 'Barbastro?</v>
      </c>
    </row>
    <row r="3756" ht="15.75" customHeight="1">
      <c r="A3756" s="2" t="s">
        <v>3756</v>
      </c>
      <c r="B3756" s="2" t="str">
        <f>IFERROR(__xludf.DUMMYFUNCTION("GOOGLETRANSLATE(A3756,""en"", ""mt"")"),"Fil Millingen Aan de Rijn fejn tinqasam ir-Renu, għal xiex tbiddel l-isem?")</f>
        <v>Fil Millingen Aan de Rijn fejn tinqasam ir-Renu, għal xiex tbiddel l-isem?</v>
      </c>
    </row>
    <row r="3757" ht="15.75" customHeight="1">
      <c r="A3757" s="2" t="s">
        <v>3757</v>
      </c>
      <c r="B3757" s="2" t="str">
        <f>IFERROR(__xludf.DUMMYFUNCTION("GOOGLETRANSLATE(A3757,""en"", ""mt"")"),"Id-diżubbidjenti ċivili għażlu varjetà ta 'atti illegali differenti. Bedau jikteb, ""Hemm klassi sħiħa ta 'atti, imwettqa f'isem id-diżubbidjenza ċivili, li, anke jekk kienu pprattikati b'mod wiesa', fihom infushom jikkostitwixxu ftit iktar minn inkonvenj"&amp;"ent (e.g. qbiż f'installazzjoni ta 'missili nukleari). . L-atti ta 'spiss huma biss fastidju u, għall-inqas għall-bystander, kemmxejn inane ... il-bogħod tal-konnessjoni bejn l-att diżubbidjenti u l-liġi oġġezzjonabbli jistabbilixxi tali atti miftuħa għal"&amp;"l-akkuża ta' ineffettività u assurdità. "" Bedau jinnota wkoll, madankollu, li l-ħsara stess ta 'protesti illegali kompletament simboliċi lejn għanijiet ta' politika pubblika jistgħu jservu skop ta 'propaganda. Xi diżubbidjenti ċivili, bħall-proprjetarji "&amp;"ta 'dispensarji ta' kannabis mediċi illegali u vuċi fid-deżert, li ġabu mediċina fl-Iraq mingħajr il-permess tal-gvern ta 'l-Istati Uniti, jiksbu direttament għan soċjali mixtieq (bħalma huma l-provvista ta' medikazzjoni għall-morda) waqt li Kisser bil-mi"&amp;"ftuħ il-liġi. Julia Butterfly Hill kienet toqgħod f'Luna, ta '180 pied (55 m) -tall, siġra ta' California Redwood ta '600 sena għal 738 ġurnata, u ma ħallietx b'suċċess milli tinqata'.")</f>
        <v>Id-diżubbidjenti ċivili għażlu varjetà ta 'atti illegali differenti. Bedau jikteb, "Hemm klassi sħiħa ta 'atti, imwettqa f'isem id-diżubbidjenza ċivili, li, anke jekk kienu pprattikati b'mod wiesa', fihom infushom jikkostitwixxu ftit iktar minn inkonvenjent (e.g. qbiż f'installazzjoni ta 'missili nukleari). . L-atti ta 'spiss huma biss fastidju u, għall-inqas għall-bystander, kemmxejn inane ... il-bogħod tal-konnessjoni bejn l-att diżubbidjenti u l-liġi oġġezzjonabbli jistabbilixxi tali atti miftuħa għall-akkuża ta' ineffettività u assurdità. " Bedau jinnota wkoll, madankollu, li l-ħsara stess ta 'protesti illegali kompletament simboliċi lejn għanijiet ta' politika pubblika jistgħu jservu skop ta 'propaganda. Xi diżubbidjenti ċivili, bħall-proprjetarji ta 'dispensarji ta' kannabis mediċi illegali u vuċi fid-deżert, li ġabu mediċina fl-Iraq mingħajr il-permess tal-gvern ta 'l-Istati Uniti, jiksbu direttament għan soċjali mixtieq (bħalma huma l-provvista ta' medikazzjoni għall-morda) waqt li Kisser bil-miftuħ il-liġi. Julia Butterfly Hill kienet toqgħod f'Luna, ta '180 pied (55 m) -tall, siġra ta' California Redwood ta '600 sena għal 738 ġurnata, u ma ħallietx b'suċċess milli tinqata'.</v>
      </c>
    </row>
    <row r="3758" ht="15.75" customHeight="1">
      <c r="A3758" s="2" t="s">
        <v>3758</v>
      </c>
      <c r="B3758" s="2" t="str">
        <f>IFERROR(__xludf.DUMMYFUNCTION("GOOGLETRANSLATE(A3758,""en"", ""mt"")"),"Kemm mili madwar l-Oċean Atlantiku jivvjaġġa t-trab tas-Saharan?")</f>
        <v>Kemm mili madwar l-Oċean Atlantiku jivvjaġġa t-trab tas-Saharan?</v>
      </c>
    </row>
    <row r="3759" ht="15.75" customHeight="1">
      <c r="A3759" s="2" t="s">
        <v>3759</v>
      </c>
      <c r="B3759" s="2" t="str">
        <f>IFERROR(__xludf.DUMMYFUNCTION("GOOGLETRANSLATE(A3759,""en"", ""mt"")"),"Minbarra li jiżdiedu, il-forzi jistgħu wkoll jiġu solvuti f'komponenti indipendenti f'angoli retti ma 'xulxin. Forza orizzontali li tipponta lejn il-grigal tista 'għalhekk tinqasam f'żewġ forzi, waħda li tipponta lejn it-tramuntana, u waħda li tipponta le"&amp;"jn il-lvant. Jingħaddu dawn il-forzi tal-komponenti bl-użu ta 'żieda fil-vettur jagħti l-forza oriġinali. Ir-riżoluzzjoni ta 'vettori tal-forza f'komponenti ta' sett ta 'vettori bażi ħafna drabi hija mod aktar nadif matematikament biex tiddeskrivi l-forzi"&amp;" milli tuża kobor u direzzjonijiet. Dan għaliex, għal komponenti ortogonali, il-komponenti tas-somma tal-vettur huma determinati b'mod uniku miż-żieda skalari tal-komponenti tal-vettori individwali. Komponenti ortogonali huma indipendenti minn xulxin minħ"&amp;"abba li l-forzi li jaġixxu f'disgħin grad ma 'xulxin m'għandhom l-ebda effett fuq il-kobor jew id-direzzjoni ta' l-oħra. L-għażla ta 'sett ta' vettori ta 'bażi ​​ortogonali ħafna drabi ssir billi jitqies liema sett ta' vettori bażi jagħmlu l-matematika l-"&amp;"iktar konvenjenti. L-għażla ta 'vettur bażi li hija fl-istess direzzjoni bħal waħda mill-forzi hija mixtieqa, peress li dik il-forza mbagħad ikollha komponent wieħed mhux żero. Vetturi tal-forza ortogonali jistgħu jkunu tridimensjonali bit-tielet komponen"&amp;"t li jkun fuq il-lemin tat-tnejn l-oħra.")</f>
        <v>Minbarra li jiżdiedu, il-forzi jistgħu wkoll jiġu solvuti f'komponenti indipendenti f'angoli retti ma 'xulxin. Forza orizzontali li tipponta lejn il-grigal tista 'għalhekk tinqasam f'żewġ forzi, waħda li tipponta lejn it-tramuntana, u waħda li tipponta lejn il-lvant. Jingħaddu dawn il-forzi tal-komponenti bl-użu ta 'żieda fil-vettur jagħti l-forza oriġinali. Ir-riżoluzzjoni ta 'vettori tal-forza f'komponenti ta' sett ta 'vettori bażi ħafna drabi hija mod aktar nadif matematikament biex tiddeskrivi l-forzi milli tuża kobor u direzzjonijiet. Dan għaliex, għal komponenti ortogonali, il-komponenti tas-somma tal-vettur huma determinati b'mod uniku miż-żieda skalari tal-komponenti tal-vettori individwali. Komponenti ortogonali huma indipendenti minn xulxin minħabba li l-forzi li jaġixxu f'disgħin grad ma 'xulxin m'għandhom l-ebda effett fuq il-kobor jew id-direzzjoni ta' l-oħra. L-għażla ta 'sett ta' vettori ta 'bażi ​​ortogonali ħafna drabi ssir billi jitqies liema sett ta' vettori bażi jagħmlu l-matematika l-iktar konvenjenti. L-għażla ta 'vettur bażi li hija fl-istess direzzjoni bħal waħda mill-forzi hija mixtieqa, peress li dik il-forza mbagħad ikollha komponent wieħed mhux żero. Vetturi tal-forza ortogonali jistgħu jkunu tridimensjonali bit-tielet komponent li jkun fuq il-lemin tat-tnejn l-oħra.</v>
      </c>
    </row>
    <row r="3760" ht="15.75" customHeight="1">
      <c r="A3760" s="2" t="s">
        <v>3760</v>
      </c>
      <c r="B3760" s="2" t="str">
        <f>IFERROR(__xludf.DUMMYFUNCTION("GOOGLETRANSLATE(A3760,""en"", ""mt"")"),"In-Normanni wara dan adottaw id-duttrini feudali dejjem jikbru tal-bqija ta 'Franza, u ħadmuhom f'sistema ġerarkika funzjonali kemm fin-Normandija kif ukoll fl-Ingilterra. Il-kbarat Norman il-ġodda kienu kulturalment u etnikament distinti mill-aristokrazi"&amp;"ja Franċiża l-qadima, li ħafna minnhom traċċaw in-nisel tagħhom għal franki tad-dinastija Karolingjana. Il-biċċa l-kbira tal-kavallieri Norman baqgħu fqar u bil-ġuħ tal-art, u sal-1066 in-Normandija kienet qed tesporta ġlieda kontra l-ġlied għal aktar min"&amp;"n ġenerazzjoni. Ħafna Normanni tal-Italja, Franza u l-Ingilterra eventwalment servew bħala kruċjati akkaniti taħt il-Prinċep Italo-Norman Bohemund I u r-Re Anglo-Norman Richard Richard il-Qalb tal-Iljun.")</f>
        <v>In-Normanni wara dan adottaw id-duttrini feudali dejjem jikbru tal-bqija ta 'Franza, u ħadmuhom f'sistema ġerarkika funzjonali kemm fin-Normandija kif ukoll fl-Ingilterra. Il-kbarat Norman il-ġodda kienu kulturalment u etnikament distinti mill-aristokrazija Franċiża l-qadima, li ħafna minnhom traċċaw in-nisel tagħhom għal franki tad-dinastija Karolingjana. Il-biċċa l-kbira tal-kavallieri Norman baqgħu fqar u bil-ġuħ tal-art, u sal-1066 in-Normandija kienet qed tesporta ġlieda kontra l-ġlied għal aktar minn ġenerazzjoni. Ħafna Normanni tal-Italja, Franza u l-Ingilterra eventwalment servew bħala kruċjati akkaniti taħt il-Prinċep Italo-Norman Bohemund I u r-Re Anglo-Norman Richard Richard il-Qalb tal-Iljun.</v>
      </c>
    </row>
    <row r="3761" ht="15.75" customHeight="1">
      <c r="A3761" s="2" t="s">
        <v>3761</v>
      </c>
      <c r="B3761" s="2" t="str">
        <f>IFERROR(__xludf.DUMMYFUNCTION("GOOGLETRANSLATE(A3761,""en"", ""mt"")"),"Il-Parlament Ewropew u l-Kunsill tal-Unjoni Ewropea")</f>
        <v>Il-Parlament Ewropew u l-Kunsill tal-Unjoni Ewropea</v>
      </c>
    </row>
    <row r="3762" ht="15.75" customHeight="1">
      <c r="A3762" s="2" t="s">
        <v>3762</v>
      </c>
      <c r="B3762" s="2" t="str">
        <f>IFERROR(__xludf.DUMMYFUNCTION("GOOGLETRANSLATE(A3762,""en"", ""mt"")"),"Liġi u Filosofija")</f>
        <v>Liġi u Filosofija</v>
      </c>
    </row>
    <row r="3763" ht="15.75" customHeight="1">
      <c r="A3763" s="2" t="s">
        <v>3763</v>
      </c>
      <c r="B3763" s="2" t="str">
        <f>IFERROR(__xludf.DUMMYFUNCTION("GOOGLETRANSLATE(A3763,""en"", ""mt"")"),"kemm adattivi kif ukoll innati")</f>
        <v>kemm adattivi kif ukoll innati</v>
      </c>
    </row>
    <row r="3764" ht="15.75" customHeight="1">
      <c r="A3764" s="2" t="s">
        <v>3764</v>
      </c>
      <c r="B3764" s="2" t="str">
        <f>IFERROR(__xludf.DUMMYFUNCTION("GOOGLETRANSLATE(A3764,""en"", ""mt"")"),"Tweġibiet immuni adattivi u innati")</f>
        <v>Tweġibiet immuni adattivi u innati</v>
      </c>
    </row>
    <row r="3765" ht="15.75" customHeight="1">
      <c r="A3765" s="2" t="s">
        <v>3765</v>
      </c>
      <c r="B3765" s="2" t="str">
        <f>IFERROR(__xludf.DUMMYFUNCTION("GOOGLETRANSLATE(A3765,""en"", ""mt"")"),"Xi tfisser Warszawa fil-Pollakk?")</f>
        <v>Xi tfisser Warszawa fil-Pollakk?</v>
      </c>
    </row>
    <row r="3766" ht="15.75" customHeight="1">
      <c r="A3766" s="2" t="s">
        <v>3766</v>
      </c>
      <c r="B3766" s="2" t="str">
        <f>IFERROR(__xludf.DUMMYFUNCTION("GOOGLETRANSLATE(A3766,""en"", ""mt"")"),"Għal min kien miktub ir-rapport mediku?")</f>
        <v>Għal min kien miktub ir-rapport mediku?</v>
      </c>
    </row>
    <row r="3767" ht="15.75" customHeight="1">
      <c r="A3767" s="2" t="s">
        <v>3767</v>
      </c>
      <c r="B3767" s="2" t="str">
        <f>IFERROR(__xludf.DUMMYFUNCTION("GOOGLETRANSLATE(A3767,""en"", ""mt"")"),"Huwa żgura dħul għoli u l-etika medika kienu kompatibbli mal-virtujiet Confucian")</f>
        <v>Huwa żgura dħul għoli u l-etika medika kienu kompatibbli mal-virtujiet Confucian</v>
      </c>
    </row>
    <row r="3768" ht="15.75" customHeight="1">
      <c r="A3768" s="2" t="s">
        <v>3768</v>
      </c>
      <c r="B3768" s="2" t="str">
        <f>IFERROR(__xludf.DUMMYFUNCTION("GOOGLETRANSLATE(A3768,""en"", ""mt"")"),"Arpanet u Sita HLN saru operattivi fl-1969. Qabel l-introduzzjoni ta 'X.25 fl-1973, ġew żviluppati madwar għoxrin teknoloġiji differenti tan-netwerk. Żewġ differenzi fundamentali kienu jinvolvu d-diviżjoni tal-funzjonijiet u l-kompiti bejn l-ospiti fit-ta"&amp;"rf tan-netwerk u l-qalba tan-netwerk. Fis-sistema tad-datagramma, l-ospiti għandhom ir-responsabbiltà li jiżguraw twassil ordnat ta 'pakketti. Il-Protokoll tad-Datagramma tal-Utent (UDP) huwa eżempju ta 'protokoll ta' datagramma. Fis-sistema ta 'telefonat"&amp;"i virtwali, in-netwerk jiggarantixxi l-konsenja sekwenzjata ta' dejta lill-host. Dan jirriżulta f'interface ospitanti aktar sempliċi b'inqas funzjonalità milli fil-mudell Datagram. Is-suite tal-protokoll X.25 tuża dan it-tip ta 'netwerk.")</f>
        <v>Arpanet u Sita HLN saru operattivi fl-1969. Qabel l-introduzzjoni ta 'X.25 fl-1973, ġew żviluppati madwar għoxrin teknoloġiji differenti tan-netwerk. Żewġ differenzi fundamentali kienu jinvolvu d-diviżjoni tal-funzjonijiet u l-kompiti bejn l-ospiti fit-tarf tan-netwerk u l-qalba tan-netwerk. Fis-sistema tad-datagramma, l-ospiti għandhom ir-responsabbiltà li jiżguraw twassil ordnat ta 'pakketti. Il-Protokoll tad-Datagramma tal-Utent (UDP) huwa eżempju ta 'protokoll ta' datagramma. Fis-sistema ta 'telefonati virtwali, in-netwerk jiggarantixxi l-konsenja sekwenzjata ta' dejta lill-host. Dan jirriżulta f'interface ospitanti aktar sempliċi b'inqas funzjonalità milli fil-mudell Datagram. Is-suite tal-protokoll X.25 tuża dan it-tip ta 'netwerk.</v>
      </c>
    </row>
    <row r="3769" ht="15.75" customHeight="1">
      <c r="A3769" s="2" t="s">
        <v>3769</v>
      </c>
      <c r="B3769" s="2" t="str">
        <f>IFERROR(__xludf.DUMMYFUNCTION("GOOGLETRANSLATE(A3769,""en"", ""mt"")"),"Drittijiet ta 'tagħlim baxxi ħafna")</f>
        <v>Drittijiet ta 'tagħlim baxxi ħafna</v>
      </c>
    </row>
    <row r="3770" ht="15.75" customHeight="1">
      <c r="A3770" s="2" t="s">
        <v>3770</v>
      </c>
      <c r="B3770" s="2" t="str">
        <f>IFERROR(__xludf.DUMMYFUNCTION("GOOGLETRANSLATE(A3770,""en"", ""mt"")"),"għamel grad ta 'A għall-erba' snin kollha")</f>
        <v>għamel grad ta 'A għall-erba' snin kollha</v>
      </c>
    </row>
    <row r="3771" ht="15.75" customHeight="1">
      <c r="A3771" s="2" t="s">
        <v>3771</v>
      </c>
      <c r="B3771" s="2" t="str">
        <f>IFERROR(__xludf.DUMMYFUNCTION("GOOGLETRANSLATE(A3771,""en"", ""mt"")"),"Fl-1 ta 'Frar 2007, lejliet il-pubblikazzjoni tar-rapport ewlieni tal-IPCC dwar il-klima, ġie ppubblikat studju li jissuġġerixxi li t-temperaturi u l-livelli tal-baħar kienu qed jiżdiedu fuq jew' il fuq mir-rati massimi proposti matul l-aħħar rapport tal-"&amp;"IPCC fl-2001. L-istudju qabbel IPCC 2001 Projezzjonijiet dwar it-temperatura u l-livell tal-baħar jinbidlu bl-osservazzjonijiet. Matul is-sitt snin studjati, iż-żieda fit-temperatura attwali kienet qrib it-tarf ta 'fuq tal-firxa mogħtija mill-projezzjoni "&amp;"tal-IPCC 2001, u ż-żieda attwali fil-livell tal-baħar kienet' il fuq mill-parti ta 'fuq tal-firxa tal-projezzjoni IPCC.")</f>
        <v>Fl-1 ta 'Frar 2007, lejliet il-pubblikazzjoni tar-rapport ewlieni tal-IPCC dwar il-klima, ġie ppubblikat studju li jissuġġerixxi li t-temperaturi u l-livelli tal-baħar kienu qed jiżdiedu fuq jew' il fuq mir-rati massimi proposti matul l-aħħar rapport tal-IPCC fl-2001. L-istudju qabbel IPCC 2001 Projezzjonijiet dwar it-temperatura u l-livell tal-baħar jinbidlu bl-osservazzjonijiet. Matul is-sitt snin studjati, iż-żieda fit-temperatura attwali kienet qrib it-tarf ta 'fuq tal-firxa mogħtija mill-projezzjoni tal-IPCC 2001, u ż-żieda attwali fil-livell tal-baħar kienet' il fuq mill-parti ta 'fuq tal-firxa tal-projezzjoni IPCC.</v>
      </c>
    </row>
    <row r="3772" ht="15.75" customHeight="1">
      <c r="A3772" s="2" t="s">
        <v>3772</v>
      </c>
      <c r="B3772" s="2" t="str">
        <f>IFERROR(__xludf.DUMMYFUNCTION("GOOGLETRANSLATE(A3772,""en"", ""mt"")"),"rwoli tas-sessi u drawwiet")</f>
        <v>rwoli tas-sessi u drawwiet</v>
      </c>
    </row>
    <row r="3773" ht="15.75" customHeight="1">
      <c r="A3773" s="2" t="s">
        <v>3773</v>
      </c>
      <c r="B3773" s="2" t="str">
        <f>IFERROR(__xludf.DUMMYFUNCTION("GOOGLETRANSLATE(A3773,""en"", ""mt"")"),"Żieda sostanzjalment il-konċentrazzjonijiet atmosferiċi")</f>
        <v>Żieda sostanzjalment il-konċentrazzjonijiet atmosferiċi</v>
      </c>
    </row>
    <row r="3774" ht="15.75" customHeight="1">
      <c r="A3774" s="2" t="s">
        <v>3774</v>
      </c>
      <c r="B3774" s="2" t="str">
        <f>IFERROR(__xludf.DUMMYFUNCTION("GOOGLETRANSLATE(A3774,""en"", ""mt"")"),"Kif jintbagħtu l-pakketti normalment")</f>
        <v>Kif jintbagħtu l-pakketti normalment</v>
      </c>
    </row>
    <row r="3775" ht="15.75" customHeight="1">
      <c r="A3775" s="2" t="s">
        <v>3775</v>
      </c>
      <c r="B3775" s="2" t="str">
        <f>IFERROR(__xludf.DUMMYFUNCTION("GOOGLETRANSLATE(A3775,""en"", ""mt"")"),"Storikament, il-forzi ġew investigati l-ewwel kwantitattivament f'kundizzjonijiet ta 'bilanċ statiku fejn diversi forzi kkanċellaw lil xulxin. Esperimenti bħal dawn juru l-proprjetajiet kruċjali li l-forzi huma kwantitajiet ta 'vettur addittivi: għandhom "&amp;"kobor u direzzjoni. Meta żewġ forzi jaġixxu fuq partikula punt, il-forza li tirriżulta, li tirriżulta (tissejjaħ ukoll il-forza netta), tista 'tiġi ddeterminata billi ssegwi r-regola parallelogramma ta' vettur miżjud: iż-żieda ta 'żewġ vettori rappreżenta"&amp;"ti minn naħat ta' parallelogramma, tagħti ekwivalenti vettur li jirriżulta li huwa ugwali fil-kobor u d-direzzjoni għat-trasversali tal-parallelogramma. Il-kobor tar-riżultanti jvarja mid-differenza tal-kobor taż-żewġ forzi għas-somma tagħhom, skont l-ang"&amp;"olu bejn il-linji ta 'azzjoni tagħhom. Madankollu, jekk il-forzi qed jaġixxu fuq korp estiż, il-linji ta 'applikazzjoni rispettivi tagħhom għandhom jiġu speċifikati wkoll sabiex jiġu kkunsidrati l-effetti tagħhom fuq il-moviment tal-ġisem.")</f>
        <v>Storikament, il-forzi ġew investigati l-ewwel kwantitattivament f'kundizzjonijiet ta 'bilanċ statiku fejn diversi forzi kkanċellaw lil xulxin. Esperimenti bħal dawn juru l-proprjetajiet kruċjali li l-forzi huma kwantitajiet ta 'vettur addittivi: għandhom kobor u direzzjoni. Meta żewġ forzi jaġixxu fuq partikula punt, il-forza li tirriżulta, li tirriżulta (tissejjaħ ukoll il-forza netta), tista 'tiġi ddeterminata billi ssegwi r-regola parallelogramma ta' vettur miżjud: iż-żieda ta 'żewġ vettori rappreżentati minn naħat ta' parallelogramma, tagħti ekwivalenti vettur li jirriżulta li huwa ugwali fil-kobor u d-direzzjoni għat-trasversali tal-parallelogramma. Il-kobor tar-riżultanti jvarja mid-differenza tal-kobor taż-żewġ forzi għas-somma tagħhom, skont l-angolu bejn il-linji ta 'azzjoni tagħhom. Madankollu, jekk il-forzi qed jaġixxu fuq korp estiż, il-linji ta 'applikazzjoni rispettivi tagħhom għandhom jiġu speċifikati wkoll sabiex jiġu kkunsidrati l-effetti tagħhom fuq il-moviment tal-ġisem.</v>
      </c>
    </row>
    <row r="3776" ht="15.75" customHeight="1">
      <c r="A3776" s="2" t="s">
        <v>3776</v>
      </c>
      <c r="B3776" s="2" t="str">
        <f>IFERROR(__xludf.DUMMYFUNCTION("GOOGLETRANSLATE(A3776,""en"", ""mt"")"),"Amazonia: raġel u kultura fi ġenna ffalsifikata")</f>
        <v>Amazonia: raġel u kultura fi ġenna ffalsifikata</v>
      </c>
    </row>
    <row r="3777" ht="15.75" customHeight="1">
      <c r="A3777" s="2" t="s">
        <v>3777</v>
      </c>
      <c r="B3777" s="2" t="str">
        <f>IFERROR(__xludf.DUMMYFUNCTION("GOOGLETRANSLATE(A3777,""en"", ""mt"")"),"Fi ħdan il-passaġġi ġenitourinarji u gastro-intestinali, il-flora commensal isservi bħala ostakli bijoloġiċi billi tikkompeti ma 'batterji patoġeniċi għall-ikel u l-ispazju u, f'xi każijiet, billi tbiddel il-kundizzjonijiet fl-ambjent tagħhom, bħal pH jew"&amp;" ħadid disponibbli. Dan inaqqas il-probabbiltà li l-patoġeni jilħqu numri suffiċjenti biex jikkawżaw mard. Madankollu, peress li l-biċċa l-kbira tal-antibijotiċi mhux speċifikament jimmiraw batterji u ma jaffettwawx il-fungi, l-antibijotiċi orali jistgħu "&amp;"jwasslu għal ""żieda żejda"" ta 'fungi u jikkawżaw kundizzjonijiet bħal kandidjażi vaġinali (infezzjoni tal-ħmira). Hemm evidenza tajba li l-introduzzjoni mill-ġdid ta 'flora probijotika, bħal kulturi puri tal-lactobacilli li normalment jinstabu fil-jogur"&amp;"t mhux pasturizzat, jgħin biex jerġa' jġib bilanċ b'saħħtu ta 'popolazzjonijiet mikrobjali f'infezzjonijiet intestinali fit-tfal u jinkoraġġixxi dejta preliminari fi studji dwar gastroenterite batterika, bowel infjammatorju Mard, infezzjoni fl-apparat uri"&amp;"narju u infezzjonijiet post-kirurġiċi.")</f>
        <v>Fi ħdan il-passaġġi ġenitourinarji u gastro-intestinali, il-flora commensal isservi bħala ostakli bijoloġiċi billi tikkompeti ma 'batterji patoġeniċi għall-ikel u l-ispazju u, f'xi każijiet, billi tbiddel il-kundizzjonijiet fl-ambjent tagħhom, bħal pH jew ħadid disponibbli. Dan inaqqas il-probabbiltà li l-patoġeni jilħqu numri suffiċjenti biex jikkawżaw mard. Madankollu, peress li l-biċċa l-kbira tal-antibijotiċi mhux speċifikament jimmiraw batterji u ma jaffettwawx il-fungi, l-antibijotiċi orali jistgħu jwasslu għal "żieda żejda" ta 'fungi u jikkawżaw kundizzjonijiet bħal kandidjażi vaġinali (infezzjoni tal-ħmira). Hemm evidenza tajba li l-introduzzjoni mill-ġdid ta 'flora probijotika, bħal kulturi puri tal-lactobacilli li normalment jinstabu fil-jogurt mhux pasturizzat, jgħin biex jerġa' jġib bilanċ b'saħħtu ta 'popolazzjonijiet mikrobjali f'infezzjonijiet intestinali fit-tfal u jinkoraġġixxi dejta preliminari fi studji dwar gastroenterite batterika, bowel infjammatorju Mard, infezzjoni fl-apparat urinarju u infezzjonijiet post-kirurġiċi.</v>
      </c>
    </row>
    <row r="3778" ht="15.75" customHeight="1">
      <c r="A3778" s="2" t="s">
        <v>3778</v>
      </c>
      <c r="B3778" s="2" t="str">
        <f>IFERROR(__xludf.DUMMYFUNCTION("GOOGLETRANSLATE(A3778,""en"", ""mt"")"),"Ipprovdi metodu ta 'rotta tolleranti għall-ħsarat u effiċjenti għal messaġġi tat-telekomunikazzjoni")</f>
        <v>Ipprovdi metodu ta 'rotta tolleranti għall-ħsarat u effiċjenti għal messaġġi tat-telekomunikazzjoni</v>
      </c>
    </row>
    <row r="3779" ht="15.75" customHeight="1">
      <c r="A3779" s="2" t="s">
        <v>3779</v>
      </c>
      <c r="B3779" s="2" t="str">
        <f>IFERROR(__xludf.DUMMYFUNCTION("GOOGLETRANSLATE(A3779,""en"", ""mt"")"),"X'inhu Twin Prime?")</f>
        <v>X'inhu Twin Prime?</v>
      </c>
    </row>
    <row r="3780" ht="15.75" customHeight="1">
      <c r="A3780" s="2" t="s">
        <v>3780</v>
      </c>
      <c r="B3780" s="2" t="str">
        <f>IFERROR(__xludf.DUMMYFUNCTION("GOOGLETRANSLATE(A3780,""en"", ""mt"")"),"Imperjalizmu")</f>
        <v>Imperjalizmu</v>
      </c>
    </row>
    <row r="3781" ht="15.75" customHeight="1">
      <c r="A3781" s="2" t="s">
        <v>3781</v>
      </c>
      <c r="B3781" s="2" t="str">
        <f>IFERROR(__xludf.DUMMYFUNCTION("GOOGLETRANSLATE(A3781,""en"", ""mt"")"),"Private_school")</f>
        <v>Private_school</v>
      </c>
    </row>
    <row r="3782" ht="15.75" customHeight="1">
      <c r="A3782" s="2" t="s">
        <v>3782</v>
      </c>
      <c r="B3782" s="2" t="str">
        <f>IFERROR(__xludf.DUMMYFUNCTION("GOOGLETRANSLATE(A3782,""en"", ""mt"")"),"11–13-il seklu WK")</f>
        <v>11–13-il seklu WK</v>
      </c>
    </row>
    <row r="3783" ht="15.75" customHeight="1">
      <c r="A3783" s="2" t="s">
        <v>3783</v>
      </c>
      <c r="B3783" s="2" t="str">
        <f>IFERROR(__xludf.DUMMYFUNCTION("GOOGLETRANSLATE(A3783,""en"", ""mt"")"),"X'inhuma eżempji ta 'atturi ekonomiċi?")</f>
        <v>X'inhuma eżempji ta 'atturi ekonomiċi?</v>
      </c>
    </row>
    <row r="3784" ht="15.75" customHeight="1">
      <c r="A3784" s="2" t="s">
        <v>3784</v>
      </c>
      <c r="B3784" s="2" t="str">
        <f>IFERROR(__xludf.DUMMYFUNCTION("GOOGLETRANSLATE(A3784,""en"", ""mt"")"),"Liema reġjuni għandhom klimi moderati?")</f>
        <v>Liema reġjuni għandhom klimi moderati?</v>
      </c>
    </row>
    <row r="3785" ht="15.75" customHeight="1">
      <c r="A3785" s="2" t="s">
        <v>3785</v>
      </c>
      <c r="B3785" s="2" t="str">
        <f>IFERROR(__xludf.DUMMYFUNCTION("GOOGLETRANSLATE(A3785,""en"", ""mt"")"),"Lenin")</f>
        <v>Lenin</v>
      </c>
    </row>
    <row r="3786" ht="15.75" customHeight="1">
      <c r="A3786" s="2" t="s">
        <v>3786</v>
      </c>
      <c r="B3786" s="2" t="str">
        <f>IFERROR(__xludf.DUMMYFUNCTION("GOOGLETRANSLATE(A3786,""en"", ""mt"")"),"X'jiġri biex taħli s-sħana fiċ-ċiklu ta 'Rankine?")</f>
        <v>X'jiġri biex taħli s-sħana fiċ-ċiklu ta 'Rankine?</v>
      </c>
    </row>
    <row r="3787" ht="15.75" customHeight="1">
      <c r="A3787" s="2" t="s">
        <v>3787</v>
      </c>
      <c r="B3787" s="2" t="str">
        <f>IFERROR(__xludf.DUMMYFUNCTION("GOOGLETRANSLATE(A3787,""en"", ""mt"")"),"Hemm interess dejjem jikber f'liema grupp indiġenu fl-Amażonja?")</f>
        <v>Hemm interess dejjem jikber f'liema grupp indiġenu fl-Amażonja?</v>
      </c>
    </row>
    <row r="3788" ht="15.75" customHeight="1">
      <c r="A3788" s="2" t="s">
        <v>3788</v>
      </c>
      <c r="B3788" s="2" t="str">
        <f>IFERROR(__xludf.DUMMYFUNCTION("GOOGLETRANSLATE(A3788,""en"", ""mt"")"),"Investigazzjoni ġdida dwar ir-rwol ta 'Yersinia pestis fil-mewt l-Iswed")</f>
        <v>Investigazzjoni ġdida dwar ir-rwol ta 'Yersinia pestis fil-mewt l-Iswed</v>
      </c>
    </row>
    <row r="3789" ht="15.75" customHeight="1">
      <c r="A3789" s="2" t="s">
        <v>3789</v>
      </c>
      <c r="B3789" s="2" t="str">
        <f>IFERROR(__xludf.DUMMYFUNCTION("GOOGLETRANSLATE(A3789,""en"", ""mt"")"),"L-ewwel apparat kummerċjali li jaħdem bil-fwar kien pompa tal-ilma, żviluppata fl-1698 minn Thomas Savery. Huwa uża l-fwar tal-kondensazzjoni biex joħloq vakwu li ntuża biex jgħolli l-ilma minn taħt, imbagħad uża l-pressjoni tal-fwar biex tgħolliha ogħla."&amp;" Magni żgħar kienu effettivi għalkemm mudelli akbar kienu problematiċi. Huma wrew biss li kellhom għoli limitat tal-lift u kienu suxxettibbli għal splużjonijiet tal-bojler. Irċieva xi użu fil-minjieri, stazzjonijiet tal-ippumpjar u għall-forniment tar-rot"&amp;"i tal-ilma użati biex jitħaddmu makkinarju tat-tessuti. Karatteristika attraenti tal-magna tas-salvataġġ kienet l-ispiża baxxa tagħha. Il-Portugal ta 'Bento de Moura introduċa titjib inġenjuż tal-kostruzzjoni ta' SAVERY ""biex tirrendiha kapaċi taħdem inn"&amp;"ifsu"", kif deskritt minn John Smeaton fit-tranżazzjonijiet filosofiċi ppubblikati fl-1751. Kompla jiġi manifatturat sal-aħħar tas-seklu 18. Magna waħda kienet għadha magħrufa li qed topera fl-1820.")</f>
        <v>L-ewwel apparat kummerċjali li jaħdem bil-fwar kien pompa tal-ilma, żviluppata fl-1698 minn Thomas Savery. Huwa uża l-fwar tal-kondensazzjoni biex joħloq vakwu li ntuża biex jgħolli l-ilma minn taħt, imbagħad uża l-pressjoni tal-fwar biex tgħolliha ogħla. Magni żgħar kienu effettivi għalkemm mudelli akbar kienu problematiċi. Huma wrew biss li kellhom għoli limitat tal-lift u kienu suxxettibbli għal splużjonijiet tal-bojler. Irċieva xi użu fil-minjieri, stazzjonijiet tal-ippumpjar u għall-forniment tar-roti tal-ilma użati biex jitħaddmu makkinarju tat-tessuti. Karatteristika attraenti tal-magna tas-salvataġġ kienet l-ispiża baxxa tagħha. Il-Portugal ta 'Bento de Moura introduċa titjib inġenjuż tal-kostruzzjoni ta' SAVERY "biex tirrendiha kapaċi taħdem innifsu", kif deskritt minn John Smeaton fit-tranżazzjonijiet filosofiċi ppubblikati fl-1751. Kompla jiġi manifatturat sal-aħħar tas-seklu 18. Magna waħda kienet għadha magħrufa li qed topera fl-1820.</v>
      </c>
    </row>
    <row r="3790" ht="15.75" customHeight="1">
      <c r="A3790" s="2" t="s">
        <v>3790</v>
      </c>
      <c r="B3790" s="2" t="str">
        <f>IFERROR(__xludf.DUMMYFUNCTION("GOOGLETRANSLATE(A3790,""en"", ""mt"")"),"Iċ-Ċina tan-Nofsinhar irreżistiet u ġġieldet għall-aħħar")</f>
        <v>Iċ-Ċina tan-Nofsinhar irreżistiet u ġġieldet għall-aħħar</v>
      </c>
    </row>
    <row r="3791" ht="15.75" customHeight="1">
      <c r="A3791" s="2" t="s">
        <v>3791</v>
      </c>
      <c r="B3791" s="2" t="str">
        <f>IFERROR(__xludf.DUMMYFUNCTION("GOOGLETRANSLATE(A3791,""en"", ""mt"")"),"bħala materjali tal-alimentazzjoni")</f>
        <v>bħala materjali tal-alimentazzjoni</v>
      </c>
    </row>
    <row r="3792" ht="15.75" customHeight="1">
      <c r="A3792" s="2" t="s">
        <v>3792</v>
      </c>
      <c r="B3792" s="2" t="str">
        <f>IFERROR(__xludf.DUMMYFUNCTION("GOOGLETRANSLATE(A3792,""en"", ""mt"")"),"Kif jgħaddu l-pakketti")</f>
        <v>Kif jgħaddu l-pakketti</v>
      </c>
    </row>
    <row r="3793" ht="15.75" customHeight="1">
      <c r="A3793" s="2" t="s">
        <v>3793</v>
      </c>
      <c r="B3793" s="2" t="str">
        <f>IFERROR(__xludf.DUMMYFUNCTION("GOOGLETRANSLATE(A3793,""en"", ""mt"")"),"mitluba mill-gvernijiet.")</f>
        <v>mitluba mill-gvernijiet.</v>
      </c>
    </row>
    <row r="3794" ht="15.75" customHeight="1">
      <c r="A3794" s="2" t="s">
        <v>3794</v>
      </c>
      <c r="B3794" s="2" t="str">
        <f>IFERROR(__xludf.DUMMYFUNCTION("GOOGLETRANSLATE(A3794,""en"", ""mt"")"),"Id-dħul miż-żejt ma kienx qed jibbenefika l-Iskozja daqs kemm għandhom")</f>
        <v>Id-dħul miż-żejt ma kienx qed jibbenefika l-Iskozja daqs kemm għandhom</v>
      </c>
    </row>
    <row r="3795" ht="15.75" customHeight="1">
      <c r="A3795" s="2" t="s">
        <v>3795</v>
      </c>
      <c r="B3795" s="2" t="str">
        <f>IFERROR(__xludf.DUMMYFUNCTION("GOOGLETRANSLATE(A3795,""en"", ""mt"")"),"In-newtrofili u l-makrofaġi huma fagoċiti li jivvjaġġaw mal-ġisem kollu fit-tfittxija ta 'patoġeni li jinvadu. In-newtrofili normalment jinstabu fin-nixxiegħa tad-demm u huma l-iktar tip abbundanti ta 'fagoċiti, li normalment jirrappreżentaw 50% sa 60% ta"&amp;"l-lewkoċiti totali li jiċċirkolaw. Matul il-fażi akuta ta 'infjammazzjoni, partikolarment bħala riżultat ta' infezzjoni batterika, in-newtrofili jemigraw lejn is-sit ta 'infjammazzjoni fi proċess imsejjaħ chemotaxis, u ġeneralment huma l-ewwel ċelloli li "&amp;"jaslu fix-xena ta' infezzjoni. Il-makrofaġi huma ċelloli versatili li joqogħdu fit-tessuti u jipproduċu firxa wiesgħa ta 'kimiċi inklużi enzimi, proteini li jikkumplimentaw, u fatturi regolatorji bħal interleukin 1. Il-makrofaġi jaġixxu wkoll bħala kennie"&amp;"sa, jeħilsu l-ġisem ta' ċelloli li jintlibsu u debris ieħor, u bħala antigen, u bħala antigen Iċ-ċelloli li jippreżentaw li jattivaw is-sistema immuni adatta.")</f>
        <v>In-newtrofili u l-makrofaġi huma fagoċiti li jivvjaġġaw mal-ġisem kollu fit-tfittxija ta 'patoġeni li jinvadu. In-newtrofili normalment jinstabu fin-nixxiegħa tad-demm u huma l-iktar tip abbundanti ta 'fagoċiti, li normalment jirrappreżentaw 50% sa 60% tal-lewkoċiti totali li jiċċirkolaw. Matul il-fażi akuta ta 'infjammazzjoni, partikolarment bħala riżultat ta' infezzjoni batterika, in-newtrofili jemigraw lejn is-sit ta 'infjammazzjoni fi proċess imsejjaħ chemotaxis, u ġeneralment huma l-ewwel ċelloli li jaslu fix-xena ta' infezzjoni. Il-makrofaġi huma ċelloli versatili li joqogħdu fit-tessuti u jipproduċu firxa wiesgħa ta 'kimiċi inklużi enzimi, proteini li jikkumplimentaw, u fatturi regolatorji bħal interleukin 1. Il-makrofaġi jaġixxu wkoll bħala kenniesa, jeħilsu l-ġisem ta' ċelloli li jintlibsu u debris ieħor, u bħala antigen, u bħala antigen Iċ-ċelloli li jippreżentaw li jattivaw is-sistema immuni adatta.</v>
      </c>
    </row>
    <row r="3796" ht="15.75" customHeight="1">
      <c r="A3796" s="2" t="s">
        <v>3796</v>
      </c>
      <c r="B3796" s="2" t="str">
        <f>IFERROR(__xludf.DUMMYFUNCTION("GOOGLETRANSLATE(A3796,""en"", ""mt"")"),"Liema Papa bħala nattiv tal-Polonja?")</f>
        <v>Liema Papa bħala nattiv tal-Polonja?</v>
      </c>
    </row>
    <row r="3797" ht="15.75" customHeight="1">
      <c r="A3797" s="2" t="s">
        <v>3797</v>
      </c>
      <c r="B3797" s="2" t="str">
        <f>IFERROR(__xludf.DUMMYFUNCTION("GOOGLETRANSLATE(A3797,""en"", ""mt"")"),"X'inhu d-dispensarju soġġett għal maġġoranza tal-pajjiżi?")</f>
        <v>X'inhu d-dispensarju soġġett għal maġġoranza tal-pajjiżi?</v>
      </c>
    </row>
    <row r="3798" ht="15.75" customHeight="1">
      <c r="A3798" s="2" t="s">
        <v>3798</v>
      </c>
      <c r="B3798" s="2" t="str">
        <f>IFERROR(__xludf.DUMMYFUNCTION("GOOGLETRANSLATE(A3798,""en"", ""mt"")"),"Permezz ta ’assoċjazzjonijiet varji u arranġamenti oħra")</f>
        <v>Permezz ta ’assoċjazzjonijiet varji u arranġamenti oħra</v>
      </c>
    </row>
    <row r="3799" ht="15.75" customHeight="1">
      <c r="A3799" s="2" t="s">
        <v>3799</v>
      </c>
      <c r="B3799" s="2" t="str">
        <f>IFERROR(__xludf.DUMMYFUNCTION("GOOGLETRANSLATE(A3799,""en"", ""mt"")"),"1870 sa 1939")</f>
        <v>1870 sa 1939</v>
      </c>
    </row>
    <row r="3800" ht="15.75" customHeight="1">
      <c r="A3800" s="2" t="s">
        <v>3800</v>
      </c>
      <c r="B3800" s="2" t="str">
        <f>IFERROR(__xludf.DUMMYFUNCTION("GOOGLETRANSLATE(A3800,""en"", ""mt"")"),"Fil-modalità mingħajr konnessjoni kull pakkett jinkludi informazzjoni kompluta dwar l-indirizzar. Il-pakketti huma mgħoddija individwalment, u xi kultant jirriżultaw fi mogħdijiet differenti u kunsinna barra mill-ordni. Kull pakkett huwa ttikkettjat b'ind"&amp;"irizz ta 'destinazzjoni, indirizz tas-sors, u numri tal-port. Jista 'jkun ukoll ittikkettat bin-numru tas-sekwenza tal-pakkett. Dan jipprekludi l-ħtieġa għal triq iddedikata biex tgħin lill-pakkett isib triqtu lejn id-destinazzjoni tiegħu, iżda jfisser li"&amp;" hemm bżonn ta 'ħafna aktar informazzjoni fl-intestatura tal-pakkett, li hija għalhekk ikbar, u din l-informazzjoni teħtieġ li titħares fil-kontenut bil-ġuħ tal-enerġija Memorja Addressabbli. Kull pakkett jintbagħat u jista 'jmur permezz ta' rotot differe"&amp;"nti; Potenzjalment, is-sistema trid tagħmel daqshekk xogħol għal kull pakkett kif is-sistema orjentata lejn il-konnessjoni għandha tagħmel f'konnessjoni stabbilita, iżda b'inqas informazzjoni dwar ir-rekwiżiti tal-applikazzjoni. Fid-destinazzjoni, il-mess"&amp;"aġġ / dejta oriġinali huwa mmuntat mill-ġdid fl-ordni korretta, ibbażat fuq in-numru tas-sekwenza tal-pakketti. Għalhekk konnessjoni virtwali, magħrufa wkoll bħala ċirkwit virtwali jew fluss ta 'byte hija pprovduta lill-utent aħħari minn protokoll ta' saf"&amp;"f tat-trasport, għalkemm l-għoqiedi tan-netwerk intermedju jipprovdi biss servizz ta 'saff ta' netwerk mingħajr konnessjoni.")</f>
        <v>Fil-modalità mingħajr konnessjoni kull pakkett jinkludi informazzjoni kompluta dwar l-indirizzar. Il-pakketti huma mgħoddija individwalment, u xi kultant jirriżultaw fi mogħdijiet differenti u kunsinna barra mill-ordni. Kull pakkett huwa ttikkettjat b'indirizz ta 'destinazzjoni, indirizz tas-sors, u numri tal-port. Jista 'jkun ukoll ittikkettat bin-numru tas-sekwenza tal-pakkett. Dan jipprekludi l-ħtieġa għal triq iddedikata biex tgħin lill-pakkett isib triqtu lejn id-destinazzjoni tiegħu, iżda jfisser li hemm bżonn ta 'ħafna aktar informazzjoni fl-intestatura tal-pakkett, li hija għalhekk ikbar, u din l-informazzjoni teħtieġ li titħares fil-kontenut bil-ġuħ tal-enerġija Memorja Addressabbli. Kull pakkett jintbagħat u jista 'jmur permezz ta' rotot differenti; Potenzjalment, is-sistema trid tagħmel daqshekk xogħol għal kull pakkett kif is-sistema orjentata lejn il-konnessjoni għandha tagħmel f'konnessjoni stabbilita, iżda b'inqas informazzjoni dwar ir-rekwiżiti tal-applikazzjoni. Fid-destinazzjoni, il-messaġġ / dejta oriġinali huwa mmuntat mill-ġdid fl-ordni korretta, ibbażat fuq in-numru tas-sekwenza tal-pakketti. Għalhekk konnessjoni virtwali, magħrufa wkoll bħala ċirkwit virtwali jew fluss ta 'byte hija pprovduta lill-utent aħħari minn protokoll ta' saff tat-trasport, għalkemm l-għoqiedi tan-netwerk intermedju jipprovdi biss servizz ta 'saff ta' netwerk mingħajr konnessjoni.</v>
      </c>
    </row>
    <row r="3801" ht="15.75" customHeight="1">
      <c r="A3801" s="2" t="s">
        <v>3801</v>
      </c>
      <c r="B3801" s="2" t="str">
        <f>IFERROR(__xludf.DUMMYFUNCTION("GOOGLETRANSLATE(A3801,""en"", ""mt"")"),"TEU Artikoli 4 u 5")</f>
        <v>TEU Artikoli 4 u 5</v>
      </c>
    </row>
    <row r="3802" ht="15.75" customHeight="1">
      <c r="A3802" s="2" t="s">
        <v>3802</v>
      </c>
      <c r="B3802" s="2" t="str">
        <f>IFERROR(__xludf.DUMMYFUNCTION("GOOGLETRANSLATE(A3802,""en"", ""mt"")"),"L-iskejjel privati ​​huma spiss Anglikani, bħal King's College u Djoċesan School for Girls f'Auckland, St Paul's Collegiate School f'Hamilton, St Peter's School f'Cambridge, Samuel Marsden Collegiate School f'Wellington, u Christ's College u St Margaret's"&amp;" College fi Christchurch; jew Presbyterian, bħall-Kulleġġ Saint Kentigern u l-Kulleġġ ta 'St Cuthbert f'Auckland, il-Kulleġġ Skoċċiż u l-Kulleġġ tar-Reġina Margaret f'Wellington, u St Andrew's College u Rangi Ruru Girls' School fi Christchurch. Akkademiċi"&amp;" Colleges Group huwa grupp riċenti ta 'skejjel privati ​​mmexxija bħala negozju, bi skejjel madwar Auckland, inkluż ACG Senior College fil-CBD ta' Auckland, ACG Parnell College f'Parnell, u l-Iskola Internazzjonali ACG New Zealand College College. Hemm tl"&amp;"iet skejjel privati ​​(inkluża l-iskola sekondarja, St Dominic's College) imħaddma mill-grupp skismatiku Kattoliku, is-Soċjetà ta ’San Piju X f’Wanganui.")</f>
        <v>L-iskejjel privati ​​huma spiss Anglikani, bħal King's College u Djoċesan School for Girls f'Auckland, St Paul's Collegiate School f'Hamilton, St Peter's School f'Cambridge, Samuel Marsden Collegiate School f'Wellington, u Christ's College u St Margaret's College fi Christchurch; jew Presbyterian, bħall-Kulleġġ Saint Kentigern u l-Kulleġġ ta 'St Cuthbert f'Auckland, il-Kulleġġ Skoċċiż u l-Kulleġġ tar-Reġina Margaret f'Wellington, u St Andrew's College u Rangi Ruru Girls' School fi Christchurch. Akkademiċi Colleges Group huwa grupp riċenti ta 'skejjel privati ​​mmexxija bħala negozju, bi skejjel madwar Auckland, inkluż ACG Senior College fil-CBD ta' Auckland, ACG Parnell College f'Parnell, u l-Iskola Internazzjonali ACG New Zealand College College. Hemm tliet skejjel privati ​​(inkluża l-iskola sekondarja, St Dominic's College) imħaddma mill-grupp skismatiku Kattoliku, is-Soċjetà ta ’San Piju X f’Wanganui.</v>
      </c>
    </row>
    <row r="3803" ht="15.75" customHeight="1">
      <c r="A3803" s="2" t="s">
        <v>3803</v>
      </c>
      <c r="B3803" s="2" t="str">
        <f>IFERROR(__xludf.DUMMYFUNCTION("GOOGLETRANSLATE(A3803,""en"", ""mt"")"),"Law tal-Liġi moħbija")</f>
        <v>Law tal-Liġi moħbija</v>
      </c>
    </row>
    <row r="3804" ht="15.75" customHeight="1">
      <c r="A3804" s="2" t="s">
        <v>3804</v>
      </c>
      <c r="B3804" s="2" t="str">
        <f>IFERROR(__xludf.DUMMYFUNCTION("GOOGLETRANSLATE(A3804,""en"", ""mt"")"),"Ipproponi firxa ta 'figuri tal-popolazzjoni preinententi")</f>
        <v>Ipproponi firxa ta 'figuri tal-popolazzjoni preinententi</v>
      </c>
    </row>
    <row r="3805" ht="15.75" customHeight="1">
      <c r="A3805" s="2" t="s">
        <v>3805</v>
      </c>
      <c r="B3805" s="2" t="str">
        <f>IFERROR(__xludf.DUMMYFUNCTION("GOOGLETRANSLATE(A3805,""en"", ""mt"")"),"Kwalunkwe membru")</f>
        <v>Kwalunkwe membru</v>
      </c>
    </row>
    <row r="3806" ht="15.75" customHeight="1">
      <c r="A3806" s="2" t="s">
        <v>3806</v>
      </c>
      <c r="B3806" s="2" t="str">
        <f>IFERROR(__xludf.DUMMYFUNCTION("GOOGLETRANSLATE(A3806,""en"", ""mt"")"),"Liema katalisti oħra jistgħu jintużaw biex jipproduċu ossiġnu?")</f>
        <v>Liema katalisti oħra jistgħu jintużaw biex jipproduċu ossiġnu?</v>
      </c>
    </row>
    <row r="3807" ht="15.75" customHeight="1">
      <c r="A3807" s="2" t="s">
        <v>3807</v>
      </c>
      <c r="B3807" s="2" t="str">
        <f>IFERROR(__xludf.DUMMYFUNCTION("GOOGLETRANSLATE(A3807,""en"", ""mt"")"),"L-Italja")</f>
        <v>L-Italja</v>
      </c>
    </row>
    <row r="3808" ht="15.75" customHeight="1">
      <c r="A3808" s="2" t="s">
        <v>3808</v>
      </c>
      <c r="B3808" s="2" t="str">
        <f>IFERROR(__xludf.DUMMYFUNCTION("GOOGLETRANSLATE(A3808,""en"", ""mt"")"),"it-tmiem dojoq")</f>
        <v>it-tmiem dojoq</v>
      </c>
    </row>
    <row r="3809" ht="15.75" customHeight="1">
      <c r="A3809" s="2" t="s">
        <v>3809</v>
      </c>
      <c r="B3809" s="2" t="str">
        <f>IFERROR(__xludf.DUMMYFUNCTION("GOOGLETRANSLATE(A3809,""en"", ""mt"")"),"Ipproponi firxa ta 'figuri ta' popolazzjoni preinententi minn 7 miljun sa baxx daqs 4 miljun")</f>
        <v>Ipproponi firxa ta 'figuri ta' popolazzjoni preinententi minn 7 miljun sa baxx daqs 4 miljun</v>
      </c>
    </row>
    <row r="3810" ht="15.75" customHeight="1">
      <c r="A3810" s="2" t="s">
        <v>3810</v>
      </c>
      <c r="B3810" s="2" t="str">
        <f>IFERROR(__xludf.DUMMYFUNCTION("GOOGLETRANSLATE(A3810,""en"", ""mt"")"),"Medja tar-rata ta 'erba' korsijiet")</f>
        <v>Medja tar-rata ta 'erba' korsijiet</v>
      </c>
    </row>
    <row r="3811" ht="15.75" customHeight="1">
      <c r="A3811" s="2" t="s">
        <v>3811</v>
      </c>
      <c r="B3811" s="2" t="str">
        <f>IFERROR(__xludf.DUMMYFUNCTION("GOOGLETRANSLATE(A3811,""en"", ""mt"")"),"erbgħa")</f>
        <v>erbgħa</v>
      </c>
    </row>
    <row r="3812" ht="15.75" customHeight="1">
      <c r="A3812" s="2" t="s">
        <v>3812</v>
      </c>
      <c r="B3812" s="2" t="str">
        <f>IFERROR(__xludf.DUMMYFUNCTION("GOOGLETRANSLATE(A3812,""en"", ""mt"")"),"Sea Gooseberry")</f>
        <v>Sea Gooseberry</v>
      </c>
    </row>
    <row r="3813" ht="15.75" customHeight="1">
      <c r="A3813" s="2" t="s">
        <v>3813</v>
      </c>
      <c r="B3813" s="2" t="str">
        <f>IFERROR(__xludf.DUMMYFUNCTION("GOOGLETRANSLATE(A3813,""en"", ""mt"")"),"Liema regoli għandha ssegwi l-IPCC?")</f>
        <v>Liema regoli għandha ssegwi l-IPCC?</v>
      </c>
    </row>
    <row r="3814" ht="15.75" customHeight="1">
      <c r="A3814" s="2" t="s">
        <v>3814</v>
      </c>
      <c r="B3814" s="2" t="str">
        <f>IFERROR(__xludf.DUMMYFUNCTION("GOOGLETRANSLATE(A3814,""en"", ""mt"")"),"L-ikbar divisor komuni tagħhom huwa wieħed")</f>
        <v>L-ikbar divisor komuni tagħhom huwa wieħed</v>
      </c>
    </row>
    <row r="3815" ht="15.75" customHeight="1">
      <c r="A3815" s="2" t="s">
        <v>3815</v>
      </c>
      <c r="B3815" s="2" t="str">
        <f>IFERROR(__xludf.DUMMYFUNCTION("GOOGLETRANSLATE(A3815,""en"", ""mt"")")," Fejn Franza rebħet gwerra fis-snin sebgħin")</f>
        <v> Fejn Franza rebħet gwerra fis-snin sebgħin</v>
      </c>
    </row>
    <row r="3816" ht="15.75" customHeight="1">
      <c r="A3816" s="2" t="s">
        <v>3816</v>
      </c>
      <c r="B3816" s="2" t="str">
        <f>IFERROR(__xludf.DUMMYFUNCTION("GOOGLETRANSLATE(A3816,""en"", ""mt"")"),"Kemm ma ddumx il-ġlied f'seba 'snin gwerra")</f>
        <v>Kemm ma ddumx il-ġlied f'seba 'snin gwerra</v>
      </c>
    </row>
    <row r="3817" ht="15.75" customHeight="1">
      <c r="A3817" s="2" t="s">
        <v>3817</v>
      </c>
      <c r="B3817" s="2" t="str">
        <f>IFERROR(__xludf.DUMMYFUNCTION("GOOGLETRANSLATE(A3817,""en"", ""mt"")"),"Ieħor mill-gruppi Eġizzjani li impjegaw vjolenza fit-taqbida tagħhom għal ordni Iżlamika kien al-gama'a al-Islamiyya (grupp Iżlamiku). Il-vittmi tal-kampanja tagħhom kontra l-istat Eġizzjan fid-disgħinijiet kienu jinkludu l-kap tal-pulizija kontra t-terro"&amp;"riżmu (il-Ġeneral Maġġur Raouf Khayrat), kelliem parlamentari (Rifaat al-Mahgoub), għexieren ta ’turisti Ewropej u persuni li jrażżnu l-Eġizzjani, u aktar minn 100 pulizija Eġizzjana Jonqos Fl-aħħar mill-aħħar il-kampanja biex jitwaqqa 'l-gvern ma rnexxie"&amp;"tx, u l-grupp jihadi ewlieni, Jamaa Islamiya (jew al-gama'a al-Islamiya), irrinunzjat vjolenza fl-2003. Gruppi oħra magħrufa inqas jinkludu l-Partit ta' Liberazzjoni Iżlamika, Salvazzjoni mill-Infern u Takfir Wal-Hijra, u dawn il-gruppi kienu involuti b'm"&amp;"od varju f'attivitajiet bħal attentat ta 'qtil ta' figuri politiċi, inżul ta 'ħwienet tal-vidjow u attentat ta' akkwist ta 'bini tal-gvern.")</f>
        <v>Ieħor mill-gruppi Eġizzjani li impjegaw vjolenza fit-taqbida tagħhom għal ordni Iżlamika kien al-gama'a al-Islamiyya (grupp Iżlamiku). Il-vittmi tal-kampanja tagħhom kontra l-istat Eġizzjan fid-disgħinijiet kienu jinkludu l-kap tal-pulizija kontra t-terroriżmu (il-Ġeneral Maġġur Raouf Khayrat), kelliem parlamentari (Rifaat al-Mahgoub), għexieren ta ’turisti Ewropej u persuni li jrażżnu l-Eġizzjani, u aktar minn 100 pulizija Eġizzjana Jonqos Fl-aħħar mill-aħħar il-kampanja biex jitwaqqa 'l-gvern ma rnexxietx, u l-grupp jihadi ewlieni, Jamaa Islamiya (jew al-gama'a al-Islamiya), irrinunzjat vjolenza fl-2003. Gruppi oħra magħrufa inqas jinkludu l-Partit ta' Liberazzjoni Iżlamika, Salvazzjoni mill-Infern u Takfir Wal-Hijra, u dawn il-gruppi kienu involuti b'mod varju f'attivitajiet bħal attentat ta 'qtil ta' figuri politiċi, inżul ta 'ħwienet tal-vidjow u attentat ta' akkwist ta 'bini tal-gvern.</v>
      </c>
    </row>
    <row r="3818" ht="15.75" customHeight="1">
      <c r="A3818" s="2" t="s">
        <v>3818</v>
      </c>
      <c r="B3818" s="2" t="str">
        <f>IFERROR(__xludf.DUMMYFUNCTION("GOOGLETRANSLATE(A3818,""en"", ""mt"")"),"X'kien il-proporzjon ta 'rġiel għal nisa f'Harvard / Radcliffe?")</f>
        <v>X'kien il-proporzjon ta 'rġiel għal nisa f'Harvard / Radcliffe?</v>
      </c>
    </row>
    <row r="3819" ht="15.75" customHeight="1">
      <c r="A3819" s="2" t="s">
        <v>3819</v>
      </c>
      <c r="B3819" s="2" t="str">
        <f>IFERROR(__xludf.DUMMYFUNCTION("GOOGLETRANSLATE(A3819,""en"", ""mt"")"),"Biex tirbaħ il-ħelsien u tevita ħabs jew multa")</f>
        <v>Biex tirbaħ il-ħelsien u tevita ħabs jew multa</v>
      </c>
    </row>
    <row r="3820" ht="15.75" customHeight="1">
      <c r="A3820" s="2" t="s">
        <v>3820</v>
      </c>
      <c r="B3820" s="2" t="str">
        <f>IFERROR(__xludf.DUMMYFUNCTION("GOOGLETRANSLATE(A3820,""en"", ""mt"")"),"Ġew ordnati l-granati")</f>
        <v>Ġew ordnati l-granati</v>
      </c>
    </row>
    <row r="3821" ht="15.75" customHeight="1">
      <c r="A3821" s="2" t="s">
        <v>3821</v>
      </c>
      <c r="B3821" s="2" t="str">
        <f>IFERROR(__xludf.DUMMYFUNCTION("GOOGLETRANSLATE(A3821,""en"", ""mt"")"),"Matul in-Nofs Eġen, huwa maħsub li l-baċin tad-drenaġġ tal-Amażonja kien maqsum tul in-nofs tal-kontinent mill-arkata Purus. L-ilma fuq in-naħa tal-Lvant ħareġ lejn l-Atlantiku, waqt li l-ilma tal-punent ħareġ lejn il-Paċifiku madwar il-baċin tal-Amazonas"&amp;". Madankollu, hekk kif il-Muntanji Andes żdiedu, inħoloq baċin kbir li jingħalaq lag; issa magħruf bħala l-Baċin Solimões. Fl-aħħar 5-10 miljun sena, dan l-ilma li jakkumula għadda mill-Arch Purus, u ngħaqad mal-fluss tal-Lvant lejn l-Atlantiku.")</f>
        <v>Matul in-Nofs Eġen, huwa maħsub li l-baċin tad-drenaġġ tal-Amażonja kien maqsum tul in-nofs tal-kontinent mill-arkata Purus. L-ilma fuq in-naħa tal-Lvant ħareġ lejn l-Atlantiku, waqt li l-ilma tal-punent ħareġ lejn il-Paċifiku madwar il-baċin tal-Amazonas. Madankollu, hekk kif il-Muntanji Andes żdiedu, inħoloq baċin kbir li jingħalaq lag; issa magħruf bħala l-Baċin Solimões. Fl-aħħar 5-10 miljun sena, dan l-ilma li jakkumula għadda mill-Arch Purus, u ngħaqad mal-fluss tal-Lvant lejn l-Atlantiku.</v>
      </c>
    </row>
    <row r="3822" ht="15.75" customHeight="1">
      <c r="A3822" s="2" t="s">
        <v>3822</v>
      </c>
      <c r="B3822" s="2" t="str">
        <f>IFERROR(__xludf.DUMMYFUNCTION("GOOGLETRANSLATE(A3822,""en"", ""mt"")"),"X'jiekol Mnemiopsis?")</f>
        <v>X'jiekol Mnemiopsis?</v>
      </c>
    </row>
    <row r="3823" ht="15.75" customHeight="1">
      <c r="A3823" s="2" t="s">
        <v>3823</v>
      </c>
      <c r="B3823" s="2" t="str">
        <f>IFERROR(__xludf.DUMMYFUNCTION("GOOGLETRANSLATE(A3823,""en"", ""mt"")"),"pressjoni biex tnaqqas l-ispejjeż u timmassimizza l-profitti")</f>
        <v>pressjoni biex tnaqqas l-ispejjeż u timmassimizza l-profitti</v>
      </c>
    </row>
    <row r="3824" ht="15.75" customHeight="1">
      <c r="A3824" s="2" t="s">
        <v>3824</v>
      </c>
      <c r="B3824" s="2" t="str">
        <f>IFERROR(__xludf.DUMMYFUNCTION("GOOGLETRANSLATE(A3824,""en"", ""mt"")"),"Films tat-tieni u t-tielet ġirja")</f>
        <v>Films tat-tieni u t-tielet ġirja</v>
      </c>
    </row>
    <row r="3825" ht="15.75" customHeight="1">
      <c r="A3825" s="2" t="s">
        <v>3825</v>
      </c>
      <c r="B3825" s="2" t="str">
        <f>IFERROR(__xludf.DUMMYFUNCTION("GOOGLETRANSLATE(A3825,""en"", ""mt"")"),"Permezz ta 'ġustifikazzjoni ċerta teoriji razzjali u ġeografiċi, l-Ewropa ħasbet minnha nnifisha?")</f>
        <v>Permezz ta 'ġustifikazzjoni ċerta teoriji razzjali u ġeografiċi, l-Ewropa ħasbet minnha nnifisha?</v>
      </c>
    </row>
    <row r="3826" ht="15.75" customHeight="1">
      <c r="A3826" s="2" t="s">
        <v>3826</v>
      </c>
      <c r="B3826" s="2" t="str">
        <f>IFERROR(__xludf.DUMMYFUNCTION("GOOGLETRANSLATE(A3826,""en"", ""mt"")"),"Kemm kellu Chopin meta mar jgħix Varsavja mal-familja tiegħu?")</f>
        <v>Kemm kellu Chopin meta mar jgħix Varsavja mal-familja tiegħu?</v>
      </c>
    </row>
    <row r="3827" ht="15.75" customHeight="1">
      <c r="A3827" s="2" t="s">
        <v>3827</v>
      </c>
      <c r="B3827" s="2" t="str">
        <f>IFERROR(__xludf.DUMMYFUNCTION("GOOGLETRANSLATE(A3827,""en"", ""mt"")"),"Bejn l-1991 u l-2000, l-erja totali tal-foresta mitlufa fl-Amażonja telgħet minn 415,000 għal 587,000 kilometru kwadru (160,000 għal 227,000 sq mi), bil-biċċa l-kbira tal-foresta mitlufa ssir mergħa għall-baqar. Sebgħin fil-mija tal-art li qabel kienet fo"&amp;"restata fl-Amażonja, u 91% tal-art deforestata mill-1970, hija użata għall-mergħa tal-bhejjem. Bħalissa, il-Brażil huwa t-tieni l-akbar produttur globali tas-sojja wara l-Istati Uniti. Riċerka ġdida madankollu, immexxija minn Leydimere Oliveira et al., Ur"&amp;"iet li l-aktar foresta tropikali tkun illoggjata fl-Amażonja, inqas il-preċipitazzjoni tilħaq iż-żona u għalhekk iktar ikun baxx ir-rendiment għal kull ettaru. Allura minkejja l-perċezzjoni popolari, ma kien hemm l-ebda vantaġġ ekonomiku għall-Brażil minn"&amp;" żoni ta 'foresti tropikali u kkonvertiti dawn f'għelieqi pastorali.")</f>
        <v>Bejn l-1991 u l-2000, l-erja totali tal-foresta mitlufa fl-Amażonja telgħet minn 415,000 għal 587,000 kilometru kwadru (160,000 għal 227,000 sq mi), bil-biċċa l-kbira tal-foresta mitlufa ssir mergħa għall-baqar. Sebgħin fil-mija tal-art li qabel kienet forestata fl-Amażonja, u 91% tal-art deforestata mill-1970, hija użata għall-mergħa tal-bhejjem. Bħalissa, il-Brażil huwa t-tieni l-akbar produttur globali tas-sojja wara l-Istati Uniti. Riċerka ġdida madankollu, immexxija minn Leydimere Oliveira et al., Uriet li l-aktar foresta tropikali tkun illoggjata fl-Amażonja, inqas il-preċipitazzjoni tilħaq iż-żona u għalhekk iktar ikun baxx ir-rendiment għal kull ettaru. Allura minkejja l-perċezzjoni popolari, ma kien hemm l-ebda vantaġġ ekonomiku għall-Brażil minn żoni ta 'foresti tropikali u kkonvertiti dawn f'għelieqi pastorali.</v>
      </c>
    </row>
    <row r="3828" ht="15.75" customHeight="1">
      <c r="A3828" s="2" t="s">
        <v>3828</v>
      </c>
      <c r="B3828" s="2" t="str">
        <f>IFERROR(__xludf.DUMMYFUNCTION("GOOGLETRANSLATE(A3828,""en"", ""mt"")"),"mmejla u ħruq")</f>
        <v>mmejla u ħruq</v>
      </c>
    </row>
    <row r="3829" ht="15.75" customHeight="1">
      <c r="A3829" s="2" t="s">
        <v>3829</v>
      </c>
      <c r="B3829" s="2" t="str">
        <f>IFERROR(__xludf.DUMMYFUNCTION("GOOGLETRANSLATE(A3829,""en"", ""mt"")"),"jirreżisti li jwieġbu għall-mistoqsijiet tal-investigaturi")</f>
        <v>jirreżisti li jwieġbu għall-mistoqsijiet tal-investigaturi</v>
      </c>
    </row>
    <row r="3830" ht="15.75" customHeight="1">
      <c r="A3830" s="2" t="s">
        <v>3830</v>
      </c>
      <c r="B3830" s="2" t="str">
        <f>IFERROR(__xludf.DUMMYFUNCTION("GOOGLETRANSLATE(A3830,""en"", ""mt"")"),"Pjan aħjar ta 'Jacksonville")</f>
        <v>Pjan aħjar ta 'Jacksonville</v>
      </c>
    </row>
    <row r="3831" ht="15.75" customHeight="1">
      <c r="A3831" s="2" t="s">
        <v>3831</v>
      </c>
      <c r="B3831" s="2" t="str">
        <f>IFERROR(__xludf.DUMMYFUNCTION("GOOGLETRANSLATE(A3831,""en"", ""mt"")"),"Il-Prinċep Louis de Condé, flimkien ma 'wliedu Daniel u Osias, [ċitazzjoni meħtieġa] irranġati mal-Konti Ludwig von Nassau-Saarbrücken biex jistabbilixxu komunità Huguenot fis-Saarland preżenti fl-1604. , irrispettivament mir-reliġjon tagħhom. Il-condés s"&amp;"tabbilixxew xogħlijiet b'saħħithom tal-ħġieġ, li pprovdew ġid lill-prinċipat għal ħafna snin. Familji fundaturi oħra ħolqu intrapriżi bbażati fuq tessuti u okkupazzjonijiet tradizzjonali ta 'Huguenot fi Franza. Il-komunità u l-kongregazzjoni tagħha jibqgħ"&amp;"u attivi sal-lum, bid-dixxendenti ta 'ħafna mill-familji fundaturi li għadhom jgħixu fir-reġjun. Xi membri ta 'din il-komunità emigraw lejn l-Istati Uniti fl-1890s.")</f>
        <v>Il-Prinċep Louis de Condé, flimkien ma 'wliedu Daniel u Osias, [ċitazzjoni meħtieġa] irranġati mal-Konti Ludwig von Nassau-Saarbrücken biex jistabbilixxu komunità Huguenot fis-Saarland preżenti fl-1604. , irrispettivament mir-reliġjon tagħhom. Il-condés stabbilixxew xogħlijiet b'saħħithom tal-ħġieġ, li pprovdew ġid lill-prinċipat għal ħafna snin. Familji fundaturi oħra ħolqu intrapriżi bbażati fuq tessuti u okkupazzjonijiet tradizzjonali ta 'Huguenot fi Franza. Il-komunità u l-kongregazzjoni tagħha jibqgħu attivi sal-lum, bid-dixxendenti ta 'ħafna mill-familji fundaturi li għadhom jgħixu fir-reġjun. Xi membri ta 'din il-komunità emigraw lejn l-Istati Uniti fl-1890s.</v>
      </c>
    </row>
    <row r="3832" ht="15.75" customHeight="1">
      <c r="A3832" s="2" t="s">
        <v>3832</v>
      </c>
      <c r="B3832" s="2" t="str">
        <f>IFERROR(__xludf.DUMMYFUNCTION("GOOGLETRANSLATE(A3832,""en"", ""mt"")"),"Il-gvernijiet tal-Punent ikkunsidraw l-Iżlamisti bħala l-inqas minn żewġ ħażen meta mqabbla ma 'min?")</f>
        <v>Il-gvernijiet tal-Punent ikkunsidraw l-Iżlamisti bħala l-inqas minn żewġ ħażen meta mqabbla ma 'min?</v>
      </c>
    </row>
    <row r="3833" ht="15.75" customHeight="1">
      <c r="A3833" s="2" t="s">
        <v>3833</v>
      </c>
      <c r="B3833" s="2" t="str">
        <f>IFERROR(__xludf.DUMMYFUNCTION("GOOGLETRANSLATE(A3833,""en"", ""mt"")"),"Iqbal inkwetat li l-popolazzjoni l-aktar hindu tal-Indja tagħmel dak li l-wirt u l-kultura Musulmana?")</f>
        <v>Iqbal inkwetat li l-popolazzjoni l-aktar hindu tal-Indja tagħmel dak li l-wirt u l-kultura Musulmana?</v>
      </c>
    </row>
    <row r="3834" ht="15.75" customHeight="1">
      <c r="A3834" s="2" t="s">
        <v>3834</v>
      </c>
      <c r="B3834" s="2" t="str">
        <f>IFERROR(__xludf.DUMMYFUNCTION("GOOGLETRANSLATE(A3834,""en"", ""mt"")"),"Fl-Ewropa, it-Teatru tal-Amerika ta ’Fuq tas-seba’ snin tal-gwerra ġeneralment ma jingħatax isem separat. Il-kunflitt internazzjonali kollu huwa magħruf bħala l-gwerra tas-seba 'snin. ""Seba 'Snin"" tirreferi għal avvenimenti fl-Ewropa, mid-dikjarazzjoni "&amp;"uffiċjali tal-gwerra fl-1756 għall-iffirmar tat-Trattat ta' Paċi fl-1763. Dawn id-dati ma jikkorrispondux mal-ġlied fuq l-Amerika ta 'Fuq, fejn il-ġlied bejn iż-żewġ poteri kolonjali kien Konkluż fil-biċċa l-kbira f’sitt snin, mill-battalja ta ’Jumonville"&amp;" Glen fl-1754 sal-qbid ta’ Montreal fl-1760.")</f>
        <v>Fl-Ewropa, it-Teatru tal-Amerika ta ’Fuq tas-seba’ snin tal-gwerra ġeneralment ma jingħatax isem separat. Il-kunflitt internazzjonali kollu huwa magħruf bħala l-gwerra tas-seba 'snin. "Seba 'Snin" tirreferi għal avvenimenti fl-Ewropa, mid-dikjarazzjoni uffiċjali tal-gwerra fl-1756 għall-iffirmar tat-Trattat ta' Paċi fl-1763. Dawn id-dati ma jikkorrispondux mal-ġlied fuq l-Amerika ta 'Fuq, fejn il-ġlied bejn iż-żewġ poteri kolonjali kien Konkluż fil-biċċa l-kbira f’sitt snin, mill-battalja ta ’Jumonville Glen fl-1754 sal-qbid ta’ Montreal fl-1760.</v>
      </c>
    </row>
    <row r="3835" ht="15.75" customHeight="1">
      <c r="A3835" s="2" t="s">
        <v>3835</v>
      </c>
      <c r="B3835" s="2" t="str">
        <f>IFERROR(__xludf.DUMMYFUNCTION("GOOGLETRANSLATE(A3835,""en"", ""mt"")"),"L-estinzjoni tal-Kretaċeju-Paleogene")</f>
        <v>L-estinzjoni tal-Kretaċeju-Paleogene</v>
      </c>
    </row>
    <row r="3836" ht="15.75" customHeight="1">
      <c r="A3836" s="2" t="s">
        <v>3836</v>
      </c>
      <c r="B3836" s="2" t="str">
        <f>IFERROR(__xludf.DUMMYFUNCTION("GOOGLETRANSLATE(A3836,""en"", ""mt"")"),"In-Netwerk tad-Dejta tal-Pubbliku qalbu n-Netwerk Pubbliku mill-Olandiż PTT Telecom")</f>
        <v>In-Netwerk tad-Dejta tal-Pubbliku qalbu n-Netwerk Pubbliku mill-Olandiż PTT Telecom</v>
      </c>
    </row>
    <row r="3837" ht="15.75" customHeight="1">
      <c r="A3837" s="2" t="s">
        <v>3837</v>
      </c>
      <c r="B3837" s="2" t="str">
        <f>IFERROR(__xludf.DUMMYFUNCTION("GOOGLETRANSLATE(A3837,""en"", ""mt"")"),"X'inhuma l-fatturi li qed jikkontribwixxu għax-xewqa li l-SR 99 jitjiebu biex ikunu ta 'standards bejn l-istati?")</f>
        <v>X'inhuma l-fatturi li qed jikkontribwixxu għax-xewqa li l-SR 99 jitjiebu biex ikunu ta 'standards bejn l-istati?</v>
      </c>
    </row>
    <row r="3838" ht="15.75" customHeight="1">
      <c r="A3838" s="2" t="s">
        <v>3838</v>
      </c>
      <c r="B3838" s="2" t="str">
        <f>IFERROR(__xludf.DUMMYFUNCTION("GOOGLETRANSLATE(A3838,""en"", ""mt"")"),"Massakru ta 'Jum San Bartolomew")</f>
        <v>Massakru ta 'Jum San Bartolomew</v>
      </c>
    </row>
    <row r="3839" ht="15.75" customHeight="1">
      <c r="A3839" s="2" t="s">
        <v>3839</v>
      </c>
      <c r="B3839" s="2" t="str">
        <f>IFERROR(__xludf.DUMMYFUNCTION("GOOGLETRANSLATE(A3839,""en"", ""mt"")"),"Minn kemm naqset il-popolazzjoni bajda Ispanika ta 'Jacksonville? Ċempel")</f>
        <v>Minn kemm naqset il-popolazzjoni bajda Ispanika ta 'Jacksonville? Ċempel</v>
      </c>
    </row>
    <row r="3840" ht="15.75" customHeight="1">
      <c r="A3840" s="2" t="s">
        <v>3840</v>
      </c>
      <c r="B3840" s="2" t="str">
        <f>IFERROR(__xludf.DUMMYFUNCTION("GOOGLETRANSLATE(A3840,""en"", ""mt"")"),"John M. Grunsfeld")</f>
        <v>John M. Grunsfeld</v>
      </c>
    </row>
    <row r="3841" ht="15.75" customHeight="1">
      <c r="A3841" s="2" t="s">
        <v>3841</v>
      </c>
      <c r="B3841" s="2" t="str">
        <f>IFERROR(__xludf.DUMMYFUNCTION("GOOGLETRANSLATE(A3841,""en"", ""mt"")"),"It-triq tal-vjolenza u l-ġlieda militari mbagħad ġiet meħuda mill-organizzazzjoni tal-jihad Iżlamiku Eġizzjan responsabbli għall-qtil ta 'Anwar Sadat fl-1981. B'differenza mill-movimenti anti-kolonjali preċedenti, il-grupp estremist idderieġa l-attakki ti"&amp;"egħu kontra dak li kien jemmen li kienu mexxejja ""apostati"" tal-Musulmani "" Stati, mexxejja li kellhom tluq sekulari jew li kienu introduċew jew ippromwovu ideat u prattiki tal-Punent / barranin fis-soċjetajiet Iżlamiċi. Il-fehmiet tagħha ġew deskritti"&amp;" fil-fuljett miktub minn Muhammad Abd al-Salaam Farag, li fih jiddikjara:")</f>
        <v>It-triq tal-vjolenza u l-ġlieda militari mbagħad ġiet meħuda mill-organizzazzjoni tal-jihad Iżlamiku Eġizzjan responsabbli għall-qtil ta 'Anwar Sadat fl-1981. B'differenza mill-movimenti anti-kolonjali preċedenti, il-grupp estremist idderieġa l-attakki tiegħu kontra dak li kien jemmen li kienu mexxejja "apostati" tal-Musulmani " Stati, mexxejja li kellhom tluq sekulari jew li kienu introduċew jew ippromwovu ideat u prattiki tal-Punent / barranin fis-soċjetajiet Iżlamiċi. Il-fehmiet tagħha ġew deskritti fil-fuljett miktub minn Muhammad Abd al-Salaam Farag, li fih jiddikjara:</v>
      </c>
    </row>
    <row r="3842" ht="15.75" customHeight="1">
      <c r="A3842" s="2" t="s">
        <v>3842</v>
      </c>
      <c r="B3842" s="2" t="str">
        <f>IFERROR(__xludf.DUMMYFUNCTION("GOOGLETRANSLATE(A3842,""en"", ""mt"")"),"L-ipoteżi atomika oriġinali ta 'John Dalton assumiet li l-elementi kollha kienu monatomiċi u li l-atomi fil-komposti normalment ikollhom il-proporzjonijiet atomiċi l-aktar sempliċi fir-rigward ta' xulxin. Pereżempju, Dalton assuma li l-formula tal-ilma ki"&amp;"enet HO, li tagħti l-massa atomika ta 'ossiġnu bħala 8 darbiet dik ta' l-idroġenu, minflok il-valur modern ta 'madwar 16. Fl-1805, Joseph Louis Gay-Lussac u Alexander von Humboldt wera li l-ilma huwa ffurmat ta 'żewġ volumi ta' idroġenu u volum wieħed ta "&amp;"'ossiġnu; u sal-1811 Amedeo Avogadro kien wasal għall-interpretazzjoni t-tajba tal-kompożizzjoni tal-ilma, ibbażat fuq dak li issa jissejjaħ il-liġi ta 'Avogadro u l-assunzjoni ta' molekuli elementali diatomiċi. [A]")</f>
        <v>L-ipoteżi atomika oriġinali ta 'John Dalton assumiet li l-elementi kollha kienu monatomiċi u li l-atomi fil-komposti normalment ikollhom il-proporzjonijiet atomiċi l-aktar sempliċi fir-rigward ta' xulxin. Pereżempju, Dalton assuma li l-formula tal-ilma kienet HO, li tagħti l-massa atomika ta 'ossiġnu bħala 8 darbiet dik ta' l-idroġenu, minflok il-valur modern ta 'madwar 16. Fl-1805, Joseph Louis Gay-Lussac u Alexander von Humboldt wera li l-ilma huwa ffurmat ta 'żewġ volumi ta' idroġenu u volum wieħed ta 'ossiġnu; u sal-1811 Amedeo Avogadro kien wasal għall-interpretazzjoni t-tajba tal-kompożizzjoni tal-ilma, ibbażat fuq dak li issa jissejjaħ il-liġi ta 'Avogadro u l-assunzjoni ta' molekuli elementali diatomiċi. [A]</v>
      </c>
    </row>
    <row r="3843" ht="15.75" customHeight="1">
      <c r="A3843" s="2" t="s">
        <v>3843</v>
      </c>
      <c r="B3843" s="2" t="str">
        <f>IFERROR(__xludf.DUMMYFUNCTION("GOOGLETRANSLATE(A3843,""en"", ""mt"")"),"Għaliex l-għoqda hija meħtieġ biex tfittex")</f>
        <v>Għaliex l-għoqda hija meħtieġ biex tfittex</v>
      </c>
    </row>
    <row r="3844" ht="15.75" customHeight="1">
      <c r="A3844" s="2" t="s">
        <v>3844</v>
      </c>
      <c r="B3844" s="2" t="str">
        <f>IFERROR(__xludf.DUMMYFUNCTION("GOOGLETRANSLATE(A3844,""en"", ""mt"")"),"It-Tabib tal-Ispiżerija (Pharm. D.) Grad")</f>
        <v>It-Tabib tal-Ispiżerija (Pharm. D.) Grad</v>
      </c>
    </row>
    <row r="3845" ht="15.75" customHeight="1">
      <c r="A3845" s="2" t="s">
        <v>3845</v>
      </c>
      <c r="B3845" s="2" t="str">
        <f>IFERROR(__xludf.DUMMYFUNCTION("GOOGLETRANSLATE(A3845,""en"", ""mt"")"),"tassisti fil-fabbrikazzjoni ta 'evidenza jew twettaq sperġur")</f>
        <v>tassisti fil-fabbrikazzjoni ta 'evidenza jew twettaq sperġur</v>
      </c>
    </row>
    <row r="3846" ht="15.75" customHeight="1">
      <c r="A3846" s="2" t="s">
        <v>3846</v>
      </c>
      <c r="B3846" s="2" t="str">
        <f>IFERROR(__xludf.DUMMYFUNCTION("GOOGLETRANSLATE(A3846,""en"", ""mt"")"),"Ġenna Eterna")</f>
        <v>Ġenna Eterna</v>
      </c>
    </row>
    <row r="3847" ht="15.75" customHeight="1">
      <c r="A3847" s="2" t="s">
        <v>3847</v>
      </c>
      <c r="B3847" s="2" t="str">
        <f>IFERROR(__xludf.DUMMYFUNCTION("GOOGLETRANSLATE(A3847,""en"", ""mt"")"),"Iċ-ċelloli tal-qattiel naturali jirrikonoxxu ċelloli li għandhom ikunu mmirati minn kundizzjoni magħrufa bħala?")</f>
        <v>Iċ-ċelloli tal-qattiel naturali jirrikonoxxu ċelloli li għandhom ikunu mmirati minn kundizzjoni magħrufa bħala?</v>
      </c>
    </row>
    <row r="3848" ht="15.75" customHeight="1">
      <c r="A3848" s="2" t="s">
        <v>3848</v>
      </c>
      <c r="B3848" s="2" t="str">
        <f>IFERROR(__xludf.DUMMYFUNCTION("GOOGLETRANSLATE(A3848,""en"", ""mt"")"),"Liema formazzjoni għandha xejra asimmetrika ta 'terrazzi differenti?")</f>
        <v>Liema formazzjoni għandha xejra asimmetrika ta 'terrazzi differenti?</v>
      </c>
    </row>
    <row r="3849" ht="15.75" customHeight="1">
      <c r="A3849" s="2" t="s">
        <v>3849</v>
      </c>
      <c r="B3849" s="2" t="str">
        <f>IFERROR(__xludf.DUMMYFUNCTION("GOOGLETRANSLATE(A3849,""en"", ""mt"")"),"Il-poter leġiżlattiv f'Varsavja huwa mogħti fil-Kunsill tal-Belt Unikameral ta 'Varsavja (Rada Miasta), li jinkludi 60 membru. Il-membri tal-Kunsill huma eletti direttament kull erba 'snin. Bħal fil-biċċa l-kbira tal-korpi leġiżlattivi, il-Kunsill tal-Bel"&amp;"t jaqsam ruħu f'kumitati li għandhom is-sorveljanza ta 'diversi funzjonijiet tal-gvern tal-belt. Il-kontijiet mgħoddija minn maġġoranza sempliċi jintbagħtu lis-Sindku (il-President ta 'Varsavja), li jista' jiffirmahom fil-liġi. Jekk is-Sindku jivvota abbo"&amp;"zz ta ’liġi, il-Kunsill għandu 30 jum biex jwarrab il-veto permezz ta’ vot ta ’maġġoranza ta’ żewġ terzi.")</f>
        <v>Il-poter leġiżlattiv f'Varsavja huwa mogħti fil-Kunsill tal-Belt Unikameral ta 'Varsavja (Rada Miasta), li jinkludi 60 membru. Il-membri tal-Kunsill huma eletti direttament kull erba 'snin. Bħal fil-biċċa l-kbira tal-korpi leġiżlattivi, il-Kunsill tal-Belt jaqsam ruħu f'kumitati li għandhom is-sorveljanza ta 'diversi funzjonijiet tal-gvern tal-belt. Il-kontijiet mgħoddija minn maġġoranza sempliċi jintbagħtu lis-Sindku (il-President ta 'Varsavja), li jista' jiffirmahom fil-liġi. Jekk is-Sindku jivvota abbozz ta ’liġi, il-Kunsill għandu 30 jum biex jwarrab il-veto permezz ta’ vot ta ’maġġoranza ta’ żewġ terzi.</v>
      </c>
    </row>
    <row r="3850" ht="15.75" customHeight="1">
      <c r="A3850" s="2" t="s">
        <v>3850</v>
      </c>
      <c r="B3850" s="2" t="str">
        <f>IFERROR(__xludf.DUMMYFUNCTION("GOOGLETRANSLATE(A3850,""en"", ""mt"")"),"L-istat huwa l-aktar komuni u promoss mill-gruppi tat-turiżmu reġjonali tiegħu bħala li jikkonsisti f'reġjuni ta 'Tramuntana, Ċentrali u tan-Nofsinhar ta' California. Iż-żewġ klabbs tal-karozzi AAA tal-istat, l-Assoċjazzjoni tal-Karozzi tal-Istat ta 'Cali"&amp;"fornia u l-Klabb tal-Karozzi tan-Nofsinhar ta' California, jagħżlu li jissimplifikaw il-kwistjonijiet billi jaqsmu l-istat skond il-linji fejn japplikaw il-ġurisdizzjonijiet tagħhom għas-sħubija, bħalma huma jew it-Tramuntana jew in-Nofsinhar ta 'Californ"&amp;"ia, b'kuntrast ma' Il-perspettiva bi tliet reġjuni. Influwenza oħra hija l-frażi ġeografika fin-Nofsinhar tat-Tehachapis, li taqsam ir-reġjun tan-Nofsinhar barra mill-krest ta 'dik il-firxa trasversa Ir-reġjun tan-Nofsinhar tal-Kalifornja minħabba l-bogħo"&amp;"d mill-wied ċentrali u l-pajsaġġ tad-deżert intern.")</f>
        <v>L-istat huwa l-aktar komuni u promoss mill-gruppi tat-turiżmu reġjonali tiegħu bħala li jikkonsisti f'reġjuni ta 'Tramuntana, Ċentrali u tan-Nofsinhar ta' California. Iż-żewġ klabbs tal-karozzi AAA tal-istat, l-Assoċjazzjoni tal-Karozzi tal-Istat ta 'California u l-Klabb tal-Karozzi tan-Nofsinhar ta' California, jagħżlu li jissimplifikaw il-kwistjonijiet billi jaqsmu l-istat skond il-linji fejn japplikaw il-ġurisdizzjonijiet tagħhom għas-sħubija, bħalma huma jew it-Tramuntana jew in-Nofsinhar ta 'California, b'kuntrast ma' Il-perspettiva bi tliet reġjuni. Influwenza oħra hija l-frażi ġeografika fin-Nofsinhar tat-Tehachapis, li taqsam ir-reġjun tan-Nofsinhar barra mill-krest ta 'dik il-firxa trasversa Ir-reġjun tan-Nofsinhar tal-Kalifornja minħabba l-bogħod mill-wied ċentrali u l-pajsaġġ tad-deżert intern.</v>
      </c>
    </row>
    <row r="3851" ht="15.75" customHeight="1">
      <c r="A3851" s="2" t="s">
        <v>3851</v>
      </c>
      <c r="B3851" s="2" t="str">
        <f>IFERROR(__xludf.DUMMYFUNCTION("GOOGLETRANSLATE(A3851,""en"", ""mt"")"),"attakka l-kolonna Ingliża, qatel u qabad diversi mijiet ta 'rġiel, nisa, tfal, u skjavi.")</f>
        <v>attakka l-kolonna Ingliża, qatel u qabad diversi mijiet ta 'rġiel, nisa, tfal, u skjavi.</v>
      </c>
    </row>
    <row r="3852" ht="15.75" customHeight="1">
      <c r="A3852" s="2" t="s">
        <v>3852</v>
      </c>
      <c r="B3852" s="2" t="str">
        <f>IFERROR(__xludf.DUMMYFUNCTION("GOOGLETRANSLATE(A3852,""en"", ""mt"")"),"X'inhi università oħra notevoli f'Varsavja wara l-Università ta 'Varsavja?")</f>
        <v>X'inhi università oħra notevoli f'Varsavja wara l-Università ta 'Varsavja?</v>
      </c>
    </row>
    <row r="3853" ht="15.75" customHeight="1">
      <c r="A3853" s="2" t="s">
        <v>3853</v>
      </c>
      <c r="B3853" s="2" t="str">
        <f>IFERROR(__xludf.DUMMYFUNCTION("GOOGLETRANSLATE(A3853,""en"", ""mt"")"),"Ctenophores jistgħu jkunu abbundanti matul ix-xhur tas-sajf f'xi postijiet kostali, iżda f'postijiet oħra mhumiex komuni u diffiċli biex jinstabu. Fil-bajjiet fejn iseħħu f'numri għoljin ħafna, il-predazzjoni minn ctenophores tista 'tikkontrolla l-popolaz"&amp;"zjonijiet ta' organiżmi zooplanktoniċi żgħar bħal copepods, li altrimenti jistgħu jħassru l-fitoplankton (pjanti planktoniċi), li huma parti vitali tal-katini tal-ikel tal-baħar. Ctenophore wieħed, Mnemiopsis, ġie introdott aċċidentalment fil-Baħar l-Iswe"&amp;"d, fejn huwa akkużat li kkawża li l-ħażniet tal-ħut jiġġarrfu billi jieklu kemm larva tal-ħut kif ukoll organiżmi li altrimenti kienu jkunu mitmugħa l-ħut. Is-sitwazzjoni kienet aggravata minn fatturi oħra, bħalma huma s-sajd żejjed u bidliet ambjentali f"&amp;"it-tul li ppromwovew it-tkabbir tal-popolazzjoni Mnemiopsis. L-introduzzjoni aċċidentali aktar tard ta 'Beroe għenet biex tittaffa l-problema, hekk kif Beroe jippriża fuq ctenophores oħra.")</f>
        <v>Ctenophores jistgħu jkunu abbundanti matul ix-xhur tas-sajf f'xi postijiet kostali, iżda f'postijiet oħra mhumiex komuni u diffiċli biex jinstabu. Fil-bajjiet fejn iseħħu f'numri għoljin ħafna, il-predazzjoni minn ctenophores tista 'tikkontrolla l-popolazzjonijiet ta' organiżmi zooplanktoniċi żgħar bħal copepods, li altrimenti jistgħu jħassru l-fitoplankton (pjanti planktoniċi), li huma parti vitali tal-katini tal-ikel tal-baħar. Ctenophore wieħed, Mnemiopsis, ġie introdott aċċidentalment fil-Baħar l-Iswed, fejn huwa akkużat li kkawża li l-ħażniet tal-ħut jiġġarrfu billi jieklu kemm larva tal-ħut kif ukoll organiżmi li altrimenti kienu jkunu mitmugħa l-ħut. Is-sitwazzjoni kienet aggravata minn fatturi oħra, bħalma huma s-sajd żejjed u bidliet ambjentali fit-tul li ppromwovew it-tkabbir tal-popolazzjoni Mnemiopsis. L-introduzzjoni aċċidentali aktar tard ta 'Beroe għenet biex tittaffa l-problema, hekk kif Beroe jippriża fuq ctenophores oħra.</v>
      </c>
    </row>
    <row r="3854" ht="15.75" customHeight="1">
      <c r="A3854" s="2" t="s">
        <v>3854</v>
      </c>
      <c r="B3854" s="2" t="str">
        <f>IFERROR(__xludf.DUMMYFUNCTION("GOOGLETRANSLATE(A3854,""en"", ""mt"")"),"X'inhu maħruġ ladarba l-kostruzzjoni tkun kompluta u għaddiet spezzjoni finali?")</f>
        <v>X'inhu maħruġ ladarba l-kostruzzjoni tkun kompluta u għaddiet spezzjoni finali?</v>
      </c>
    </row>
    <row r="3855" ht="15.75" customHeight="1">
      <c r="A3855" s="2" t="s">
        <v>3855</v>
      </c>
      <c r="B3855" s="2" t="str">
        <f>IFERROR(__xludf.DUMMYFUNCTION("GOOGLETRANSLATE(A3855,""en"", ""mt"")"),"Tentattiv biex tenfasizza l-akkademiċi fuq l-atletika")</f>
        <v>Tentattiv biex tenfasizza l-akkademiċi fuq l-atletika</v>
      </c>
    </row>
    <row r="3856" ht="15.75" customHeight="1">
      <c r="A3856" s="2" t="s">
        <v>3856</v>
      </c>
      <c r="B3856" s="2" t="str">
        <f>IFERROR(__xludf.DUMMYFUNCTION("GOOGLETRANSLATE(A3856,""en"", ""mt"")"),"mogħdijiet multipli bejn kwalunkwe żewġ punti")</f>
        <v>mogħdijiet multipli bejn kwalunkwe żewġ punti</v>
      </c>
    </row>
    <row r="3857" ht="15.75" customHeight="1">
      <c r="A3857" s="2" t="s">
        <v>3857</v>
      </c>
      <c r="B3857" s="2" t="str">
        <f>IFERROR(__xludf.DUMMYFUNCTION("GOOGLETRANSLATE(A3857,""en"", ""mt"")"),"X'tip ta 'awtorità huma l-ispiżjara tal-kura ambulatorja fis-sistema federali tal-kura tas-saħħa ta' l-Istati Uniti?")</f>
        <v>X'tip ta 'awtorità huma l-ispiżjara tal-kura ambulatorja fis-sistema federali tal-kura tas-saħħa ta' l-Istati Uniti?</v>
      </c>
    </row>
    <row r="3858" ht="15.75" customHeight="1">
      <c r="A3858" s="2" t="s">
        <v>3858</v>
      </c>
      <c r="B3858" s="2" t="str">
        <f>IFERROR(__xludf.DUMMYFUNCTION("GOOGLETRANSLATE(A3858,""en"", ""mt"")"),"Tliet azzjonijiet offensivi ewlenin")</f>
        <v>Tliet azzjonijiet offensivi ewlenin</v>
      </c>
    </row>
    <row r="3859" ht="15.75" customHeight="1">
      <c r="A3859" s="2" t="s">
        <v>3859</v>
      </c>
      <c r="B3859" s="2" t="str">
        <f>IFERROR(__xludf.DUMMYFUNCTION("GOOGLETRANSLATE(A3859,""en"", ""mt"")"),"X'jistgħu jaħdmu n-nies jekk ma jiġux miċħuda l-funzjonijiet, il-kapaċitajiet u l-aġenzija tagħhom?")</f>
        <v>X'jistgħu jaħdmu n-nies jekk ma jiġux miċħuda l-funzjonijiet, il-kapaċitajiet u l-aġenzija tagħhom?</v>
      </c>
    </row>
    <row r="3860" ht="15.75" customHeight="1">
      <c r="A3860" s="2" t="s">
        <v>3860</v>
      </c>
      <c r="B3860" s="2" t="str">
        <f>IFERROR(__xludf.DUMMYFUNCTION("GOOGLETRANSLATE(A3860,""en"", ""mt"")"),"L-Introduzzjoni Aċċidentali tal-Mnemiopsis li tiekol l-Amerika ta ’Fuq Ctenophore Beroe Ovata")</f>
        <v>L-Introduzzjoni Aċċidentali tal-Mnemiopsis li tiekol l-Amerika ta ’Fuq Ctenophore Beroe Ovata</v>
      </c>
    </row>
    <row r="3861" ht="15.75" customHeight="1">
      <c r="A3861" s="2" t="s">
        <v>3861</v>
      </c>
      <c r="B3861" s="2" t="str">
        <f>IFERROR(__xludf.DUMMYFUNCTION("GOOGLETRANSLATE(A3861,""en"", ""mt"")"),"Għal ħafna applikazzjonijiet ġeoloġiċi, il-proporzjonijiet ta 'iżotopi ta' elementi radjuattivi huma mkejla f'minerali li jagħtu l-ammont ta 'ħin li għadda minn meta blat għadda mit-temperatura ta' għeluq partikolari tiegħu, il-punt li fih iżotopi radjome"&amp;"triċi differenti jieqfu jxerrdu ġewwa u barra mill-kannizzata tal-kristall. Dawn jintużaw fi studji ġeokronoloġiċi u termokronoloġiċi. Metodi komuni jinkludu dating taċ-ċomb tal-uranju, dating tal-argon tal-potassju, dating tal-argon-argon u dating tal-ur"&amp;"anju. Dawn il-metodi jintużaw għal varjetà ta 'applikazzjonijiet. Id-dating ta 'lava u saffi ta' rmied vulkaniku misjuba f'sekwenza stratigrafika tista 'tipprovdi dejta ta' età assoluta għal unitajiet ta 'blat sedimentarju li ma fihomx iżotopi radjuattivi"&amp;" u jikkalibraw tekniki ta' dating relattivi. Dawn il-metodi jistgħu jintużaw ukoll biex jiddeterminaw l-etajiet ta 'pluton emplacement. Tekniki termokimiċi jistgħu jintużaw biex jiddeterminaw il-profili tat-temperatura fil-qoxra, l-irfigħ tal-firxiet tal-"&amp;"muntanji, u l-paleotopografija.")</f>
        <v>Għal ħafna applikazzjonijiet ġeoloġiċi, il-proporzjonijiet ta 'iżotopi ta' elementi radjuattivi huma mkejla f'minerali li jagħtu l-ammont ta 'ħin li għadda minn meta blat għadda mit-temperatura ta' għeluq partikolari tiegħu, il-punt li fih iżotopi radjometriċi differenti jieqfu jxerrdu ġewwa u barra mill-kannizzata tal-kristall. Dawn jintużaw fi studji ġeokronoloġiċi u termokronoloġiċi. Metodi komuni jinkludu dating taċ-ċomb tal-uranju, dating tal-argon tal-potassju, dating tal-argon-argon u dating tal-uranju. Dawn il-metodi jintużaw għal varjetà ta 'applikazzjonijiet. Id-dating ta 'lava u saffi ta' rmied vulkaniku misjuba f'sekwenza stratigrafika tista 'tipprovdi dejta ta' età assoluta għal unitajiet ta 'blat sedimentarju li ma fihomx iżotopi radjuattivi u jikkalibraw tekniki ta' dating relattivi. Dawn il-metodi jistgħu jintużaw ukoll biex jiddeterminaw l-etajiet ta 'pluton emplacement. Tekniki termokimiċi jistgħu jintużaw biex jiddeterminaw il-profili tat-temperatura fil-qoxra, l-irfigħ tal-firxiet tal-muntanji, u l-paleotopografija.</v>
      </c>
    </row>
    <row r="3862" ht="15.75" customHeight="1">
      <c r="A3862" s="2" t="s">
        <v>3862</v>
      </c>
      <c r="B3862" s="2" t="str">
        <f>IFERROR(__xludf.DUMMYFUNCTION("GOOGLETRANSLATE(A3862,""en"", ""mt"")"),"L-iswiċċjar taċ-ċirkwit huwa kkaratterizzat minn tariffa għal kull unità ta 'ħin ta' konnessjoni")</f>
        <v>L-iswiċċjar taċ-ċirkwit huwa kkaratterizzat minn tariffa għal kull unità ta 'ħin ta' konnessjoni</v>
      </c>
    </row>
    <row r="3863" ht="15.75" customHeight="1">
      <c r="A3863" s="2" t="s">
        <v>3863</v>
      </c>
      <c r="B3863" s="2" t="str">
        <f>IFERROR(__xludf.DUMMYFUNCTION("GOOGLETRANSLATE(A3863,""en"", ""mt"")"),"Han Ċiniż, Khitans, Jurchens, Mongols, u Buddisti Tibetani")</f>
        <v>Han Ċiniż, Khitans, Jurchens, Mongols, u Buddisti Tibetani</v>
      </c>
    </row>
    <row r="3864" ht="15.75" customHeight="1">
      <c r="A3864" s="2" t="s">
        <v>3864</v>
      </c>
      <c r="B3864" s="2" t="str">
        <f>IFERROR(__xludf.DUMMYFUNCTION("GOOGLETRANSLATE(A3864,""en"", ""mt"")"),"Hemm xi reġjuni fejn it-Trattat tal-Unjoni Ewropea jeskludi mill-ġurisdizzjoni?")</f>
        <v>Hemm xi reġjuni fejn it-Trattat tal-Unjoni Ewropea jeskludi mill-ġurisdizzjoni?</v>
      </c>
    </row>
    <row r="3865" ht="15.75" customHeight="1">
      <c r="A3865" s="2" t="s">
        <v>3865</v>
      </c>
      <c r="B3865" s="2" t="str">
        <f>IFERROR(__xludf.DUMMYFUNCTION("GOOGLETRANSLATE(A3865,""en"", ""mt"")"),"Min jippossjedi aktar ġid mill-qiegħ 90 fil-mija tan-nies fl-Istati Uniti?")</f>
        <v>Min jippossjedi aktar ġid mill-qiegħ 90 fil-mija tan-nies fl-Istati Uniti?</v>
      </c>
    </row>
    <row r="3866" ht="15.75" customHeight="1">
      <c r="A3866" s="2" t="s">
        <v>3866</v>
      </c>
      <c r="B3866" s="2" t="str">
        <f>IFERROR(__xludf.DUMMYFUNCTION("GOOGLETRANSLATE(A3866,""en"", ""mt"")"),"Liema użu ġie ssuġġerit għas-sistema")</f>
        <v>Liema użu ġie ssuġġerit għas-sistema</v>
      </c>
    </row>
    <row r="3867" ht="15.75" customHeight="1">
      <c r="A3867" s="2" t="s">
        <v>3867</v>
      </c>
      <c r="B3867" s="2" t="str">
        <f>IFERROR(__xludf.DUMMYFUNCTION("GOOGLETRANSLATE(A3867,""en"", ""mt"")"),"Bricks għal Varsavja")</f>
        <v>Bricks għal Varsavja</v>
      </c>
    </row>
    <row r="3868" ht="15.75" customHeight="1">
      <c r="A3868" s="2" t="s">
        <v>3868</v>
      </c>
      <c r="B3868" s="2" t="str">
        <f>IFERROR(__xludf.DUMMYFUNCTION("GOOGLETRANSLATE(A3868,""en"", ""mt"")"),"Il-flora tal-belt tista 'titqies rikka ħafna fl-ispeċi. Ir-rikkezza tal-ispeċi hija dovuta l-aktar għall-lok ta 'Varsavja fir-reġjun tal-fruntiera ta' bosta reġjuni kbar tal-fjuri li jinkludu proporzjonijiet sostanzjali ta 'żoni mill-qrib għall-għaqda (fo"&amp;"resti naturali, artijiet mistagħdra tul il-vistula) kif ukoll art li tinħadem, mergħat u foresti. Bielany Forest, li tinsab fil-fruntieri ta 'Varsavja, hija l-bqija tal-foresta primordjali Masovjana. Ir-Riżerva Naturali tal-Foresti Bielany hija konnessa m"&amp;"al-Forest Kampinos. Huwa d-dar ta 'Fawna Rich u Flora. Fil-foresta hemm tliet traċċi taċ-ċikliżmu u tal-mixi. Żona kbira oħra tal-foresta hija l-foresta Kabaty mill-fruntiera tan-Nofsinhar tal-Belt. Varsavja għandha wkoll żewġ ġonna botaniċi: mill-Park ła"&amp;"zienki (unità ta ’riċerka didattika tal-Università ta’ Varsavja) kif ukoll mill-Park tal-Kultura u l-mistrieħ fil-Powsin (unità tal-Akkademja tax-Xjenza Pollakka).")</f>
        <v>Il-flora tal-belt tista 'titqies rikka ħafna fl-ispeċi. Ir-rikkezza tal-ispeċi hija dovuta l-aktar għall-lok ta 'Varsavja fir-reġjun tal-fruntiera ta' bosta reġjuni kbar tal-fjuri li jinkludu proporzjonijiet sostanzjali ta 'żoni mill-qrib għall-għaqda (foresti naturali, artijiet mistagħdra tul il-vistula) kif ukoll art li tinħadem, mergħat u foresti. Bielany Forest, li tinsab fil-fruntieri ta 'Varsavja, hija l-bqija tal-foresta primordjali Masovjana. Ir-Riżerva Naturali tal-Foresti Bielany hija konnessa mal-Forest Kampinos. Huwa d-dar ta 'Fawna Rich u Flora. Fil-foresta hemm tliet traċċi taċ-ċikliżmu u tal-mixi. Żona kbira oħra tal-foresta hija l-foresta Kabaty mill-fruntiera tan-Nofsinhar tal-Belt. Varsavja għandha wkoll żewġ ġonna botaniċi: mill-Park łazienki (unità ta ’riċerka didattika tal-Università ta’ Varsavja) kif ukoll mill-Park tal-Kultura u l-mistrieħ fil-Powsin (unità tal-Akkademja tax-Xjenza Pollakka).</v>
      </c>
    </row>
    <row r="3869" ht="15.75" customHeight="1">
      <c r="A3869" s="2" t="s">
        <v>3869</v>
      </c>
      <c r="B3869" s="2" t="str">
        <f>IFERROR(__xludf.DUMMYFUNCTION("GOOGLETRANSLATE(A3869,""en"", ""mt"")"),"Biex tevita li tkun immirata mill-bojkott")</f>
        <v>Biex tevita li tkun immirata mill-bojkott</v>
      </c>
    </row>
    <row r="3870" ht="15.75" customHeight="1">
      <c r="A3870" s="2" t="s">
        <v>3870</v>
      </c>
      <c r="B3870" s="2" t="str">
        <f>IFERROR(__xludf.DUMMYFUNCTION("GOOGLETRANSLATE(A3870,""en"", ""mt"")"),"tipproponi li tittieħed dik l-azzjoni")</f>
        <v>tipproponi li tittieħed dik l-azzjoni</v>
      </c>
    </row>
    <row r="3871" ht="15.75" customHeight="1">
      <c r="A3871" s="2" t="s">
        <v>3871</v>
      </c>
      <c r="B3871" s="2" t="str">
        <f>IFERROR(__xludf.DUMMYFUNCTION("GOOGLETRANSLATE(A3871,""en"", ""mt"")"),"baqa 'ħaj minn ħafna gwerer, kunflitti u invażjonijiet")</f>
        <v>baqa 'ħaj minn ħafna gwerer, kunflitti u invażjonijiet</v>
      </c>
    </row>
    <row r="3872" ht="15.75" customHeight="1">
      <c r="A3872" s="2" t="s">
        <v>3872</v>
      </c>
      <c r="B3872" s="2" t="str">
        <f>IFERROR(__xludf.DUMMYFUNCTION("GOOGLETRANSLATE(A3872,""en"", ""mt"")"),"Alan Dershowitz u Lawrence Lessig")</f>
        <v>Alan Dershowitz u Lawrence Lessig</v>
      </c>
    </row>
    <row r="3873" ht="15.75" customHeight="1">
      <c r="A3873" s="2" t="s">
        <v>3873</v>
      </c>
      <c r="B3873" s="2" t="str">
        <f>IFERROR(__xludf.DUMMYFUNCTION("GOOGLETRANSLATE(A3873,""en"", ""mt"")"),"It-tieni u t-tielet ġirja films, flimkien ma 'films klassiċi")</f>
        <v>It-tieni u t-tielet ġirja films, flimkien ma 'films klassiċi</v>
      </c>
    </row>
    <row r="3874" ht="15.75" customHeight="1">
      <c r="A3874" s="2" t="s">
        <v>3874</v>
      </c>
      <c r="B3874" s="2" t="str">
        <f>IFERROR(__xludf.DUMMYFUNCTION("GOOGLETRANSLATE(A3874,""en"", ""mt"")"),"it-tielet l-iktar")</f>
        <v>it-tielet l-iktar</v>
      </c>
    </row>
    <row r="3875" ht="15.75" customHeight="1">
      <c r="A3875" s="2" t="s">
        <v>3875</v>
      </c>
      <c r="B3875" s="2" t="str">
        <f>IFERROR(__xludf.DUMMYFUNCTION("GOOGLETRANSLATE(A3875,""en"", ""mt"")"),"Fejn il-kontroll tal-konfederazzjoni Iroquois?")</f>
        <v>Fejn il-kontroll tal-konfederazzjoni Iroquois?</v>
      </c>
    </row>
    <row r="3876" ht="15.75" customHeight="1">
      <c r="A3876" s="2" t="s">
        <v>3876</v>
      </c>
      <c r="B3876" s="2" t="str">
        <f>IFERROR(__xludf.DUMMYFUNCTION("GOOGLETRANSLATE(A3876,""en"", ""mt"")"),"F'nofs is-snin 1960, l-iskandli tal-korruzzjoni bdew jinħolqu fost ħafna mill-uffiċjali tal-belt, li ġew eletti prinċipalment permezz tan-netwerk tradizzjonali tat-tifel antik. Wara li ġiet imlaqqa 'ġurija kbira biex tinvestiga, 11-il uffiċjal ġew akkużat"&amp;"i u aktar ġew sfurzati jirriżenjaw. Jacksonville Consolidation, immexxija minn J. J. Daniel u Claude Yates, bdew jirbħu aktar appoġġ matul dan il-perjodu, miż-żewġ suwed tal-belt ġewwa, li riedu aktar involviment fil-gvern, u l-abjad fis-subborgi, li ried"&amp;"u aktar servizzi u aktar kontroll fuq il-belt ċentrali fuq il-belt ċentrali Jonqos Fl-1964 il-15-il skejjel pubbliċi tal-Kontea ta 'Duval tilfu l-akkreditazzjoni tagħhom. Dan żied il-momentum għall-proposti għar-riforma tal-gvern. Taxxi aktar baxxi, żieda"&amp;" fl-iżvilupp ekonomiku, unifikazzjoni tal-komunità, infiq pubbliku aħjar u amministrazzjoni effettiva minn awtorità aktar ċentrali kienu kollha kkwotati bħala raġunijiet għal gvern konsolidat ġdid.")</f>
        <v>F'nofs is-snin 1960, l-iskandli tal-korruzzjoni bdew jinħolqu fost ħafna mill-uffiċjali tal-belt, li ġew eletti prinċipalment permezz tan-netwerk tradizzjonali tat-tifel antik. Wara li ġiet imlaqqa 'ġurija kbira biex tinvestiga, 11-il uffiċjal ġew akkużati u aktar ġew sfurzati jirriżenjaw. Jacksonville Consolidation, immexxija minn J. J. Daniel u Claude Yates, bdew jirbħu aktar appoġġ matul dan il-perjodu, miż-żewġ suwed tal-belt ġewwa, li riedu aktar involviment fil-gvern, u l-abjad fis-subborgi, li riedu aktar servizzi u aktar kontroll fuq il-belt ċentrali fuq il-belt ċentrali Jonqos Fl-1964 il-15-il skejjel pubbliċi tal-Kontea ta 'Duval tilfu l-akkreditazzjoni tagħhom. Dan żied il-momentum għall-proposti għar-riforma tal-gvern. Taxxi aktar baxxi, żieda fl-iżvilupp ekonomiku, unifikazzjoni tal-komunità, infiq pubbliku aħjar u amministrazzjoni effettiva minn awtorità aktar ċentrali kienu kollha kkwotati bħala raġunijiet għal gvern konsolidat ġdid.</v>
      </c>
    </row>
    <row r="3877" ht="15.75" customHeight="1">
      <c r="A3877" s="2" t="s">
        <v>3877</v>
      </c>
      <c r="B3877" s="2" t="str">
        <f>IFERROR(__xludf.DUMMYFUNCTION("GOOGLETRANSLATE(A3877,""en"", ""mt"")"),"Il-konċentrazzjoni tal-ġid hija proċess teoretiku [skond min?] Li permezz tiegħu, taħt ċerti kundizzjonijiet, konċentrati tal-ġid maħluqa ġodda fil-pussess ta 'individwi jew entitajiet diġà sinjifikanti. Skond din it-teorija, dawk li diġà għandhom il-ġid "&amp;"għandhom il-mezzi biex jinvestu f'sorsi ġodda ta 'ħolqien ta' ġid jew biex inkella jsaħħu l-akkumulazzjoni tal-ġid, u għalhekk huma l-benefiċjarji tal-ġid il-ġdid. Maż-żmien, il-kondensazzjoni tal-ġid tista 'tikkontribwixxi b'mod sinifikanti għall-persist"&amp;"enza ta' inugwaljanza fis-soċjetà. Thomas Piketty fil-ktieb tal-ktieb tiegħu fis-seklu wieħed u għoxrin jargumenta li l-forza fundamentali għad-diverġenza hija r-ritorn ġeneralment ikbar tal-kapital (R) milli t-tkabbir ekonomiku (G), u li l-fortuni akbar "&amp;"jiġġeneraw qligħ ogħla [PP. 384 Tabella 12.2, Daqs tad-Dotazzjoni tal-Università ta 'l-Istati Uniti vs Rata ta' Ritorn Annwali Real]")</f>
        <v>Il-konċentrazzjoni tal-ġid hija proċess teoretiku [skond min?] Li permezz tiegħu, taħt ċerti kundizzjonijiet, konċentrati tal-ġid maħluqa ġodda fil-pussess ta 'individwi jew entitajiet diġà sinjifikanti. Skond din it-teorija, dawk li diġà għandhom il-ġid għandhom il-mezzi biex jinvestu f'sorsi ġodda ta 'ħolqien ta' ġid jew biex inkella jsaħħu l-akkumulazzjoni tal-ġid, u għalhekk huma l-benefiċjarji tal-ġid il-ġdid. Maż-żmien, il-kondensazzjoni tal-ġid tista 'tikkontribwixxi b'mod sinifikanti għall-persistenza ta' inugwaljanza fis-soċjetà. Thomas Piketty fil-ktieb tal-ktieb tiegħu fis-seklu wieħed u għoxrin jargumenta li l-forza fundamentali għad-diverġenza hija r-ritorn ġeneralment ikbar tal-kapital (R) milli t-tkabbir ekonomiku (G), u li l-fortuni akbar jiġġeneraw qligħ ogħla [PP. 384 Tabella 12.2, Daqs tad-Dotazzjoni tal-Università ta 'l-Istati Uniti vs Rata ta' Ritorn Annwali Real]</v>
      </c>
    </row>
    <row r="3878" ht="15.75" customHeight="1">
      <c r="A3878" s="2" t="s">
        <v>3878</v>
      </c>
      <c r="B3878" s="2" t="str">
        <f>IFERROR(__xludf.DUMMYFUNCTION("GOOGLETRANSLATE(A3878,""en"", ""mt"")"),"X'inhu jidher fuq il-Bandiera tal-Belt ta 'Fresno?")</f>
        <v>X'inhu jidher fuq il-Bandiera tal-Belt ta 'Fresno?</v>
      </c>
    </row>
    <row r="3879" ht="15.75" customHeight="1">
      <c r="A3879" s="2" t="s">
        <v>3879</v>
      </c>
      <c r="B3879" s="2" t="str">
        <f>IFERROR(__xludf.DUMMYFUNCTION("GOOGLETRANSLATE(A3879,""en"", ""mt"")"),"Fl-1965, fuq l-istigazzjoni ta 'Warner Sinback, netwerk ta' dejta bbażat fuq dan in-netwerk tal-vuċi-phone kien iddisinjat biex jgħaqqad l-erba 'ċentri ta' bejgħ u servizzi tal-kompjuter ta 'GE (Schenectady, Phoenix, Chicago, u Phoenix) biex jiffaċilita s"&amp;"ervizz ta' qsim ta 'ħin tal-kompjuter, Milli jidher l-ewwel servizz onlajn kummerċjali tad-dinja. (Minbarra li jbigħu l-kompjuters GE, iċ-ċentri kienu uffiċċji tas-servizzi tal-kompjuter, joffru servizzi ta 'proċessar tal-lott. Huma tilfu l-flus mill-bidu"&amp;", u Sinback, maniġer ta' kummerċ ta 'livell għoli, ingħata x-xogħol li jdawwar in-negozju. Sistema ta 'qsim ta' ħin, ibbażata fuq ix-xogħol ta 'Kemney f'Dartmouth - li uża kompjuter b'self minn GE - jista' jkun ta 'profitt. Warner kellu raġun.)")</f>
        <v>Fl-1965, fuq l-istigazzjoni ta 'Warner Sinback, netwerk ta' dejta bbażat fuq dan in-netwerk tal-vuċi-phone kien iddisinjat biex jgħaqqad l-erba 'ċentri ta' bejgħ u servizzi tal-kompjuter ta 'GE (Schenectady, Phoenix, Chicago, u Phoenix) biex jiffaċilita servizz ta' qsim ta 'ħin tal-kompjuter, Milli jidher l-ewwel servizz onlajn kummerċjali tad-dinja. (Minbarra li jbigħu l-kompjuters GE, iċ-ċentri kienu uffiċċji tas-servizzi tal-kompjuter, joffru servizzi ta 'proċessar tal-lott. Huma tilfu l-flus mill-bidu, u Sinback, maniġer ta' kummerċ ta 'livell għoli, ingħata x-xogħol li jdawwar in-negozju. Sistema ta 'qsim ta' ħin, ibbażata fuq ix-xogħol ta 'Kemney f'Dartmouth - li uża kompjuter b'self minn GE - jista' jkun ta 'profitt. Warner kellu raġun.)</v>
      </c>
    </row>
    <row r="3880" ht="15.75" customHeight="1">
      <c r="A3880" s="2" t="s">
        <v>3880</v>
      </c>
      <c r="B3880" s="2" t="str">
        <f>IFERROR(__xludf.DUMMYFUNCTION("GOOGLETRANSLATE(A3880,""en"", ""mt"")"),"In-nuqqas ta ’parlament tal-Iskozja")</f>
        <v>In-nuqqas ta ’parlament tal-Iskozja</v>
      </c>
    </row>
    <row r="3881" ht="15.75" customHeight="1">
      <c r="A3881" s="2" t="s">
        <v>3881</v>
      </c>
      <c r="B3881" s="2" t="str">
        <f>IFERROR(__xludf.DUMMYFUNCTION("GOOGLETRANSLATE(A3881,""en"", ""mt"")"),"Vosges Mountains")</f>
        <v>Vosges Mountains</v>
      </c>
    </row>
    <row r="3882" ht="15.75" customHeight="1">
      <c r="A3882" s="2" t="s">
        <v>3882</v>
      </c>
      <c r="B3882" s="2" t="str">
        <f>IFERROR(__xludf.DUMMYFUNCTION("GOOGLETRANSLATE(A3882,""en"", ""mt"")"),"""Ċaħda tal-kapaċità""")</f>
        <v>"Ċaħda tal-kapaċità"</v>
      </c>
    </row>
    <row r="3883" ht="15.75" customHeight="1">
      <c r="A3883" s="2" t="s">
        <v>3883</v>
      </c>
      <c r="B3883" s="2" t="str">
        <f>IFERROR(__xludf.DUMMYFUNCTION("GOOGLETRANSLATE(A3883,""en"", ""mt"")"),"Għaliex kien hemm deprezzament tad-dollari tan-nazzjonijiet industrijalizzati?")</f>
        <v>Għaliex kien hemm deprezzament tad-dollari tan-nazzjonijiet industrijalizzati?</v>
      </c>
    </row>
    <row r="3884" ht="15.75" customHeight="1">
      <c r="A3884" s="2" t="s">
        <v>3884</v>
      </c>
      <c r="B3884" s="2" t="str">
        <f>IFERROR(__xludf.DUMMYFUNCTION("GOOGLETRANSLATE(A3884,""en"", ""mt"")"),"imċaħħad milli jaqla 'daqshekk")</f>
        <v>imċaħħad milli jaqla 'daqshekk</v>
      </c>
    </row>
    <row r="3885" ht="15.75" customHeight="1">
      <c r="A3885" s="2" t="s">
        <v>3885</v>
      </c>
      <c r="B3885" s="2" t="str">
        <f>IFERROR(__xludf.DUMMYFUNCTION("GOOGLETRANSLATE(A3885,""en"", ""mt"")"),"Ir-rebħiet Ingliżi komplew fit-teatri kollha fl-Annus Mirabilis tal-1759, meta finalment qabdu Ticonderoga, James Wolfe għeleb lil Montcalm fil-Quebec (f’battalja li ddikjarat il-ħajja taż-żewġ kmandanti), u r-rebħa fil-Fort Niagara qatgħet b’suċċess il-F"&amp;"rontier Forder Franċiż aktar lejn il-punent u n-nofsinhar. Ir-rebħa saret kompluta fl-1760 meta, minkejja li tilfet barra l-Belt ta ’Quebec fil-battalja ta’ Sainte-Foy, l-Ingliżi setgħu jipprevjenu l-wasla ta ’vapuri ta’ għajnuna Franċiżi fil-battalja nav"&amp;"ali tar-Restigouche waqt li l-armati marru fuq Montreal minn tliet naħat.")</f>
        <v>Ir-rebħiet Ingliżi komplew fit-teatri kollha fl-Annus Mirabilis tal-1759, meta finalment qabdu Ticonderoga, James Wolfe għeleb lil Montcalm fil-Quebec (f’battalja li ddikjarat il-ħajja taż-żewġ kmandanti), u r-rebħa fil-Fort Niagara qatgħet b’suċċess il-Frontier Forder Franċiż aktar lejn il-punent u n-nofsinhar. Ir-rebħa saret kompluta fl-1760 meta, minkejja li tilfet barra l-Belt ta ’Quebec fil-battalja ta’ Sainte-Foy, l-Ingliżi setgħu jipprevjenu l-wasla ta ’vapuri ta’ għajnuna Franċiżi fil-battalja navali tar-Restigouche waqt li l-armati marru fuq Montreal minn tliet naħat.</v>
      </c>
    </row>
    <row r="3886" ht="15.75" customHeight="1">
      <c r="A3886" s="2" t="s">
        <v>3886</v>
      </c>
      <c r="B3886" s="2" t="str">
        <f>IFERROR(__xludf.DUMMYFUNCTION("GOOGLETRANSLATE(A3886,""en"", ""mt"")"),"Proprjetarji ta 'negozji żgħar")</f>
        <v>Proprjetarji ta 'negozji żgħar</v>
      </c>
    </row>
    <row r="3887" ht="15.75" customHeight="1">
      <c r="A3887" s="2" t="s">
        <v>3887</v>
      </c>
      <c r="B3887" s="2" t="str">
        <f>IFERROR(__xludf.DUMMYFUNCTION("GOOGLETRANSLATE(A3887,""en"", ""mt"")"),"X'tip ta 'teknoloġija li tibgħat qed tintuża biex tipproteġi l-artijiet tribali fl-Amażonja?")</f>
        <v>X'tip ta 'teknoloġija li tibgħat qed tintuża biex tipproteġi l-artijiet tribali fl-Amażonja?</v>
      </c>
    </row>
    <row r="3888" ht="15.75" customHeight="1">
      <c r="A3888" s="2" t="s">
        <v>3888</v>
      </c>
      <c r="B3888" s="2" t="str">
        <f>IFERROR(__xludf.DUMMYFUNCTION("GOOGLETRANSLATE(A3888,""en"", ""mt"")"),"Ma setgħux jaħkmu ċ-Ċiniż miktub, iżda ġeneralment jistgħu jitkellmu sew")</f>
        <v>Ma setgħux jaħkmu ċ-Ċiniż miktub, iżda ġeneralment jistgħu jitkellmu sew</v>
      </c>
    </row>
    <row r="3889" ht="15.75" customHeight="1">
      <c r="A3889" s="2" t="s">
        <v>3889</v>
      </c>
      <c r="B3889" s="2" t="str">
        <f>IFERROR(__xludf.DUMMYFUNCTION("GOOGLETRANSLATE(A3889,""en"", ""mt"")"),"Mhuwiex ċert kif ctenophores jikkontrollaw il-galleġġjatura tagħhom, iżda l-esperimenti wrew li xi speċi jiddependu fuq pressjoni osmotika biex jadattaw għall-ilma ta 'densitajiet differenti. Il-fluwidi tal-ġisem tagħhom huma normalment ikkonċentrati daqs"&amp;" l-ilma baħar. Jekk jidħlu f'ilma brackish inqas dens, il-rosettes ciliary fil-kavità tal-ġisem jistgħu jippompjaw dan fil-mesoglea biex iżidu l-massa tiegħu u jnaqqsu d-densità tiegħu, biex jevitaw l-għarqa. Bil-maqlub jekk jimxu minn salmura għal ilma b"&amp;"aħar b'saħħa sħiħa, ir-rosettes jistgħu jippompjaw l-ilma barra mill-mesoglea biex inaqqsu l-volum tiegħu u jżidu d-densità tiegħu.")</f>
        <v>Mhuwiex ċert kif ctenophores jikkontrollaw il-galleġġjatura tagħhom, iżda l-esperimenti wrew li xi speċi jiddependu fuq pressjoni osmotika biex jadattaw għall-ilma ta 'densitajiet differenti. Il-fluwidi tal-ġisem tagħhom huma normalment ikkonċentrati daqs l-ilma baħar. Jekk jidħlu f'ilma brackish inqas dens, il-rosettes ciliary fil-kavità tal-ġisem jistgħu jippompjaw dan fil-mesoglea biex iżidu l-massa tiegħu u jnaqqsu d-densità tiegħu, biex jevitaw l-għarqa. Bil-maqlub jekk jimxu minn salmura għal ilma baħar b'saħħa sħiħa, ir-rosettes jistgħu jippompjaw l-ilma barra mill-mesoglea biex inaqqsu l-volum tiegħu u jżidu d-densità tiegħu.</v>
      </c>
    </row>
    <row r="3890" ht="15.75" customHeight="1">
      <c r="A3890" s="2" t="s">
        <v>3890</v>
      </c>
      <c r="B3890" s="2" t="str">
        <f>IFERROR(__xludf.DUMMYFUNCTION("GOOGLETRANSLATE(A3890,""en"", ""mt"")"),"Kawża oħra hija r-rata li biha d-dħul jiġi ntaxxat flimkien mal-progressività tas-sistema tat-taxxa. Taxxa progressiva hija taxxa li biha r-rata tat-taxxa tiżdied hekk kif l-ammont ta 'bażi ​​taxxabbli jiżdied. F'sistema ta 'taxxa progressiva, il-livell t"&amp;"ar-rata ta' taxxa l-aqwa spiss ikollu impatt dirett fuq il-livell ta 'inugwaljanza fi ħdan soċjetà, jew iżidha jew jonqosha, sakemm id-dħul ma jinbidilx bħala riżultat tal-bidla fir-reġim tat-taxxa Jonqos Barra minn hekk, progressività tat-taxxa aktar wie"&amp;"qfa applikata għall-infiq soċjali tista 'tirriżulta f'distribuzzjoni aktar ugwali tad-dħul madwar il-bord. Id-differenza bejn l-indiċi Gini għal distribuzzjoni tad-dħul qabel it-tassazzjoni u l-indiċi Gini wara t-tassazzjoni hija indikatur għall-effetti t"&amp;"a 'tali tassazzjoni.")</f>
        <v>Kawża oħra hija r-rata li biha d-dħul jiġi ntaxxat flimkien mal-progressività tas-sistema tat-taxxa. Taxxa progressiva hija taxxa li biha r-rata tat-taxxa tiżdied hekk kif l-ammont ta 'bażi ​​taxxabbli jiżdied. F'sistema ta 'taxxa progressiva, il-livell tar-rata ta' taxxa l-aqwa spiss ikollu impatt dirett fuq il-livell ta 'inugwaljanza fi ħdan soċjetà, jew iżidha jew jonqosha, sakemm id-dħul ma jinbidilx bħala riżultat tal-bidla fir-reġim tat-taxxa Jonqos Barra minn hekk, progressività tat-taxxa aktar wieqfa applikata għall-infiq soċjali tista 'tirriżulta f'distribuzzjoni aktar ugwali tad-dħul madwar il-bord. Id-differenza bejn l-indiċi Gini għal distribuzzjoni tad-dħul qabel it-tassazzjoni u l-indiċi Gini wara t-tassazzjoni hija indikatur għall-effetti ta 'tali tassazzjoni.</v>
      </c>
    </row>
    <row r="3891" ht="15.75" customHeight="1">
      <c r="A3891" s="2" t="s">
        <v>3891</v>
      </c>
      <c r="B3891" s="2" t="str">
        <f>IFERROR(__xludf.DUMMYFUNCTION("GOOGLETRANSLATE(A3891,""en"", ""mt"")"),"Liema tribujiet għaqdu Genghis Khan?")</f>
        <v>Liema tribujiet għaqdu Genghis Khan?</v>
      </c>
    </row>
    <row r="3892" ht="15.75" customHeight="1">
      <c r="A3892" s="2" t="s">
        <v>3892</v>
      </c>
      <c r="B3892" s="2" t="str">
        <f>IFERROR(__xludf.DUMMYFUNCTION("GOOGLETRANSLATE(A3892,""en"", ""mt"")"),"Il-viċinat jinkludi Kearney Boulevard, imsemmi wara intraprenditur kmieni tas-seklu 20 u miljunarju M. Theo Kearney, li jestendi minn Triq Fresno fil-Lbiċ ta 'Fresno madwar 20 mi (32 km) fil-punent għal Kerman għal Kerman, Kerman, California. Triq rurali "&amp;"żgħira b'żewġ karreġġjati għall-biċċa l-kbira tat-tul tagħha, Kearney Boulevard hija miksija bis-siġar tal-palm tall. Il-medda ta 'bejn wieħed u ieħor nofs mili ta' Kearney Boulevard bejn Triq Fresno u Thorne Ave kienet f'ħin minnhom il-viċinat preferut g"&amp;"ħall-familji Afrikani Elite-Amerikani ta 'Fresno. Sezzjoni oħra, Brookhaven, fit-tarf tan-nofsinhar tan-naħa tal-punent fin-nofsinhar ta 'Jensen u fil-punent ta' Elm, ingħatat l-isem mill-Kunsill tal-Belt ta 'Fresno fi sforz biex terġa' tqajjem l-immaġni "&amp;"tal-viċinat. Is-suddiviżjoni iżolata kienet għal snin magħrufa bħala l- ""Dogg Lira"" b'referenza għal gang lokali, u mill-aħħar tal-2008 kienet għadha magħrufa għal livelli għoljin ta 'kriminalità vjolenti.")</f>
        <v>Il-viċinat jinkludi Kearney Boulevard, imsemmi wara intraprenditur kmieni tas-seklu 20 u miljunarju M. Theo Kearney, li jestendi minn Triq Fresno fil-Lbiċ ta 'Fresno madwar 20 mi (32 km) fil-punent għal Kerman għal Kerman, Kerman, California. Triq rurali żgħira b'żewġ karreġġjati għall-biċċa l-kbira tat-tul tagħha, Kearney Boulevard hija miksija bis-siġar tal-palm tall. Il-medda ta 'bejn wieħed u ieħor nofs mili ta' Kearney Boulevard bejn Triq Fresno u Thorne Ave kienet f'ħin minnhom il-viċinat preferut għall-familji Afrikani Elite-Amerikani ta 'Fresno. Sezzjoni oħra, Brookhaven, fit-tarf tan-nofsinhar tan-naħa tal-punent fin-nofsinhar ta 'Jensen u fil-punent ta' Elm, ingħatat l-isem mill-Kunsill tal-Belt ta 'Fresno fi sforz biex terġa' tqajjem l-immaġni tal-viċinat. Is-suddiviżjoni iżolata kienet għal snin magħrufa bħala l- "Dogg Lira" b'referenza għal gang lokali, u mill-aħħar tal-2008 kienet għadha magħrufa għal livelli għoljin ta 'kriminalità vjolenti.</v>
      </c>
    </row>
    <row r="3893" ht="15.75" customHeight="1">
      <c r="A3893" s="2" t="s">
        <v>3893</v>
      </c>
      <c r="B3893" s="2" t="str">
        <f>IFERROR(__xludf.DUMMYFUNCTION("GOOGLETRANSLATE(A3893,""en"", ""mt"")"),"X'kienet il-lavoisier li l-arja kienet tilfet daqskemm kienet kisbet il-landa")</f>
        <v>X'kienet il-lavoisier li l-arja kienet tilfet daqskemm kienet kisbet il-landa</v>
      </c>
    </row>
    <row r="3894" ht="15.75" customHeight="1">
      <c r="A3894" s="2" t="s">
        <v>3894</v>
      </c>
      <c r="B3894" s="2" t="str">
        <f>IFERROR(__xludf.DUMMYFUNCTION("GOOGLETRANSLATE(A3894,""en"", ""mt"")"),"X'tip ta 'lokomottiva kienet Salamanca?")</f>
        <v>X'tip ta 'lokomottiva kienet Salamanca?</v>
      </c>
    </row>
    <row r="3895" ht="15.75" customHeight="1">
      <c r="A3895" s="2" t="s">
        <v>3895</v>
      </c>
      <c r="B3895" s="2" t="str">
        <f>IFERROR(__xludf.DUMMYFUNCTION("GOOGLETRANSLATE(A3895,""en"", ""mt"")"),"X'jiġri l-BerioDs bħala snien?")</f>
        <v>X'jiġri l-BerioDs bħala snien?</v>
      </c>
    </row>
    <row r="3896" ht="15.75" customHeight="1">
      <c r="A3896" s="2" t="s">
        <v>3896</v>
      </c>
      <c r="B3896" s="2" t="str">
        <f>IFERROR(__xludf.DUMMYFUNCTION("GOOGLETRANSLATE(A3896,""en"", ""mt"")"),"X'tip ta 'tkabbir ħeġġeġ Kublai?")</f>
        <v>X'tip ta 'tkabbir ħeġġeġ Kublai?</v>
      </c>
    </row>
    <row r="3897" ht="15.75" customHeight="1">
      <c r="A3897" s="2" t="s">
        <v>3897</v>
      </c>
      <c r="B3897" s="2" t="str">
        <f>IFERROR(__xludf.DUMMYFUNCTION("GOOGLETRANSLATE(A3897,""en"", ""mt"")"),"L-ispiżjara ma jistgħux jiffurmaw sħubijiet kummerċjali ma 'tobba jew jagħtuhom ħlasijiet ""kickback""")</f>
        <v>L-ispiżjara ma jistgħux jiffurmaw sħubijiet kummerċjali ma 'tobba jew jagħtuhom ħlasijiet "kickback"</v>
      </c>
    </row>
    <row r="3898" ht="15.75" customHeight="1">
      <c r="A3898" s="2" t="s">
        <v>3898</v>
      </c>
      <c r="B3898" s="2" t="str">
        <f>IFERROR(__xludf.DUMMYFUNCTION("GOOGLETRANSLATE(A3898,""en"", ""mt"")"),"L-aħħar snin tad-dinastija Yuan kienu mmarkati mill-ġlieda, il-ġuħ, u l-imrar fost il-popolazzjoni. Biż-żmien, is-suċċessuri ta 'Kublai Khan tilfu l-influwenza kollha fuq artijiet oħra tal-Mongolja madwar l-Asja, filwaqt li l-Mongoli lil hinn mir-Renju No"&amp;"fsani rawhom bħala Ċiniżi wisq. Gradwalment, huma tilfu l-influwenza wkoll fiċ-Ċina. Ir-renji tal-imperaturi tal-Yuan aktar tard kienu qosra u mmarkati minn intrigues u rivalitajiet. Mhux interessati fl-amministrazzjoni, ġew separati kemm mill-armata kif "&amp;"ukoll mill-popolazzjoni, u ċ-Ċina kienet imqatta 'minn dissensjoni u inkwiet. Outlaws ħarbtu l-pajjiż mingħajr interferenza mill-armati tal-wan li jiddgħajfu.")</f>
        <v>L-aħħar snin tad-dinastija Yuan kienu mmarkati mill-ġlieda, il-ġuħ, u l-imrar fost il-popolazzjoni. Biż-żmien, is-suċċessuri ta 'Kublai Khan tilfu l-influwenza kollha fuq artijiet oħra tal-Mongolja madwar l-Asja, filwaqt li l-Mongoli lil hinn mir-Renju Nofsani rawhom bħala Ċiniżi wisq. Gradwalment, huma tilfu l-influwenza wkoll fiċ-Ċina. Ir-renji tal-imperaturi tal-Yuan aktar tard kienu qosra u mmarkati minn intrigues u rivalitajiet. Mhux interessati fl-amministrazzjoni, ġew separati kemm mill-armata kif ukoll mill-popolazzjoni, u ċ-Ċina kienet imqatta 'minn dissensjoni u inkwiet. Outlaws ħarbtu l-pajjiż mingħajr interferenza mill-armati tal-wan li jiddgħajfu.</v>
      </c>
    </row>
    <row r="3899" ht="15.75" customHeight="1">
      <c r="A3899" s="2" t="s">
        <v>3899</v>
      </c>
      <c r="B3899" s="2" t="str">
        <f>IFERROR(__xludf.DUMMYFUNCTION("GOOGLETRANSLATE(A3899,""en"", ""mt"")"),"Kemm l-immunità innata kif ukoll dik adatta tiddependi fuq il-kapaċità tas-sistema immunitarja li tiddistingwi bejn molekuli awto u dawk li mhumiex awto. Fl-immunoloġija, l-awto molekuli huma dawk il-komponenti tal-ġisem ta 'organiżmu li jistgħu jiġu dist"&amp;"inti minn sustanzi barranin mis-sistema immuni. Bil-maqlub, molekuli mhux awto huma dawk rikonoxxuti bħala molekuli barranin. Klassi waħda ta 'molekuli mhux awto huma msejħa antiġeni (qosra għall-ġeneraturi tal-antikorpi) u huma definiti bħala sustanzi li"&amp;" jorbtu ma' riċetturi immuni speċifiċi u li jġibu rispons immuni.")</f>
        <v>Kemm l-immunità innata kif ukoll dik adatta tiddependi fuq il-kapaċità tas-sistema immunitarja li tiddistingwi bejn molekuli awto u dawk li mhumiex awto. Fl-immunoloġija, l-awto molekuli huma dawk il-komponenti tal-ġisem ta 'organiżmu li jistgħu jiġu distinti minn sustanzi barranin mis-sistema immuni. Bil-maqlub, molekuli mhux awto huma dawk rikonoxxuti bħala molekuli barranin. Klassi waħda ta 'molekuli mhux awto huma msejħa antiġeni (qosra għall-ġeneraturi tal-antikorpi) u huma definiti bħala sustanzi li jorbtu ma' riċetturi immuni speċifiċi u li jġibu rispons immuni.</v>
      </c>
    </row>
    <row r="3900" ht="15.75" customHeight="1">
      <c r="A3900" s="2" t="s">
        <v>3900</v>
      </c>
      <c r="B3900" s="2" t="str">
        <f>IFERROR(__xludf.DUMMYFUNCTION("GOOGLETRANSLATE(A3900,""en"", ""mt"")"),"il-konġettura Prime Twin")</f>
        <v>il-konġettura Prime Twin</v>
      </c>
    </row>
    <row r="3901" ht="15.75" customHeight="1">
      <c r="A3901" s="2" t="s">
        <v>3901</v>
      </c>
      <c r="B3901" s="2" t="str">
        <f>IFERROR(__xludf.DUMMYFUNCTION("GOOGLETRANSLATE(A3901,""en"", ""mt"")"),"bi ħlas għal kull unità ta 'informazzjoni trażmessa")</f>
        <v>bi ħlas għal kull unità ta 'informazzjoni trażmessa</v>
      </c>
    </row>
    <row r="3902" ht="15.75" customHeight="1">
      <c r="A3902" s="2" t="s">
        <v>3902</v>
      </c>
      <c r="B3902" s="2" t="str">
        <f>IFERROR(__xludf.DUMMYFUNCTION("GOOGLETRANSLATE(A3902,""en"", ""mt"")"),"Metodi ta 'ħażna ta' ossiġnu jinkludu tankijiet ta 'ossiġenu bi pressjoni għolja, krijoġeniċi u komposti kimiċi. Għal raġunijiet ta 'ekonomija, l-ossiġenu spiss jiġi ttrasportat bl-ingrossa bħala likwidu fit-tankers iżolati apposta, peress li litru ta' os"&amp;"siġnu likwifikat huwa ekwivalenti għal 840 litru ta 'ossiġenu gassuż bi pressjoni atmosferika u 20 ° C (68 ° F). Dawn it-tankers jintużaw biex jerġgħu jimlew il-kontenituri tal-ħażna tal-ossiġnu likwidu bl-ingrossa, li joqogħdu barra l-isptarijiet u istit"&amp;"uzzjonijiet oħra li għandhom bżonn volumi kbar ta 'gass tal-ossiġnu pur. L-ossiġnu likwidu jgħaddi minn skambjaturi tas-sħana, li jikkonvertu l-likwidu krijoġeniku f'gass qabel ma jidħol fil-bini. L-ossiġnu jinħażen ukoll u jintbagħat f'ċilindri iżgħar li"&amp;" fihom il-gass ikkompressat; Formola li hija utli f'ċerti applikazzjonijiet mediċi portabbli u wweldjar u qtugħ ta 'fjuwil bl-ossidabbli.")</f>
        <v>Metodi ta 'ħażna ta' ossiġnu jinkludu tankijiet ta 'ossiġenu bi pressjoni għolja, krijoġeniċi u komposti kimiċi. Għal raġunijiet ta 'ekonomija, l-ossiġenu spiss jiġi ttrasportat bl-ingrossa bħala likwidu fit-tankers iżolati apposta, peress li litru ta' ossiġnu likwifikat huwa ekwivalenti għal 840 litru ta 'ossiġenu gassuż bi pressjoni atmosferika u 20 ° C (68 ° F). Dawn it-tankers jintużaw biex jerġgħu jimlew il-kontenituri tal-ħażna tal-ossiġnu likwidu bl-ingrossa, li joqogħdu barra l-isptarijiet u istituzzjonijiet oħra li għandhom bżonn volumi kbar ta 'gass tal-ossiġnu pur. L-ossiġnu likwidu jgħaddi minn skambjaturi tas-sħana, li jikkonvertu l-likwidu krijoġeniku f'gass qabel ma jidħol fil-bini. L-ossiġnu jinħażen ukoll u jintbagħat f'ċilindri iżgħar li fihom il-gass ikkompressat; Formola li hija utli f'ċerti applikazzjonijiet mediċi portabbli u wweldjar u qtugħ ta 'fjuwil bl-ossidabbli.</v>
      </c>
    </row>
    <row r="3903" ht="15.75" customHeight="1">
      <c r="A3903" s="2" t="s">
        <v>3903</v>
      </c>
      <c r="B3903" s="2" t="str">
        <f>IFERROR(__xludf.DUMMYFUNCTION("GOOGLETRANSLATE(A3903,""en"", ""mt"")"),"Fis-snin 1890, l-Università ta 'Chicago, jibżgħu li r-riżorsi vasti tagħha jweġġgħu skejjel iżgħar billi jiġbdu studenti tajbin, affiljati ma' bosta kulleġġi u universitajiet reġjonali: Des Moines College, Kalamazoo College, Butler University, u Stetson U"&amp;"niversity. Fl-1896, l-università affiljata mal-Kulleġġ Shimer f'Monte Carroll, Illinois. Taħt it-termini tal-affiljazzjoni, l-iskejjel kienu meħtieġa jkollhom korsijiet ta 'studju komparabbli ma' dawk fl-università, biex jinnotifikaw lill-università kmien"&amp;"i dwar kwalunkwe ħatriet jew tkeċċijiet tal-fakultà kkontemplati, biex ma jagħmlu l-ebda ħatra tal-fakultà mingħajr l-approvazzjoni tal-università, u jibagħtu kopji ta 'eżamijiet għal suġġerimenti. L-Università ta ’Chicago qablet li tagħti grad lil kull a"&amp;"nzjan li jiggradwa minn skola affiljata li għamlet grad ta’ A għall-erba ’snin kollha, u fuq kull gradwat ieħor li ħa tnax-il ġimgħa studju addizzjonali fl-Università ta’ Chicago. Student jew membru tal-fakultà ta 'skola affiljata kien intitolat għal tagħ"&amp;"lim b'xejn fl-Università ta' Chicago, u studenti ta 'Chicago kienu eliġibbli biex jattendu skola affiljata fuq l-istess termini u jirċievu kreditu għax-xogħol tagħhom. L-Università ta ’Chicago qablet ukoll li tipprovdi skejjel affiljati bi kotba u apparat"&amp;" xjentifiku u provvisti bi spejjeż; Għalliema speċjali u letturi mingħajr spejjeż ħlief spejjeż tal-ivvjaġġar; u kopja ta 'kull ktieb u ġurnal ippubblikat mill-University of Chicago Press bla ħlas. Il-ftehim ipprovda li kwalunkwe parti tista 'tittermina l"&amp;"-affiljazzjoni fuq avviż xieraq. Bosta professuri tal-Università ta ’Chicago ma qalux il-programm, peress li kienu jinvolvu xogħol addizzjonali mhux ikkumpensat min-naħa tagħhom, u jemmnu li rħas ir-reputazzjoni akkademika tal-università. Il-programm għad"&amp;"da fl-istorja sal-1910.")</f>
        <v>Fis-snin 1890, l-Università ta 'Chicago, jibżgħu li r-riżorsi vasti tagħha jweġġgħu skejjel iżgħar billi jiġbdu studenti tajbin, affiljati ma' bosta kulleġġi u universitajiet reġjonali: Des Moines College, Kalamazoo College, Butler University, u Stetson University. Fl-1896, l-università affiljata mal-Kulleġġ Shimer f'Monte Carroll, Illinois. Taħt it-termini tal-affiljazzjoni, l-iskejjel kienu meħtieġa jkollhom korsijiet ta 'studju komparabbli ma' dawk fl-università, biex jinnotifikaw lill-università kmieni dwar kwalunkwe ħatriet jew tkeċċijiet tal-fakultà kkontemplati, biex ma jagħmlu l-ebda ħatra tal-fakultà mingħajr l-approvazzjoni tal-università, u jibagħtu kopji ta 'eżamijiet għal suġġerimenti. L-Università ta ’Chicago qablet li tagħti grad lil kull anzjan li jiggradwa minn skola affiljata li għamlet grad ta’ A għall-erba ’snin kollha, u fuq kull gradwat ieħor li ħa tnax-il ġimgħa studju addizzjonali fl-Università ta’ Chicago. Student jew membru tal-fakultà ta 'skola affiljata kien intitolat għal tagħlim b'xejn fl-Università ta' Chicago, u studenti ta 'Chicago kienu eliġibbli biex jattendu skola affiljata fuq l-istess termini u jirċievu kreditu għax-xogħol tagħhom. L-Università ta ’Chicago qablet ukoll li tipprovdi skejjel affiljati bi kotba u apparat xjentifiku u provvisti bi spejjeż; Għalliema speċjali u letturi mingħajr spejjeż ħlief spejjeż tal-ivvjaġġar; u kopja ta 'kull ktieb u ġurnal ippubblikat mill-University of Chicago Press bla ħlas. Il-ftehim ipprovda li kwalunkwe parti tista 'tittermina l-affiljazzjoni fuq avviż xieraq. Bosta professuri tal-Università ta ’Chicago ma qalux il-programm, peress li kienu jinvolvu xogħol addizzjonali mhux ikkumpensat min-naħa tagħhom, u jemmnu li rħas ir-reputazzjoni akkademika tal-università. Il-programm għadda fl-istorja sal-1910.</v>
      </c>
    </row>
    <row r="3904" ht="15.75" customHeight="1">
      <c r="A3904" s="2" t="s">
        <v>3904</v>
      </c>
      <c r="B3904" s="2" t="str">
        <f>IFERROR(__xludf.DUMMYFUNCTION("GOOGLETRANSLATE(A3904,""en"", ""mt"")"),"Liners tal-Oċean")</f>
        <v>Liners tal-Oċean</v>
      </c>
    </row>
    <row r="3905" ht="15.75" customHeight="1">
      <c r="A3905" s="2" t="s">
        <v>3905</v>
      </c>
      <c r="B3905" s="2" t="str">
        <f>IFERROR(__xludf.DUMMYFUNCTION("GOOGLETRANSLATE(A3905,""en"", ""mt"")"),"Skirmish tal-knisja tal-briks")</f>
        <v>Skirmish tal-knisja tal-briks</v>
      </c>
    </row>
    <row r="3906" ht="15.75" customHeight="1">
      <c r="A3906" s="2" t="s">
        <v>3906</v>
      </c>
      <c r="B3906" s="2" t="str">
        <f>IFERROR(__xludf.DUMMYFUNCTION("GOOGLETRANSLATE(A3906,""en"", ""mt"")"),"Fejn stabbilixxew l-ewwel kolonisti Huguenot?")</f>
        <v>Fejn stabbilixxew l-ewwel kolonisti Huguenot?</v>
      </c>
    </row>
    <row r="3907" ht="15.75" customHeight="1">
      <c r="A3907" s="2" t="s">
        <v>3907</v>
      </c>
      <c r="B3907" s="2" t="str">
        <f>IFERROR(__xludf.DUMMYFUNCTION("GOOGLETRANSLATE(A3907,""en"", ""mt"")"),"Fl-1900, il-Los Angeles Times iddefinixxew in-Nofsinhar tal-Kalifornja bħala li jinkludu ""Is-Seba 'Pajjiżi ta' Los Angeles, San Bernardino, Orange, Riverside, San Diego, Ventura u Santa Barbara."" Fl-1999, The Times żiedet kontea aktar ġdida - imperjali "&amp;"- għal dik il-lista.")</f>
        <v>Fl-1900, il-Los Angeles Times iddefinixxew in-Nofsinhar tal-Kalifornja bħala li jinkludu "Is-Seba 'Pajjiżi ta' Los Angeles, San Bernardino, Orange, Riverside, San Diego, Ventura u Santa Barbara." Fl-1999, The Times żiedet kontea aktar ġdida - imperjali - għal dik il-lista.</v>
      </c>
    </row>
    <row r="3908" ht="15.75" customHeight="1">
      <c r="A3908" s="2" t="s">
        <v>3908</v>
      </c>
      <c r="B3908" s="2" t="str">
        <f>IFERROR(__xludf.DUMMYFUNCTION("GOOGLETRANSLATE(A3908,""en"", ""mt"")"),"Meta kienet ir-rewwixta Olandiża?")</f>
        <v>Meta kienet ir-rewwixta Olandiża?</v>
      </c>
    </row>
    <row r="3909" ht="15.75" customHeight="1">
      <c r="A3909" s="2" t="s">
        <v>3909</v>
      </c>
      <c r="B3909" s="2" t="str">
        <f>IFERROR(__xludf.DUMMYFUNCTION("GOOGLETRANSLATE(A3909,""en"", ""mt"")"),"X'inhuma l-ispiżjara projbiti li jagħmlu?")</f>
        <v>X'inhuma l-ispiżjara projbiti li jagħmlu?</v>
      </c>
    </row>
    <row r="3910" ht="15.75" customHeight="1">
      <c r="A3910" s="2" t="s">
        <v>3910</v>
      </c>
      <c r="B3910" s="2" t="str">
        <f>IFERROR(__xludf.DUMMYFUNCTION("GOOGLETRANSLATE(A3910,""en"", ""mt"")"),"L-iskejjel għolja pubbliċi tilfu l-akkreditazzjoni tagħhom")</f>
        <v>L-iskejjel għolja pubbliċi tilfu l-akkreditazzjoni tagħhom</v>
      </c>
    </row>
    <row r="3911" ht="15.75" customHeight="1">
      <c r="A3911" s="2" t="s">
        <v>3911</v>
      </c>
      <c r="B3911" s="2" t="str">
        <f>IFERROR(__xludf.DUMMYFUNCTION("GOOGLETRANSLATE(A3911,""en"", ""mt"")"),"Fatturi ta 'emissjoni ta' inadempjenza")</f>
        <v>Fatturi ta 'emissjoni ta' inadempjenza</v>
      </c>
    </row>
    <row r="3912" ht="15.75" customHeight="1">
      <c r="A3912" s="2" t="s">
        <v>3912</v>
      </c>
      <c r="B3912" s="2" t="str">
        <f>IFERROR(__xludf.DUMMYFUNCTION("GOOGLETRANSLATE(A3912,""en"", ""mt"")"),"Ġnien Sassonu")</f>
        <v>Ġnien Sassonu</v>
      </c>
    </row>
    <row r="3913" ht="15.75" customHeight="1">
      <c r="A3913" s="2" t="s">
        <v>3913</v>
      </c>
      <c r="B3913" s="2" t="str">
        <f>IFERROR(__xludf.DUMMYFUNCTION("GOOGLETRANSLATE(A3913,""en"", ""mt"")"),"Liema grupp politiku beda jikseb appoġġ wara l-iskandlu tal-korruzzjoni?")</f>
        <v>Liema grupp politiku beda jikseb appoġġ wara l-iskandlu tal-korruzzjoni?</v>
      </c>
    </row>
    <row r="3914" ht="15.75" customHeight="1">
      <c r="A3914" s="2" t="s">
        <v>3914</v>
      </c>
      <c r="B3914" s="2" t="str">
        <f>IFERROR(__xludf.DUMMYFUNCTION("GOOGLETRANSLATE(A3914,""en"", ""mt"")"),"istantanjament f'pari ta 'reazzjoni ta' azzjoni")</f>
        <v>istantanjament f'pari ta 'reazzjoni ta' azzjoni</v>
      </c>
    </row>
    <row r="3915" ht="15.75" customHeight="1">
      <c r="A3915" s="2" t="s">
        <v>3915</v>
      </c>
      <c r="B3915" s="2" t="str">
        <f>IFERROR(__xludf.DUMMYFUNCTION("GOOGLETRANSLATE(A3915,""en"", ""mt"")"),"Nitkellmu ma 'investigaturi kriminali")</f>
        <v>Nitkellmu ma 'investigaturi kriminali</v>
      </c>
    </row>
    <row r="3916" ht="15.75" customHeight="1">
      <c r="A3916" s="2" t="s">
        <v>3916</v>
      </c>
      <c r="B3916" s="2" t="str">
        <f>IFERROR(__xludf.DUMMYFUNCTION("GOOGLETRANSLATE(A3916,""en"", ""mt"")"),"Ir-risponsi immuni żejda jinkludu t-tarf l-ieħor ta 'disfunzjoni immuni, partikolarment id-disturbi awtoimmuni. Hawnhekk, is-sistema immunitarja tonqos milli tiddistingwi sew bejn l-awto u dawk li mhumiex self, u tattakka parti mill-ġisem. Taħt ċirkostanz"&amp;"i normali, ħafna ċelloli T u antikorpi jirreaġixxu ma 'peptidi ""awto"". Waħda mill-funzjonijiet ta 'ċelloli speċjalizzati (li jinsabu fit-timu u l-mudullun) hija li tippreżenta limfoċiti żgħażagħ b'antiġeni personali prodotti madwar il-ġisem u li telimin"&amp;"a dawk iċ-ċelloli li jirrikonoxxu l-awto-antiġeni, li jipprevjenu l-awtoimmunità.")</f>
        <v>Ir-risponsi immuni żejda jinkludu t-tarf l-ieħor ta 'disfunzjoni immuni, partikolarment id-disturbi awtoimmuni. Hawnhekk, is-sistema immunitarja tonqos milli tiddistingwi sew bejn l-awto u dawk li mhumiex self, u tattakka parti mill-ġisem. Taħt ċirkostanzi normali, ħafna ċelloli T u antikorpi jirreaġixxu ma 'peptidi "awto". Waħda mill-funzjonijiet ta 'ċelloli speċjalizzati (li jinsabu fit-timu u l-mudullun) hija li tippreżenta limfoċiti żgħażagħ b'antiġeni personali prodotti madwar il-ġisem u li telimina dawk iċ-ċelloli li jirrikonoxxu l-awto-antiġeni, li jipprevjenu l-awtoimmunità.</v>
      </c>
    </row>
    <row r="3917" ht="15.75" customHeight="1">
      <c r="A3917" s="2" t="s">
        <v>3917</v>
      </c>
      <c r="B3917" s="2" t="str">
        <f>IFERROR(__xludf.DUMMYFUNCTION("GOOGLETRANSLATE(A3917,""en"", ""mt"")"),"Liema xmara oriġinarjament illimitat id-dukat")</f>
        <v>Liema xmara oriġinarjament illimitat id-dukat</v>
      </c>
    </row>
    <row r="3918" ht="15.75" customHeight="1">
      <c r="A3918" s="2" t="s">
        <v>3918</v>
      </c>
      <c r="B3918" s="2" t="str">
        <f>IFERROR(__xludf.DUMMYFUNCTION("GOOGLETRANSLATE(A3918,""en"", ""mt"")"),"X’għamlu l-poplu Lhudi u għalhekk oġġetti pagani ma kinux ikunu fit-Tempju ta ’Ġerusalemm?")</f>
        <v>X’għamlu l-poplu Lhudi u għalhekk oġġetti pagani ma kinux ikunu fit-Tempju ta ’Ġerusalemm?</v>
      </c>
    </row>
    <row r="3919" ht="15.75" customHeight="1">
      <c r="A3919" s="2" t="s">
        <v>3919</v>
      </c>
      <c r="B3919" s="2" t="str">
        <f>IFERROR(__xludf.DUMMYFUNCTION("GOOGLETRANSLATE(A3919,""en"", ""mt"")"),"orjentat lejn it-teknoloġija")</f>
        <v>orjentat lejn it-teknoloġija</v>
      </c>
    </row>
    <row r="3920" ht="15.75" customHeight="1">
      <c r="A3920" s="2" t="s">
        <v>3920</v>
      </c>
      <c r="B3920" s="2" t="str">
        <f>IFERROR(__xludf.DUMMYFUNCTION("GOOGLETRANSLATE(A3920,""en"", ""mt"")"),"Aqta 'kompetizzjoni fil-griżmejn")</f>
        <v>Aqta 'kompetizzjoni fil-griżmejn</v>
      </c>
    </row>
    <row r="3921" ht="15.75" customHeight="1">
      <c r="A3921" s="2" t="s">
        <v>3921</v>
      </c>
      <c r="B3921" s="2" t="str">
        <f>IFERROR(__xludf.DUMMYFUNCTION("GOOGLETRANSLATE(A3921,""en"", ""mt"")"),"Komunikazzjonijiet tal-Livell 3")</f>
        <v>Komunikazzjonijiet tal-Livell 3</v>
      </c>
    </row>
    <row r="3922" ht="15.75" customHeight="1">
      <c r="A3922" s="2" t="s">
        <v>3922</v>
      </c>
      <c r="B3922" s="2" t="str">
        <f>IFERROR(__xludf.DUMMYFUNCTION("GOOGLETRANSLATE(A3922,""en"", ""mt"")"),"L-approċċ tal-kapaċitajiet - xi kultant imsejjaħ l-approċċ għall-iżvilupp tal-bniedem - iħares lejn l-inugwaljanza tad-dħul u l-faqar bħala forma ta '""ċaħda ta' kapaċità"". B'differenza mill-neoliberaliżmu, li ""jiddefinixxi l-benesseri bħala massimizzaz"&amp;"zjoni ta 'utilità"", it-tkabbir ekonomiku u d-dħul huma meqjusa bħala mezz biex jintemm aktar milli t-tmiem innifsu. L-għan tiegħu huwa li ""widen [en] l-għażliet tan-nies u l-livell tal-benesseri miksub tagħhom"" permezz ta 'funzjonazzjonijiet dejjem jiż"&amp;"diedu (l-affarijiet li persuna tagħmel valutazzjoni), kapaċitajiet (il-libertà li tgawdi l-funzjonazzjonijiet) u l-aġenzija (il-kapaċità li ssegwi għanijiet stmati ).")</f>
        <v>L-approċċ tal-kapaċitajiet - xi kultant imsejjaħ l-approċċ għall-iżvilupp tal-bniedem - iħares lejn l-inugwaljanza tad-dħul u l-faqar bħala forma ta '"ċaħda ta' kapaċità". B'differenza mill-neoliberaliżmu, li "jiddefinixxi l-benesseri bħala massimizzazzjoni ta 'utilità", it-tkabbir ekonomiku u d-dħul huma meqjusa bħala mezz biex jintemm aktar milli t-tmiem innifsu. L-għan tiegħu huwa li "widen [en] l-għażliet tan-nies u l-livell tal-benesseri miksub tagħhom" permezz ta 'funzjonazzjonijiet dejjem jiżdiedu (l-affarijiet li persuna tagħmel valutazzjoni), kapaċitajiet (il-libertà li tgawdi l-funzjonazzjonijiet) u l-aġenzija (il-kapaċità li ssegwi għanijiet stmati ).</v>
      </c>
    </row>
    <row r="3923" ht="15.75" customHeight="1">
      <c r="A3923" s="2" t="s">
        <v>3923</v>
      </c>
      <c r="B3923" s="2" t="str">
        <f>IFERROR(__xludf.DUMMYFUNCTION("GOOGLETRANSLATE(A3923,""en"", ""mt"")"),"Għaliex is-suċċessuri ta 'Kublai tilfu l-kontroll tal-kumplament tal-imperu Mongol?")</f>
        <v>Għaliex is-suċċessuri ta 'Kublai tilfu l-kontroll tal-kumplament tal-imperu Mongol?</v>
      </c>
    </row>
    <row r="3924" ht="15.75" customHeight="1">
      <c r="A3924" s="2" t="s">
        <v>3924</v>
      </c>
      <c r="B3924" s="2" t="str">
        <f>IFERROR(__xludf.DUMMYFUNCTION("GOOGLETRANSLATE(A3924,""en"", ""mt"")"),"Definizzjonijiet tal-kumplessità tal-ħin u l-ispazju")</f>
        <v>Definizzjonijiet tal-kumplessità tal-ħin u l-ispazju</v>
      </c>
    </row>
    <row r="3925" ht="15.75" customHeight="1">
      <c r="A3925" s="2" t="s">
        <v>3925</v>
      </c>
      <c r="B3925" s="2" t="str">
        <f>IFERROR(__xludf.DUMMYFUNCTION("GOOGLETRANSLATE(A3925,""en"", ""mt"")"),"Magna tat-Turing deterministika hija l-iktar magna bażika tat-Turing, li tuża sett fiss ta 'regoli biex tiddetermina l-azzjonijiet futuri tagħha. Magna tat-Turing probabilistika hija magna tat-Turing deterministika bi provvista żejda ta 'bits bl-addoċċ. I"&amp;"l-ħila li tieħu deċiżjonijiet probabilistiċi ħafna drabi tgħin lill-algoritmi jsolvu problemi b'mod aktar effiċjenti. Algoritmi li jużaw bits bl-addoċċ jissejħu algoritmi randomised. Magna tat-Turing mhux deterministika hija magna tat-Turing deterministik"&amp;"a b'karatteristika miżjuda ta 'non-determiniżmu, li tippermetti li magna tat-Turing ikollha azzjonijiet futuri possibbli multipli minn stat partikolari. Mod wieħed kif tara n-non-determiniżmu huwa li l-magna tat-Turing fergħat f'ħafna mogħdijiet tal-kompu"&amp;"tazzjoni possibbli f'kull pass, u jekk issolvi l-problema fi kwalunkwe waħda minn dawn il-fergħat, jingħad li solviet il-problema. B'mod ċar, dan il-mudell mhuwiex maħsub biex ikun mudell fiżikament realizzabbli, huwa biss magna astratta teoretikament int"&amp;"eressanti li tagħti lok għal klassijiet ta 'kumplessità partikolarment interessanti. Għal eżempji, ara l-algoritmu mhux deterministiku.")</f>
        <v>Magna tat-Turing deterministika hija l-iktar magna bażika tat-Turing, li tuża sett fiss ta 'regoli biex tiddetermina l-azzjonijiet futuri tagħha. Magna tat-Turing probabilistika hija magna tat-Turing deterministika bi provvista żejda ta 'bits bl-addoċċ. Il-ħila li tieħu deċiżjonijiet probabilistiċi ħafna drabi tgħin lill-algoritmi jsolvu problemi b'mod aktar effiċjenti. Algoritmi li jużaw bits bl-addoċċ jissejħu algoritmi randomised. Magna tat-Turing mhux deterministika hija magna tat-Turing deterministika b'karatteristika miżjuda ta 'non-determiniżmu, li tippermetti li magna tat-Turing ikollha azzjonijiet futuri possibbli multipli minn stat partikolari. Mod wieħed kif tara n-non-determiniżmu huwa li l-magna tat-Turing fergħat f'ħafna mogħdijiet tal-komputazzjoni possibbli f'kull pass, u jekk issolvi l-problema fi kwalunkwe waħda minn dawn il-fergħat, jingħad li solviet il-problema. B'mod ċar, dan il-mudell mhuwiex maħsub biex ikun mudell fiżikament realizzabbli, huwa biss magna astratta teoretikament interessanti li tagħti lok għal klassijiet ta 'kumplessità partikolarment interessanti. Għal eżempji, ara l-algoritmu mhux deterministiku.</v>
      </c>
    </row>
    <row r="3926" ht="15.75" customHeight="1">
      <c r="A3926" s="2" t="s">
        <v>3926</v>
      </c>
      <c r="B3926" s="2" t="str">
        <f>IFERROR(__xludf.DUMMYFUNCTION("GOOGLETRANSLATE(A3926,""en"", ""mt"")"),"Liema sejbiet issuġġerew li r-reġjun kien popolat densament?")</f>
        <v>Liema sejbiet issuġġerew li r-reġjun kien popolat densament?</v>
      </c>
    </row>
    <row r="3927" ht="15.75" customHeight="1">
      <c r="A3927" s="2" t="s">
        <v>3927</v>
      </c>
      <c r="B3927" s="2" t="str">
        <f>IFERROR(__xludf.DUMMYFUNCTION("GOOGLETRANSLATE(A3927,""en"", ""mt"")"),"Meta kienet id-dinastija Ming fil-poter?")</f>
        <v>Meta kienet id-dinastija Ming fil-poter?</v>
      </c>
    </row>
    <row r="3928" ht="15.75" customHeight="1">
      <c r="A3928" s="2" t="s">
        <v>3928</v>
      </c>
      <c r="B3928" s="2" t="str">
        <f>IFERROR(__xludf.DUMMYFUNCTION("GOOGLETRANSLATE(A3928,""en"", ""mt"")"),"Kick Back")</f>
        <v>Kick Back</v>
      </c>
    </row>
    <row r="3929" ht="15.75" customHeight="1">
      <c r="A3929" s="2" t="s">
        <v>3929</v>
      </c>
      <c r="B3929" s="2" t="str">
        <f>IFERROR(__xludf.DUMMYFUNCTION("GOOGLETRANSLATE(A3929,""en"", ""mt"")"),"Tressqu varjetà ta 'alternattivi għall-Y. Pestis. Twigg issuġġerixxa li l-kawża kienet forma ta 'antrax, u Norman Cantor (2001) ħasbu li setgħet kienet taħlita ta' antrax u pandemiċi oħra. Scott u Duncan argumentaw li l-pandemija kienet forma ta 'mard inf"&amp;"ettiv li jikkaratterizza bħala pesta emorraġika simili għall-Ebola. L-arkeologu Barney Sloane argumenta li m'hemmx biżżejjed evidenza ta 'l-estinzjoni ta' numru kbir ta 'firien fir-rekord arkeoloġiku tal-waterfront medjevali f'Londra u li l-pesta nfirxet "&amp;"malajr wisq biex tappoġġja t-teżi li l-Y. Pestis kien mifrux minn briegħed firien; Huwa jsostni li t-trasmissjoni kellha tkun persuna għal persuna. Madankollu, l-ebda soluzzjoni alternattiva waħda ma kisbet aċċettazzjoni mifruxa. Ħafna studjużi li jargume"&amp;"ntaw għall-Y. Pestis bħala l-aġent ewlieni tal-pandemija jissuġġerixxu li l-firxa u s-sintomi tagħha jistgħu jiġu spjegati permezz ta 'taħlita ta' pesta bubonika ma 'mard ieħor, inklużi tifus, ġidri u infezzjonijiet respiratorji. Minbarra l-infezzjoni bub"&amp;"onika, oħrajn jindikaw settiċemiċi addizzjonali (tip ta '""avvelenament fid-demm"") u pnewmononiċi (pesta fl-ajru li tattakka l-pulmuni quddiem il-bqija tal-ġisem) tifforma l-forom tal-pesta, li ttawwal it-tul ta' tifqigħ madwar l-istaġuni u jgħinu r-rata"&amp;" għolja ta 'mortalità u sintomi rreġistrati addizzjonali tagħha. Fl-2014, xjentisti bis-saħħa pubblika l-Ingilterra ħabbru r-riżultati ta 'eżami ta' 25 korp eżumat miż-żona ta 'Clerkenwell ta' Londra, kif ukoll ta 'testment irreġistrat f'Londra matul il-p"&amp;"erjodu, li appoġġjaw l-ipoteżi pnewmonika.")</f>
        <v>Tressqu varjetà ta 'alternattivi għall-Y. Pestis. Twigg issuġġerixxa li l-kawża kienet forma ta 'antrax, u Norman Cantor (2001) ħasbu li setgħet kienet taħlita ta' antrax u pandemiċi oħra. Scott u Duncan argumentaw li l-pandemija kienet forma ta 'mard infettiv li jikkaratterizza bħala pesta emorraġika simili għall-Ebola. L-arkeologu Barney Sloane argumenta li m'hemmx biżżejjed evidenza ta 'l-estinzjoni ta' numru kbir ta 'firien fir-rekord arkeoloġiku tal-waterfront medjevali f'Londra u li l-pesta nfirxet malajr wisq biex tappoġġja t-teżi li l-Y. Pestis kien mifrux minn briegħed firien; Huwa jsostni li t-trasmissjoni kellha tkun persuna għal persuna. Madankollu, l-ebda soluzzjoni alternattiva waħda ma kisbet aċċettazzjoni mifruxa. Ħafna studjużi li jargumentaw għall-Y. Pestis bħala l-aġent ewlieni tal-pandemija jissuġġerixxu li l-firxa u s-sintomi tagħha jistgħu jiġu spjegati permezz ta 'taħlita ta' pesta bubonika ma 'mard ieħor, inklużi tifus, ġidri u infezzjonijiet respiratorji. Minbarra l-infezzjoni bubonika, oħrajn jindikaw settiċemiċi addizzjonali (tip ta '"avvelenament fid-demm") u pnewmononiċi (pesta fl-ajru li tattakka l-pulmuni quddiem il-bqija tal-ġisem) tifforma l-forom tal-pesta, li ttawwal it-tul ta' tifqigħ madwar l-istaġuni u jgħinu r-rata għolja ta 'mortalità u sintomi rreġistrati addizzjonali tagħha. Fl-2014, xjentisti bis-saħħa pubblika l-Ingilterra ħabbru r-riżultati ta 'eżami ta' 25 korp eżumat miż-żona ta 'Clerkenwell ta' Londra, kif ukoll ta 'testment irreġistrat f'Londra matul il-perjodu, li appoġġjaw l-ipoteżi pnewmonika.</v>
      </c>
    </row>
    <row r="3930" ht="15.75" customHeight="1">
      <c r="A3930" s="2" t="s">
        <v>3930</v>
      </c>
      <c r="B3930" s="2" t="str">
        <f>IFERROR(__xludf.DUMMYFUNCTION("GOOGLETRANSLATE(A3930,""en"", ""mt"")"),"Il-Wied ta 'San Fernando")</f>
        <v>Il-Wied ta 'San Fernando</v>
      </c>
    </row>
    <row r="3931" ht="15.75" customHeight="1">
      <c r="A3931" s="2" t="s">
        <v>3931</v>
      </c>
      <c r="B3931" s="2" t="str">
        <f>IFERROR(__xludf.DUMMYFUNCTION("GOOGLETRANSLATE(A3931,""en"", ""mt"")"),"Ħarsien soċjali")</f>
        <v>Ħarsien soċjali</v>
      </c>
    </row>
    <row r="3932" ht="15.75" customHeight="1">
      <c r="A3932" s="2" t="s">
        <v>3932</v>
      </c>
      <c r="B3932" s="2" t="str">
        <f>IFERROR(__xludf.DUMMYFUNCTION("GOOGLETRANSLATE(A3932,""en"", ""mt"")"),"F’Lulju 1977, il-Ġeneral Zia-ul-Haq waqqa ’r-reġim tal-Prim Ministru Zulfiqar Ali Bhutto fil-Pakistan. Ali Bhutto, xellug f'kompetizzjoni demokratika ma 'l-Iżlamisti, ħabbar li jipprojbixxi l-alkoħol u l-nightclubs fi żmien sitt xhur, ftit qabel ma ġie mw"&amp;"aqqa'. Zia-ul-Haq kien ferm iktar impenjat għall-Iżlamiżmu, u ""l-Iżlamizzazzjoni"" jew l-implimentazzjoni tal-liġi Iżlamika, sar pedament tad-dittatorjat militari tiegħu ta 'ħdax-il sena u l-Iżlamiżmu sar ""ideoloġija uffiċjali tal-istat"" tiegħu. Zia ul"&amp;" Haq kien ammiratur tal-partit Mawdudi u Mawdudi Jamaat-e-Islami sar ""id-driegħ ideoloġiku u politiku tar-reġim"". Fil-Pakistan din l-Iżlamizzazzjoni minn fuq kienet ""probabbilment"" kompluta ""milli taħt kwalunkwe reġim ieħor ħlief dawk fl-Iran u s-Sud"&amp;"an,"" iżda Zia-ul-Haq ġie kkritikat ukoll minn ħafna Iżlamisti talli imponew ""simboli"" aktar milli sustanza, u jużaw l-Iżlamizzazzjoni biex leġittimizza l-mezzi tiegħu biex jaħtaf il-poter. B'differenza mill-Iran ġirien, il-politiki ta 'Zia-ul-Haq kienu"&amp;" maħsuba biex ""jevitaw eċċess rivoluzzjonarju"", u mhux biex iwaqqfu r-relazzjonijiet mal-alleati tiegħu tal-Istat tal-Golf Amerikan u Persjan tiegħu. Zia-ul-Haq inqatel fl-1988 iżda l-Iżlamizzazzjoni tibqa 'element importanti fis-soċjetà Pakistana.")</f>
        <v>F’Lulju 1977, il-Ġeneral Zia-ul-Haq waqqa ’r-reġim tal-Prim Ministru Zulfiqar Ali Bhutto fil-Pakistan. Ali Bhutto, xellug f'kompetizzjoni demokratika ma 'l-Iżlamisti, ħabbar li jipprojbixxi l-alkoħol u l-nightclubs fi żmien sitt xhur, ftit qabel ma ġie mwaqqa'. Zia-ul-Haq kien ferm iktar impenjat għall-Iżlamiżmu, u "l-Iżlamizzazzjoni" jew l-implimentazzjoni tal-liġi Iżlamika, sar pedament tad-dittatorjat militari tiegħu ta 'ħdax-il sena u l-Iżlamiżmu sar "ideoloġija uffiċjali tal-istat" tiegħu. Zia ul Haq kien ammiratur tal-partit Mawdudi u Mawdudi Jamaat-e-Islami sar "id-driegħ ideoloġiku u politiku tar-reġim". Fil-Pakistan din l-Iżlamizzazzjoni minn fuq kienet "probabbilment" kompluta "milli taħt kwalunkwe reġim ieħor ħlief dawk fl-Iran u s-Sudan," iżda Zia-ul-Haq ġie kkritikat ukoll minn ħafna Iżlamisti talli imponew "simboli" aktar milli sustanza, u jużaw l-Iżlamizzazzjoni biex leġittimizza l-mezzi tiegħu biex jaħtaf il-poter. B'differenza mill-Iran ġirien, il-politiki ta 'Zia-ul-Haq kienu maħsuba biex "jevitaw eċċess rivoluzzjonarju", u mhux biex iwaqqfu r-relazzjonijiet mal-alleati tiegħu tal-Istat tal-Golf Amerikan u Persjan tiegħu. Zia-ul-Haq inqatel fl-1988 iżda l-Iżlamizzazzjoni tibqa 'element importanti fis-soċjetà Pakistana.</v>
      </c>
    </row>
    <row r="3933" ht="15.75" customHeight="1">
      <c r="A3933" s="2" t="s">
        <v>3933</v>
      </c>
      <c r="B3933" s="2" t="str">
        <f>IFERROR(__xludf.DUMMYFUNCTION("GOOGLETRANSLATE(A3933,""en"", ""mt"")"),"Algoritmu għal X li jnaqqas għal C kieku nagħmlu?")</f>
        <v>Algoritmu għal X li jnaqqas għal C kieku nagħmlu?</v>
      </c>
    </row>
    <row r="3934" ht="15.75" customHeight="1">
      <c r="A3934" s="2" t="s">
        <v>3934</v>
      </c>
      <c r="B3934" s="2" t="str">
        <f>IFERROR(__xludf.DUMMYFUNCTION("GOOGLETRANSLATE(A3934,""en"", ""mt"")"),"Matriċi ta 'l-aġġustanza")</f>
        <v>Matriċi ta 'l-aġġustanza</v>
      </c>
    </row>
    <row r="3935" ht="15.75" customHeight="1">
      <c r="A3935" s="2" t="s">
        <v>3935</v>
      </c>
      <c r="B3935" s="2" t="str">
        <f>IFERROR(__xludf.DUMMYFUNCTION("GOOGLETRANSLATE(A3935,""en"", ""mt"")"),"Belt Manakin")</f>
        <v>Belt Manakin</v>
      </c>
    </row>
    <row r="3936" ht="15.75" customHeight="1">
      <c r="A3936" s="2" t="s">
        <v>3936</v>
      </c>
      <c r="B3936" s="2" t="str">
        <f>IFERROR(__xludf.DUMMYFUNCTION("GOOGLETRANSLATE(A3936,""en"", ""mt"")"),"Liema jegħleb politiku għandu l-Istitut Cato?")</f>
        <v>Liema jegħleb politiku għandu l-Istitut Cato?</v>
      </c>
    </row>
    <row r="3937" ht="15.75" customHeight="1">
      <c r="A3937" s="2" t="s">
        <v>3937</v>
      </c>
      <c r="B3937" s="2" t="str">
        <f>IFERROR(__xludf.DUMMYFUNCTION("GOOGLETRANSLATE(A3937,""en"", ""mt"")"),"Il-lobata għandhom par ta 'lobi, li huma estensjonijiet muskolari u cuplike tal-ġisem li jipproġettaw lil hinn mill-ħalq. It-tentakli li ma jidhrux tagħhom joriġinaw mill-kantunieri tal-ħalq, li jimxu fi skanalaturi konvoluti u jinfirxu fuq il-wiċċ ta 'ġe"&amp;"wwa tal-lobi (aktar milli jimxu' l bogħod lura, bħal fiċ-Cydippida). Bejn il-lobi fuq kull naħa tal-ħalq, ħafna speċi ta 'lobati għandhom erba' arikoli, projezzjonijiet ġelatinużi maħduma b'ċili li jipproduċu kurrenti tal-ilma li jgħinu l-priża mikroskopi"&amp;"ka diretta lejn il-ħalq. Din il-kombinazzjoni ta 'strutturi tippermetti lill-lobati jitimgħu kontinwament fuq priża planktonika sospiża.")</f>
        <v>Il-lobata għandhom par ta 'lobi, li huma estensjonijiet muskolari u cuplike tal-ġisem li jipproġettaw lil hinn mill-ħalq. It-tentakli li ma jidhrux tagħhom joriġinaw mill-kantunieri tal-ħalq, li jimxu fi skanalaturi konvoluti u jinfirxu fuq il-wiċċ ta 'ġewwa tal-lobi (aktar milli jimxu' l bogħod lura, bħal fiċ-Cydippida). Bejn il-lobi fuq kull naħa tal-ħalq, ħafna speċi ta 'lobati għandhom erba' arikoli, projezzjonijiet ġelatinużi maħduma b'ċili li jipproduċu kurrenti tal-ilma li jgħinu l-priża mikroskopika diretta lejn il-ħalq. Din il-kombinazzjoni ta 'strutturi tippermetti lill-lobati jitimgħu kontinwament fuq priża planktonika sospiża.</v>
      </c>
    </row>
    <row r="3938" ht="15.75" customHeight="1">
      <c r="A3938" s="2" t="s">
        <v>3938</v>
      </c>
      <c r="B3938" s="2" t="str">
        <f>IFERROR(__xludf.DUMMYFUNCTION("GOOGLETRANSLATE(A3938,""en"", ""mt"")"),"sjieda privata tal-mezzi ta 'produzzjoni")</f>
        <v>sjieda privata tal-mezzi ta 'produzzjoni</v>
      </c>
    </row>
    <row r="3939" ht="15.75" customHeight="1">
      <c r="A3939" s="2" t="s">
        <v>3939</v>
      </c>
      <c r="B3939" s="2" t="str">
        <f>IFERROR(__xludf.DUMMYFUNCTION("GOOGLETRANSLATE(A3939,""en"", ""mt"")"),"""Ġeneralment bla bażi u marġinali wkoll għall-valutazzjoni""")</f>
        <v>"Ġeneralment bla bażi u marġinali wkoll għall-valutazzjoni"</v>
      </c>
    </row>
    <row r="3940" ht="15.75" customHeight="1">
      <c r="A3940" s="2" t="s">
        <v>3940</v>
      </c>
      <c r="B3940" s="2" t="str">
        <f>IFERROR(__xludf.DUMMYFUNCTION("GOOGLETRANSLATE(A3940,""en"", ""mt"")"),"Azzar li ma jissaddadx")</f>
        <v>Azzar li ma jissaddadx</v>
      </c>
    </row>
    <row r="3941" ht="15.75" customHeight="1">
      <c r="A3941" s="2" t="s">
        <v>3941</v>
      </c>
      <c r="B3941" s="2" t="str">
        <f>IFERROR(__xludf.DUMMYFUNCTION("GOOGLETRANSLATE(A3941,""en"", ""mt"")"),"Liema teorema tiddikjara li l-probabbiltà li numru n huwa prim inversament proporzjonali mal-logaritmu tiegħu?")</f>
        <v>Liema teorema tiddikjara li l-probabbiltà li numru n huwa prim inversament proporzjonali mal-logaritmu tiegħu?</v>
      </c>
    </row>
    <row r="3942" ht="15.75" customHeight="1">
      <c r="A3942" s="2" t="s">
        <v>3942</v>
      </c>
      <c r="B3942" s="2" t="str">
        <f>IFERROR(__xludf.DUMMYFUNCTION("GOOGLETRANSLATE(A3942,""en"", ""mt"")"),"""tagħlaq"" id-dibattitu")</f>
        <v>"tagħlaq" id-dibattitu</v>
      </c>
    </row>
    <row r="3943" ht="15.75" customHeight="1">
      <c r="A3943" s="2" t="s">
        <v>3943</v>
      </c>
      <c r="B3943" s="2" t="str">
        <f>IFERROR(__xludf.DUMMYFUNCTION("GOOGLETRANSLATE(A3943,""en"", ""mt"")"),"Fejn kien l-irvellijiet tal-1857?")</f>
        <v>Fejn kien l-irvellijiet tal-1857?</v>
      </c>
    </row>
    <row r="3944" ht="15.75" customHeight="1">
      <c r="A3944" s="2" t="s">
        <v>3944</v>
      </c>
      <c r="B3944" s="2" t="str">
        <f>IFERROR(__xludf.DUMMYFUNCTION("GOOGLETRANSLATE(A3944,""en"", ""mt"")"),"isir iżgħar")</f>
        <v>isir iżgħar</v>
      </c>
    </row>
    <row r="3945" ht="15.75" customHeight="1">
      <c r="A3945" s="2" t="s">
        <v>3945</v>
      </c>
      <c r="B3945" s="2" t="str">
        <f>IFERROR(__xludf.DUMMYFUNCTION("GOOGLETRANSLATE(A3945,""en"", ""mt"")"),"Skond skema ta 'aċċess multipli")</f>
        <v>Skond skema ta 'aċċess multipli</v>
      </c>
    </row>
    <row r="3946" ht="15.75" customHeight="1">
      <c r="A3946" s="2" t="s">
        <v>3946</v>
      </c>
      <c r="B3946" s="2" t="str">
        <f>IFERROR(__xludf.DUMMYFUNCTION("GOOGLETRANSLATE(A3946,""en"", ""mt"")"),"Waħda mill-eqdem rappreżentazzjonijiet ta 'diżubbidjenza ċivili hija fil-logħob ta' Sophocles Antigone, li fih Antigone, waħda mill-bniet ta 'l-ex King of Tebes, Edipus, tikkontesta lil Creon, ir-re attwali ta' Thebes, li qed tipprova twaqqafha milli tagħ"&amp;"ti lil ħuha Polynices dfin xieraq. Hija tagħti diskors li jħawwad li fih tgħidlu li hi trid tobdi l-kuxjenza tagħha aktar milli l-liġi umana. Hija ma tibżax xejn mill-mewt li huwa jheddedha (u eventwalment imexxi), imma tibża 'minn kif il-kuxjenza tagħha "&amp;"se titħassarha jekk ma tagħmilx dan.")</f>
        <v>Waħda mill-eqdem rappreżentazzjonijiet ta 'diżubbidjenza ċivili hija fil-logħob ta' Sophocles Antigone, li fih Antigone, waħda mill-bniet ta 'l-ex King of Tebes, Edipus, tikkontesta lil Creon, ir-re attwali ta' Thebes, li qed tipprova twaqqafha milli tagħti lil ħuha Polynices dfin xieraq. Hija tagħti diskors li jħawwad li fih tgħidlu li hi trid tobdi l-kuxjenza tagħha aktar milli l-liġi umana. Hija ma tibżax xejn mill-mewt li huwa jheddedha (u eventwalment imexxi), imma tibża 'minn kif il-kuxjenza tagħha se titħassarha jekk ma tagħmilx dan.</v>
      </c>
    </row>
    <row r="3947" ht="15.75" customHeight="1">
      <c r="A3947" s="2" t="s">
        <v>3947</v>
      </c>
      <c r="B3947" s="2" t="str">
        <f>IFERROR(__xludf.DUMMYFUNCTION("GOOGLETRANSLATE(A3947,""en"", ""mt"")"),"Dħul rilevanti aħjar")</f>
        <v>Dħul rilevanti aħjar</v>
      </c>
    </row>
    <row r="3948" ht="15.75" customHeight="1">
      <c r="A3948" s="2" t="s">
        <v>3948</v>
      </c>
      <c r="B3948" s="2" t="str">
        <f>IFERROR(__xludf.DUMMYFUNCTION("GOOGLETRANSLATE(A3948,""en"", ""mt"")"),"Kif huwa deskritt id-dioxygen l-iktar sempliċement deskritt?")</f>
        <v>Kif huwa deskritt id-dioxygen l-iktar sempliċement deskritt?</v>
      </c>
    </row>
    <row r="3949" ht="15.75" customHeight="1">
      <c r="A3949" s="2" t="s">
        <v>3949</v>
      </c>
      <c r="B3949" s="2" t="str">
        <f>IFERROR(__xludf.DUMMYFUNCTION("GOOGLETRANSLATE(A3949,""en"", ""mt"")"),"Kif miet Yesun Temur")</f>
        <v>Kif miet Yesun Temur</v>
      </c>
    </row>
    <row r="3950" ht="15.75" customHeight="1">
      <c r="A3950" s="2" t="s">
        <v>3950</v>
      </c>
      <c r="B3950" s="2" t="str">
        <f>IFERROR(__xludf.DUMMYFUNCTION("GOOGLETRANSLATE(A3950,""en"", ""mt"")"),"Numru ta 'Huguenots servew bħala sindki f'Dublin, Cork, Youghal u Waterford fis-sekli 17 u 18. Numru ta 'sinjali ta' preżenza Huguenot xorta jistgħu jidhru bl-ismijiet li għadhom jintużaw, u b'żoni tal-bliet u bliet ewlenin imsemmija wara n-nies li stabbi"&amp;"lixxew hemm. Eżempji jinkludu d-Distrett ta 'Huguenot u Triq il-Knisja Franċiża fil-Belt ta' Cork; u Triq D'Olier f'Dublin, imsejħa wara xeriff għoli u wieħed mill-fundaturi tal-Bank of Ireland. Knisja Franċiża f'Portarlington tmur lura għall-1696, u nbni"&amp;"et biex isservi l-komunità Huguenot ġdida sinifikanti fil-belt. Dak iż-żmien, huma kienu jikkostitwixxu l-maġġoranza tan-nies tal-belt.")</f>
        <v>Numru ta 'Huguenots servew bħala sindki f'Dublin, Cork, Youghal u Waterford fis-sekli 17 u 18. Numru ta 'sinjali ta' preżenza Huguenot xorta jistgħu jidhru bl-ismijiet li għadhom jintużaw, u b'żoni tal-bliet u bliet ewlenin imsemmija wara n-nies li stabbilixxew hemm. Eżempji jinkludu d-Distrett ta 'Huguenot u Triq il-Knisja Franċiża fil-Belt ta' Cork; u Triq D'Olier f'Dublin, imsejħa wara xeriff għoli u wieħed mill-fundaturi tal-Bank of Ireland. Knisja Franċiża f'Portarlington tmur lura għall-1696, u nbniet biex isservi l-komunità Huguenot ġdida sinifikanti fil-belt. Dak iż-żmien, huma kienu jikkostitwixxu l-maġġoranza tan-nies tal-belt.</v>
      </c>
    </row>
    <row r="3951" ht="15.75" customHeight="1">
      <c r="A3951" s="2" t="s">
        <v>3951</v>
      </c>
      <c r="B3951" s="2" t="str">
        <f>IFERROR(__xludf.DUMMYFUNCTION("GOOGLETRANSLATE(A3951,""en"", ""mt"")"),"Proġett ta 'kostruzzjoni huwa xibka kumplessa ta' kuntratti u obbligi legali oħra, li kull wieħed minnhom il-partijiet kollha għandhom jikkunsidraw bir-reqqa. Kuntratt huwa l-iskambju ta 'sett ta' obbligi bejn żewġ partijiet jew aktar, iżda mhix kwistjoni"&amp;" daqshekk sempliċi daqs kemm tipprova tikseb in-naħa l-oħra biex taqbel kemm jista 'jkun bi skambju għal kemm jista' jkun. L-element ta 'ħin fil-kostruzzjoni jfisser li dewmien jiswa l-flus, u f'każijiet ta' konġestjonijiet, id-dewmien jista 'jiswa ħafna."&amp;" Għalhekk, il-kuntratti għandhom ikunu ddisinjati biex jiżguraw li kull naħa tkun kapaċi twettaq l-obbligi stabbiliti. Il-kuntratti li jistabbilixxu aspettattivi ċari u mogħdijiet ċari għat-twettiq ta 'dawk l-aspettattivi huma ferm aktar probabbli li jirr"&amp;"iżultaw fil-proġett li jiċċirkola bla xkiel, filwaqt li kuntratti abbozzati ħażin iwasslu għal konfużjoni u kollass.")</f>
        <v>Proġett ta 'kostruzzjoni huwa xibka kumplessa ta' kuntratti u obbligi legali oħra, li kull wieħed minnhom il-partijiet kollha għandhom jikkunsidraw bir-reqqa. Kuntratt huwa l-iskambju ta 'sett ta' obbligi bejn żewġ partijiet jew aktar, iżda mhix kwistjoni daqshekk sempliċi daqs kemm tipprova tikseb in-naħa l-oħra biex taqbel kemm jista 'jkun bi skambju għal kemm jista' jkun. L-element ta 'ħin fil-kostruzzjoni jfisser li dewmien jiswa l-flus, u f'każijiet ta' konġestjonijiet, id-dewmien jista 'jiswa ħafna. Għalhekk, il-kuntratti għandhom ikunu ddisinjati biex jiżguraw li kull naħa tkun kapaċi twettaq l-obbligi stabbiliti. Il-kuntratti li jistabbilixxu aspettattivi ċari u mogħdijiet ċari għat-twettiq ta 'dawk l-aspettattivi huma ferm aktar probabbli li jirriżultaw fil-proġett li jiċċirkola bla xkiel, filwaqt li kuntratti abbozzati ħażin iwasslu għal konfużjoni u kollass.</v>
      </c>
    </row>
    <row r="3952" ht="15.75" customHeight="1">
      <c r="A3952" s="2" t="s">
        <v>3952</v>
      </c>
      <c r="B3952" s="2" t="str">
        <f>IFERROR(__xludf.DUMMYFUNCTION("GOOGLETRANSLATE(A3952,""en"", ""mt"")"),"B'kuntrast mar-rekwiżiti tal-prodott jew liġijiet oħra li jfixklu l-aċċess tas-suq, il-Qorti tal-Ġustizzja żviluppat preżunzjoni li ""l-arranġamenti tal-bejgħ"" tkun preżunta li ma jaqgħux fl-Artikolu 34 tat-TFEU, jekk japplikaw bl-istess mod lill-bejjieg"&amp;"ħa kollha, u affettwawhom fl-istess mod fil-fatt. Fil-Keck u Mithouard żewġ importaturi sostnew li l-prosekuzzjoni tagħhom taħt liġi tal-kompetizzjoni Franċiża, li ma ħalliethomx ibigħu l-birra tal-picon taħt prezz bl-ingrossa, kienet illegali. L-għan tal"&amp;"-liġi kien li jipprevjeni l-kompetizzjoni tal-griżmejn maqtugħin, u ma jfixklux il-kummerċ. Il-Qorti tal-Ġustizzja ddeċidiet, bħala ""fil-liġi u fil-fatt"" kienet ""arranġament ta 'bejgħ"" bl-istess mod applikabbli (mhux xi ħaġa li tibdel il-kontenut ta' "&amp;"prodott) kienet barra mill-ambitu tal-Artikolu 34, u għalhekk ma kellux għalfejn ikun iġġustifikat. Jista 'jinżamm arranġamenti ta' bejgħ biex ikollhom effett mhux ugwali ""fil-fatt"" partikolarment fejn negozjanti minn stat membru ieħor qed ifittxu li ji"&amp;"dħlu fis-suq, iżda hemm restrizzjonijiet fuq ir-reklamar u l-kummerċjalizzazzjoni. Fil-Konsumentombudsmannen v de Agostini, il-Qorti tal-Ġustizzja rrevediet projbizzjonijiet Żvediżi fuq ir-reklamar lil tfal taħt it-12-il sena, u riklami qarrieqa għal prod"&amp;"otti għall-kura tal-ġilda. Filwaqt li l-projbizzjonijiet baqgħu (ġustifikabbli skont l-Artikolu 36 jew bħala rekwiżit obbligatorju) il-qorti enfasizzat li projbizzjonijiet kompluti tal-kummerċ jistgħu jkunu sproporzjonati jekk ir-reklamar kien ""l-unika f"&amp;"orma effettiva ta 'promozzjoni li tippermetti [negozjant] biex jippenetra"" fis-suq. Fil-Konsumentombudsmannen v Gourmet AB il-qorti ssuġġeriet li projbizzjoni totali għar-reklamar tal-alkoħol fuq ir-radju, it-TV u fir-rivisti jistgħu jaqgħu taħt l-Artiko"&amp;"lu 34 fejn ir-reklamar kien l-uniku mod biex il-bejjiegħa jegħlbu l-konsumaturi ""prattiki soċjali tradizzjonali u għal drawwiet u drawwiet lokali tal-konsumaturi ""Biex jixtru l-prodotti tagħhom, iżda għal darb'oħra l-qrati nazzjonali jiddeċiedu jekk kie"&amp;"nx iġġustifikat skont l-Artikolu 36 biex jipproteġi s-saħħa pubblika. Taħt id-Direttiva dwar il-Prattiki Kummerċjali Inġusti, ir-restrizzjonijiet armonizzati tal-UE fuq ir-restrizzjonijiet fuq il-kummerċjalizzazzjoni u r-reklamar, biex tipprojbixxi li tgħ"&amp;"awweġ l-imġieba medja tal-konsumatur, hija qarrieqa jew aggressiva, u tistipula lista ta 'eżempji li jgħoddu bħala inġusti. Kulma jmur, l-istati jridu jagħtu rikonoxximent reċiproku lill-istandards ta 'regolament ta' xulxin, filwaqt li l-UE ppruvat tarmon"&amp;"izza l-ideali minimi ta 'l-aħjar prattika. L-attentat biex jgħollu l-istandards huwa ttamat li jevita ""razza għall-qiegħ"" regolatorja, filwaqt li jippermetti lill-konsumaturi aċċess għal oġġetti minn madwar il-kontinent.")</f>
        <v>B'kuntrast mar-rekwiżiti tal-prodott jew liġijiet oħra li jfixklu l-aċċess tas-suq, il-Qorti tal-Ġustizzja żviluppat preżunzjoni li "l-arranġamenti tal-bejgħ" tkun preżunta li ma jaqgħux fl-Artikolu 34 tat-TFEU, jekk japplikaw bl-istess mod lill-bejjiegħa kollha, u affettwawhom fl-istess mod fil-fatt. Fil-Keck u Mithouard żewġ importaturi sostnew li l-prosekuzzjoni tagħhom taħt liġi tal-kompetizzjoni Franċiża, li ma ħalliethomx ibigħu l-birra tal-picon taħt prezz bl-ingrossa, kienet illegali. L-għan tal-liġi kien li jipprevjeni l-kompetizzjoni tal-griżmejn maqtugħin, u ma jfixklux il-kummerċ. Il-Qorti tal-Ġustizzja ddeċidiet, bħala "fil-liġi u fil-fatt" kienet "arranġament ta 'bejgħ" bl-istess mod applikabbli (mhux xi ħaġa li tibdel il-kontenut ta' prodott) kienet barra mill-ambitu tal-Artikolu 34, u għalhekk ma kellux għalfejn ikun iġġustifikat. Jista 'jinżamm arranġamenti ta' bejgħ biex ikollhom effett mhux ugwali "fil-fatt" partikolarment fejn negozjanti minn stat membru ieħor qed ifittxu li jidħlu fis-suq, iżda hemm restrizzjonijiet fuq ir-reklamar u l-kummerċjalizzazzjoni. Fil-Konsumentombudsmannen v de Agostini, il-Qorti tal-Ġustizzja rrevediet projbizzjonijiet Żvediżi fuq ir-reklamar lil tfal taħt it-12-il sena, u riklami qarrieqa għal prodotti għall-kura tal-ġilda. Filwaqt li l-projbizzjonijiet baqgħu (ġustifikabbli skont l-Artikolu 36 jew bħala rekwiżit obbligatorju) il-qorti enfasizzat li projbizzjonijiet kompluti tal-kummerċ jistgħu jkunu sproporzjonati jekk ir-reklamar kien "l-unika forma effettiva ta 'promozzjoni li tippermetti [negozjant] biex jippenetra" fis-suq. Fil-Konsumentombudsmannen v Gourmet AB il-qorti ssuġġeriet li projbizzjoni totali għar-reklamar tal-alkoħol fuq ir-radju, it-TV u fir-rivisti jistgħu jaqgħu taħt l-Artikolu 34 fejn ir-reklamar kien l-uniku mod biex il-bejjiegħa jegħlbu l-konsumaturi "prattiki soċjali tradizzjonali u għal drawwiet u drawwiet lokali tal-konsumaturi "Biex jixtru l-prodotti tagħhom, iżda għal darb'oħra l-qrati nazzjonali jiddeċiedu jekk kienx iġġustifikat skont l-Artikolu 36 biex jipproteġi s-saħħa pubblika. Taħt id-Direttiva dwar il-Prattiki Kummerċjali Inġusti, ir-restrizzjonijiet armonizzati tal-UE fuq ir-restrizzjonijiet fuq il-kummerċjalizzazzjoni u r-reklamar, biex tipprojbixxi li tgħawweġ l-imġieba medja tal-konsumatur, hija qarrieqa jew aggressiva, u tistipula lista ta 'eżempji li jgħoddu bħala inġusti. Kulma jmur, l-istati jridu jagħtu rikonoxximent reċiproku lill-istandards ta 'regolament ta' xulxin, filwaqt li l-UE ppruvat tarmonizza l-ideali minimi ta 'l-aħjar prattika. L-attentat biex jgħollu l-istandards huwa ttamat li jevita "razza għall-qiegħ" regolatorja, filwaqt li jippermetti lill-konsumaturi aċċess għal oġġetti minn madwar il-kontinent.</v>
      </c>
    </row>
    <row r="3953" ht="15.75" customHeight="1">
      <c r="A3953" s="2" t="s">
        <v>3953</v>
      </c>
      <c r="B3953" s="2" t="str">
        <f>IFERROR(__xludf.DUMMYFUNCTION("GOOGLETRANSLATE(A3953,""en"", ""mt"")"),"bena t-triq tar-re")</f>
        <v>bena t-triq tar-re</v>
      </c>
    </row>
    <row r="3954" ht="15.75" customHeight="1">
      <c r="A3954" s="2" t="s">
        <v>3954</v>
      </c>
      <c r="B3954" s="2" t="str">
        <f>IFERROR(__xludf.DUMMYFUNCTION("GOOGLETRANSLATE(A3954,""en"", ""mt"")"),"Hija kunċett żbaljat komuni biex tattribwixxi l-ebusija u r-riġidità ta 'materja solida għar-repulsjoni ta' piżijiet simili taħt l-influwenza tal-forza elettromanjetika. Madankollu, dawn il-karatteristiċi fil-fatt jirriżultaw mill-prinċipju ta 'esklużjoni"&amp;" ta' Pauli. [Ċitazzjoni meħtieġa] Peress li l-elettroni huma fermions, ma jistgħux jokkupaw l-istess stat mekkaniku kwantistiku bħal elettroni oħra. Meta l-elettroni f'materjal huma densament ippakkjati flimkien, m'hemmx biżżejjed stati mekkaniċi kwantist"&amp;"iċi ta 'enerġija aktar baxxa għalihom kollha, u għalhekk xi wħud minnhom għandhom ikunu fi stati ta' enerġija ogħla. Dan ifisser li tieħu l-enerġija biex tippakkjahom flimkien. Filwaqt li dan l-effett huwa manifestat makroskopikament bħala forza struttura"&amp;"li, huwa teknikament biss ir-riżultat tal-eżistenza ta 'sett finit ta' stati elettroni.")</f>
        <v>Hija kunċett żbaljat komuni biex tattribwixxi l-ebusija u r-riġidità ta 'materja solida għar-repulsjoni ta' piżijiet simili taħt l-influwenza tal-forza elettromanjetika. Madankollu, dawn il-karatteristiċi fil-fatt jirriżultaw mill-prinċipju ta 'esklużjoni ta' Pauli. [Ċitazzjoni meħtieġa] Peress li l-elettroni huma fermions, ma jistgħux jokkupaw l-istess stat mekkaniku kwantistiku bħal elettroni oħra. Meta l-elettroni f'materjal huma densament ippakkjati flimkien, m'hemmx biżżejjed stati mekkaniċi kwantistiċi ta 'enerġija aktar baxxa għalihom kollha, u għalhekk xi wħud minnhom għandhom ikunu fi stati ta' enerġija ogħla. Dan ifisser li tieħu l-enerġija biex tippakkjahom flimkien. Filwaqt li dan l-effett huwa manifestat makroskopikament bħala forza strutturali, huwa teknikament biss ir-riżultat tal-eżistenza ta 'sett finit ta' stati elettroni.</v>
      </c>
    </row>
    <row r="3955" ht="15.75" customHeight="1">
      <c r="A3955" s="2" t="s">
        <v>3955</v>
      </c>
      <c r="B3955" s="2" t="str">
        <f>IFERROR(__xludf.DUMMYFUNCTION("GOOGLETRANSLATE(A3955,""en"", ""mt"")"),"Padlocking il-bibien")</f>
        <v>Padlocking il-bibien</v>
      </c>
    </row>
    <row r="3956" ht="15.75" customHeight="1">
      <c r="A3956" s="2" t="s">
        <v>3956</v>
      </c>
      <c r="B3956" s="2" t="str">
        <f>IFERROR(__xludf.DUMMYFUNCTION("GOOGLETRANSLATE(A3956,""en"", ""mt"")"),"Riċetturi tal-limfoċiti varjabbli")</f>
        <v>Riċetturi tal-limfoċiti varjabbli</v>
      </c>
    </row>
    <row r="3957" ht="15.75" customHeight="1">
      <c r="A3957" s="2" t="s">
        <v>3957</v>
      </c>
      <c r="B3957" s="2" t="str">
        <f>IFERROR(__xludf.DUMMYFUNCTION("GOOGLETRANSLATE(A3957,""en"", ""mt"")"),"Test ta 'Primalità ta' Miller - Rabin")</f>
        <v>Test ta 'Primalità ta' Miller - Rabin</v>
      </c>
    </row>
    <row r="3958" ht="15.75" customHeight="1">
      <c r="A3958" s="2" t="s">
        <v>3958</v>
      </c>
      <c r="B3958" s="2" t="str">
        <f>IFERROR(__xludf.DUMMYFUNCTION("GOOGLETRANSLATE(A3958,""en"", ""mt"")"),"It-tieni l-iktar komunement")</f>
        <v>It-tieni l-iktar komunement</v>
      </c>
    </row>
    <row r="3959" ht="15.75" customHeight="1">
      <c r="A3959" s="2" t="s">
        <v>3959</v>
      </c>
      <c r="B3959" s="2" t="str">
        <f>IFERROR(__xludf.DUMMYFUNCTION("GOOGLETRANSLATE(A3959,""en"", ""mt"")"),"waħda")</f>
        <v>waħda</v>
      </c>
    </row>
    <row r="3960" ht="15.75" customHeight="1">
      <c r="A3960" s="2" t="s">
        <v>3960</v>
      </c>
      <c r="B3960" s="2" t="str">
        <f>IFERROR(__xludf.DUMMYFUNCTION("GOOGLETRANSLATE(A3960,""en"", ""mt"")"),"Liema proprjetà tas-Serje Armonika 1 + 1/2 + 1/3 + 1/4 + ... turi li hemm numru infinit ta 'primes?")</f>
        <v>Liema proprjetà tas-Serje Armonika 1 + 1/2 + 1/3 + 1/4 + ... turi li hemm numru infinit ta 'primes?</v>
      </c>
    </row>
    <row r="3961" ht="15.75" customHeight="1">
      <c r="A3961" s="2" t="s">
        <v>3961</v>
      </c>
      <c r="B3961" s="2" t="str">
        <f>IFERROR(__xludf.DUMMYFUNCTION("GOOGLETRANSLATE(A3961,""en"", ""mt"")"),"manniista")</f>
        <v>manniista</v>
      </c>
    </row>
    <row r="3962" ht="15.75" customHeight="1">
      <c r="A3962" s="2" t="s">
        <v>3962</v>
      </c>
      <c r="B3962" s="2" t="str">
        <f>IFERROR(__xludf.DUMMYFUNCTION("GOOGLETRANSLATE(A3962,""en"", ""mt"")"),"Film tax-Xitwa Kapitali tad-Dinja")</f>
        <v>Film tax-Xitwa Kapitali tad-Dinja</v>
      </c>
    </row>
    <row r="3963" ht="15.75" customHeight="1">
      <c r="A3963" s="2" t="s">
        <v>3963</v>
      </c>
      <c r="B3963" s="2" t="str">
        <f>IFERROR(__xludf.DUMMYFUNCTION("GOOGLETRANSLATE(A3963,""en"", ""mt"")"),"Franza Ġdida")</f>
        <v>Franza Ġdida</v>
      </c>
    </row>
    <row r="3964" ht="15.75" customHeight="1">
      <c r="A3964" s="2" t="s">
        <v>3964</v>
      </c>
      <c r="B3964" s="2" t="str">
        <f>IFERROR(__xludf.DUMMYFUNCTION("GOOGLETRANSLATE(A3964,""en"", ""mt"")"),"Kteis 'comb' u φέρω pherō 'iġorru'")</f>
        <v>Kteis 'comb' u φέρω pherō 'iġorru'</v>
      </c>
    </row>
    <row r="3965" ht="15.75" customHeight="1">
      <c r="A3965" s="2" t="s">
        <v>3965</v>
      </c>
      <c r="B3965" s="2" t="str">
        <f>IFERROR(__xludf.DUMMYFUNCTION("GOOGLETRANSLATE(A3965,""en"", ""mt"")"),"il-pussess ta 'individwi diġà sinjuri")</f>
        <v>il-pussess ta 'individwi diġà sinjuri</v>
      </c>
    </row>
    <row r="3966" ht="15.75" customHeight="1">
      <c r="A3966" s="2" t="s">
        <v>3966</v>
      </c>
      <c r="B3966" s="2" t="str">
        <f>IFERROR(__xludf.DUMMYFUNCTION("GOOGLETRANSLATE(A3966,""en"", ""mt"")"),"Min ma affermax id-dritt tar-Russja għal ""awtodeterminazzjoni?""")</f>
        <v>Min ma affermax id-dritt tar-Russja għal "awtodeterminazzjoni?"</v>
      </c>
    </row>
    <row r="3967" ht="15.75" customHeight="1">
      <c r="A3967" s="2" t="s">
        <v>3967</v>
      </c>
      <c r="B3967" s="2" t="str">
        <f>IFERROR(__xludf.DUMMYFUNCTION("GOOGLETRANSLATE(A3967,""en"", ""mt"")"),"Hendrix v Istitut tal-Assigurazzjoni tal-Impjegati")</f>
        <v>Hendrix v Istitut tal-Assigurazzjoni tal-Impjegati</v>
      </c>
    </row>
    <row r="3968" ht="15.75" customHeight="1">
      <c r="A3968" s="2" t="s">
        <v>3968</v>
      </c>
      <c r="B3968" s="2" t="str">
        <f>IFERROR(__xludf.DUMMYFUNCTION("GOOGLETRANSLATE(A3968,""en"", ""mt"")"),"Telenet ġie inkorporat fl-1973 u beda l-operazzjonijiet fl-1975. Huwa sar pubbliku fl-1979 u mbagħad inbiegħ lil GTE")</f>
        <v>Telenet ġie inkorporat fl-1973 u beda l-operazzjonijiet fl-1975. Huwa sar pubbliku fl-1979 u mbagħad inbiegħ lil GTE</v>
      </c>
    </row>
    <row r="3969" ht="15.75" customHeight="1">
      <c r="A3969" s="2" t="s">
        <v>3969</v>
      </c>
      <c r="B3969" s="2" t="str">
        <f>IFERROR(__xludf.DUMMYFUNCTION("GOOGLETRANSLATE(A3969,""en"", ""mt"")"),"Qajjem malajr il-popolazzjoni u t-traffiku fi bliet tul SR 99, kif ukoll ix-xewqa ta 'finanzjament federali")</f>
        <v>Qajjem malajr il-popolazzjoni u t-traffiku fi bliet tul SR 99, kif ukoll ix-xewqa ta 'finanzjament federali</v>
      </c>
    </row>
    <row r="3970" ht="15.75" customHeight="1">
      <c r="A3970" s="2" t="s">
        <v>3970</v>
      </c>
      <c r="B3970" s="2" t="str">
        <f>IFERROR(__xludf.DUMMYFUNCTION("GOOGLETRANSLATE(A3970,""en"", ""mt"")"),"""Punt ta 'Bauffet""")</f>
        <v>"Punt ta 'Bauffet"</v>
      </c>
    </row>
    <row r="3971" ht="15.75" customHeight="1">
      <c r="A3971" s="2" t="s">
        <v>3971</v>
      </c>
      <c r="B3971" s="2" t="str">
        <f>IFERROR(__xludf.DUMMYFUNCTION("GOOGLETRANSLATE(A3971,""en"", ""mt"")"),"Kompetizzjoni Confucian u Venerazzjoni tal-Antenati")</f>
        <v>Kompetizzjoni Confucian u Venerazzjoni tal-Antenati</v>
      </c>
    </row>
    <row r="3972" ht="15.75" customHeight="1">
      <c r="A3972" s="2" t="s">
        <v>3972</v>
      </c>
      <c r="B3972" s="2" t="str">
        <f>IFERROR(__xludf.DUMMYFUNCTION("GOOGLETRANSLATE(A3972,""en"", ""mt"")"),"Ma nemminx fil-leġittimità ta 'xi gvern")</f>
        <v>Ma nemminx fil-leġittimità ta 'xi gvern</v>
      </c>
    </row>
    <row r="3973" ht="15.75" customHeight="1">
      <c r="A3973" s="2" t="s">
        <v>3973</v>
      </c>
      <c r="B3973" s="2" t="str">
        <f>IFERROR(__xludf.DUMMYFUNCTION("GOOGLETRANSLATE(A3973,""en"", ""mt"")"),"Ġeneralment bla bażi u marġinali wkoll għall-valutazzjoni")</f>
        <v>Ġeneralment bla bażi u marġinali wkoll għall-valutazzjoni</v>
      </c>
    </row>
    <row r="3974" ht="15.75" customHeight="1">
      <c r="A3974" s="2" t="s">
        <v>3974</v>
      </c>
      <c r="B3974" s="2" t="str">
        <f>IFERROR(__xludf.DUMMYFUNCTION("GOOGLETRANSLATE(A3974,""en"", ""mt"")"),"Meta l-liġi hija mira diretta tal-protesta, kif jissejjaħ dan?")</f>
        <v>Meta l-liġi hija mira diretta tal-protesta, kif jissejjaħ dan?</v>
      </c>
    </row>
    <row r="3975" ht="15.75" customHeight="1">
      <c r="A3975" s="2" t="s">
        <v>3975</v>
      </c>
      <c r="B3975" s="2" t="str">
        <f>IFERROR(__xludf.DUMMYFUNCTION("GOOGLETRANSLATE(A3975,""en"", ""mt"")"),"X'kien il-proporzjon ta 'Huguenots għall-Kattoliċi fil-quċċata tagħhom?")</f>
        <v>X'kien il-proporzjon ta 'Huguenots għall-Kattoliċi fil-quċċata tagħhom?</v>
      </c>
    </row>
    <row r="3976" ht="15.75" customHeight="1">
      <c r="A3976" s="2" t="s">
        <v>3976</v>
      </c>
      <c r="B3976" s="2" t="str">
        <f>IFERROR(__xludf.DUMMYFUNCTION("GOOGLETRANSLATE(A3976,""en"", ""mt"")"),"anerobiku")</f>
        <v>anerobiku</v>
      </c>
    </row>
    <row r="3977" ht="15.75" customHeight="1">
      <c r="A3977" s="2" t="s">
        <v>3977</v>
      </c>
      <c r="B3977" s="2" t="str">
        <f>IFERROR(__xludf.DUMMYFUNCTION("GOOGLETRANSLATE(A3977,""en"", ""mt"")"),"karbonat tas-sodju u karbonat tal-potassju")</f>
        <v>karbonat tas-sodju u karbonat tal-potassju</v>
      </c>
    </row>
    <row r="3978" ht="15.75" customHeight="1">
      <c r="A3978" s="2" t="s">
        <v>3978</v>
      </c>
      <c r="B3978" s="2" t="str">
        <f>IFERROR(__xludf.DUMMYFUNCTION("GOOGLETRANSLATE(A3978,""en"", ""mt"")"),"regoli li jmorru kontra l-moralità")</f>
        <v>regoli li jmorru kontra l-moralità</v>
      </c>
    </row>
    <row r="3979" ht="15.75" customHeight="1">
      <c r="A3979" s="2" t="s">
        <v>3979</v>
      </c>
      <c r="B3979" s="2" t="str">
        <f>IFERROR(__xludf.DUMMYFUNCTION("GOOGLETRANSLATE(A3979,""en"", ""mt"")"),"għamel grad ta 'A għall-erba' snin kollha, u fuq kwalunkwe gradwat ieħor li ħa tnax-il ġimgħa studju addizzjonali fl-Università ta 'Chicago")</f>
        <v>għamel grad ta 'A għall-erba' snin kollha, u fuq kwalunkwe gradwat ieħor li ħa tnax-il ġimgħa studju addizzjonali fl-Università ta 'Chicago</v>
      </c>
    </row>
    <row r="3980" ht="15.75" customHeight="1">
      <c r="A3980" s="2" t="s">
        <v>3980</v>
      </c>
      <c r="B3980" s="2" t="str">
        <f>IFERROR(__xludf.DUMMYFUNCTION("GOOGLETRANSLATE(A3980,""en"", ""mt"")"),"X'jiekol ġeneralment il-Bolinopsis?")</f>
        <v>X'jiekol ġeneralment il-Bolinopsis?</v>
      </c>
    </row>
    <row r="3981" ht="15.75" customHeight="1">
      <c r="A3981" s="2" t="s">
        <v>3981</v>
      </c>
      <c r="B3981" s="2" t="str">
        <f>IFERROR(__xludf.DUMMYFUNCTION("GOOGLETRANSLATE(A3981,""en"", ""mt"")"),"Meta jkunu miżżewġin,")</f>
        <v>Meta jkunu miżżewġin,</v>
      </c>
    </row>
    <row r="3982" ht="15.75" customHeight="1">
      <c r="A3982" s="2" t="s">
        <v>3982</v>
      </c>
      <c r="B3982" s="2" t="str">
        <f>IFERROR(__xludf.DUMMYFUNCTION("GOOGLETRANSLATE(A3982,""en"", ""mt"")"),"Il-kostruzzjoni tal-bini hija l-proċess li żżid struttura ma 'proprjetà immobbli jew kostruzzjoni ta' bini. Il-biċċa l-kbira tal-impjiegi tal-kostruzzjoni tal-bini huma rinnovazzjonijiet żgħar, bħal żieda ta 'kamra, jew rinnovazzjoni ta' kamra tal-banju. "&amp;"Ħafna drabi, is-sid tal-propjetà jaġixxi bħala ħaddiem, paymaster, u tim tad-disinn għall-proġett kollu. Għalkemm il-proġetti ta 'kostruzzjoni tal-bini tipikament jinkludu diversi elementi komuni, bħad-disinn, l-istima, l-istima u l-kunsiderazzjonijiet le"&amp;"gali, ħafna proġetti ta' daqsijiet varji jilħqu riżultati finali mhux mixtieqa, bħal kollass strutturali, overruns ta 'spejjeż, u / jew litigazzjoni. Għal din ir-raġuni, dawk b'esperjenza fil-qasam jagħmlu pjanijiet dettaljati u jżommu sorveljanza bir-req"&amp;"qa matul il-proġett biex jiżguraw riżultat pożittiv.")</f>
        <v>Il-kostruzzjoni tal-bini hija l-proċess li żżid struttura ma 'proprjetà immobbli jew kostruzzjoni ta' bini. Il-biċċa l-kbira tal-impjiegi tal-kostruzzjoni tal-bini huma rinnovazzjonijiet żgħar, bħal żieda ta 'kamra, jew rinnovazzjoni ta' kamra tal-banju. Ħafna drabi, is-sid tal-propjetà jaġixxi bħala ħaddiem, paymaster, u tim tad-disinn għall-proġett kollu. Għalkemm il-proġetti ta 'kostruzzjoni tal-bini tipikament jinkludu diversi elementi komuni, bħad-disinn, l-istima, l-istima u l-kunsiderazzjonijiet legali, ħafna proġetti ta' daqsijiet varji jilħqu riżultati finali mhux mixtieqa, bħal kollass strutturali, overruns ta 'spejjeż, u / jew litigazzjoni. Għal din ir-raġuni, dawk b'esperjenza fil-qasam jagħmlu pjanijiet dettaljati u jżommu sorveljanza bir-reqqa matul il-proġett biex jiżguraw riżultat pożittiv.</v>
      </c>
    </row>
    <row r="3983" ht="15.75" customHeight="1">
      <c r="A3983" s="2" t="s">
        <v>3983</v>
      </c>
      <c r="B3983" s="2" t="str">
        <f>IFERROR(__xludf.DUMMYFUNCTION("GOOGLETRANSLATE(A3983,""en"", ""mt"")"),"L-Iżlamisti ta ’min akkużaw ir-reġim Sawdi li kienu?")</f>
        <v>L-Iżlamisti ta ’min akkużaw ir-reġim Sawdi li kienu?</v>
      </c>
    </row>
    <row r="3984" ht="15.75" customHeight="1">
      <c r="A3984" s="2" t="s">
        <v>3984</v>
      </c>
      <c r="B3984" s="2" t="str">
        <f>IFERROR(__xludf.DUMMYFUNCTION("GOOGLETRANSLATE(A3984,""en"", ""mt"")"),"Fejn oriġinarjament il-Huguenots jillandjaw fi New York?")</f>
        <v>Fejn oriġinarjament il-Huguenots jillandjaw fi New York?</v>
      </c>
    </row>
    <row r="3985" ht="15.75" customHeight="1">
      <c r="A3985" s="2" t="s">
        <v>3985</v>
      </c>
      <c r="B3985" s="2" t="str">
        <f>IFERROR(__xludf.DUMMYFUNCTION("GOOGLETRANSLATE(A3985,""en"", ""mt"")"),"Fis-snin 1960, serje ta 'skoperti, li l-iktar importanti minnhom kienet tinfirex il-baħar, wriet li l-litosfera tad-Dinja, li tinkludi l-qoxra tal-qoxra u l-ogħla riġida tal-mantell ta' fuq, hija separata f'numru ta 'pjanċi tettoniċi li jiċċaqalqu madwar "&amp;"il-plastikament Deformazzjoni, solidu, mantell ta 'fuq, li jissejjaħ l-astenosfera. Hemm akkoppjar intimu bejn il-moviment tal-pjanċi fuq il-wiċċ u l-konvezzjoni tal-mantell: mozzjonijiet tal-pjanċa oċeanika u kurrenti tal-konvezzjoni tal-mantell dejjem j"&amp;"iċċaqalqu fl-istess direzzjoni, minħabba li l-litosfera oċeanika hija s-saff tal-konfini termali ta 'fuq tal-mantell tal-konvezzjoni Jonqos Dan l-akkoppjar bejn pjanċi riġidi li jiċċaqilqu fuq il-wiċċ tad-dinja u l-mantell tal-konvetti huwa msejjaħ tetton"&amp;"ika tal-pjanċa.")</f>
        <v>Fis-snin 1960, serje ta 'skoperti, li l-iktar importanti minnhom kienet tinfirex il-baħar, wriet li l-litosfera tad-Dinja, li tinkludi l-qoxra tal-qoxra u l-ogħla riġida tal-mantell ta' fuq, hija separata f'numru ta 'pjanċi tettoniċi li jiċċaqalqu madwar il-plastikament Deformazzjoni, solidu, mantell ta 'fuq, li jissejjaħ l-astenosfera. Hemm akkoppjar intimu bejn il-moviment tal-pjanċi fuq il-wiċċ u l-konvezzjoni tal-mantell: mozzjonijiet tal-pjanċa oċeanika u kurrenti tal-konvezzjoni tal-mantell dejjem jiċċaqalqu fl-istess direzzjoni, minħabba li l-litosfera oċeanika hija s-saff tal-konfini termali ta 'fuq tal-mantell tal-konvezzjoni Jonqos Dan l-akkoppjar bejn pjanċi riġidi li jiċċaqilqu fuq il-wiċċ tad-dinja u l-mantell tal-konvetti huwa msejjaħ tettonika tal-pjanċa.</v>
      </c>
    </row>
    <row r="3986" ht="15.75" customHeight="1">
      <c r="A3986" s="2" t="s">
        <v>3986</v>
      </c>
      <c r="B3986" s="2" t="str">
        <f>IFERROR(__xludf.DUMMYFUNCTION("GOOGLETRANSLATE(A3986,""en"", ""mt"")"),"Phagosome")</f>
        <v>Phagosome</v>
      </c>
    </row>
    <row r="3987" ht="15.75" customHeight="1">
      <c r="A3987" s="2" t="s">
        <v>3987</v>
      </c>
      <c r="B3987" s="2" t="str">
        <f>IFERROR(__xludf.DUMMYFUNCTION("GOOGLETRANSLATE(A3987,""en"", ""mt"")"),"żdied għal kariga politika ogħla")</f>
        <v>żdied għal kariga politika ogħla</v>
      </c>
    </row>
    <row r="3988" ht="15.75" customHeight="1">
      <c r="A3988" s="2" t="s">
        <v>3988</v>
      </c>
      <c r="B3988" s="2" t="str">
        <f>IFERROR(__xludf.DUMMYFUNCTION("GOOGLETRANSLATE(A3988,""en"", ""mt"")"),"Meta l-kapaċitajiet ta 'persuna jitbaxxew, huma b'xi mod jiġu mċaħħda milli jaqilgħu daqs kemm kienu. Raġel xiħ u ħażin ma jistax jaqla 'daqs żagħżugħ b'saħħtu; Ir-rwoli tas-sessi u d-drawwiet jistgħu jipprevjenu mara milli tirċievi edukazzjoni jew taħdem"&amp;" barra mid-dar. Jista 'jkun hemm epidemija li tikkawża paniku mifrux, jew jista' jkun hemm vjolenza rampanti fiż-żona li tipprevjeni lin-nies milli jmorru jaħdmu minħabba l-biża 'ta' ħajjithom. Bħala riżultat, id-dħul u l-inugwaljanza ekonomika jiżdied, u"&amp;" jsir iktar diffiċli li titnaqqas id-distakk mingħajr għajnuna addizzjonali. Biex tevita din l-inugwaljanza, dan l-approċċ jemmen li huwa importanti li jkollok libertà politika, faċilitajiet ekonomiċi, opportunitajiet soċjali, garanziji ta 'trasparenza u "&amp;"sigurtà protettiva biex tiżgura li n-nies ma jiġux miċħuda l-funzjonazzjonijiet, il-kapaċitajiet, u l-aġenzija tagħhom u jistgħu għalhekk jaħdmu lejn relevanti aħjar dħul.")</f>
        <v>Meta l-kapaċitajiet ta 'persuna jitbaxxew, huma b'xi mod jiġu mċaħħda milli jaqilgħu daqs kemm kienu. Raġel xiħ u ħażin ma jistax jaqla 'daqs żagħżugħ b'saħħtu; Ir-rwoli tas-sessi u d-drawwiet jistgħu jipprevjenu mara milli tirċievi edukazzjoni jew taħdem barra mid-dar. Jista 'jkun hemm epidemija li tikkawża paniku mifrux, jew jista' jkun hemm vjolenza rampanti fiż-żona li tipprevjeni lin-nies milli jmorru jaħdmu minħabba l-biża 'ta' ħajjithom. Bħala riżultat, id-dħul u l-inugwaljanza ekonomika jiżdied, u jsir iktar diffiċli li titnaqqas id-distakk mingħajr għajnuna addizzjonali. Biex tevita din l-inugwaljanza, dan l-approċċ jemmen li huwa importanti li jkollok libertà politika, faċilitajiet ekonomiċi, opportunitajiet soċjali, garanziji ta 'trasparenza u sigurtà protettiva biex tiżgura li n-nies ma jiġux miċħuda l-funzjonazzjonijiet, il-kapaċitajiet, u l-aġenzija tagħhom u jistgħu għalhekk jaħdmu lejn relevanti aħjar dħul.</v>
      </c>
    </row>
    <row r="3989" ht="15.75" customHeight="1">
      <c r="A3989" s="2" t="s">
        <v>3989</v>
      </c>
      <c r="B3989" s="2" t="str">
        <f>IFERROR(__xludf.DUMMYFUNCTION("GOOGLETRANSLATE(A3989,""en"", ""mt"")"),"Fl-approċċ tal-kapaċitajiet, it-tkabbir u d-dħul huma meqjusa bħala mezz biex jintemm aktar milli?")</f>
        <v>Fl-approċċ tal-kapaċitajiet, it-tkabbir u d-dħul huma meqjusa bħala mezz biex jintemm aktar milli?</v>
      </c>
    </row>
    <row r="3990" ht="15.75" customHeight="1">
      <c r="A3990" s="2" t="s">
        <v>3990</v>
      </c>
      <c r="B3990" s="2" t="str">
        <f>IFERROR(__xludf.DUMMYFUNCTION("GOOGLETRANSLATE(A3990,""en"", ""mt"")"),"66–34 Mya")</f>
        <v>66–34 Mya</v>
      </c>
    </row>
    <row r="3991" ht="15.75" customHeight="1">
      <c r="A3991" s="2" t="s">
        <v>3991</v>
      </c>
      <c r="B3991" s="2" t="str">
        <f>IFERROR(__xludf.DUMMYFUNCTION("GOOGLETRANSLATE(A3991,""en"", ""mt"")"),"li sistema ta 'qsim ta' ħin, ibbażata fuq ix-xogħol ta 'Kemney f'Dartmouth - li uża kompjuter b'self minn GE - jista' jkun ta 'profitt")</f>
        <v>li sistema ta 'qsim ta' ħin, ibbażata fuq ix-xogħol ta 'Kemney f'Dartmouth - li uża kompjuter b'self minn GE - jista' jkun ta 'profitt</v>
      </c>
    </row>
    <row r="3992" ht="15.75" customHeight="1">
      <c r="A3992" s="2" t="s">
        <v>3992</v>
      </c>
      <c r="B3992" s="2" t="str">
        <f>IFERROR(__xludf.DUMMYFUNCTION("GOOGLETRANSLATE(A3992,""en"", ""mt"")"),"Ċidippid ctenophores għandhom korpi li huma ftit jew wisq tond, xi kultant kważi sferiċi u drabi oħra aktar ċilindriċi jew forma ta 'bajd; Il-kosta komuni ""gooseberry tal-baħar,"" Pleurobrachia, xi kultant għandha korp b'forma ta 'bajd bil-ħalq fit-tarf "&amp;"dejjaq, għalkemm xi individwi huma aktar uniformi tondi. Minn naħat opposti tal-ġisem testendi par ta 'tentakli twal u rqaq, kull wieħed miżmum f'għant li fih jista' jiġi rtirat. Xi speċi ta 'cydippids għandhom korpi li huma ċċattjati għal diversi estensj"&amp;"onijiet, sabiex ikunu usa' fil-pjan tat-tentakli.")</f>
        <v>Ċidippid ctenophores għandhom korpi li huma ftit jew wisq tond, xi kultant kważi sferiċi u drabi oħra aktar ċilindriċi jew forma ta 'bajd; Il-kosta komuni "gooseberry tal-baħar," Pleurobrachia, xi kultant għandha korp b'forma ta 'bajd bil-ħalq fit-tarf dejjaq, għalkemm xi individwi huma aktar uniformi tondi. Minn naħat opposti tal-ġisem testendi par ta 'tentakli twal u rqaq, kull wieħed miżmum f'għant li fih jista' jiġi rtirat. Xi speċi ta 'cydippids għandhom korpi li huma ċċattjati għal diversi estensjonijiet, sabiex ikunu usa' fil-pjan tat-tentakli.</v>
      </c>
    </row>
    <row r="3993" ht="15.75" customHeight="1">
      <c r="A3993" s="2" t="s">
        <v>3993</v>
      </c>
      <c r="B3993" s="2" t="str">
        <f>IFERROR(__xludf.DUMMYFUNCTION("GOOGLETRANSLATE(A3993,""en"", ""mt"")"),"42")</f>
        <v>42</v>
      </c>
    </row>
    <row r="3994" ht="15.75" customHeight="1">
      <c r="A3994" s="2" t="s">
        <v>3994</v>
      </c>
      <c r="B3994" s="2" t="str">
        <f>IFERROR(__xludf.DUMMYFUNCTION("GOOGLETRANSLATE(A3994,""en"", ""mt"")"),"ittawwal uċuħ tal-ħakk tal-valv")</f>
        <v>ittawwal uċuħ tal-ħakk tal-valv</v>
      </c>
    </row>
    <row r="3995" ht="15.75" customHeight="1">
      <c r="A3995" s="2" t="s">
        <v>3995</v>
      </c>
      <c r="B3995" s="2" t="str">
        <f>IFERROR(__xludf.DUMMYFUNCTION("GOOGLETRANSLATE(A3995,""en"", ""mt"")"),"Xi jfisser is-sjieda privata ta 'xi ħaġa?")</f>
        <v>Xi jfisser is-sjieda privata ta 'xi ħaġa?</v>
      </c>
    </row>
    <row r="3996" ht="15.75" customHeight="1">
      <c r="A3996" s="2" t="s">
        <v>3996</v>
      </c>
      <c r="B3996" s="2" t="str">
        <f>IFERROR(__xludf.DUMMYFUNCTION("GOOGLETRANSLATE(A3996,""en"", ""mt"")"),"Min hi l-università akkreditata minnha?")</f>
        <v>Min hi l-università akkreditata minnha?</v>
      </c>
    </row>
    <row r="3997" ht="15.75" customHeight="1">
      <c r="A3997" s="2" t="s">
        <v>3997</v>
      </c>
      <c r="B3997" s="2" t="str">
        <f>IFERROR(__xludf.DUMMYFUNCTION("GOOGLETRANSLATE(A3997,""en"", ""mt"")"),"Min kien Iqbal kritiku?")</f>
        <v>Min kien Iqbal kritiku?</v>
      </c>
    </row>
    <row r="3998" ht="15.75" customHeight="1">
      <c r="A3998" s="2" t="s">
        <v>3998</v>
      </c>
      <c r="B3998" s="2" t="str">
        <f>IFERROR(__xludf.DUMMYFUNCTION("GOOGLETRANSLATE(A3998,""en"", ""mt"")"),"Dubbidjenza Ċivili Rivoluzzjonarja")</f>
        <v>Dubbidjenza Ċivili Rivoluzzjonarja</v>
      </c>
    </row>
    <row r="3999" ht="15.75" customHeight="1">
      <c r="A3999" s="2" t="s">
        <v>3999</v>
      </c>
      <c r="B3999" s="2" t="str">
        <f>IFERROR(__xludf.DUMMYFUNCTION("GOOGLETRANSLATE(A3999,""en"", ""mt"")"),"ministri jew mexxejja tal-partit")</f>
        <v>ministri jew mexxejja tal-partit</v>
      </c>
    </row>
    <row r="4000" ht="15.75" customHeight="1">
      <c r="A4000" s="2" t="s">
        <v>4000</v>
      </c>
      <c r="B4000" s="2" t="str">
        <f>IFERROR(__xludf.DUMMYFUNCTION("GOOGLETRANSLATE(A4000,""en"", ""mt"")"),"riflessiva")</f>
        <v>riflessiva</v>
      </c>
    </row>
    <row r="4001" ht="15.75" customHeight="1">
      <c r="A4001" s="2" t="s">
        <v>4001</v>
      </c>
      <c r="B4001" s="2" t="str">
        <f>IFERROR(__xludf.DUMMYFUNCTION("GOOGLETRANSLATE(A4001,""en"", ""mt"")"),"Kemm għandu rappreżentanti kull elettorat?")</f>
        <v>Kemm għandu rappreżentanti kull elettorat?</v>
      </c>
    </row>
    <row r="4002" ht="15.75" customHeight="1">
      <c r="A4002" s="2" t="s">
        <v>4002</v>
      </c>
      <c r="B4002" s="2" t="str">
        <f>IFERROR(__xludf.DUMMYFUNCTION("GOOGLETRANSLATE(A4002,""en"", ""mt"")"),"Dak li ma jaqax taħt il-qasam tal-analiżi tal-algoritmi&gt;")</f>
        <v>Dak li ma jaqax taħt il-qasam tal-analiżi tal-algoritmi&gt;</v>
      </c>
    </row>
    <row r="4003" ht="15.75" customHeight="1">
      <c r="A4003" s="2" t="s">
        <v>4003</v>
      </c>
      <c r="B4003" s="2" t="str">
        <f>IFERROR(__xludf.DUMMYFUNCTION("GOOGLETRANSLATE(A4003,""en"", ""mt"")"),"Iż-żieda attwali fit-temperatura kienet qrib it-tarf ta 'fuq tal-firxa mogħtija")</f>
        <v>Iż-żieda attwali fit-temperatura kienet qrib it-tarf ta 'fuq tal-firxa mogħtija</v>
      </c>
    </row>
    <row r="4004" ht="15.75" customHeight="1">
      <c r="A4004" s="2" t="s">
        <v>4004</v>
      </c>
      <c r="B4004" s="2" t="str">
        <f>IFERROR(__xludf.DUMMYFUNCTION("GOOGLETRANSLATE(A4004,""en"", ""mt"")"),"L-ACME tal-magna orizzontali kienet il-magna tal-fwar Corliss, brevettata fl-1849, li kienet magna tal-fluss tal-counter b'erba 'valv b'ammissjoni tal-fwar separata u valvi tal-egżost u cutoff tal-fwar varjabbli awtomatiku. Meta Corliss ingħata l-midalja "&amp;"Rumford, il-kumitat qal li ""l-ebda invenzjoni minn żmien Watt tant tejjeb l-effiċjenza tal-magna tal-fwar"". Minbarra li tuża 30% inqas fwar, hija pprovdiet veloċità aktar uniformi minħabba l-fwar varjabbli maqtugħ, li jagħmilha adattata tajjeb għall-man"&amp;"ifattura, speċjalment l-għażil tal-qoton.")</f>
        <v>L-ACME tal-magna orizzontali kienet il-magna tal-fwar Corliss, brevettata fl-1849, li kienet magna tal-fluss tal-counter b'erba 'valv b'ammissjoni tal-fwar separata u valvi tal-egżost u cutoff tal-fwar varjabbli awtomatiku. Meta Corliss ingħata l-midalja Rumford, il-kumitat qal li "l-ebda invenzjoni minn żmien Watt tant tejjeb l-effiċjenza tal-magna tal-fwar". Minbarra li tuża 30% inqas fwar, hija pprovdiet veloċità aktar uniformi minħabba l-fwar varjabbli maqtugħ, li jagħmilha adattata tajjeb għall-manifattura, speċjalment l-għażil tal-qoton.</v>
      </c>
    </row>
    <row r="4005" ht="15.75" customHeight="1">
      <c r="A4005" s="2" t="s">
        <v>4005</v>
      </c>
      <c r="B4005" s="2" t="str">
        <f>IFERROR(__xludf.DUMMYFUNCTION("GOOGLETRANSLATE(A4005,""en"", ""mt"")"),"Kemm għandu parks pubbliċi kbar Fresno?")</f>
        <v>Kemm għandu parks pubbliċi kbar Fresno?</v>
      </c>
    </row>
    <row r="4006" ht="15.75" customHeight="1">
      <c r="A4006" s="2" t="s">
        <v>4006</v>
      </c>
      <c r="B4006" s="2" t="str">
        <f>IFERROR(__xludf.DUMMYFUNCTION("GOOGLETRANSLATE(A4006,""en"", ""mt"")"),"bejn 1.4 u 5.8 ° C")</f>
        <v>bejn 1.4 u 5.8 ° C</v>
      </c>
    </row>
    <row r="4007" ht="15.75" customHeight="1">
      <c r="A4007" s="2" t="s">
        <v>4007</v>
      </c>
      <c r="B4007" s="2" t="str">
        <f>IFERROR(__xludf.DUMMYFUNCTION("GOOGLETRANSLATE(A4007,""en"", ""mt"")"),"F'liema każ kien nazzjonali Olandiż mhux intitolat li jkompli jirċievi benefiċċji meta mar il-Belġju?")</f>
        <v>F'liema każ kien nazzjonali Olandiż mhux intitolat li jkompli jirċievi benefiċċji meta mar il-Belġju?</v>
      </c>
    </row>
    <row r="4008" ht="15.75" customHeight="1">
      <c r="A4008" s="2" t="s">
        <v>4008</v>
      </c>
      <c r="B4008" s="2" t="str">
        <f>IFERROR(__xludf.DUMMYFUNCTION("GOOGLETRANSLATE(A4008,""en"", ""mt"")"),"Ir-riżultat kien wieħed mill-iżviluppi l-aktar sinifikanti f'seklu ta 'kunflitt Anglo-Franċiż. Franza ċediet it-territorju tagħha fil-lvant tal-Mississippi lill-Gran Brittanja. Huwa ċedew il-Louisiana Franċiża fil-punent tax-Xmara Mississippi (inkluż New "&amp;"Orleans) lill-alleat tagħha Spanja, bħala kumpens għat-telfa ta ’Spanja kontra l-Gran Brittanja ta’ Florida (Spanja kienet ċediet dan lill-Gran Brittanja bi skambju għar-ritorn ta ’Havana, Kuba). Il-preżenza kolonjali ta 'Franza fit-tramuntana tal-Karibew"&amp;" tnaqqset għall-gżejjer ta' San Pierre u Miquelon, li kkonfermat il-pożizzjoni tal-Gran Brittanja bħala l-poter kolonjali dominanti fil-Lvant ta 'l-Amerika ta' Fuq.")</f>
        <v>Ir-riżultat kien wieħed mill-iżviluppi l-aktar sinifikanti f'seklu ta 'kunflitt Anglo-Franċiż. Franza ċediet it-territorju tagħha fil-lvant tal-Mississippi lill-Gran Brittanja. Huwa ċedew il-Louisiana Franċiża fil-punent tax-Xmara Mississippi (inkluż New Orleans) lill-alleat tagħha Spanja, bħala kumpens għat-telfa ta ’Spanja kontra l-Gran Brittanja ta’ Florida (Spanja kienet ċediet dan lill-Gran Brittanja bi skambju għar-ritorn ta ’Havana, Kuba). Il-preżenza kolonjali ta 'Franza fit-tramuntana tal-Karibew tnaqqset għall-gżejjer ta' San Pierre u Miquelon, li kkonfermat il-pożizzjoni tal-Gran Brittanja bħala l-poter kolonjali dominanti fil-Lvant ta 'l-Amerika ta' Fuq.</v>
      </c>
    </row>
    <row r="4009" ht="15.75" customHeight="1">
      <c r="A4009" s="2" t="s">
        <v>4009</v>
      </c>
      <c r="B4009" s="2" t="str">
        <f>IFERROR(__xludf.DUMMYFUNCTION("GOOGLETRANSLATE(A4009,""en"", ""mt"")"),"Biex tikkastiga lill-poplu Miami ta 'Pickawillany")</f>
        <v>Biex tikkastiga lill-poplu Miami ta 'Pickawillany</v>
      </c>
    </row>
    <row r="4010" ht="15.75" customHeight="1">
      <c r="A4010" s="2" t="s">
        <v>4010</v>
      </c>
      <c r="B4010" s="2" t="str">
        <f>IFERROR(__xludf.DUMMYFUNCTION("GOOGLETRANSLATE(A4010,""en"", ""mt"")"),"Blat li huma fond fejn huma mġebbda duttili huma wkoll spiss x'inhuma?")</f>
        <v>Blat li huma fond fejn huma mġebbda duttili huma wkoll spiss x'inhuma?</v>
      </c>
    </row>
    <row r="4011" ht="15.75" customHeight="1">
      <c r="A4011" s="2" t="s">
        <v>4011</v>
      </c>
      <c r="B4011" s="2" t="str">
        <f>IFERROR(__xludf.DUMMYFUNCTION("GOOGLETRANSLATE(A4011,""en"", ""mt"")"),"Evidenza jew avvenimenti ġodda sinifikanti li jibdlu l-fehim tagħna tax-xjenza tal-klima")</f>
        <v>Evidenza jew avvenimenti ġodda sinifikanti li jibdlu l-fehim tagħna tax-xjenza tal-klima</v>
      </c>
    </row>
    <row r="4012" ht="15.75" customHeight="1">
      <c r="A4012" s="2" t="s">
        <v>4012</v>
      </c>
      <c r="B4012" s="2" t="str">
        <f>IFERROR(__xludf.DUMMYFUNCTION("GOOGLETRANSLATE(A4012,""en"", ""mt"")"),"Imblokka l-portijiet Franċiżi")</f>
        <v>Imblokka l-portijiet Franċiżi</v>
      </c>
    </row>
    <row r="4013" ht="15.75" customHeight="1">
      <c r="A4013" s="2" t="s">
        <v>4013</v>
      </c>
      <c r="B4013" s="2" t="str">
        <f>IFERROR(__xludf.DUMMYFUNCTION("GOOGLETRANSLATE(A4013,""en"", ""mt"")"),"Liema tweġibiet jipproteġu l-pulmuni billi jeħilsu mekkanikament patoġeni mis-sistema respiratorja?")</f>
        <v>Liema tweġibiet jipproteġu l-pulmuni billi jeħilsu mekkanikament patoġeni mis-sistema respiratorja?</v>
      </c>
    </row>
    <row r="4014" ht="15.75" customHeight="1">
      <c r="A4014" s="2" t="s">
        <v>4014</v>
      </c>
      <c r="B4014" s="2" t="str">
        <f>IFERROR(__xludf.DUMMYFUNCTION("GOOGLETRANSLATE(A4014,""en"", ""mt"")"),"X'inhu meħtieġ li ma jobdix?")</f>
        <v>X'inhu meħtieġ li ma jobdix?</v>
      </c>
    </row>
    <row r="4015" ht="15.75" customHeight="1">
      <c r="A4015" s="2" t="s">
        <v>4015</v>
      </c>
      <c r="B4015" s="2" t="str">
        <f>IFERROR(__xludf.DUMMYFUNCTION("GOOGLETRANSLATE(A4015,""en"", ""mt"")"),"Tekniku tal-ispiżerija fir-Renju Unit huwa meqjus bħala professjonist fil-kura tas-saħħa u ħafna drabi ma jaħdimx taħt is-superviżjoni diretta ta 'spiżjar (jekk impjegat fi spiżerija fl-isptar) iżda minflok huwa sorveljat u mmaniġġjat minn tekniċi anzjani"&amp;" oħra tal-ispiżerija. Fir-Renju Unit ir-rwol ta 'PHT kiber u r-responsabbiltà ġiet mgħoddija lilhom biex jimmaniġġjaw id-dipartiment tal-ispiżerija u oqsma speċjalizzati fil-prattika tal-ispiżerija li jippermettu lill-ispiżjara l-ħin li jispeċjalizzaw fil"&amp;"-qasam espert tagħhom bħala konsulenti tal-medikazzjoni li jqattgħu aktar ħin jaħdmu ma' pazjenti u fi riċerka. Tekniku tal-ispiżerija ladarba jkun ikkwalifikat għandu jirreġistra bħala professjonist fir-reġistru ġenerali tal-Kunsill Farmaċewtiku (GPHC). "&amp;"Il-GPHC huwa l-korp li jiggverna għall-professjonisti tal-kura tas-saħħa tal-ispiżerija u dan huwa min jirregola l-prattika tal-ispiżjara u t-tekniċi tal-ispiżerija.")</f>
        <v>Tekniku tal-ispiżerija fir-Renju Unit huwa meqjus bħala professjonist fil-kura tas-saħħa u ħafna drabi ma jaħdimx taħt is-superviżjoni diretta ta 'spiżjar (jekk impjegat fi spiżerija fl-isptar) iżda minflok huwa sorveljat u mmaniġġjat minn tekniċi anzjani oħra tal-ispiżerija. Fir-Renju Unit ir-rwol ta 'PHT kiber u r-responsabbiltà ġiet mgħoddija lilhom biex jimmaniġġjaw id-dipartiment tal-ispiżerija u oqsma speċjalizzati fil-prattika tal-ispiżerija li jippermettu lill-ispiżjara l-ħin li jispeċjalizzaw fil-qasam espert tagħhom bħala konsulenti tal-medikazzjoni li jqattgħu aktar ħin jaħdmu ma' pazjenti u fi riċerka. Tekniku tal-ispiżerija ladarba jkun ikkwalifikat għandu jirreġistra bħala professjonist fir-reġistru ġenerali tal-Kunsill Farmaċewtiku (GPHC). Il-GPHC huwa l-korp li jiggverna għall-professjonisti tal-kura tas-saħħa tal-ispiżerija u dan huwa min jirregola l-prattika tal-ispiżjara u t-tekniċi tal-ispiżerija.</v>
      </c>
    </row>
    <row r="4016" ht="15.75" customHeight="1">
      <c r="A4016" s="2" t="s">
        <v>4016</v>
      </c>
      <c r="B4016" s="2" t="str">
        <f>IFERROR(__xludf.DUMMYFUNCTION("GOOGLETRANSLATE(A4016,""en"", ""mt"")"),"Liema dizzjunarju fih definizzjoni mhux vjolenti?")</f>
        <v>Liema dizzjunarju fih definizzjoni mhux vjolenti?</v>
      </c>
    </row>
    <row r="4017" ht="15.75" customHeight="1">
      <c r="A4017" s="2" t="s">
        <v>4017</v>
      </c>
      <c r="B4017" s="2" t="str">
        <f>IFERROR(__xludf.DUMMYFUNCTION("GOOGLETRANSLATE(A4017,""en"", ""mt"")"),"Prinċipju lokali-globali")</f>
        <v>Prinċipju lokali-globali</v>
      </c>
    </row>
    <row r="4018" ht="15.75" customHeight="1">
      <c r="A4018" s="2" t="s">
        <v>4018</v>
      </c>
      <c r="B4018" s="2" t="str">
        <f>IFERROR(__xludf.DUMMYFUNCTION("GOOGLETRANSLATE(A4018,""en"", ""mt"")"),"X’għamel ir-re rigward l-edukazzjoni Huguenot?")</f>
        <v>X’għamel ir-re rigward l-edukazzjoni Huguenot?</v>
      </c>
    </row>
    <row r="4019" ht="15.75" customHeight="1">
      <c r="A4019" s="2" t="s">
        <v>4019</v>
      </c>
      <c r="B4019" s="2" t="str">
        <f>IFERROR(__xludf.DUMMYFUNCTION("GOOGLETRANSLATE(A4019,""en"", ""mt"")"),"Dak li jikkorrispondi għas-soluzzjoni tal-problema li timmultiplika tliet numri /")</f>
        <v>Dak li jikkorrispondi għas-soluzzjoni tal-problema li timmultiplika tliet numri /</v>
      </c>
    </row>
    <row r="4020" ht="15.75" customHeight="1">
      <c r="A4020" s="2" t="s">
        <v>4020</v>
      </c>
      <c r="B4020" s="2" t="str">
        <f>IFERROR(__xludf.DUMMYFUNCTION("GOOGLETRANSLATE(A4020,""en"", ""mt"")"),"Inbiddel il-proċess kollu ta 'valutazzjoni tax-xjenza dwar il-klima f'wikipedia-IPCC moderat ""ħaj")</f>
        <v>Inbiddel il-proċess kollu ta 'valutazzjoni tax-xjenza dwar il-klima f'wikipedia-IPCC moderat "ħaj</v>
      </c>
    </row>
    <row r="4021" ht="15.75" customHeight="1">
      <c r="A4021" s="2" t="s">
        <v>4021</v>
      </c>
      <c r="B4021" s="2" t="str">
        <f>IFERROR(__xludf.DUMMYFUNCTION("GOOGLETRANSLATE(A4021,""en"", ""mt"")"),"Bl-istess mod, mhux magħruf jekk L (is-sett tal-problemi kollha li jistgħu jiġu solvuti fl-ispazju logaritmiku) jinsab strettament f'P jew daqs P. ugwali għal P., hemm ħafna klassijiet ta 'kumplessità bejn it-tnejn, bħal NL u NC, u Mhux magħruf jekk humie"&amp;"x klassijiet distinti jew ugwali.")</f>
        <v>Bl-istess mod, mhux magħruf jekk L (is-sett tal-problemi kollha li jistgħu jiġu solvuti fl-ispazju logaritmiku) jinsab strettament f'P jew daqs P. ugwali għal P., hemm ħafna klassijiet ta 'kumplessità bejn it-tnejn, bħal NL u NC, u Mhux magħruf jekk humiex klassijiet distinti jew ugwali.</v>
      </c>
    </row>
    <row r="4022" ht="15.75" customHeight="1">
      <c r="A4022" s="2" t="s">
        <v>4022</v>
      </c>
      <c r="B4022" s="2" t="str">
        <f>IFERROR(__xludf.DUMMYFUNCTION("GOOGLETRANSLATE(A4022,""en"", ""mt"")"),"kastig")</f>
        <v>kastig</v>
      </c>
    </row>
    <row r="4023" ht="15.75" customHeight="1">
      <c r="A4023" s="2" t="s">
        <v>4023</v>
      </c>
      <c r="B4023" s="2" t="str">
        <f>IFERROR(__xludf.DUMMYFUNCTION("GOOGLETRANSLATE(A4023,""en"", ""mt"")"),"Merit Network, Inc., korporazzjoni indipendenti bla skop ta 'qligħ 501 (c) (3) regolata mill-universitajiet pubbliċi ta' Michigan, ġiet iffurmata fl-1966 bħala l-informazzjoni dwar ir-riċerka edukattiva ta 'Michigan biex tesplora netwerking tal-kompjuter "&amp;"bejn tlieta mill-universitajiet pubbliċi ta' Michigan bħala mezz għal tgħin l-iżvilupp edukattiv u ekonomiku tal-istat. Bl-appoġġ inizjali mill-Istat ta 'Michigan u l-Fondazzjoni Nazzjonali tax-Xjenza (NSF), in-netwerk li jinxtegħel il-pakketti l-ewwel in"&amp;"twera f'Diċembru 1971 meta sar konnessjoni interattiva għall-ospitanti bejn is-sistemi tal-kompjuter IBM Mainframe fl-Università ta' Michigan f'Ann f'Ann Arbor u Wayne State University f'Detroit. F’Ottubru 1972 il-konnessjonijiet mal-mainframe CDC fil-Mic"&amp;"higan State University fil-East Lansing temmew it-Triad. Matul id-diversi snin li ġejjin minbarra l-ospitanti biex jospitaw konnessjonijiet interattivi n-netwerk kien imsaħħaħ biex jappoġġja t-terminal għal konnessjonijiet ospitanti, ospitanti għal konnes"&amp;"sjonijiet tal-lott ospitanti (sottomissjoni ta 'impjiegi remoti, stampar mill-bogħod, trasferiment ta' fajls tal-lott), trasferiment ta 'fajl interattiv, gateways għat-Tymnet u Networks tad-Dejta Pubblika tat-Telenet, X.25 Attachments ospitanti, Gateways "&amp;"għal X.25 Networks tad-Dejta, Ethernet Hosts mehmuża, u eventwalment TCP / IP u universitajiet pubbliċi addizzjonali fil-Michigan jingħaqdu man-netwerk. Dan kollu stabbilixxa l-istadju għar-rwol ta 'Merit fil-proġett NSFNET li jibda f'nofs is-snin 1980.")</f>
        <v>Merit Network, Inc., korporazzjoni indipendenti bla skop ta 'qligħ 501 (c) (3) regolata mill-universitajiet pubbliċi ta' Michigan, ġiet iffurmata fl-1966 bħala l-informazzjoni dwar ir-riċerka edukattiva ta 'Michigan biex tesplora netwerking tal-kompjuter bejn tlieta mill-universitajiet pubbliċi ta' Michigan bħala mezz għal tgħin l-iżvilupp edukattiv u ekonomiku tal-istat. Bl-appoġġ inizjali mill-Istat ta 'Michigan u l-Fondazzjoni Nazzjonali tax-Xjenza (NSF), in-netwerk li jinxtegħel il-pakketti l-ewwel intwera f'Diċembru 1971 meta sar konnessjoni interattiva għall-ospitanti bejn is-sistemi tal-kompjuter IBM Mainframe fl-Università ta' Michigan f'Ann f'Ann Arbor u Wayne State University f'Detroit. F’Ottubru 1972 il-konnessjonijiet mal-mainframe CDC fil-Michigan State University fil-East Lansing temmew it-Triad. Matul id-diversi snin li ġejjin minbarra l-ospitanti biex jospitaw konnessjonijiet interattivi n-netwerk kien imsaħħaħ biex jappoġġja t-terminal għal konnessjonijiet ospitanti, ospitanti għal konnessjonijiet tal-lott ospitanti (sottomissjoni ta 'impjiegi remoti, stampar mill-bogħod, trasferiment ta' fajls tal-lott), trasferiment ta 'fajl interattiv, gateways għat-Tymnet u Networks tad-Dejta Pubblika tat-Telenet, X.25 Attachments ospitanti, Gateways għal X.25 Networks tad-Dejta, Ethernet Hosts mehmuża, u eventwalment TCP / IP u universitajiet pubbliċi addizzjonali fil-Michigan jingħaqdu man-netwerk. Dan kollu stabbilixxa l-istadju għar-rwol ta 'Merit fil-proġett NSFNET li jibda f'nofs is-snin 1980.</v>
      </c>
    </row>
    <row r="4024" ht="15.75" customHeight="1">
      <c r="A4024" s="2" t="s">
        <v>4024</v>
      </c>
      <c r="B4024" s="2" t="str">
        <f>IFERROR(__xludf.DUMMYFUNCTION("GOOGLETRANSLATE(A4024,""en"", ""mt"")"),"L-iskejjel privati, magħrufa wkoll bħala skejjel indipendenti, skejjel mhux governattivi, jew mhux statali, mhumiex amministrati minn gvernijiet lokali, statali jew nazzjonali; Għalhekk, huma jżommu d-dritt li jagħżlu l-istudenti tagħhom u huma ffinanzjat"&amp;"i kollha jew parzjalment billi jiċċarġjaw l-istudenti tagħhom, aktar milli jiddependu fuq tassazzjoni obbligatorja permezz ta 'finanzjament pubbliku (gvern); F’xi skejjel privati ​​l-istudenti jistgħu jkunu jistgħu jiksbu borża ta ’studju, li tagħmel l-is"&amp;"piża irħas, skont it-talent li l-istudent jista’ jkollu (per eżempju borża sportiva, borża ta ’studju tal-arti, borża ta’ studju akkademiku), ħtieġa finanzjarja, jew boroż ta ’kreditu tat-taxxa li jistgħu jkunu disponibbli Jonqos")</f>
        <v>L-iskejjel privati, magħrufa wkoll bħala skejjel indipendenti, skejjel mhux governattivi, jew mhux statali, mhumiex amministrati minn gvernijiet lokali, statali jew nazzjonali; Għalhekk, huma jżommu d-dritt li jagħżlu l-istudenti tagħhom u huma ffinanzjati kollha jew parzjalment billi jiċċarġjaw l-istudenti tagħhom, aktar milli jiddependu fuq tassazzjoni obbligatorja permezz ta 'finanzjament pubbliku (gvern); F’xi skejjel privati ​​l-istudenti jistgħu jkunu jistgħu jiksbu borża ta ’studju, li tagħmel l-ispiża irħas, skont it-talent li l-istudent jista’ jkollu (per eżempju borża sportiva, borża ta ’studju tal-arti, borża ta’ studju akkademiku), ħtieġa finanzjarja, jew boroż ta ’kreditu tat-taxxa li jistgħu jkunu disponibbli Jonqos</v>
      </c>
    </row>
    <row r="4025" ht="15.75" customHeight="1">
      <c r="A4025" s="2" t="s">
        <v>4025</v>
      </c>
      <c r="B4025" s="2" t="str">
        <f>IFERROR(__xludf.DUMMYFUNCTION("GOOGLETRANSLATE(A4025,""en"", ""mt"")"),"Il-Ħamas kompla jkun attur ewlieni fil-Palestina. Mill-2000 sal-2007 qatel 542 persuna f'140 bombi suwiċida jew ""operazzjonijiet ta 'martirju"". Fl-elezzjoni leġiżlattiva ta 'Jannar 2006 - l-ewwel inkwiet tagħha fil-proċess politiku - rebaħ il-maġġoranza"&amp;" tas-siġġijiet, u fl-2007 huwa mexxa l-PLO barra minn Gaża. Il-Ħamas ġie mfaħħar mill-Musulmani talli jsuq lil Iżrael barra mill-istrixxa ta 'Gaża, iżda kkritika għan-nuqqas li jinkisbu t-talbiet tiegħu fil-gwerer ta' Gaża 2008-9 u 2014 minkejja qerda qaw"&amp;"wija u telf sinifikanti ta 'ħajja.")</f>
        <v>Il-Ħamas kompla jkun attur ewlieni fil-Palestina. Mill-2000 sal-2007 qatel 542 persuna f'140 bombi suwiċida jew "operazzjonijiet ta 'martirju". Fl-elezzjoni leġiżlattiva ta 'Jannar 2006 - l-ewwel inkwiet tagħha fil-proċess politiku - rebaħ il-maġġoranza tas-siġġijiet, u fl-2007 huwa mexxa l-PLO barra minn Gaża. Il-Ħamas ġie mfaħħar mill-Musulmani talli jsuq lil Iżrael barra mill-istrixxa ta 'Gaża, iżda kkritika għan-nuqqas li jinkisbu t-talbiet tiegħu fil-gwerer ta' Gaża 2008-9 u 2014 minkejja qerda qawwija u telf sinifikanti ta 'ħajja.</v>
      </c>
    </row>
    <row r="4026" ht="15.75" customHeight="1">
      <c r="A4026" s="2" t="s">
        <v>4026</v>
      </c>
      <c r="B4026" s="2" t="str">
        <f>IFERROR(__xludf.DUMMYFUNCTION("GOOGLETRANSLATE(A4026,""en"", ""mt"")"),"L-U.S.")</f>
        <v>L-U.S.</v>
      </c>
    </row>
    <row r="4027" ht="15.75" customHeight="1">
      <c r="A4027" s="2" t="s">
        <v>4027</v>
      </c>
      <c r="B4027" s="2" t="str">
        <f>IFERROR(__xludf.DUMMYFUNCTION("GOOGLETRANSLATE(A4027,""en"", ""mt"")"),"Rebeljonijiet Huguenot")</f>
        <v>Rebeljonijiet Huguenot</v>
      </c>
    </row>
    <row r="4028" ht="15.75" customHeight="1">
      <c r="A4028" s="2" t="s">
        <v>4028</v>
      </c>
      <c r="B4028" s="2" t="str">
        <f>IFERROR(__xludf.DUMMYFUNCTION("GOOGLETRANSLATE(A4028,""en"", ""mt"")"),"1950s sas-snin sebgħin")</f>
        <v>1950s sas-snin sebgħin</v>
      </c>
    </row>
    <row r="4029" ht="15.75" customHeight="1">
      <c r="A4029" s="2" t="s">
        <v>4029</v>
      </c>
      <c r="B4029" s="2" t="str">
        <f>IFERROR(__xludf.DUMMYFUNCTION("GOOGLETRANSLATE(A4029,""en"", ""mt"")"),"Belt tal-Ubii")</f>
        <v>Belt tal-Ubii</v>
      </c>
    </row>
    <row r="4030" ht="15.75" customHeight="1">
      <c r="A4030" s="2" t="s">
        <v>4030</v>
      </c>
      <c r="B4030" s="2" t="str">
        <f>IFERROR(__xludf.DUMMYFUNCTION("GOOGLETRANSLATE(A4030,""en"", ""mt"")"),"Amerikan t'Isfel")</f>
        <v>Amerikan t'Isfel</v>
      </c>
    </row>
    <row r="4031" ht="15.75" customHeight="1">
      <c r="A4031" s="2" t="s">
        <v>4031</v>
      </c>
      <c r="B4031" s="2" t="str">
        <f>IFERROR(__xludf.DUMMYFUNCTION("GOOGLETRANSLATE(A4031,""en"", ""mt"")"),"Matul il-moviment tal-edukazzjoni tal-iskola sekondarja mill-1910–1940, kien hemm żieda fil-ħaddiema tas-sengħa, li wasslet għal tnaqqis fil-prezz tax-xogħol tas-sengħa. L-edukazzjoni tal-iskola għolja matul il-perjodu kienet iddisinjata biex tgħammar lil"&amp;"l-istudenti b'settijiet ta 'ħiliet meħtieġa biex ikunu jistgħu jwettqu fuq ix-xogħol. Fil-fatt, hija differenti mill-edukazzjoni preżenti tal-iskola sekondarja, li hija meqjusa bħala stepping-stone biex takkwista kulleġġ u gradi avvanzati. Dan it-tnaqqis "&amp;"fil-pagi kkawża perjodu ta 'kompressjoni u tnaqqis fl-inugwaljanza bejn ħaddiema tas-sengħa u dawk mhux kwalifikati. L-edukazzjoni hija importanti ħafna għat-tkabbir tal-ekonomija, madankollu l-inugwaljanza edukattiva fil-ġeneru tinfluwenza wkoll lejn l-e"&amp;"konomija. LagerLof u Galor iddikjaraw li l-inugwaljanza bejn is-sessi fl-edukazzjoni tista 'tirriżulta għal tkabbir ekonomiku baxx, u kontinwa l-inugwaljanza bejn is-sessi fl-edukazzjoni, u b'hekk toħloq nassa tal-faqar. Huwa ssuġġerit li vojt kbir fl-edu"&amp;"kazzjoni maskili u femminili jista 'jindika ritard u għalhekk jista' jkun assoċjat ma 'tkabbir ekonomiku aktar baxx, li jista' jispjega għaliex hemm inugwaljanza ekonomika bejn il-pajjiżi.")</f>
        <v>Matul il-moviment tal-edukazzjoni tal-iskola sekondarja mill-1910–1940, kien hemm żieda fil-ħaddiema tas-sengħa, li wasslet għal tnaqqis fil-prezz tax-xogħol tas-sengħa. L-edukazzjoni tal-iskola għolja matul il-perjodu kienet iddisinjata biex tgħammar lill-istudenti b'settijiet ta 'ħiliet meħtieġa biex ikunu jistgħu jwettqu fuq ix-xogħol. Fil-fatt, hija differenti mill-edukazzjoni preżenti tal-iskola sekondarja, li hija meqjusa bħala stepping-stone biex takkwista kulleġġ u gradi avvanzati. Dan it-tnaqqis fil-pagi kkawża perjodu ta 'kompressjoni u tnaqqis fl-inugwaljanza bejn ħaddiema tas-sengħa u dawk mhux kwalifikati. L-edukazzjoni hija importanti ħafna għat-tkabbir tal-ekonomija, madankollu l-inugwaljanza edukattiva fil-ġeneru tinfluwenza wkoll lejn l-ekonomija. LagerLof u Galor iddikjaraw li l-inugwaljanza bejn is-sessi fl-edukazzjoni tista 'tirriżulta għal tkabbir ekonomiku baxx, u kontinwa l-inugwaljanza bejn is-sessi fl-edukazzjoni, u b'hekk toħloq nassa tal-faqar. Huwa ssuġġerit li vojt kbir fl-edukazzjoni maskili u femminili jista 'jindika ritard u għalhekk jista' jkun assoċjat ma 'tkabbir ekonomiku aktar baxx, li jista' jispjega għaliex hemm inugwaljanza ekonomika bejn il-pajjiżi.</v>
      </c>
    </row>
    <row r="4032" ht="15.75" customHeight="1">
      <c r="A4032" s="2" t="s">
        <v>4032</v>
      </c>
      <c r="B4032" s="2" t="str">
        <f>IFERROR(__xludf.DUMMYFUNCTION("GOOGLETRANSLATE(A4032,""en"", ""mt"")"),"Montcalm jaljena")</f>
        <v>Montcalm jaljena</v>
      </c>
    </row>
    <row r="4033" ht="15.75" customHeight="1">
      <c r="A4033" s="2" t="s">
        <v>4033</v>
      </c>
      <c r="B4033" s="2" t="str">
        <f>IFERROR(__xludf.DUMMYFUNCTION("GOOGLETRANSLATE(A4033,""en"", ""mt"")"),"Agħżel l-istudenti tagħhom")</f>
        <v>Agħżel l-istudenti tagħhom</v>
      </c>
    </row>
    <row r="4034" ht="15.75" customHeight="1">
      <c r="A4034" s="2" t="s">
        <v>4034</v>
      </c>
      <c r="B4034" s="2" t="str">
        <f>IFERROR(__xludf.DUMMYFUNCTION("GOOGLETRANSLATE(A4034,""en"", ""mt"")"),"Riċerka mill-ekonomista ta 'Harvard Robert Barro, sabet li hemm ""ftit relazzjoni ġenerali bejn l-inugwaljanza tad-dħul u r-rati ta' tkabbir u investiment"". Skond ix-xogħol minn Barro fl-1999 u l-2000, livelli għoljin ta 'inugwaljanza jnaqqsu t-tkabbir f"&amp;"'pajjiżi relattivament foqra iżda jinkoraġġixxu t-tkabbir f'pajjiżi aktar sinjuri. Studju tal-kontej Żvediżi bejn l-1960 u l-2000 sab impatt pożittiv ta 'inugwaljanza fuq it-tkabbir b'ħinijiet ta' ċomb ta 'ħames snin jew inqas, iżda l-ebda korrelazzjoni w"&amp;"ara għaxar snin. Studji ta 'settijiet ta' dejta akbar ma sabu l-ebda korrelazzjoni għal kwalunkwe ħin ta 'ċomb fiss, u impatt negattiv fuq it-tul tat-tkabbir.")</f>
        <v>Riċerka mill-ekonomista ta 'Harvard Robert Barro, sabet li hemm "ftit relazzjoni ġenerali bejn l-inugwaljanza tad-dħul u r-rati ta' tkabbir u investiment". Skond ix-xogħol minn Barro fl-1999 u l-2000, livelli għoljin ta 'inugwaljanza jnaqqsu t-tkabbir f'pajjiżi relattivament foqra iżda jinkoraġġixxu t-tkabbir f'pajjiżi aktar sinjuri. Studju tal-kontej Żvediżi bejn l-1960 u l-2000 sab impatt pożittiv ta 'inugwaljanza fuq it-tkabbir b'ħinijiet ta' ċomb ta 'ħames snin jew inqas, iżda l-ebda korrelazzjoni wara għaxar snin. Studji ta 'settijiet ta' dejta akbar ma sabu l-ebda korrelazzjoni għal kwalunkwe ħin ta 'ċomb fiss, u impatt negattiv fuq it-tul tat-tkabbir.</v>
      </c>
    </row>
    <row r="4035" ht="15.75" customHeight="1">
      <c r="A4035" s="2" t="s">
        <v>4035</v>
      </c>
      <c r="B4035" s="2" t="str">
        <f>IFERROR(__xludf.DUMMYFUNCTION("GOOGLETRANSLATE(A4035,""en"", ""mt"")"),"l-iktar rigoruż, intens")</f>
        <v>l-iktar rigoruż, intens</v>
      </c>
    </row>
    <row r="4036" ht="15.75" customHeight="1">
      <c r="A4036" s="2" t="s">
        <v>4036</v>
      </c>
      <c r="B4036" s="2" t="str">
        <f>IFERROR(__xludf.DUMMYFUNCTION("GOOGLETRANSLATE(A4036,""en"", ""mt"")"),"Id-definizzjonijiet ta '8 u 10-kontea ma jintużawx għall-akbar Megaregion tan-Nofsinhar ta' California, waħda mill-11-il megaregion ta 'l-Istati Uniti. Iż-żona tal-Megaregion hija aktar espansiva, li testendi l-lvant f'Las Vegas, Nevada, u fin-nofsinhar m"&amp;"adwar il-fruntiera Messikana f'Tijuana.")</f>
        <v>Id-definizzjonijiet ta '8 u 10-kontea ma jintużawx għall-akbar Megaregion tan-Nofsinhar ta' California, waħda mill-11-il megaregion ta 'l-Istati Uniti. Iż-żona tal-Megaregion hija aktar espansiva, li testendi l-lvant f'Las Vegas, Nevada, u fin-nofsinhar madwar il-fruntiera Messikana f'Tijuana.</v>
      </c>
    </row>
    <row r="4037" ht="15.75" customHeight="1">
      <c r="A4037" s="2" t="s">
        <v>4037</v>
      </c>
      <c r="B4037" s="2" t="str">
        <f>IFERROR(__xludf.DUMMYFUNCTION("GOOGLETRANSLATE(A4037,""en"", ""mt"")"),"Southern California")</f>
        <v>Southern California</v>
      </c>
    </row>
    <row r="4038" ht="15.75" customHeight="1">
      <c r="A4038" s="2" t="s">
        <v>4038</v>
      </c>
      <c r="B4038" s="2" t="str">
        <f>IFERROR(__xludf.DUMMYFUNCTION("GOOGLETRANSLATE(A4038,""en"", ""mt"")"),"imċaħħad milli jaqla 'daqs kemm kienu mod ieħor")</f>
        <v>imċaħħad milli jaqla 'daqs kemm kienu mod ieħor</v>
      </c>
    </row>
    <row r="4039" ht="15.75" customHeight="1">
      <c r="A4039" s="2" t="s">
        <v>4039</v>
      </c>
      <c r="B4039" s="2" t="str">
        <f>IFERROR(__xludf.DUMMYFUNCTION("GOOGLETRANSLATE(A4039,""en"", ""mt"")"),"Kolonizzanti")</f>
        <v>Kolonizzanti</v>
      </c>
    </row>
    <row r="4040" ht="15.75" customHeight="1">
      <c r="A4040" s="2" t="s">
        <v>4040</v>
      </c>
      <c r="B4040" s="2" t="str">
        <f>IFERROR(__xludf.DUMMYFUNCTION("GOOGLETRANSLATE(A4040,""en"", ""mt"")"),"Ctenophora")</f>
        <v>Ctenophora</v>
      </c>
    </row>
    <row r="4041" ht="15.75" customHeight="1">
      <c r="A4041" s="2" t="s">
        <v>4041</v>
      </c>
      <c r="B4041" s="2" t="str">
        <f>IFERROR(__xludf.DUMMYFUNCTION("GOOGLETRANSLATE(A4041,""en"", ""mt"")"),"Drittijiet tal-liċenzja tal-minjieri")</f>
        <v>Drittijiet tal-liċenzja tal-minjieri</v>
      </c>
    </row>
    <row r="4042" ht="15.75" customHeight="1">
      <c r="A4042" s="2" t="s">
        <v>4042</v>
      </c>
      <c r="B4042" s="2" t="str">
        <f>IFERROR(__xludf.DUMMYFUNCTION("GOOGLETRANSLATE(A4042,""en"", ""mt"")"),"X'jagħmlu livelli għoljin ta 'inugwaljanza għat-tkabbir ekonomiku f'pajjiżi aktar sinjuri?")</f>
        <v>X'jagħmlu livelli għoljin ta 'inugwaljanza għat-tkabbir ekonomiku f'pajjiżi aktar sinjuri?</v>
      </c>
    </row>
    <row r="4043" ht="15.75" customHeight="1">
      <c r="A4043" s="2" t="s">
        <v>4043</v>
      </c>
      <c r="B4043" s="2" t="str">
        <f>IFERROR(__xludf.DUMMYFUNCTION("GOOGLETRANSLATE(A4043,""en"", ""mt"")"),"Strettament min kien inkluż fid-DataNet 1")</f>
        <v>Strettament min kien inkluż fid-DataNet 1</v>
      </c>
    </row>
    <row r="4044" ht="15.75" customHeight="1">
      <c r="A4044" s="2" t="s">
        <v>4044</v>
      </c>
      <c r="B4044" s="2" t="str">
        <f>IFERROR(__xludf.DUMMYFUNCTION("GOOGLETRANSLATE(A4044,""en"", ""mt"")"),"Erbgħa")</f>
        <v>Erbgħa</v>
      </c>
    </row>
    <row r="4045" ht="15.75" customHeight="1">
      <c r="A4045" s="2" t="s">
        <v>4045</v>
      </c>
      <c r="B4045" s="2" t="str">
        <f>IFERROR(__xludf.DUMMYFUNCTION("GOOGLETRANSLATE(A4045,""en"", ""mt"")"),"ditti involuti fil-ġestjoni ta 'proġetti ta' kostruzzjoni mingħajr ma jassumu responsabbiltà finanzjarja diretta għat-tlestija tal-proġett ta 'kostruzzjoni")</f>
        <v>ditti involuti fil-ġestjoni ta 'proġetti ta' kostruzzjoni mingħajr ma jassumu responsabbiltà finanzjarja diretta għat-tlestija tal-proġett ta 'kostruzzjoni</v>
      </c>
    </row>
    <row r="4046" ht="15.75" customHeight="1">
      <c r="A4046" s="2" t="s">
        <v>4046</v>
      </c>
      <c r="B4046" s="2" t="str">
        <f>IFERROR(__xludf.DUMMYFUNCTION("GOOGLETRANSLATE(A4046,""en"", ""mt"")"),"Att tal-Iskozja 1998")</f>
        <v>Att tal-Iskozja 1998</v>
      </c>
    </row>
    <row r="4047" ht="15.75" customHeight="1">
      <c r="A4047" s="2" t="s">
        <v>4047</v>
      </c>
      <c r="B4047" s="2" t="str">
        <f>IFERROR(__xludf.DUMMYFUNCTION("GOOGLETRANSLATE(A4047,""en"", ""mt"")"),"Iċ-Ċirmish tal-Knisja tal-Brick")</f>
        <v>Iċ-Ċirmish tal-Knisja tal-Brick</v>
      </c>
    </row>
    <row r="4048" ht="15.75" customHeight="1">
      <c r="A4048" s="2" t="s">
        <v>4048</v>
      </c>
      <c r="B4048" s="2" t="str">
        <f>IFERROR(__xludf.DUMMYFUNCTION("GOOGLETRANSLATE(A4048,""en"", ""mt"")"),"Min sfrutta l-Gran Brittanja fl-Indja?")</f>
        <v>Min sfrutta l-Gran Brittanja fl-Indja?</v>
      </c>
    </row>
    <row r="4049" ht="15.75" customHeight="1">
      <c r="A4049" s="2" t="s">
        <v>4049</v>
      </c>
      <c r="B4049" s="2" t="str">
        <f>IFERROR(__xludf.DUMMYFUNCTION("GOOGLETRANSLATE(A4049,""en"", ""mt"")"),"Liema entitajiet kellhom jiżviluppaw prinċipji ddedikati għar-riżoluzzjoni tal-kunflitti bejn liġijiet ta 'sistemi differenti?")</f>
        <v>Liema entitajiet kellhom jiżviluppaw prinċipji ddedikati għar-riżoluzzjoni tal-kunflitti bejn liġijiet ta 'sistemi differenti?</v>
      </c>
    </row>
    <row r="4050" ht="15.75" customHeight="1">
      <c r="A4050" s="2" t="s">
        <v>4050</v>
      </c>
      <c r="B4050" s="2" t="str">
        <f>IFERROR(__xludf.DUMMYFUNCTION("GOOGLETRANSLATE(A4050,""en"", ""mt"")"),"L-Iżvezja v. Ir-Russja u l-Alleati")</f>
        <v>L-Iżvezja v. Ir-Russja u l-Alleati</v>
      </c>
    </row>
    <row r="4051" ht="15.75" customHeight="1">
      <c r="A4051" s="2" t="s">
        <v>4051</v>
      </c>
      <c r="B4051" s="2" t="str">
        <f>IFERROR(__xludf.DUMMYFUNCTION("GOOGLETRANSLATE(A4051,""en"", ""mt"")"),"fokus politiku")</f>
        <v>fokus politiku</v>
      </c>
    </row>
    <row r="4052" ht="15.75" customHeight="1">
      <c r="A4052" s="2" t="s">
        <v>4052</v>
      </c>
      <c r="B4052" s="2" t="str">
        <f>IFERROR(__xludf.DUMMYFUNCTION("GOOGLETRANSLATE(A4052,""en"", ""mt"")"),"kodifikazzjoni tal-input")</f>
        <v>kodifikazzjoni tal-input</v>
      </c>
    </row>
    <row r="4053" ht="15.75" customHeight="1">
      <c r="A4053" s="2" t="s">
        <v>4053</v>
      </c>
      <c r="B4053" s="2" t="str">
        <f>IFERROR(__xludf.DUMMYFUNCTION("GOOGLETRANSLATE(A4053,""en"", ""mt"")"),"indaqs il-ġisem")</f>
        <v>indaqs il-ġisem</v>
      </c>
    </row>
    <row r="4054" ht="15.75" customHeight="1">
      <c r="A4054" s="2" t="s">
        <v>4054</v>
      </c>
      <c r="B4054" s="2" t="str">
        <f>IFERROR(__xludf.DUMMYFUNCTION("GOOGLETRANSLATE(A4054,""en"", ""mt"")"),"Ċelloli tal-qattiel naturali, jew ċelloli NK, huma komponent tas-sistema immuni innata li ma tattakkax direttament il-mikrobi li jinvadu. Anzi, iċ-ċelloli NK jeqirdu ċelloli ospitanti kompromessi, bħal ċelloli tat-tumur jew ċelloli infettati bil-virus, li"&amp;" jirrikonoxxu ċelloli bħal dawn b'kundizzjoni magħrufa bħala ""self nieqes."" Dan it-terminu jiddeskrivi ċelloli b'livelli baxxi ta 'markatur tal-wiċċ taċ-ċellula msejjaħ MHC I (kumpless maġġuri ta' istokompatibilità) - sitwazzjoni li tista 'tinqala' f'in"&amp;"fezzjonijiet virali taċ-ċelloli ospitanti. Huma ġew imsemmija ""Killer Naturali"" minħabba l-kunċett inizjali li ma jeħtiġux attivazzjoni sabiex joqtlu ċelloli li huma ""nieqsa minn rashom."" Għal ħafna snin ma kienx ċar kif iċ-ċelloli NK jirrikonoxxu ċel"&amp;"loli tat-tumur u ċelloli infettati. Issa huwa magħruf li l-għamla MHC fuq il-wiċċ ta 'dawk iċ-ċelloli hija mibdula u ċ-ċelloli NK isiru attivati ​​permezz tar-rikonoxximent ta' ""self nieqes"". Iċ-ċelloli normali tal-ġisem mhumiex rikonoxxuti u attakkati "&amp;"minn ċelloli NK minħabba li jesprimu antiġeni ta 'awto MHC intatti. Dawk l-antiġeni MHC huma rikonoxxuti minn riċetturi ta 'immunoglobulina taċ-ċelloli qattiel (KIR) li essenzjalment ipoġġu l-brejkijiet fuq iċ-ċelloli NK.")</f>
        <v>Ċelloli tal-qattiel naturali, jew ċelloli NK, huma komponent tas-sistema immuni innata li ma tattakkax direttament il-mikrobi li jinvadu. Anzi, iċ-ċelloli NK jeqirdu ċelloli ospitanti kompromessi, bħal ċelloli tat-tumur jew ċelloli infettati bil-virus, li jirrikonoxxu ċelloli bħal dawn b'kundizzjoni magħrufa bħala "self nieqes." Dan it-terminu jiddeskrivi ċelloli b'livelli baxxi ta 'markatur tal-wiċċ taċ-ċellula msejjaħ MHC I (kumpless maġġuri ta' istokompatibilità) - sitwazzjoni li tista 'tinqala' f'infezzjonijiet virali taċ-ċelloli ospitanti. Huma ġew imsemmija "Killer Naturali" minħabba l-kunċett inizjali li ma jeħtiġux attivazzjoni sabiex joqtlu ċelloli li huma "nieqsa minn rashom." Għal ħafna snin ma kienx ċar kif iċ-ċelloli NK jirrikonoxxu ċelloli tat-tumur u ċelloli infettati. Issa huwa magħruf li l-għamla MHC fuq il-wiċċ ta 'dawk iċ-ċelloli hija mibdula u ċ-ċelloli NK isiru attivati ​​permezz tar-rikonoxximent ta' "self nieqes". Iċ-ċelloli normali tal-ġisem mhumiex rikonoxxuti u attakkati minn ċelloli NK minħabba li jesprimu antiġeni ta 'awto MHC intatti. Dawk l-antiġeni MHC huma rikonoxxuti minn riċetturi ta 'immunoglobulina taċ-ċelloli qattiel (KIR) li essenzjalment ipoġġu l-brejkijiet fuq iċ-ċelloli NK.</v>
      </c>
    </row>
    <row r="4055" ht="15.75" customHeight="1">
      <c r="A4055" s="2" t="s">
        <v>4055</v>
      </c>
      <c r="B4055" s="2" t="str">
        <f>IFERROR(__xludf.DUMMYFUNCTION("GOOGLETRANSLATE(A4055,""en"", ""mt"")"),"bi ħlas għal kull unità ta 'informazzjoni trażmessa, bħal karattri, pakketti, jew messaġġi")</f>
        <v>bi ħlas għal kull unità ta 'informazzjoni trażmessa, bħal karattri, pakketti, jew messaġġi</v>
      </c>
    </row>
    <row r="4056" ht="15.75" customHeight="1">
      <c r="A4056" s="2" t="s">
        <v>4056</v>
      </c>
      <c r="B4056" s="2" t="str">
        <f>IFERROR(__xludf.DUMMYFUNCTION("GOOGLETRANSLATE(A4056,""en"", ""mt"")"),"Fil-Ġappun, fi tmiem il-perjodu ta 'Asuka (538-710) u l-perjodu NARA bikri (710-794), l-irġiel li ssodisfaw ir-rwoli simili għal dawk tal-ispiżjara moderni kienu rispettati ħafna. Il-post tal-ispiżjara fis-soċjetà ġie definit espressament fil-kodiċi Taihō"&amp;" (701) u ddikjarat mill-ġdid fil-kodiċi Yōrō (718). Ġew stabbiliti pożizzjonijiet ikklassifikati fil-qorti imperjali ta 'qabel il-Heian; u din l-istruttura organizzattiva baqgħet fil-biċċa l-kbira intatta sal-Meiji Restawr (1868). F'din il-ġerarkija stabb"&amp;"li ħafna, l-ispiżjara - u anke l-assistenti tal-ispiżjar - ġew assenjati status superjuri għall-oħrajn kollha f'oqsma relatati mas-saħħa bħal tobba u acupuncturists. Fid-dar Imperjali, l-ispiżjar kien saħansitra kklassifikat 'il fuq miż-żewġ tobba persona"&amp;"li tal-Imperatur.")</f>
        <v>Fil-Ġappun, fi tmiem il-perjodu ta 'Asuka (538-710) u l-perjodu NARA bikri (710-794), l-irġiel li ssodisfaw ir-rwoli simili għal dawk tal-ispiżjara moderni kienu rispettati ħafna. Il-post tal-ispiżjara fis-soċjetà ġie definit espressament fil-kodiċi Taihō (701) u ddikjarat mill-ġdid fil-kodiċi Yōrō (718). Ġew stabbiliti pożizzjonijiet ikklassifikati fil-qorti imperjali ta 'qabel il-Heian; u din l-istruttura organizzattiva baqgħet fil-biċċa l-kbira intatta sal-Meiji Restawr (1868). F'din il-ġerarkija stabbli ħafna, l-ispiżjara - u anke l-assistenti tal-ispiżjar - ġew assenjati status superjuri għall-oħrajn kollha f'oqsma relatati mas-saħħa bħal tobba u acupuncturists. Fid-dar Imperjali, l-ispiżjar kien saħansitra kklassifikat 'il fuq miż-żewġ tobba personali tal-Imperatur.</v>
      </c>
    </row>
    <row r="4057" ht="15.75" customHeight="1">
      <c r="A4057" s="2" t="s">
        <v>4057</v>
      </c>
      <c r="B4057" s="2" t="str">
        <f>IFERROR(__xludf.DUMMYFUNCTION("GOOGLETRANSLATE(A4057,""en"", ""mt"")"),"2 Differenzi Beten X.25 u Arpnet Cita Technologies")</f>
        <v>2 Differenzi Beten X.25 u Arpnet Cita Technologies</v>
      </c>
    </row>
    <row r="4058" ht="15.75" customHeight="1">
      <c r="A4058" s="2" t="s">
        <v>4058</v>
      </c>
      <c r="B4058" s="2" t="str">
        <f>IFERROR(__xludf.DUMMYFUNCTION("GOOGLETRANSLATE(A4058,""en"", ""mt"")"),"L-università qablet li tagħti grad lil xi gradwat ta 'schoos affiljat li għamel?")</f>
        <v>L-università qablet li tagħti grad lil xi gradwat ta 'schoos affiljat li għamel?</v>
      </c>
    </row>
    <row r="4059" ht="15.75" customHeight="1">
      <c r="A4059" s="2" t="s">
        <v>4059</v>
      </c>
      <c r="B4059" s="2" t="str">
        <f>IFERROR(__xludf.DUMMYFUNCTION("GOOGLETRANSLATE(A4059,""en"", ""mt"")"),"madwar 1820")</f>
        <v>madwar 1820</v>
      </c>
    </row>
    <row r="4060" ht="15.75" customHeight="1">
      <c r="A4060" s="2" t="s">
        <v>4060</v>
      </c>
      <c r="B4060" s="2" t="str">
        <f>IFERROR(__xludf.DUMMYFUNCTION("GOOGLETRANSLATE(A4060,""en"", ""mt"")"),"Pistun reċiproku")</f>
        <v>Pistun reċiproku</v>
      </c>
    </row>
    <row r="4061" ht="15.75" customHeight="1">
      <c r="A4061" s="2" t="s">
        <v>4061</v>
      </c>
      <c r="B4061" s="2" t="str">
        <f>IFERROR(__xludf.DUMMYFUNCTION("GOOGLETRANSLATE(A4061,""en"", ""mt"")"),"Kif kien imsejjaħ il-perjodu li kien 505 miljun sena ilu?")</f>
        <v>Kif kien imsejjaħ il-perjodu li kien 505 miljun sena ilu?</v>
      </c>
    </row>
    <row r="4062" ht="15.75" customHeight="1">
      <c r="A4062" s="2" t="s">
        <v>4062</v>
      </c>
      <c r="B4062" s="2" t="str">
        <f>IFERROR(__xludf.DUMMYFUNCTION("GOOGLETRANSLATE(A4062,""en"", ""mt"")"),"Minn xiex hija magħmula l-leġiżlatur tal-Unjoni Ewropea?")</f>
        <v>Minn xiex hija magħmula l-leġiżlatur tal-Unjoni Ewropea?</v>
      </c>
    </row>
    <row r="4063" ht="15.75" customHeight="1">
      <c r="A4063" s="2" t="s">
        <v>4063</v>
      </c>
      <c r="B4063" s="2" t="str">
        <f>IFERROR(__xludf.DUMMYFUNCTION("GOOGLETRANSLATE(A4063,""en"", ""mt"")"),"Ir-relay tal-qafas intuża biex jgħaqqad LANs madwar netwerks ta 'żona wiesgħa. Madankollu, x.25 u kif ukoll ir-relay tal-qafas ġew sostitwiti")</f>
        <v>Ir-relay tal-qafas intuża biex jgħaqqad LANs madwar netwerks ta 'żona wiesgħa. Madankollu, x.25 u kif ukoll ir-relay tal-qafas ġew sostitwiti</v>
      </c>
    </row>
    <row r="4064" ht="15.75" customHeight="1">
      <c r="A4064" s="2" t="s">
        <v>4064</v>
      </c>
      <c r="B4064" s="2" t="str">
        <f>IFERROR(__xludf.DUMMYFUNCTION("GOOGLETRANSLATE(A4064,""en"", ""mt"")"),"It-Torri Magdalen ta 'Oxford")</f>
        <v>It-Torri Magdalen ta 'Oxford</v>
      </c>
    </row>
    <row r="4065" ht="15.75" customHeight="1">
      <c r="A4065" s="2" t="s">
        <v>4065</v>
      </c>
      <c r="B4065" s="2" t="str">
        <f>IFERROR(__xludf.DUMMYFUNCTION("GOOGLETRANSLATE(A4065,""en"", ""mt"")"),"Wied tard-glaċjali")</f>
        <v>Wied tard-glaċjali</v>
      </c>
    </row>
    <row r="4066" ht="15.75" customHeight="1">
      <c r="A4066" s="2" t="s">
        <v>4066</v>
      </c>
      <c r="B4066" s="2" t="str">
        <f>IFERROR(__xludf.DUMMYFUNCTION("GOOGLETRANSLATE(A4066,""en"", ""mt"")"),"Kuntratt ta '""Disinn Ibni""")</f>
        <v>Kuntratt ta '"Disinn Ibni"</v>
      </c>
    </row>
    <row r="4067" ht="15.75" customHeight="1">
      <c r="A4067" s="2" t="s">
        <v>4067</v>
      </c>
      <c r="B4067" s="2" t="str">
        <f>IFERROR(__xludf.DUMMYFUNCTION("GOOGLETRANSLATE(A4067,""en"", ""mt"")"),"pittura, matematika, kaligrafija, poeżija, u teatru")</f>
        <v>pittura, matematika, kaligrafija, poeżija, u teatru</v>
      </c>
    </row>
    <row r="4068" ht="15.75" customHeight="1">
      <c r="A4068" s="2" t="s">
        <v>4068</v>
      </c>
      <c r="B4068" s="2" t="str">
        <f>IFERROR(__xludf.DUMMYFUNCTION("GOOGLETRANSLATE(A4068,""en"", ""mt"")"),"Numru Prim")</f>
        <v>Numru Prim</v>
      </c>
    </row>
    <row r="4069" ht="15.75" customHeight="1">
      <c r="A4069" s="2" t="s">
        <v>4069</v>
      </c>
      <c r="B4069" s="2" t="str">
        <f>IFERROR(__xludf.DUMMYFUNCTION("GOOGLETRANSLATE(A4069,""en"", ""mt"")"),"biex iwaqqfu fond ta 'assigurazzjoni għall-impjegati biex jitolbu pagi mhux imħallsa jekk min iħaddem ikun marret għall-insolventi, kif kienet meħtieġa d-direttiva tal-protezzjoni ta' l-insolvenza")</f>
        <v>biex iwaqqfu fond ta 'assigurazzjoni għall-impjegati biex jitolbu pagi mhux imħallsa jekk min iħaddem ikun marret għall-insolventi, kif kienet meħtieġa d-direttiva tal-protezzjoni ta' l-insolvenza</v>
      </c>
    </row>
    <row r="4070" ht="15.75" customHeight="1">
      <c r="A4070" s="2" t="s">
        <v>4070</v>
      </c>
      <c r="B4070" s="2" t="str">
        <f>IFERROR(__xludf.DUMMYFUNCTION("GOOGLETRANSLATE(A4070,""en"", ""mt"")"),"X'implikazzjoni tista 'tiġi derivata għal P u NP jekk P u CO-NP huma stabbiliti li mhumiex ugwali?")</f>
        <v>X'implikazzjoni tista 'tiġi derivata għal P u NP jekk P u CO-NP huma stabbiliti li mhumiex ugwali?</v>
      </c>
    </row>
    <row r="4071" ht="15.75" customHeight="1">
      <c r="A4071" s="2" t="s">
        <v>4071</v>
      </c>
      <c r="B4071" s="2" t="str">
        <f>IFERROR(__xludf.DUMMYFUNCTION("GOOGLETRANSLATE(A4071,""en"", ""mt"")"),"Meta l-blat jingħalaq fil-fond fl-art jista 'jintewa wieħed minn żewġ modi, meta jegħleb' il fuq joħloq x'inhu?")</f>
        <v>Meta l-blat jingħalaq fil-fond fl-art jista 'jintewa wieħed minn żewġ modi, meta jegħleb' il fuq joħloq x'inhu?</v>
      </c>
    </row>
    <row r="4072" ht="15.75" customHeight="1">
      <c r="A4072" s="2" t="s">
        <v>4072</v>
      </c>
      <c r="B4072" s="2" t="str">
        <f>IFERROR(__xludf.DUMMYFUNCTION("GOOGLETRANSLATE(A4072,""en"", ""mt"")"),"Magni ta 'aċċess każwali")</f>
        <v>Magni ta 'aċċess każwali</v>
      </c>
    </row>
    <row r="4073" ht="15.75" customHeight="1">
      <c r="A4073" s="2" t="s">
        <v>4073</v>
      </c>
      <c r="B4073" s="2" t="str">
        <f>IFERROR(__xludf.DUMMYFUNCTION("GOOGLETRANSLATE(A4073,""en"", ""mt"")"),"Minħabba l-fatt li l-burokrazija kienet iddominata minn El Temür, Tugh Temür huwa magħruf għall-kontribut kulturali tiegħu minflok. Huwa adotta bosta miżuri li jonoraw il-Confucianism u jippromwovu l-valuri kulturali Ċiniżi. L-isforz l-iktar konkret tiegħ"&amp;"u biex jippresonizza t-tagħlim Ċiniż kien li jwaqqaf l-Akkademja tal-Padiljun tal-Istilla tal-Letteratura (Ċiniż: 奎章閣學士院), l-ewwel stabbilit fir-rebbiegħa tal-1329 u ddisinjat biex iwettaq ""numru ta 'kompiti relatati mat-trasmissjoni ta 'kultura għolja C"&amp;"onfucian għall-istabbiliment imperjali Mongoljan "". L-akkademja kienet responsabbli biex tiġbor u tippubblika numru ta 'kotba, iżda l-iktar kisba importanti tagħha kienet il-kumpilazzjoni tagħha ta' kompendju istituzzjonali vast bl-isem ta 'Jingshi Dadia"&amp;"n (Ċiniż: 經世 經世 大典 大典 大典 經世 經世 經世 經世 經世 經世Tugh Temür appoġġa n-neo-konfuċjaniżmu ta 'Zhu Xi u ddedika ruħu wkoll fil-Buddiżmu.")</f>
        <v>Minħabba l-fatt li l-burokrazija kienet iddominata minn El Temür, Tugh Temür huwa magħruf għall-kontribut kulturali tiegħu minflok. Huwa adotta bosta miżuri li jonoraw il-Confucianism u jippromwovu l-valuri kulturali Ċiniżi. L-isforz l-iktar konkret tiegħu biex jippresonizza t-tagħlim Ċiniż kien li jwaqqaf l-Akkademja tal-Padiljun tal-Istilla tal-Letteratura (Ċiniż: 奎章閣學士院), l-ewwel stabbilit fir-rebbiegħa tal-1329 u ddisinjat biex iwettaq "numru ta 'kompiti relatati mat-trasmissjoni ta 'kultura għolja Confucian għall-istabbiliment imperjali Mongoljan ". L-akkademja kienet responsabbli biex tiġbor u tippubblika numru ta 'kotba, iżda l-iktar kisba importanti tagħha kienet il-kumpilazzjoni tagħha ta' kompendju istituzzjonali vast bl-isem ta 'Jingshi Dadian (Ċiniż: 經世 經世 大典 大典 大典 經世 經世 經世 經世 經世 經世Tugh Temür appoġġa n-neo-konfuċjaniżmu ta 'Zhu Xi u ddedika ruħu wkoll fil-Buddiżmu.</v>
      </c>
    </row>
    <row r="4074" ht="15.75" customHeight="1">
      <c r="A4074" s="2" t="s">
        <v>4074</v>
      </c>
      <c r="B4074" s="2" t="str">
        <f>IFERROR(__xludf.DUMMYFUNCTION("GOOGLETRANSLATE(A4074,""en"", ""mt"")"),"Il-Liao, Jin, u l-kanzunetta")</f>
        <v>Il-Liao, Jin, u l-kanzunetta</v>
      </c>
    </row>
    <row r="4075" ht="15.75" customHeight="1">
      <c r="A4075" s="2" t="s">
        <v>4075</v>
      </c>
      <c r="B4075" s="2" t="str">
        <f>IFERROR(__xludf.DUMMYFUNCTION("GOOGLETRANSLATE(A4075,""en"", ""mt"")"),"Li tieħu xhieda minn xhieda hija waħda mill-kumitati?")</f>
        <v>Li tieħu xhieda minn xhieda hija waħda mill-kumitati?</v>
      </c>
    </row>
    <row r="4076" ht="15.75" customHeight="1">
      <c r="A4076" s="2" t="s">
        <v>4076</v>
      </c>
      <c r="B4076" s="2" t="str">
        <f>IFERROR(__xludf.DUMMYFUNCTION("GOOGLETRANSLATE(A4076,""en"", ""mt"")"),"Beta tħassir (ta 'newtroni fin-nuklei atomiċi)")</f>
        <v>Beta tħassir (ta 'newtroni fin-nuklei atomiċi)</v>
      </c>
    </row>
    <row r="4077" ht="15.75" customHeight="1">
      <c r="A4077" s="2" t="s">
        <v>4077</v>
      </c>
      <c r="B4077" s="2" t="str">
        <f>IFERROR(__xludf.DUMMYFUNCTION("GOOGLETRANSLATE(A4077,""en"", ""mt"")"),"Il-Gżejjer Channel")</f>
        <v>Il-Gżejjer Channel</v>
      </c>
    </row>
    <row r="4078" ht="15.75" customHeight="1">
      <c r="A4078" s="2" t="s">
        <v>4078</v>
      </c>
      <c r="B4078" s="2" t="str">
        <f>IFERROR(__xludf.DUMMYFUNCTION("GOOGLETRANSLATE(A4078,""en"", ""mt"")"),"F'liema sena kien hemm 5751 Filippini f'Jacksonville")</f>
        <v>F'liema sena kien hemm 5751 Filippini f'Jacksonville</v>
      </c>
    </row>
    <row r="4079" ht="15.75" customHeight="1">
      <c r="A4079" s="2" t="s">
        <v>4079</v>
      </c>
      <c r="B4079" s="2" t="str">
        <f>IFERROR(__xludf.DUMMYFUNCTION("GOOGLETRANSLATE(A4079,""en"", ""mt"")"),"Jacksonville hija l-iktar belt popolata fi Florida, u t-tnax-il belt l-iktar popolata fl-Istati Uniti. Mill-2010 [aġġornament], kien hemm 821.784 persuna u 366,273 djar fil-belt. Jacksonville għandu l-għaxar l-akbar popolazzjoni Għarbija tal-pajjiż, b'pop"&amp;"olazzjoni totali ta '5,751 skond iċ-Ċensiment ta' l-Istati Uniti ta 'l-2000. Jacksonville għandu l-akbar komunità Amerikana Filippina ta 'Florida, b'25,033 fiż-żona metropolitana miċ-ċensiment tal-2010. Ħafna mill-komunità Filippina ta 'Jacksonville serva"&amp;" jew għandha rabtiet man-Navy ta' l-Istati Uniti.")</f>
        <v>Jacksonville hija l-iktar belt popolata fi Florida, u t-tnax-il belt l-iktar popolata fl-Istati Uniti. Mill-2010 [aġġornament], kien hemm 821.784 persuna u 366,273 djar fil-belt. Jacksonville għandu l-għaxar l-akbar popolazzjoni Għarbija tal-pajjiż, b'popolazzjoni totali ta '5,751 skond iċ-Ċensiment ta' l-Istati Uniti ta 'l-2000. Jacksonville għandu l-akbar komunità Amerikana Filippina ta 'Florida, b'25,033 fiż-żona metropolitana miċ-ċensiment tal-2010. Ħafna mill-komunità Filippina ta 'Jacksonville serva jew għandha rabtiet man-Navy ta' l-Istati Uniti.</v>
      </c>
    </row>
    <row r="4080" ht="15.75" customHeight="1">
      <c r="A4080" s="2" t="s">
        <v>4080</v>
      </c>
      <c r="B4080" s="2" t="str">
        <f>IFERROR(__xludf.DUMMYFUNCTION("GOOGLETRANSLATE(A4080,""en"", ""mt"")"),"Nazzjonijiet magħquda")</f>
        <v>Nazzjonijiet magħquda</v>
      </c>
    </row>
    <row r="4081" ht="15.75" customHeight="1">
      <c r="A4081" s="2" t="s">
        <v>4081</v>
      </c>
      <c r="B4081" s="2" t="str">
        <f>IFERROR(__xludf.DUMMYFUNCTION("GOOGLETRANSLATE(A4081,""en"", ""mt"")"),"In-Nofsinhar tal-Kalifornja tikkonsisti f'ambjent urban żviluppat ħafna, id-dar għal uħud mill-ikbar żoni urbani fl-istat, flimkien ma 'żoni vasti li tħallew mhux żviluppati. Hija t-tielet l-iktar megalopoli popolata fl-Istati Uniti, wara l-Great Lakes Me"&amp;"galopolis u l-Megalopolis tal-Grigal. Ħafna min-Nofsinhar ta 'California huwa famuż għall-komunitajiet kbar, mifruxa, suburbani u l-użu ta' karozzi u awtostradi. Iż-żoni dominanti huma Los Angeles, Orange County, San Diego, u Riverside-San Bernardino, li "&amp;"kull wieħed minnhom huwa ċ-ċentru taż-żona metropolitana rispettiva tagħha, magħmul minn bosta bliet u komunitajiet iżgħar. Iż-żona urbana hija wkoll ospitanti għal reġjun metropolitana internazzjonali fil-forma ta 'San Diego-Tijuana, maħluqa miż-żona urb"&amp;"ana li tinfirex f'Baja California.")</f>
        <v>In-Nofsinhar tal-Kalifornja tikkonsisti f'ambjent urban żviluppat ħafna, id-dar għal uħud mill-ikbar żoni urbani fl-istat, flimkien ma 'żoni vasti li tħallew mhux żviluppati. Hija t-tielet l-iktar megalopoli popolata fl-Istati Uniti, wara l-Great Lakes Megalopolis u l-Megalopolis tal-Grigal. Ħafna min-Nofsinhar ta 'California huwa famuż għall-komunitajiet kbar, mifruxa, suburbani u l-użu ta' karozzi u awtostradi. Iż-żoni dominanti huma Los Angeles, Orange County, San Diego, u Riverside-San Bernardino, li kull wieħed minnhom huwa ċ-ċentru taż-żona metropolitana rispettiva tagħha, magħmul minn bosta bliet u komunitajiet iżgħar. Iż-żona urbana hija wkoll ospitanti għal reġjun metropolitana internazzjonali fil-forma ta 'San Diego-Tijuana, maħluqa miż-żona urbana li tinfirex f'Baja California.</v>
      </c>
    </row>
    <row r="4082" ht="15.75" customHeight="1">
      <c r="A4082" s="2" t="s">
        <v>4082</v>
      </c>
      <c r="B4082" s="2" t="str">
        <f>IFERROR(__xludf.DUMMYFUNCTION("GOOGLETRANSLATE(A4082,""en"", ""mt"")"),"Liema postijiet oħra tista 'tinstab l-Iskola tan-Negozju tal-Booth?")</f>
        <v>Liema postijiet oħra tista 'tinstab l-Iskola tan-Negozju tal-Booth?</v>
      </c>
    </row>
    <row r="4083" ht="15.75" customHeight="1">
      <c r="A4083" s="2" t="s">
        <v>4083</v>
      </c>
      <c r="B4083" s="2" t="str">
        <f>IFERROR(__xludf.DUMMYFUNCTION("GOOGLETRANSLATE(A4083,""en"", ""mt"")"),"Ħdejn il-postijiet attwali tagħhom")</f>
        <v>Ħdejn il-postijiet attwali tagħhom</v>
      </c>
    </row>
    <row r="4084" ht="15.75" customHeight="1">
      <c r="A4084" s="2" t="s">
        <v>4084</v>
      </c>
      <c r="B4084" s="2" t="str">
        <f>IFERROR(__xludf.DUMMYFUNCTION("GOOGLETRANSLATE(A4084,""en"", ""mt"")"),"jaqbeż kwalunkwe numru partikolari")</f>
        <v>jaqbeż kwalunkwe numru partikolari</v>
      </c>
    </row>
    <row r="4085" ht="15.75" customHeight="1">
      <c r="A4085" s="2" t="s">
        <v>4085</v>
      </c>
      <c r="B4085" s="2" t="str">
        <f>IFERROR(__xludf.DUMMYFUNCTION("GOOGLETRANSLATE(A4085,""en"", ""mt"")"),"X'inhu eżempju ta 'problema li għaliha l-algoritmi effettivi pprovdew soluzzjoni minkejja l-intrattabilità assoċjata mal-wisa' tad-daqsijiet?")</f>
        <v>X'inhu eżempju ta 'problema li għaliha l-algoritmi effettivi pprovdew soluzzjoni minkejja l-intrattabilità assoċjata mal-wisa' tad-daqsijiet?</v>
      </c>
    </row>
    <row r="4086" ht="15.75" customHeight="1">
      <c r="A4086" s="2" t="s">
        <v>4086</v>
      </c>
      <c r="B4086" s="2" t="str">
        <f>IFERROR(__xludf.DUMMYFUNCTION("GOOGLETRANSLATE(A4086,""en"", ""mt"")"),"L-Imperu Ottoman kien stat imperjali li dam mill-1299 sal-1923. Matul is-sekli 16 u 17, b'mod partikolari fl-eqqel tal-poter tiegħu taħt ir-renju ta 'Suleiman l-magnífico, l-imperu Ottoman kien multinazzjonali qawwi, imperu multilingwi li jikkontrolla ħaf"&amp;"na L-Ewropa tax-Xlokk, l-Asja tal-Punent, il-Kawkasu, l-Afrika ta ’Fuq, u l-Qarn tal-Afrika. Fil-bidu tas-seklu 17 l-imperu kien fih 32 provinċja u bosta stati vassali. Xi wħud minn dawn aktar tard ġew assorbiti fl-imperu, filwaqt li oħrajn ingħataw diver"&amp;"si tipi ta ’awtonomija matul il-kors tas-sekli.")</f>
        <v>L-Imperu Ottoman kien stat imperjali li dam mill-1299 sal-1923. Matul is-sekli 16 u 17, b'mod partikolari fl-eqqel tal-poter tiegħu taħt ir-renju ta 'Suleiman l-magnífico, l-imperu Ottoman kien multinazzjonali qawwi, imperu multilingwi li jikkontrolla ħafna L-Ewropa tax-Xlokk, l-Asja tal-Punent, il-Kawkasu, l-Afrika ta ’Fuq, u l-Qarn tal-Afrika. Fil-bidu tas-seklu 17 l-imperu kien fih 32 provinċja u bosta stati vassali. Xi wħud minn dawn aktar tard ġew assorbiti fl-imperu, filwaqt li oħrajn ingħataw diversi tipi ta ’awtonomija matul il-kors tas-sekli.</v>
      </c>
    </row>
    <row r="4087" ht="15.75" customHeight="1">
      <c r="A4087" s="2" t="s">
        <v>4087</v>
      </c>
      <c r="B4087" s="2" t="str">
        <f>IFERROR(__xludf.DUMMYFUNCTION("GOOGLETRANSLATE(A4087,""en"", ""mt"")"),"Iż-żona ta 'San Bernardino-Riverside żżomm id-distretti tan-negozju ta' Downtown San Bernardino, Business / Ċentru Finanzjarju tal-Ospitalità, belt universitarja li jinsabu f'San Bernardino u fil-belt ta 'Riverside.")</f>
        <v>Iż-żona ta 'San Bernardino-Riverside żżomm id-distretti tan-negozju ta' Downtown San Bernardino, Business / Ċentru Finanzjarju tal-Ospitalità, belt universitarja li jinsabu f'San Bernardino u fil-belt ta 'Riverside.</v>
      </c>
    </row>
    <row r="4088" ht="15.75" customHeight="1">
      <c r="A4088" s="2" t="s">
        <v>4088</v>
      </c>
      <c r="B4088" s="2" t="str">
        <f>IFERROR(__xludf.DUMMYFUNCTION("GOOGLETRANSLATE(A4088,""en"", ""mt"")"),"Avveniment ewlieni fid-dinja Musulmana Għarbija")</f>
        <v>Avveniment ewlieni fid-dinja Musulmana Għarbija</v>
      </c>
    </row>
    <row r="4089" ht="15.75" customHeight="1">
      <c r="A4089" s="2" t="s">
        <v>4089</v>
      </c>
      <c r="B4089" s="2" t="str">
        <f>IFERROR(__xludf.DUMMYFUNCTION("GOOGLETRANSLATE(A4089,""en"", ""mt"")"),"Tabib tal-Ispiżerija (Pharm. D.)")</f>
        <v>Tabib tal-Ispiżerija (Pharm. D.)</v>
      </c>
    </row>
    <row r="4090" ht="15.75" customHeight="1">
      <c r="A4090" s="2" t="s">
        <v>4090</v>
      </c>
      <c r="B4090" s="2" t="str">
        <f>IFERROR(__xludf.DUMMYFUNCTION("GOOGLETRANSLATE(A4090,""en"", ""mt"")"),"Kummissjoni v Awstrija")</f>
        <v>Kummissjoni v Awstrija</v>
      </c>
    </row>
    <row r="4091" ht="15.75" customHeight="1">
      <c r="A4091" s="2" t="s">
        <v>4091</v>
      </c>
      <c r="B4091" s="2" t="str">
        <f>IFERROR(__xludf.DUMMYFUNCTION("GOOGLETRANSLATE(A4091,""en"", ""mt"")"),"It-Trattat tal-1997 ta ’Amsterdam")</f>
        <v>It-Trattat tal-1997 ta ’Amsterdam</v>
      </c>
    </row>
    <row r="4092" ht="15.75" customHeight="1">
      <c r="A4092" s="2" t="s">
        <v>4092</v>
      </c>
      <c r="B4092" s="2" t="str">
        <f>IFERROR(__xludf.DUMMYFUNCTION("GOOGLETRANSLATE(A4092,""en"", ""mt"")"),"X'tip ta 'kumpanija hija Sky UK Limited?")</f>
        <v>X'tip ta 'kumpanija hija Sky UK Limited?</v>
      </c>
    </row>
    <row r="4093" ht="15.75" customHeight="1">
      <c r="A4093" s="2" t="s">
        <v>4093</v>
      </c>
      <c r="B4093" s="2" t="str">
        <f>IFERROR(__xludf.DUMMYFUNCTION("GOOGLETRANSLATE(A4093,""en"", ""mt"")"),"Liema strument jintuża biex jeżamina l-prestazzjoni tal-magna tal-fwar?")</f>
        <v>Liema strument jintuża biex jeżamina l-prestazzjoni tal-magna tal-fwar?</v>
      </c>
    </row>
    <row r="4094" ht="15.75" customHeight="1">
      <c r="A4094" s="2" t="s">
        <v>4094</v>
      </c>
      <c r="B4094" s="2" t="str">
        <f>IFERROR(__xludf.DUMMYFUNCTION("GOOGLETRANSLATE(A4094,""en"", ""mt"")"),"Wieħed mill-ewwel esperimenti magħrufa dwar ir-relazzjoni bejn il-kombustjoni u l-arja sar mill-kittieb Grieg tat-2 seklu BCE fuq il-mekkanika, Philo of Bizantium. Fix-xogħol tiegħu pneumatica, Philo osserva li tbiddel bastiment fuq xemgħa li tinħaraq u l"&amp;"i jdawwar l-għonq tal-bastiment bl-ilma rriżulta f'xi ilma li jitla 'fl-għonq. Philo sssumi b'mod żbaljat li partijiet ta 'l-arja fil-bastiment ġew konvertiti fin-nar tal-element klassiku u b'hekk setgħu jaħarbu minn pori fil-ħġieġ. Ħafna sekli wara Leona"&amp;"rdo da Vinci bena fuq ix-xogħol ta 'Philo billi osserva li porzjon ta' l-arja jiġi kkunsmat waqt il-kombustjoni u r-respirazzjoni.")</f>
        <v>Wieħed mill-ewwel esperimenti magħrufa dwar ir-relazzjoni bejn il-kombustjoni u l-arja sar mill-kittieb Grieg tat-2 seklu BCE fuq il-mekkanika, Philo of Bizantium. Fix-xogħol tiegħu pneumatica, Philo osserva li tbiddel bastiment fuq xemgħa li tinħaraq u li jdawwar l-għonq tal-bastiment bl-ilma rriżulta f'xi ilma li jitla 'fl-għonq. Philo sssumi b'mod żbaljat li partijiet ta 'l-arja fil-bastiment ġew konvertiti fin-nar tal-element klassiku u b'hekk setgħu jaħarbu minn pori fil-ħġieġ. Ħafna sekli wara Leonardo da Vinci bena fuq ix-xogħol ta 'Philo billi osserva li porzjon ta' l-arja jiġi kkunsmat waqt il-kombustjoni u r-respirazzjoni.</v>
      </c>
    </row>
    <row r="4095" ht="15.75" customHeight="1">
      <c r="A4095" s="2" t="s">
        <v>4095</v>
      </c>
      <c r="B4095" s="2" t="str">
        <f>IFERROR(__xludf.DUMMYFUNCTION("GOOGLETRANSLATE(A4095,""en"", ""mt"")"),"X'għandhom l-ispeċi kollha tal-platycenida kollha ħlief waħda?")</f>
        <v>X'għandhom l-ispeċi kollha tal-platycenida kollha ħlief waħda?</v>
      </c>
    </row>
    <row r="4096" ht="15.75" customHeight="1">
      <c r="A4096" s="2" t="s">
        <v>4096</v>
      </c>
      <c r="B4096" s="2" t="str">
        <f>IFERROR(__xludf.DUMMYFUNCTION("GOOGLETRANSLATE(A4096,""en"", ""mt"")"),"Il-kuntratti għandhom ikunu ddisinjati biex jiżguraw x'inhu?")</f>
        <v>Il-kuntratti għandhom ikunu ddisinjati biex jiżguraw x'inhu?</v>
      </c>
    </row>
    <row r="4097" ht="15.75" customHeight="1">
      <c r="A4097" s="2" t="s">
        <v>4097</v>
      </c>
      <c r="B4097" s="2" t="str">
        <f>IFERROR(__xludf.DUMMYFUNCTION("GOOGLETRANSLATE(A4097,""en"", ""mt"")"),"Ħafna mistoqsijiet rigward in-numri ewlenin jibqgħu miftuħa, bħall-konġettura ta 'Goldbach (li kull numru sħiħ akbar minn 2 jistgħu jiġu espressi bħala s-somma ta' żewġ primes), u l-konġettura ġemellata primarja (li hemm infinitament ħafna pari ta 'primes"&amp;" li d-differenza tagħhom hija 2) Jonqos Tali mistoqsijiet xprunaw l-iżvilupp ta 'diversi fergħat tat-teorija tan-numri, li jiffokaw fuq aspetti analitiċi jew alġebriċi tan-numri. Il-primes jintużaw f'diversi rutini fit-teknoloġija tal-informazzjoni, bħal "&amp;"kriptografija taċ-ċavetta pubblika, li tagħmel użu minn proprjetajiet bħad-diffikultà ta 'fattur ta' numru kbir fil-fatturi ewlenin tagħhom. In-numri ewlenin iwasslu għal diversi ġeneralizzazzjonijiet f'oqsma matematiċi oħra, prinċipalment alġebra, bħal e"&amp;"lementi ewlenin u ideali ewlenin.")</f>
        <v>Ħafna mistoqsijiet rigward in-numri ewlenin jibqgħu miftuħa, bħall-konġettura ta 'Goldbach (li kull numru sħiħ akbar minn 2 jistgħu jiġu espressi bħala s-somma ta' żewġ primes), u l-konġettura ġemellata primarja (li hemm infinitament ħafna pari ta 'primes li d-differenza tagħhom hija 2) Jonqos Tali mistoqsijiet xprunaw l-iżvilupp ta 'diversi fergħat tat-teorija tan-numri, li jiffokaw fuq aspetti analitiċi jew alġebriċi tan-numri. Il-primes jintużaw f'diversi rutini fit-teknoloġija tal-informazzjoni, bħal kriptografija taċ-ċavetta pubblika, li tagħmel użu minn proprjetajiet bħad-diffikultà ta 'fattur ta' numru kbir fil-fatturi ewlenin tagħhom. In-numri ewlenin iwasslu għal diversi ġeneralizzazzjonijiet f'oqsma matematiċi oħra, prinċipalment alġebra, bħal elementi ewlenin u ideali ewlenin.</v>
      </c>
    </row>
    <row r="4098" ht="15.75" customHeight="1">
      <c r="A4098" s="2" t="s">
        <v>4098</v>
      </c>
      <c r="B4098" s="2" t="str">
        <f>IFERROR(__xludf.DUMMYFUNCTION("GOOGLETRANSLATE(A4098,""en"", ""mt"")"),"numru sħiħ arbitrarji")</f>
        <v>numru sħiħ arbitrarji</v>
      </c>
    </row>
    <row r="4099" ht="15.75" customHeight="1">
      <c r="A4099" s="2" t="s">
        <v>4099</v>
      </c>
      <c r="B4099" s="2" t="str">
        <f>IFERROR(__xludf.DUMMYFUNCTION("GOOGLETRANSLATE(A4099,""en"", ""mt"")"),"Agrikoltura u Silvikultura")</f>
        <v>Agrikoltura u Silvikultura</v>
      </c>
    </row>
    <row r="4100" ht="15.75" customHeight="1">
      <c r="A4100" s="2" t="s">
        <v>4100</v>
      </c>
      <c r="B4100" s="2" t="str">
        <f>IFERROR(__xludf.DUMMYFUNCTION("GOOGLETRANSLATE(A4100,""en"", ""mt"")"),"""Kumitat tal-Konċiljazzjoni""")</f>
        <v>"Kumitat tal-Konċiljazzjoni"</v>
      </c>
    </row>
    <row r="4101" ht="15.75" customHeight="1">
      <c r="A4101" s="2" t="s">
        <v>4101</v>
      </c>
      <c r="B4101" s="2" t="str">
        <f>IFERROR(__xludf.DUMMYFUNCTION("GOOGLETRANSLATE(A4101,""en"", ""mt"")"),"Operazzjonijiet orjentati lejn il-konnessjoni")</f>
        <v>Operazzjonijiet orjentati lejn il-konnessjoni</v>
      </c>
    </row>
    <row r="4102" ht="15.75" customHeight="1">
      <c r="A4102" s="2" t="s">
        <v>4102</v>
      </c>
      <c r="B4102" s="2" t="str">
        <f>IFERROR(__xludf.DUMMYFUNCTION("GOOGLETRANSLATE(A4102,""en"", ""mt"")"),"Proġetti ta 'żvilupp fuq skala kbira")</f>
        <v>Proġetti ta 'żvilupp fuq skala kbira</v>
      </c>
    </row>
    <row r="4103" ht="15.75" customHeight="1">
      <c r="A4103" s="2" t="s">
        <v>4103</v>
      </c>
      <c r="B4103" s="2" t="str">
        <f>IFERROR(__xludf.DUMMYFUNCTION("GOOGLETRANSLATE(A4103,""en"", ""mt"")"),"X'inhu, aktar milli l-Iżlamiżmu, teħtieġ spjegazzjoni?")</f>
        <v>X'inhu, aktar milli l-Iżlamiżmu, teħtieġ spjegazzjoni?</v>
      </c>
    </row>
    <row r="4104" ht="15.75" customHeight="1">
      <c r="A4104" s="2" t="s">
        <v>4104</v>
      </c>
      <c r="B4104" s="2" t="str">
        <f>IFERROR(__xludf.DUMMYFUNCTION("GOOGLETRANSLATE(A4104,""en"", ""mt"")"),"Qerda ta 'Iżrael")</f>
        <v>Qerda ta 'Iżrael</v>
      </c>
    </row>
    <row r="4105" ht="15.75" customHeight="1">
      <c r="A4105" s="2" t="s">
        <v>4105</v>
      </c>
      <c r="B4105" s="2" t="str">
        <f>IFERROR(__xludf.DUMMYFUNCTION("GOOGLETRANSLATE(A4105,""en"", ""mt"")"),"li d-diżubbidjenza ċivili hija ġustifikata biss kontra entitajiet governattivi")</f>
        <v>li d-diżubbidjenza ċivili hija ġustifikata biss kontra entitajiet governattivi</v>
      </c>
    </row>
    <row r="4106" ht="15.75" customHeight="1">
      <c r="A4106" s="2" t="s">
        <v>4106</v>
      </c>
      <c r="B4106" s="2" t="str">
        <f>IFERROR(__xludf.DUMMYFUNCTION("GOOGLETRANSLATE(A4106,""en"", ""mt"")"),"Kull sena, iż-żona tan-Nofsinhar tal-Kalifornja għandha madwar 10,000 terremoti. Kważi kollha huma daqshekk żgħar li ma jinħassux. Diversi mijiet biss huma ikbar mill-kobor 3.0, u madwar 15-20 biss huma ikbar mill-kobor 4.0. It-terremot ta ’Kobor 6.7 1994"&amp;" Northridge kien partikolarment distruttiv, u kkawża numru sostanzjali ta’ mwiet, korrimenti, u kollass strutturali. Huwa kkawża l-iktar ħsara fuq il-proprjetà ta 'kwalunkwe terremot fl-istorja ta' l-Istati Uniti, stmata għal aktar minn $ 20 biljun.")</f>
        <v>Kull sena, iż-żona tan-Nofsinhar tal-Kalifornja għandha madwar 10,000 terremoti. Kważi kollha huma daqshekk żgħar li ma jinħassux. Diversi mijiet biss huma ikbar mill-kobor 3.0, u madwar 15-20 biss huma ikbar mill-kobor 4.0. It-terremot ta ’Kobor 6.7 1994 Northridge kien partikolarment distruttiv, u kkawża numru sostanzjali ta’ mwiet, korrimenti, u kollass strutturali. Huwa kkawża l-iktar ħsara fuq il-proprjetà ta 'kwalunkwe terremot fl-istorja ta' l-Istati Uniti, stmata għal aktar minn $ 20 biljun.</v>
      </c>
    </row>
    <row r="4107" ht="15.75" customHeight="1">
      <c r="A4107" s="2" t="s">
        <v>4107</v>
      </c>
      <c r="B4107" s="2" t="str">
        <f>IFERROR(__xludf.DUMMYFUNCTION("GOOGLETRANSLATE(A4107,""en"", ""mt"")"),"Il-biċċa l-kbira ta 'Huguenot émigrés irrilokaw għal nazzjonijiet Ewropej Protestanti bħall-Ingilterra, Wales, l-Iskozja, id-Danimarka, l-Isvezja, l-Isvizzera, ir-Repubblika Olandiża, l-elettorat ta' Brandenburg u l-elettorat tal-Palatinat fl-Imperu Ruman"&amp;" qaddis, id-Duchy ta 'Prussia, il-kanal Gżejjer, u l-Irlanda. Huma nfirxu wkoll lil hinn mill-Ewropa għall-Kolonja tal-Kap Olandiża fl-Afrika t'Isfel, l-Indji tal-Lvant Olandiżi, il-Karibew, u bosta mill-kolonji Ingliżi ta 'l-Amerika ta' Fuq, u Quebec, fe"&amp;"jn ġew aċċettati u tħallew jaduraw liberament.")</f>
        <v>Il-biċċa l-kbira ta 'Huguenot émigrés irrilokaw għal nazzjonijiet Ewropej Protestanti bħall-Ingilterra, Wales, l-Iskozja, id-Danimarka, l-Isvezja, l-Isvizzera, ir-Repubblika Olandiża, l-elettorat ta' Brandenburg u l-elettorat tal-Palatinat fl-Imperu Ruman qaddis, id-Duchy ta 'Prussia, il-kanal Gżejjer, u l-Irlanda. Huma nfirxu wkoll lil hinn mill-Ewropa għall-Kolonja tal-Kap Olandiża fl-Afrika t'Isfel, l-Indji tal-Lvant Olandiżi, il-Karibew, u bosta mill-kolonji Ingliżi ta 'l-Amerika ta' Fuq, u Quebec, fejn ġew aċċettati u tħallew jaduraw liberament.</v>
      </c>
    </row>
    <row r="4108" ht="15.75" customHeight="1">
      <c r="A4108" s="2" t="s">
        <v>4108</v>
      </c>
      <c r="B4108" s="2" t="str">
        <f>IFERROR(__xludf.DUMMYFUNCTION("GOOGLETRANSLATE(A4108,""en"", ""mt"")"),"Kif qabbad Utent of Tymnet")</f>
        <v>Kif qabbad Utent of Tymnet</v>
      </c>
    </row>
    <row r="4109" ht="15.75" customHeight="1">
      <c r="A4109" s="2" t="s">
        <v>4109</v>
      </c>
      <c r="B4109" s="2" t="str">
        <f>IFERROR(__xludf.DUMMYFUNCTION("GOOGLETRANSLATE(A4109,""en"", ""mt"")"),"Matematika applikata")</f>
        <v>Matematika applikata</v>
      </c>
    </row>
    <row r="4110" ht="15.75" customHeight="1">
      <c r="A4110" s="2" t="s">
        <v>4110</v>
      </c>
      <c r="B4110" s="2" t="str">
        <f>IFERROR(__xludf.DUMMYFUNCTION("GOOGLETRANSLATE(A4110,""en"", ""mt"")"),"Fundatur ta 'knejjes Protestanti ġodda f'reġjuni kkontrollati mill-Kattoliċi")</f>
        <v>Fundatur ta 'knejjes Protestanti ġodda f'reġjuni kkontrollati mill-Kattoliċi</v>
      </c>
    </row>
    <row r="4111" ht="15.75" customHeight="1">
      <c r="A4111" s="2" t="s">
        <v>4111</v>
      </c>
      <c r="B4111" s="2" t="str">
        <f>IFERROR(__xludf.DUMMYFUNCTION("GOOGLETRANSLATE(A4111,""en"", ""mt"")"),"Kemm Sports Intercollegiate Harvard jikkompeti fid-Diviżjoni I tal-NCAA")</f>
        <v>Kemm Sports Intercollegiate Harvard jikkompeti fid-Diviżjoni I tal-NCAA</v>
      </c>
    </row>
    <row r="4112" ht="15.75" customHeight="1">
      <c r="A4112" s="2" t="s">
        <v>4112</v>
      </c>
      <c r="B4112" s="2" t="str">
        <f>IFERROR(__xludf.DUMMYFUNCTION("GOOGLETRANSLATE(A4112,""en"", ""mt"")"),"Rich u sew")</f>
        <v>Rich u sew</v>
      </c>
    </row>
    <row r="4113" ht="15.75" customHeight="1">
      <c r="A4113" s="2" t="s">
        <v>4113</v>
      </c>
      <c r="B4113" s="2" t="str">
        <f>IFERROR(__xludf.DUMMYFUNCTION("GOOGLETRANSLATE(A4113,""en"", ""mt"")"),"l-aktar wieħed")</f>
        <v>l-aktar wieħed</v>
      </c>
    </row>
    <row r="4114" ht="15.75" customHeight="1">
      <c r="A4114" s="2" t="s">
        <v>4114</v>
      </c>
      <c r="B4114" s="2" t="str">
        <f>IFERROR(__xludf.DUMMYFUNCTION("GOOGLETRANSLATE(A4114,""en"", ""mt"")"),"Baċin tal-Amazon")</f>
        <v>Baċin tal-Amazon</v>
      </c>
    </row>
    <row r="4115" ht="15.75" customHeight="1">
      <c r="A4115" s="2" t="s">
        <v>4115</v>
      </c>
      <c r="B4115" s="2" t="str">
        <f>IFERROR(__xludf.DUMMYFUNCTION("GOOGLETRANSLATE(A4115,""en"", ""mt"")"),"Fil-bidu tal-Olokene (~ 11,700 sena ilu), ir-Renu okkupa l-wied tal-glaċjali tard tiegħu. Bħala xmara meandering, hija maħduma mill-ġdid tagħha Braidplain tal-età tas-silġ. Hekk kif il-livell tal-baħar kompla jiżdied fl-Olanda, bdiet il-formazzjoni tad-de"&amp;"lta tal-Meuse Rhine-Meuse Holocene (~ 8,000 sena ilu). Żieda assoluta fil-livell tal-baħar assolut u sussidju tettoniku influwenzaw sew l-evoluzzjoni tad-delta. Fatturi oħra ta 'importanza għall-forma tad-delta huma l-attivitajiet tettoniċi lokali tat-tor"&amp;"t tal-konfini tal-qoxra, is-sottostrat u l-ġeomorfoloġija, kif jintirtu mill-aħħar dinamika glaċjali u kostali-marini, bħalma huma l-formazzjonijiet ta' barriera u tal-marea tad-dħul.")</f>
        <v>Fil-bidu tal-Olokene (~ 11,700 sena ilu), ir-Renu okkupa l-wied tal-glaċjali tard tiegħu. Bħala xmara meandering, hija maħduma mill-ġdid tagħha Braidplain tal-età tas-silġ. Hekk kif il-livell tal-baħar kompla jiżdied fl-Olanda, bdiet il-formazzjoni tad-delta tal-Meuse Rhine-Meuse Holocene (~ 8,000 sena ilu). Żieda assoluta fil-livell tal-baħar assolut u sussidju tettoniku influwenzaw sew l-evoluzzjoni tad-delta. Fatturi oħra ta 'importanza għall-forma tad-delta huma l-attivitajiet tettoniċi lokali tat-tort tal-konfini tal-qoxra, is-sottostrat u l-ġeomorfoloġija, kif jintirtu mill-aħħar dinamika glaċjali u kostali-marini, bħalma huma l-formazzjonijiet ta' barriera u tal-marea tad-dħul.</v>
      </c>
    </row>
    <row r="4116" ht="15.75" customHeight="1">
      <c r="A4116" s="2" t="s">
        <v>4116</v>
      </c>
      <c r="B4116" s="2" t="str">
        <f>IFERROR(__xludf.DUMMYFUNCTION("GOOGLETRANSLATE(A4116,""en"", ""mt"")"),"Meta kien iċ-ċessjoni mill-moviment tal-Afrika t'Isfel?")</f>
        <v>Meta kien iċ-ċessjoni mill-moviment tal-Afrika t'Isfel?</v>
      </c>
    </row>
    <row r="4117" ht="15.75" customHeight="1">
      <c r="A4117" s="2" t="s">
        <v>4117</v>
      </c>
      <c r="B4117" s="2" t="str">
        <f>IFERROR(__xludf.DUMMYFUNCTION("GOOGLETRANSLATE(A4117,""en"", ""mt"")"),"Fama Eugene")</f>
        <v>Fama Eugene</v>
      </c>
    </row>
    <row r="4118" ht="15.75" customHeight="1">
      <c r="A4118" s="2" t="s">
        <v>4118</v>
      </c>
      <c r="B4118" s="2" t="str">
        <f>IFERROR(__xludf.DUMMYFUNCTION("GOOGLETRANSLATE(A4118,""en"", ""mt"")"),"Victoria (imqassar bħala Vic) hija stat fix-Xlokk tal-Awstralja. Ir-Rabat huwa l-iktar stat popolat tal-Awstralja u t-tieni l-iktar stat popolat tagħha b’mod ġenerali. Il-biċċa l-kbira tal-popolazzjoni tagħha hija kkonċentrata fiż-żona li tdawwar Port Phi"&amp;"llip Bay, li tinkludi ż-żona metropolitana tal-kapitali tagħha u l-ikbar belt, Melbourne, li hija t-tieni l-akbar belt tal-Awstralja. Ġeografikament l-iżgħar stat fuq il-kontinent Awstraljan, ir-Rabat hija mdawra minn Strada Bass u Tasmanja fin-nofsinhar,"&amp;" [nota 1] New South Wales fit-tramuntana, il-Baħar Tasman lejn il-lvant, u l-Awstralja t'Isfel lejn il-punent.")</f>
        <v>Victoria (imqassar bħala Vic) hija stat fix-Xlokk tal-Awstralja. Ir-Rabat huwa l-iktar stat popolat tal-Awstralja u t-tieni l-iktar stat popolat tagħha b’mod ġenerali. Il-biċċa l-kbira tal-popolazzjoni tagħha hija kkonċentrata fiż-żona li tdawwar Port Phillip Bay, li tinkludi ż-żona metropolitana tal-kapitali tagħha u l-ikbar belt, Melbourne, li hija t-tieni l-akbar belt tal-Awstralja. Ġeografikament l-iżgħar stat fuq il-kontinent Awstraljan, ir-Rabat hija mdawra minn Strada Bass u Tasmanja fin-nofsinhar, [nota 1] New South Wales fit-tramuntana, il-Baħar Tasman lejn il-lvant, u l-Awstralja t'Isfel lejn il-punent.</v>
      </c>
    </row>
    <row r="4119" ht="15.75" customHeight="1">
      <c r="A4119" s="2" t="s">
        <v>4119</v>
      </c>
      <c r="B4119" s="2" t="str">
        <f>IFERROR(__xludf.DUMMYFUNCTION("GOOGLETRANSLATE(A4119,""en"", ""mt"")"),"Rekwiżiti taż-Żonjar u tal-Kodiċi tal-Bini")</f>
        <v>Rekwiżiti taż-Żonjar u tal-Kodiċi tal-Bini</v>
      </c>
    </row>
    <row r="4120" ht="15.75" customHeight="1">
      <c r="A4120" s="2" t="s">
        <v>4120</v>
      </c>
      <c r="B4120" s="2" t="str">
        <f>IFERROR(__xludf.DUMMYFUNCTION("GOOGLETRANSLATE(A4120,""en"", ""mt"")"),"Gwerra ta 'Seba' Snin")</f>
        <v>Gwerra ta 'Seba' Snin</v>
      </c>
    </row>
    <row r="4121" ht="15.75" customHeight="1">
      <c r="A4121" s="2" t="s">
        <v>4121</v>
      </c>
      <c r="B4121" s="2" t="str">
        <f>IFERROR(__xludf.DUMMYFUNCTION("GOOGLETRANSLATE(A4121,""en"", ""mt"")"),"permezz ta ’kuntatt ma’ negozjanti Persjani")</f>
        <v>permezz ta ’kuntatt ma’ negozjanti Persjani</v>
      </c>
    </row>
    <row r="4122" ht="15.75" customHeight="1">
      <c r="A4122" s="2" t="s">
        <v>4122</v>
      </c>
      <c r="B4122" s="2" t="str">
        <f>IFERROR(__xludf.DUMMYFUNCTION("GOOGLETRANSLATE(A4122,""en"", ""mt"")"),"Is-sistema tal-burokrazija maħluqa minn Kublai Khan kienet tirrifletti diversi kulturi fl-imperu, inkluż dik taċ-Ċiniżi Han, Khitans, Jurchens, Mongols, u Buddisti Tibetani. Filwaqt li t-terminoloġija uffiċjali tal-istituzzjonijiet tista 'tindika li l-ist"&amp;"ruttura tal-gvern kienet kważi purament dik tad-dinastiji Ċiniżi indiġeni, il-burokrazija tal-wan fil-fatt kienet tikkonsisti f'taħlita ta' elementi minn kulturi differenti. L-elementi ta 'l-istil Ċiniż tal-burokrazija ġew prinċipalment mill-kanzunetta in"&amp;"diġena, kif ukoll mid-dinastiji ta' Khitan Liao u Jurchen Jin. Konsulenti Ċiniżi bħal Liu Bingzhong u Yao Shu taw influwenza qawwija lill-qorti bikrija ta 'Kublai, u l-amministrazzjoni tal-gvern ċentrali ġiet stabbilita fl-ewwel għaxar snin tar-renju ta' "&amp;"Kublai. Dan il-gvern adotta d-diviżjoni tradizzjonali tat-tripartita Ċiniża tal-awtorità fost uffiċċji ċivili, militari u ċensuri, inkluż is-Segretarjat Ċentrali (Zhongshu Sheng) biex jimmaniġġja l-affarijiet ċivili, il-Kunsill Privat (Ċiniż: 樞密院) biex ji"&amp;"mmaniġġja l-affarijiet militari, u ċ-ċensura biex twettaq sorveljanza interna u spezzjoni. Il-funzjonijiet attwali tal-istituzzjonijiet tal-gvern ċentrali u lokali, madankollu, urew koinċidenza kbira bejn il-ġurisdizzjonijiet ċivili u militari, minħabba d"&amp;"-dipendenza tradizzjonali Mongoljana fuq istituzzjonijiet u uffiċċji militari bħala l-qalba tal-governanza. Madankollu, burokrazija ċivili bħal din, bis-Segretarjat Ċentrali bħala l-aqwa istituzzjoni li kienet (direttament jew indirettament) responsabbli "&amp;"għall-biċċa l-kbira tal-aġenziji governattivi l-oħra (bħalma kienet maħluqa s-sitt ministeri tradizzjonali tal-istil Ċiniż), inħolqot fiċ-Ċina. F’diversi żminijiet ta ’istituzzjoni oħra tal-gvern ċentrali msejħa d-Dipartiment tal-Affarijiet tal-Istat (Sha"&amp;"ngshu Sheng) li ttrattat prinċipalment il-finanzi ġie stabbilit (bħal matul ir-renju ta’ Külüg Khan jew l-Imperatur Wuzong), iżda ġeneralment kien abbandunat ftit wara.")</f>
        <v>Is-sistema tal-burokrazija maħluqa minn Kublai Khan kienet tirrifletti diversi kulturi fl-imperu, inkluż dik taċ-Ċiniżi Han, Khitans, Jurchens, Mongols, u Buddisti Tibetani. Filwaqt li t-terminoloġija uffiċjali tal-istituzzjonijiet tista 'tindika li l-istruttura tal-gvern kienet kważi purament dik tad-dinastiji Ċiniżi indiġeni, il-burokrazija tal-wan fil-fatt kienet tikkonsisti f'taħlita ta' elementi minn kulturi differenti. L-elementi ta 'l-istil Ċiniż tal-burokrazija ġew prinċipalment mill-kanzunetta indiġena, kif ukoll mid-dinastiji ta' Khitan Liao u Jurchen Jin. Konsulenti Ċiniżi bħal Liu Bingzhong u Yao Shu taw influwenza qawwija lill-qorti bikrija ta 'Kublai, u l-amministrazzjoni tal-gvern ċentrali ġiet stabbilita fl-ewwel għaxar snin tar-renju ta' Kublai. Dan il-gvern adotta d-diviżjoni tradizzjonali tat-tripartita Ċiniża tal-awtorità fost uffiċċji ċivili, militari u ċensuri, inkluż is-Segretarjat Ċentrali (Zhongshu Sheng) biex jimmaniġġja l-affarijiet ċivili, il-Kunsill Privat (Ċiniż: 樞密院) biex jimmaniġġja l-affarijiet militari, u ċ-ċensura biex twettaq sorveljanza interna u spezzjoni. Il-funzjonijiet attwali tal-istituzzjonijiet tal-gvern ċentrali u lokali, madankollu, urew koinċidenza kbira bejn il-ġurisdizzjonijiet ċivili u militari, minħabba d-dipendenza tradizzjonali Mongoljana fuq istituzzjonijiet u uffiċċji militari bħala l-qalba tal-governanza. Madankollu, burokrazija ċivili bħal din, bis-Segretarjat Ċentrali bħala l-aqwa istituzzjoni li kienet (direttament jew indirettament) responsabbli għall-biċċa l-kbira tal-aġenziji governattivi l-oħra (bħalma kienet maħluqa s-sitt ministeri tradizzjonali tal-istil Ċiniż), inħolqot fiċ-Ċina. F’diversi żminijiet ta ’istituzzjoni oħra tal-gvern ċentrali msejħa d-Dipartiment tal-Affarijiet tal-Istat (Shangshu Sheng) li ttrattat prinċipalment il-finanzi ġie stabbilit (bħal matul ir-renju ta’ Külüg Khan jew l-Imperatur Wuzong), iżda ġeneralment kien abbandunat ftit wara.</v>
      </c>
    </row>
    <row r="4123" ht="15.75" customHeight="1">
      <c r="A4123" s="2" t="s">
        <v>4123</v>
      </c>
      <c r="B4123" s="2" t="str">
        <f>IFERROR(__xludf.DUMMYFUNCTION("GOOGLETRANSLATE(A4123,""en"", ""mt"")"),"Għalkemm nieqes minn konnessjonijiet storiċi mal-Lvant Nofsani, il-Ġappun kien il-pajjiż l-iktar dipendenti fuq iż-żejt Għarbi. 71% taż-żejt importat tiegħu ġie mill-Lvant Nofsani fl-1970. Fis-7 ta 'Novembru, 1973, il-gvernijiet Sawdi u l-Kuwajt iddikjara"&amp;"w lill-Ġappun pajjiż ""mhux faċli"" biex iħeġġeġha tbiddel il-politika ta' nuqqas ta 'involviment tagħha. Irċieva tnaqqis fil-produzzjoni ta '5% f'Diċembru, u kkawża paniku. Fit-22 ta 'Novembru, il-Ġappun ħareġ dikjarazzjoni ""billi afferma li l-Iżrael għ"&amp;"andu jirtira mit-territorji kollha tal-1967, favur l-awtodeterminazzjoni Palestinjana, u thedded li jerġa' jikkunsidra l-politika tiegħu lejn l-Iżrael jekk l-Iżrael irrifjuta li jaċċetta dawn il-prekundizzjonijiet"". Sal-25 ta 'Diċembru, il-Ġappun kien me"&amp;"qjus bħala stat li jirrispetta l-Għarbi.")</f>
        <v>Għalkemm nieqes minn konnessjonijiet storiċi mal-Lvant Nofsani, il-Ġappun kien il-pajjiż l-iktar dipendenti fuq iż-żejt Għarbi. 71% taż-żejt importat tiegħu ġie mill-Lvant Nofsani fl-1970. Fis-7 ta 'Novembru, 1973, il-gvernijiet Sawdi u l-Kuwajt iddikjaraw lill-Ġappun pajjiż "mhux faċli" biex iħeġġeġha tbiddel il-politika ta' nuqqas ta 'involviment tagħha. Irċieva tnaqqis fil-produzzjoni ta '5% f'Diċembru, u kkawża paniku. Fit-22 ta 'Novembru, il-Ġappun ħareġ dikjarazzjoni "billi afferma li l-Iżrael għandu jirtira mit-territorji kollha tal-1967, favur l-awtodeterminazzjoni Palestinjana, u thedded li jerġa' jikkunsidra l-politika tiegħu lejn l-Iżrael jekk l-Iżrael irrifjuta li jaċċetta dawn il-prekundizzjonijiet". Sal-25 ta 'Diċembru, il-Ġappun kien meqjus bħala stat li jirrispetta l-Għarbi.</v>
      </c>
    </row>
    <row r="4124" ht="15.75" customHeight="1">
      <c r="A4124" s="2" t="s">
        <v>4124</v>
      </c>
      <c r="B4124" s="2" t="str">
        <f>IFERROR(__xludf.DUMMYFUNCTION("GOOGLETRANSLATE(A4124,""en"", ""mt"")"),"Filwaqt li l-biċċa l-kbira tal-ispiżeriji tal-internet ibigħu mediċini bir-riċetta u jeħtieġu preskrizzjoni valida, xi spiżeriji tal-internet ibigħu mediċini bir-riċetta mingħajr ma jeħtieġu riċetta. Bosta klijenti jordnaw mediċini minn spiżeriji bħal daw"&amp;"n biex jevitaw l- ""inkonvenjent"" li jżuru tabib jew biex jiksbu mediċini li t-tobba tagħhom ma riedux jippreskrivu. Madankollu, din il-prattika ġiet ikkritikata bħala potenzjalment perikoluża, speċjalment minn dawk li jħossu li t-tobba biss jistgħu jivv"&amp;"alutaw b'mod affidabbli kontra-indikazzjonijiet, proporzjonijiet ta 'riskju / benefiċċju, u l-adegwatezza ġenerali ta' individwu għall-użu ta 'medikazzjoni. Kien hemm ukoll rapporti ta 'spiżeriji bħal dawn li jqassmu prodotti mhux standard.")</f>
        <v>Filwaqt li l-biċċa l-kbira tal-ispiżeriji tal-internet ibigħu mediċini bir-riċetta u jeħtieġu preskrizzjoni valida, xi spiżeriji tal-internet ibigħu mediċini bir-riċetta mingħajr ma jeħtieġu riċetta. Bosta klijenti jordnaw mediċini minn spiżeriji bħal dawn biex jevitaw l- "inkonvenjent" li jżuru tabib jew biex jiksbu mediċini li t-tobba tagħhom ma riedux jippreskrivu. Madankollu, din il-prattika ġiet ikkritikata bħala potenzjalment perikoluża, speċjalment minn dawk li jħossu li t-tobba biss jistgħu jivvalutaw b'mod affidabbli kontra-indikazzjonijiet, proporzjonijiet ta 'riskju / benefiċċju, u l-adegwatezza ġenerali ta' individwu għall-użu ta 'medikazzjoni. Kien hemm ukoll rapporti ta 'spiżeriji bħal dawn li jqassmu prodotti mhux standard.</v>
      </c>
    </row>
    <row r="4125" ht="15.75" customHeight="1">
      <c r="A4125" s="2" t="s">
        <v>4125</v>
      </c>
      <c r="B4125" s="2" t="str">
        <f>IFERROR(__xludf.DUMMYFUNCTION("GOOGLETRANSLATE(A4125,""en"", ""mt"")"),"Dec oriġinarjament kellu 3 saffi iżda evolva f'kemm saffi")</f>
        <v>Dec oriġinarjament kellu 3 saffi iżda evolva f'kemm saffi</v>
      </c>
    </row>
    <row r="4126" ht="15.75" customHeight="1">
      <c r="A4126" s="2" t="s">
        <v>4126</v>
      </c>
      <c r="B4126" s="2" t="str">
        <f>IFERROR(__xludf.DUMMYFUNCTION("GOOGLETRANSLATE(A4126,""en"", ""mt"")"),"F'liema sena saru l-ewwel esperimenti magħrufa dwar il-kombustjoni u l-arja?")</f>
        <v>F'liema sena saru l-ewwel esperimenti magħrufa dwar il-kombustjoni u l-arja?</v>
      </c>
    </row>
    <row r="4127" ht="15.75" customHeight="1">
      <c r="A4127" s="2" t="s">
        <v>4127</v>
      </c>
      <c r="B4127" s="2" t="str">
        <f>IFERROR(__xludf.DUMMYFUNCTION("GOOGLETRANSLATE(A4127,""en"", ""mt"")"),"Nodi Intermedji tan-Netwerk bl-Asinkronikament bl-Użu ta 'First-In, First-Out Buffering")</f>
        <v>Nodi Intermedji tan-Netwerk bl-Asinkronikament bl-Użu ta 'First-In, First-Out Buffering</v>
      </c>
    </row>
    <row r="4128" ht="15.75" customHeight="1">
      <c r="A4128" s="2" t="s">
        <v>4128</v>
      </c>
      <c r="B4128" s="2" t="str">
        <f>IFERROR(__xludf.DUMMYFUNCTION("GOOGLETRANSLATE(A4128,""en"", ""mt"")"),"In-netwerk kien imsaħħaħ")</f>
        <v>In-netwerk kien imsaħħaħ</v>
      </c>
    </row>
    <row r="4129" ht="15.75" customHeight="1">
      <c r="A4129" s="2" t="s">
        <v>4129</v>
      </c>
      <c r="B4129" s="2" t="str">
        <f>IFERROR(__xludf.DUMMYFUNCTION("GOOGLETRANSLATE(A4129,""en"", ""mt"")"),"metamorfosed")</f>
        <v>metamorfosed</v>
      </c>
    </row>
    <row r="4130" ht="15.75" customHeight="1">
      <c r="A4130" s="2" t="s">
        <v>4130</v>
      </c>
      <c r="B4130" s="2" t="str">
        <f>IFERROR(__xludf.DUMMYFUNCTION("GOOGLETRANSLATE(A4130,""en"", ""mt"")"),"Il-mexxejja ta 'Bolshevik kienu stabbilixxew b'mod effettiv il-politika bejn wieħed u ieħor bl-istess punt bħal dak l-imperu sal-1921, madankollu b'ideoloġija internazzjonalista: Lenin b'mod partikolari afferma d-dritt għal awtodeterminazzjoni limitata għ"&amp;"al minoranzi nazzjonali fit-territorju l-ġdid. Mill-1923, il-politika ta '""indiġenizzazzjoni"" [Korenizatsiia] kienet maħsuba biex tappoġġja dawk li mhumiex Russi jiżviluppaw il-kulturi nazzjonali tagħhom fi ħdan qafas soċjalista. Qatt ma ġie revokat for"&amp;"malment, huwa waqaf jiġi implimentat wara l-1932. Wara t-Tieni Gwerra Dinjija, l-Unjoni Sovjetika installat reġimi soċjalisti mfassla fuq dawk li kienet installat fl-1919-20 fl-imperu tsarist il-qadim f'żoni l-forzi tagħha okkupati fl-Ewropa tal-Lvant. L-"&amp;"Unjoni Sovjetika u r-Repubblika tal-Poplu taċ-Ċina appoġġjaw il-movimenti komunisti ta 'wara t-Tieni Gwerra Dinjija f'pajjiżi barranin u kolonji biex javvanzaw l-interessi tagħhom stess, iżda mhux dejjem kellhom suċċess.")</f>
        <v>Il-mexxejja ta 'Bolshevik kienu stabbilixxew b'mod effettiv il-politika bejn wieħed u ieħor bl-istess punt bħal dak l-imperu sal-1921, madankollu b'ideoloġija internazzjonalista: Lenin b'mod partikolari afferma d-dritt għal awtodeterminazzjoni limitata għal minoranzi nazzjonali fit-territorju l-ġdid. Mill-1923, il-politika ta '"indiġenizzazzjoni" [Korenizatsiia] kienet maħsuba biex tappoġġja dawk li mhumiex Russi jiżviluppaw il-kulturi nazzjonali tagħhom fi ħdan qafas soċjalista. Qatt ma ġie revokat formalment, huwa waqaf jiġi implimentat wara l-1932. Wara t-Tieni Gwerra Dinjija, l-Unjoni Sovjetika installat reġimi soċjalisti mfassla fuq dawk li kienet installat fl-1919-20 fl-imperu tsarist il-qadim f'żoni l-forzi tagħha okkupati fl-Ewropa tal-Lvant. L-Unjoni Sovjetika u r-Repubblika tal-Poplu taċ-Ċina appoġġjaw il-movimenti komunisti ta 'wara t-Tieni Gwerra Dinjija f'pajjiżi barranin u kolonji biex javvanzaw l-interessi tagħhom stess, iżda mhux dejjem kellhom suċċess.</v>
      </c>
    </row>
    <row r="4131" ht="15.75" customHeight="1">
      <c r="A4131" s="2" t="s">
        <v>4131</v>
      </c>
      <c r="B4131" s="2" t="str">
        <f>IFERROR(__xludf.DUMMYFUNCTION("GOOGLETRANSLATE(A4131,""en"", ""mt"")"),"Battalja ta 'Fort Bull")</f>
        <v>Battalja ta 'Fort Bull</v>
      </c>
    </row>
    <row r="4132" ht="15.75" customHeight="1">
      <c r="A4132" s="2" t="s">
        <v>4132</v>
      </c>
      <c r="B4132" s="2" t="str">
        <f>IFERROR(__xludf.DUMMYFUNCTION("GOOGLETRANSLATE(A4132,""en"", ""mt"")"),"""In-Nofsinhar ta 'California"" mhix indikazzjoni ġeografika formali, u d-definizzjonijiet ta' dak li jikkostitwixxi n-Nofsinhar ta 'California jvarjaw. Ġeografikament, il-punt tan-nofs tan-nofsinhar ta 'California jinsab eżattament 37 ° 9' 58.23 ""Latitu"&amp;"dni, madwar 11-il mil (18 km) fin-Nofsinhar ta 'San Jose; madankollu, dan ma jikkoinċidix ma' l-użu popolari tat-terminu. Meta l-istat huwa maqsum fihom Żewġ żoni (it-Tramuntana u n-Nofsinhar ta 'Kalifornja), it-terminu ""Southern California"" ġeneralment"&amp;" jirreferi għall-għaxar kontej l-iktar fin-Nofsinhar tal-istat. Din id-definizzjoni tikkoinċidi sewwa mal-linji tal-kontea f'35 ° 47 ′ 28 ″ 28 ″ latitudni tat-tramuntana, li jiffurmaw it-tramuntana Fruntieri ta 'San Luis Obispo, Kern, u San Bernardino Cou"&amp;"nties. Definizzjoni oħra għan-Nofsinhar ta' California tuża l-konċepiment tal-punt u l-Muntanji Tehachapi bħala l-konfini tat-tramuntana.")</f>
        <v>"In-Nofsinhar ta 'California" mhix indikazzjoni ġeografika formali, u d-definizzjonijiet ta' dak li jikkostitwixxi n-Nofsinhar ta 'California jvarjaw. Ġeografikament, il-punt tan-nofs tan-nofsinhar ta 'California jinsab eżattament 37 ° 9' 58.23 "Latitudni, madwar 11-il mil (18 km) fin-Nofsinhar ta 'San Jose; madankollu, dan ma jikkoinċidix ma' l-użu popolari tat-terminu. Meta l-istat huwa maqsum fihom Żewġ żoni (it-Tramuntana u n-Nofsinhar ta 'Kalifornja), it-terminu "Southern California" ġeneralment jirreferi għall-għaxar kontej l-iktar fin-Nofsinhar tal-istat. Din id-definizzjoni tikkoinċidi sewwa mal-linji tal-kontea f'35 ° 47 ′ 28 ″ 28 ″ latitudni tat-tramuntana, li jiffurmaw it-tramuntana Fruntieri ta 'San Luis Obispo, Kern, u San Bernardino Counties. Definizzjoni oħra għan-Nofsinhar ta' California tuża l-konċepiment tal-punt u l-Muntanji Tehachapi bħala l-konfini tat-tramuntana.</v>
      </c>
    </row>
    <row r="4133" ht="15.75" customHeight="1">
      <c r="A4133" s="2" t="s">
        <v>4133</v>
      </c>
      <c r="B4133" s="2" t="str">
        <f>IFERROR(__xludf.DUMMYFUNCTION("GOOGLETRANSLATE(A4133,""en"", ""mt"")"),"Issolvi kwalunkwe problema f'C")</f>
        <v>Issolvi kwalunkwe problema f'C</v>
      </c>
    </row>
    <row r="4134" ht="15.75" customHeight="1">
      <c r="A4134" s="2" t="s">
        <v>4134</v>
      </c>
      <c r="B4134" s="2" t="str">
        <f>IFERROR(__xludf.DUMMYFUNCTION("GOOGLETRANSLATE(A4134,""en"", ""mt"")"),"naqsu milli jwaqqfu fond ta 'assigurazzjoni għall-impjegati biex jitolbu pagi mhux imħallsa jekk min iħaddem kien jinżel")</f>
        <v>naqsu milli jwaqqfu fond ta 'assigurazzjoni għall-impjegati biex jitolbu pagi mhux imħallsa jekk min iħaddem kien jinżel</v>
      </c>
    </row>
    <row r="4135" ht="15.75" customHeight="1">
      <c r="A4135" s="2" t="s">
        <v>4135</v>
      </c>
      <c r="B4135" s="2" t="str">
        <f>IFERROR(__xludf.DUMMYFUNCTION("GOOGLETRANSLATE(A4135,""en"", ""mt"")"),"li kull naħa hija kapaċi twettaq l-obbligi stabbiliti")</f>
        <v>li kull naħa hija kapaċi twettaq l-obbligi stabbiliti</v>
      </c>
    </row>
    <row r="4136" ht="15.75" customHeight="1">
      <c r="A4136" s="2" t="s">
        <v>4136</v>
      </c>
      <c r="B4136" s="2" t="str">
        <f>IFERROR(__xludf.DUMMYFUNCTION("GOOGLETRANSLATE(A4136,""en"", ""mt"")"),"Il-prinċipji tal-liġi tal-Unjoni Ewropea huma r-regoli tal-liġi li ġew żviluppati mill-Qorti Ewropea tal-Ġustizzja li jikkostitwixxu regoli mhux miktuba li mhumiex previsti espressament fit-trattati iżda li jaffettwaw kif il-liġi tal-Unjoni Ewropea hija i"&amp;"nterpretata u tapplika. Fil-formulazzjoni ta 'dawn il-prinċipji, il-qrati fasslu fuq varjetà ta' sorsi, inklużi: liġi internazzjonali pubblika u duttrini legali u prinċipji preżenti fis-sistemi legali tal-Istati Membri tal-Unjoni Ewropea u fil-ġurispruden"&amp;"za tal-Qorti Ewropea tad-Drittijiet tal-Bniedem. Prinċipji ġenerali aċċettati tal-liġi tal-Unjoni Ewropea jinkludu drittijiet fundamentali (ara d-drittijiet tal-bniedem), proporzjonalità, ċertezza legali, ugwaljanza quddiem il-liġi u s-sussidjarjetà.")</f>
        <v>Il-prinċipji tal-liġi tal-Unjoni Ewropea huma r-regoli tal-liġi li ġew żviluppati mill-Qorti Ewropea tal-Ġustizzja li jikkostitwixxu regoli mhux miktuba li mhumiex previsti espressament fit-trattati iżda li jaffettwaw kif il-liġi tal-Unjoni Ewropea hija interpretata u tapplika. Fil-formulazzjoni ta 'dawn il-prinċipji, il-qrati fasslu fuq varjetà ta' sorsi, inklużi: liġi internazzjonali pubblika u duttrini legali u prinċipji preżenti fis-sistemi legali tal-Istati Membri tal-Unjoni Ewropea u fil-ġurisprudenza tal-Qorti Ewropea tad-Drittijiet tal-Bniedem. Prinċipji ġenerali aċċettati tal-liġi tal-Unjoni Ewropea jinkludu drittijiet fundamentali (ara d-drittijiet tal-bniedem), proporzjonalità, ċertezza legali, ugwaljanza quddiem il-liġi u s-sussidjarjetà.</v>
      </c>
    </row>
    <row r="4137" ht="15.75" customHeight="1">
      <c r="A4137" s="2" t="s">
        <v>4137</v>
      </c>
      <c r="B4137" s="2" t="str">
        <f>IFERROR(__xludf.DUMMYFUNCTION("GOOGLETRANSLATE(A4137,""en"", ""mt"")"),"id-deżert tal-Colorado")</f>
        <v>id-deżert tal-Colorado</v>
      </c>
    </row>
    <row r="4138" ht="15.75" customHeight="1">
      <c r="A4138" s="2" t="s">
        <v>4138</v>
      </c>
      <c r="B4138" s="2" t="str">
        <f>IFERROR(__xludf.DUMMYFUNCTION("GOOGLETRANSLATE(A4138,""en"", ""mt"")"),"Iċ-ċelloli T delta gamma (ċelloli T γδ) għandhom riċettur alternattiv taċ-ċelluli T (TCR) għall-kuntrarju taċ-ċelloli T CD4 + u CD8 + (αβ) u jaqsmu l-karatteristiċi taċ-ċelloli T helper, ċelloli T ċitotossiċi u ċelloli NK. Il-kundizzjonijiet li jipproduċu"&amp;" risponsi miċ-ċelloli T γδ mhumiex mifhuma għal kollox. Bħal sottogruppi oħra taċ-ċelloli T 'mhux konvenzjonali' li għandhom TCRs invarianti, bħal ċelloli T killer naturali ristretti CD1D, ċelloli T γδ T li jwaqqfu l-fruntiera bejn l-immunità innata u ada"&amp;"ttattiva. Min-naħa l-waħda, iċ-ċelloli T γδ huma komponent ta 'immunità adattiva hekk kif jirranġaw il-ġeni TCR biex jipproduċu diversità tar-riċetturi u jistgħu jiżviluppaw ukoll fenotip tal-memorja. Min-naħa l-oħra, is-sottogruppi varji huma wkoll parti"&amp;" mis-sistema immuni innata, minħabba li r-riċetturi TCR jew NK ristretti jistgħu jintużaw bħala riċetturi ta 'rikonoxximent tal-mudelli. Pereżempju, numru kbir ta 'ċelloli T Vγ9 / Vδ2 umani jirrispondu fi ftit sigħat għal molekuli komuni prodotti minn mik"&amp;"robi, u ċelloli T Vδ1 + ristretti ħafna fl-epitelja jirrispondu għal ċelloli epiteljali stressati.")</f>
        <v>Iċ-ċelloli T delta gamma (ċelloli T γδ) għandhom riċettur alternattiv taċ-ċelluli T (TCR) għall-kuntrarju taċ-ċelloli T CD4 + u CD8 + (αβ) u jaqsmu l-karatteristiċi taċ-ċelloli T helper, ċelloli T ċitotossiċi u ċelloli NK. Il-kundizzjonijiet li jipproduċu risponsi miċ-ċelloli T γδ mhumiex mifhuma għal kollox. Bħal sottogruppi oħra taċ-ċelloli T 'mhux konvenzjonali' li għandhom TCRs invarianti, bħal ċelloli T killer naturali ristretti CD1D, ċelloli T γδ T li jwaqqfu l-fruntiera bejn l-immunità innata u adattattiva. Min-naħa l-waħda, iċ-ċelloli T γδ huma komponent ta 'immunità adattiva hekk kif jirranġaw il-ġeni TCR biex jipproduċu diversità tar-riċetturi u jistgħu jiżviluppaw ukoll fenotip tal-memorja. Min-naħa l-oħra, is-sottogruppi varji huma wkoll parti mis-sistema immuni innata, minħabba li r-riċetturi TCR jew NK ristretti jistgħu jintużaw bħala riċetturi ta 'rikonoxximent tal-mudelli. Pereżempju, numru kbir ta 'ċelloli T Vγ9 / Vδ2 umani jirrispondu fi ftit sigħat għal molekuli komuni prodotti minn mikrobi, u ċelloli T Vδ1 + ristretti ħafna fl-epitelja jirrispondu għal ċelloli epiteljali stressati.</v>
      </c>
    </row>
    <row r="4139" ht="15.75" customHeight="1">
      <c r="A4139" s="2" t="s">
        <v>4139</v>
      </c>
      <c r="B4139" s="2" t="str">
        <f>IFERROR(__xludf.DUMMYFUNCTION("GOOGLETRANSLATE(A4139,""en"", ""mt"")"),"1820")</f>
        <v>1820</v>
      </c>
    </row>
    <row r="4140" ht="15.75" customHeight="1">
      <c r="A4140" s="2" t="s">
        <v>4140</v>
      </c>
      <c r="B4140" s="2" t="str">
        <f>IFERROR(__xludf.DUMMYFUNCTION("GOOGLETRANSLATE(A4140,""en"", ""mt"")"),"Disinji molekulari marbuta mal-patoġeni")</f>
        <v>Disinji molekulari marbuta mal-patoġeni</v>
      </c>
    </row>
    <row r="4141" ht="15.75" customHeight="1">
      <c r="A4141" s="2" t="s">
        <v>4141</v>
      </c>
      <c r="B4141" s="2" t="str">
        <f>IFERROR(__xludf.DUMMYFUNCTION("GOOGLETRANSLATE(A4141,""en"", ""mt"")"),"Uża l-proċeduri bħala forum biex tinforma lill-ġurija u lill-pubbliku dwar iċ-ċirkostanzi politiċi li jdawru l-każ")</f>
        <v>Uża l-proċeduri bħala forum biex tinforma lill-ġurija u lill-pubbliku dwar iċ-ċirkostanzi politiċi li jdawru l-każ</v>
      </c>
    </row>
    <row r="4142" ht="15.75" customHeight="1">
      <c r="A4142" s="2" t="s">
        <v>4142</v>
      </c>
      <c r="B4142" s="2" t="str">
        <f>IFERROR(__xludf.DUMMYFUNCTION("GOOGLETRANSLATE(A4142,""en"", ""mt"")"),"tikser il-liġi għal awto-gratifikazzjoni")</f>
        <v>tikser il-liġi għal awto-gratifikazzjoni</v>
      </c>
    </row>
    <row r="4143" ht="15.75" customHeight="1">
      <c r="A4143" s="2" t="s">
        <v>4143</v>
      </c>
      <c r="B4143" s="2" t="str">
        <f>IFERROR(__xludf.DUMMYFUNCTION("GOOGLETRANSLATE(A4143,""en"", ""mt"")"),"Il-maġġoranza tista 'tkun qawwija iżda mhux neċessarjament it-tajjeb")</f>
        <v>Il-maġġoranza tista 'tkun qawwija iżda mhux neċessarjament it-tajjeb</v>
      </c>
    </row>
    <row r="4144" ht="15.75" customHeight="1">
      <c r="A4144" s="2" t="s">
        <v>4144</v>
      </c>
      <c r="B4144" s="2" t="str">
        <f>IFERROR(__xludf.DUMMYFUNCTION("GOOGLETRANSLATE(A4144,""en"", ""mt"")"),"Aħbarijiet taż-żewġ battalji waslu l-Ingilterra f’Awwissu. Wara diversi xhur ta ’negozjati, il-gvern tad-Duka ta’ Newcastle iddeċieda li jibgħat spedizzjoni tal-Armata s-sena ta ’wara biex jiżvela lill-Franċiżi. Huma għażlu l-Ġeneral Maġġur Edward Braddoc"&amp;"k biex imexxi l-ispedizzjoni. Kelma tal-pjanijiet militari Ingliżi nixxew lejn Franza sew qabel it-tluq ta 'Braddock għall-Amerika ta' Fuq. Bi tweġiba, ir-Re Louis XV bagħat sitt reġimenti lejn Franza Ġdida taħt il-kmand tal-Baruni Dieskau fl-1755. Il-Bri"&amp;"ttaniċi, li biħsiebhom jimblokkaw il-portijiet Franċiżi, bagħtu l-flotta tagħhom fi Frar 1755, iżda l-flotta Franċiża kienet diġà baħħret. L-Ammirall Edward Hawke qala ’skwadra mgħaġġla lejn l-Amerika ta’ Fuq f’tentattiv biex jinterċetta lill-Franċiżi.")</f>
        <v>Aħbarijiet taż-żewġ battalji waslu l-Ingilterra f’Awwissu. Wara diversi xhur ta ’negozjati, il-gvern tad-Duka ta’ Newcastle iddeċieda li jibgħat spedizzjoni tal-Armata s-sena ta ’wara biex jiżvela lill-Franċiżi. Huma għażlu l-Ġeneral Maġġur Edward Braddock biex imexxi l-ispedizzjoni. Kelma tal-pjanijiet militari Ingliżi nixxew lejn Franza sew qabel it-tluq ta 'Braddock għall-Amerika ta' Fuq. Bi tweġiba, ir-Re Louis XV bagħat sitt reġimenti lejn Franza Ġdida taħt il-kmand tal-Baruni Dieskau fl-1755. Il-Brittaniċi, li biħsiebhom jimblokkaw il-portijiet Franċiżi, bagħtu l-flotta tagħhom fi Frar 1755, iżda l-flotta Franċiża kienet diġà baħħret. L-Ammirall Edward Hawke qala ’skwadra mgħaġġla lejn l-Amerika ta’ Fuq f’tentattiv biex jinterċetta lill-Franċiżi.</v>
      </c>
    </row>
    <row r="4145" ht="15.75" customHeight="1">
      <c r="A4145" s="2" t="s">
        <v>4145</v>
      </c>
      <c r="B4145" s="2" t="str">
        <f>IFERROR(__xludf.DUMMYFUNCTION("GOOGLETRANSLATE(A4145,""en"", ""mt"")"),"Rhine")</f>
        <v>Rhine</v>
      </c>
    </row>
    <row r="4146" ht="15.75" customHeight="1">
      <c r="A4146" s="2" t="s">
        <v>4146</v>
      </c>
      <c r="B4146" s="2" t="str">
        <f>IFERROR(__xludf.DUMMYFUNCTION("GOOGLETRANSLATE(A4146,""en"", ""mt"")"),"Teorema fundamentali tal-aritmetika")</f>
        <v>Teorema fundamentali tal-aritmetika</v>
      </c>
    </row>
    <row r="4147" ht="15.75" customHeight="1">
      <c r="A4147" s="2" t="s">
        <v>4147</v>
      </c>
      <c r="B4147" s="2" t="str">
        <f>IFERROR(__xludf.DUMMYFUNCTION("GOOGLETRANSLATE(A4147,""en"", ""mt"")"),"Fuq liema tip ta 'dħul tiddependi l-maġġoranza l-kbira tal-popolazzjoni?")</f>
        <v>Fuq liema tip ta 'dħul tiddependi l-maġġoranza l-kbira tal-popolazzjoni?</v>
      </c>
    </row>
    <row r="4148" ht="15.75" customHeight="1">
      <c r="A4148" s="2" t="s">
        <v>4148</v>
      </c>
      <c r="B4148" s="2" t="str">
        <f>IFERROR(__xludf.DUMMYFUNCTION("GOOGLETRANSLATE(A4148,""en"", ""mt"")"),"Il-Qorti tal-Kontea ta 'Fresno oriġinali (imwaqqa), il-Librerija Pubblika ta' Fresno Carnegie (imwaqqa)")</f>
        <v>Il-Qorti tal-Kontea ta 'Fresno oriġinali (imwaqqa), il-Librerija Pubblika ta' Fresno Carnegie (imwaqqa)</v>
      </c>
    </row>
    <row r="4149" ht="15.75" customHeight="1">
      <c r="A4149" s="2" t="s">
        <v>4149</v>
      </c>
      <c r="B4149" s="2" t="str">
        <f>IFERROR(__xludf.DUMMYFUNCTION("GOOGLETRANSLATE(A4149,""en"", ""mt"")"),"proġetti ta 'kanalizzazzjoni")</f>
        <v>proġetti ta 'kanalizzazzjoni</v>
      </c>
    </row>
    <row r="4150" ht="15.75" customHeight="1">
      <c r="A4150" s="2" t="s">
        <v>4150</v>
      </c>
      <c r="B4150" s="2" t="str">
        <f>IFERROR(__xludf.DUMMYFUNCTION("GOOGLETRANSLATE(A4150,""en"", ""mt"")"),"Fi ħdan il-Maria u ċ-ċinturin tal-ġibda")</f>
        <v>Fi ħdan il-Maria u ċ-ċinturin tal-ġibda</v>
      </c>
    </row>
    <row r="4151" ht="15.75" customHeight="1">
      <c r="A4151" s="2" t="s">
        <v>4151</v>
      </c>
      <c r="B4151" s="2" t="str">
        <f>IFERROR(__xludf.DUMMYFUNCTION("GOOGLETRANSLATE(A4151,""en"", ""mt"")"),"X'inhu l-akbar pont ta 'sospensjoni fil-Ġermanja?")</f>
        <v>X'inhu l-akbar pont ta 'sospensjoni fil-Ġermanja?</v>
      </c>
    </row>
    <row r="4152" ht="15.75" customHeight="1">
      <c r="A4152" s="2" t="s">
        <v>4152</v>
      </c>
      <c r="B4152" s="2" t="str">
        <f>IFERROR(__xludf.DUMMYFUNCTION("GOOGLETRANSLATE(A4152,""en"", ""mt"")"),"L-ekonomista Joseph Stiglitz ippreżenta evidenza fl-2009 li kemm l-inugwaljanza globali kif ukoll l-inugwaljanza fil-pajjiżi jipprevjenu t-tkabbir billi jillimitaw id-domanda aggregata. L-ekonomista Branko Milanovic, kiteb fl-2001 li, ""il-fehma li l-inug"&amp;"waljanza tad-dħul tagħmel ħsara lit-tkabbir - jew li l-ugwaljanza mtejba tista 'tgħin biex issostni t-tkabbir - saret aktar wiesgħa f'dawn l-aħħar snin. ... Ir-raġuni ewlenija għal din il-bidla hija l-importanza dejjem tiżdied ta' Kapitali umana fl-iżvilu"&amp;"pp. Meta l-kapital fiżiku kien il-biċċa l-kbira, it-tfaddil u l-investimenti kienu ewlenin. Imbagħad kien importanti li jkollok kontinġent kbir ta 'nies sinjuri li jistgħu jiffrankaw proporzjon akbar tad-dħul tagħhom milli l-foqra u jinvestuh fil-kapital "&amp;"fiżiku. Imma issa Li l-kapital uman huwa aktar skars mill-magni, l-edukazzjoni mifruxa saret is-sigriet għat-tkabbir. """)</f>
        <v>L-ekonomista Joseph Stiglitz ippreżenta evidenza fl-2009 li kemm l-inugwaljanza globali kif ukoll l-inugwaljanza fil-pajjiżi jipprevjenu t-tkabbir billi jillimitaw id-domanda aggregata. L-ekonomista Branko Milanovic, kiteb fl-2001 li, "il-fehma li l-inugwaljanza tad-dħul tagħmel ħsara lit-tkabbir - jew li l-ugwaljanza mtejba tista 'tgħin biex issostni t-tkabbir - saret aktar wiesgħa f'dawn l-aħħar snin. ... Ir-raġuni ewlenija għal din il-bidla hija l-importanza dejjem tiżdied ta' Kapitali umana fl-iżvilupp. Meta l-kapital fiżiku kien il-biċċa l-kbira, it-tfaddil u l-investimenti kienu ewlenin. Imbagħad kien importanti li jkollok kontinġent kbir ta 'nies sinjuri li jistgħu jiffrankaw proporzjon akbar tad-dħul tagħhom milli l-foqra u jinvestuh fil-kapital fiżiku. Imma issa Li l-kapital uman huwa aktar skars mill-magni, l-edukazzjoni mifruxa saret is-sigriet għat-tkabbir. "</v>
      </c>
    </row>
    <row r="4153" ht="15.75" customHeight="1">
      <c r="A4153" s="2" t="s">
        <v>4153</v>
      </c>
      <c r="B4153" s="2" t="str">
        <f>IFERROR(__xludf.DUMMYFUNCTION("GOOGLETRANSLATE(A4153,""en"", ""mt"")"),"X'indika l-analiżi mid-depożiti tas-sedimenti?")</f>
        <v>X'indika l-analiżi mid-depożiti tas-sedimenti?</v>
      </c>
    </row>
    <row r="4154" ht="15.75" customHeight="1">
      <c r="A4154" s="2" t="s">
        <v>4154</v>
      </c>
      <c r="B4154" s="2" t="str">
        <f>IFERROR(__xludf.DUMMYFUNCTION("GOOGLETRANSLATE(A4154,""en"", ""mt"")"),"Il-Kap tat-Tama t-Tajba")</f>
        <v>Il-Kap tat-Tama t-Tajba</v>
      </c>
    </row>
    <row r="4155" ht="15.75" customHeight="1">
      <c r="A4155" s="2" t="s">
        <v>4155</v>
      </c>
      <c r="B4155" s="2" t="str">
        <f>IFERROR(__xludf.DUMMYFUNCTION("GOOGLETRANSLATE(A4155,""en"", ""mt"")"),"Truppi Franċiżi waqqfu r-rewwixti tal-camisard bejn liema snin?")</f>
        <v>Truppi Franċiżi waqqfu r-rewwixti tal-camisard bejn liema snin?</v>
      </c>
    </row>
    <row r="4156" ht="15.75" customHeight="1">
      <c r="A4156" s="2" t="s">
        <v>4156</v>
      </c>
      <c r="B4156" s="2" t="str">
        <f>IFERROR(__xludf.DUMMYFUNCTION("GOOGLETRANSLATE(A4156,""en"", ""mt"")"),"Exptime")</f>
        <v>Exptime</v>
      </c>
    </row>
    <row r="4157" ht="15.75" customHeight="1">
      <c r="A4157" s="2" t="s">
        <v>4157</v>
      </c>
      <c r="B4157" s="2" t="str">
        <f>IFERROR(__xludf.DUMMYFUNCTION("GOOGLETRANSLATE(A4157,""en"", ""mt"")"),"Fil-mudell b'saffi tad-dinja, il-mantell għandu żewġ saffi taħtha. X'inhuma?")</f>
        <v>Fil-mudell b'saffi tad-dinja, il-mantell għandu żewġ saffi taħtha. X'inhuma?</v>
      </c>
    </row>
    <row r="4158" ht="15.75" customHeight="1">
      <c r="A4158" s="2" t="s">
        <v>4158</v>
      </c>
      <c r="B4158" s="2" t="str">
        <f>IFERROR(__xludf.DUMMYFUNCTION("GOOGLETRANSLATE(A4158,""en"", ""mt"")"),"Baran żviluppa l-kunċett ta 'blokka ta' messaġġi adattivi distribwiti waqt ir-riċerka tiegħu fil-Korporazzjoni RAND għall-Forza tal-Ajru tal-Istati Uniti f'netwerks ta 'komunikazzjonijiet sopraviventi, ippreżentat għall-ewwel darba lill-Forza tal-Ajru fis"&amp;"-sajf tal-1961 bħala Briefing B-265, aktar tard ippubblikat bħala RAND RAPPORT -2626 fl-1962, u finalment fir-Rapport RM 3420 fl-1964. Ir-rapport P-2626 iddeskriva arkitettura ġenerali għal netwerk ta 'komunikazzjoni fuq skala kbira, imqassma u li jista' "&amp;"jibqa '. Ix-xogħol jiffoka fuq tliet ideat ewlenin: l-użu ta 'netwerk deċentralizzat b'ħafna mogħdijiet bejn kwalunkwe żewġ punti, li jaqsmu messaġġi ta' l-utent fi blokki ta 'messaġġi, aktar tard imsejħa pakketti, u konsenja ta' dawn il-messaġġi bil-maħż"&amp;"en u l-iswiċċjar 'il quddiem.")</f>
        <v>Baran żviluppa l-kunċett ta 'blokka ta' messaġġi adattivi distribwiti waqt ir-riċerka tiegħu fil-Korporazzjoni RAND għall-Forza tal-Ajru tal-Istati Uniti f'netwerks ta 'komunikazzjonijiet sopraviventi, ippreżentat għall-ewwel darba lill-Forza tal-Ajru fis-sajf tal-1961 bħala Briefing B-265, aktar tard ippubblikat bħala RAND RAPPORT -2626 fl-1962, u finalment fir-Rapport RM 3420 fl-1964. Ir-rapport P-2626 iddeskriva arkitettura ġenerali għal netwerk ta 'komunikazzjoni fuq skala kbira, imqassma u li jista' jibqa '. Ix-xogħol jiffoka fuq tliet ideat ewlenin: l-użu ta 'netwerk deċentralizzat b'ħafna mogħdijiet bejn kwalunkwe żewġ punti, li jaqsmu messaġġi ta' l-utent fi blokki ta 'messaġġi, aktar tard imsejħa pakketti, u konsenja ta' dawn il-messaġġi bil-maħżen u l-iswiċċjar 'il quddiem.</v>
      </c>
    </row>
    <row r="4159" ht="15.75" customHeight="1">
      <c r="A4159" s="2" t="s">
        <v>4159</v>
      </c>
      <c r="B4159" s="2" t="str">
        <f>IFERROR(__xludf.DUMMYFUNCTION("GOOGLETRANSLATE(A4159,""en"", ""mt"")"),"Internet2 huwa konsorzju ta 'netwerking tal-kompjuter ta' l-Istati Uniti mhux għall-profitt immexxi minn membri mill-komunitajiet ta 'riċerka u edukazzjoni, industrija u gvern. Il-komunità tal-Internet2, fi sħubija ma 'QWest, bniet l-ewwel netwerk Interne"&amp;"t2, imsejjaħ Abilene, fl-1998 u kienet investitur ewlieni fil-proġett Nazzjonali Lambdarail (NLR). Fl-2006, Internet2 ħabbret sħubija ma 'komunikazzjonijiet ta' Livell 3 biex tniedi netwerk ġdid ta 'nazzjon fjamant, li tagħti spinta lill-kapaċità tagħha m"&amp;"inn 10 GBit / s għal 100 Gbit / s. F'Ottubru, 2007, Internet2 irtira uffiċjalment Abilene u issa tirreferi għan-netwerk ġdid u ogħla ta 'kapaċità tagħha bħala n-netwerk Internet2.")</f>
        <v>Internet2 huwa konsorzju ta 'netwerking tal-kompjuter ta' l-Istati Uniti mhux għall-profitt immexxi minn membri mill-komunitajiet ta 'riċerka u edukazzjoni, industrija u gvern. Il-komunità tal-Internet2, fi sħubija ma 'QWest, bniet l-ewwel netwerk Internet2, imsejjaħ Abilene, fl-1998 u kienet investitur ewlieni fil-proġett Nazzjonali Lambdarail (NLR). Fl-2006, Internet2 ħabbret sħubija ma 'komunikazzjonijiet ta' Livell 3 biex tniedi netwerk ġdid ta 'nazzjon fjamant, li tagħti spinta lill-kapaċità tagħha minn 10 GBit / s għal 100 Gbit / s. F'Ottubru, 2007, Internet2 irtira uffiċjalment Abilene u issa tirreferi għan-netwerk ġdid u ogħla ta 'kapaċità tagħha bħala n-netwerk Internet2.</v>
      </c>
    </row>
    <row r="4160" ht="15.75" customHeight="1">
      <c r="A4160" s="2" t="s">
        <v>4160</v>
      </c>
      <c r="B4160" s="2" t="str">
        <f>IFERROR(__xludf.DUMMYFUNCTION("GOOGLETRANSLATE(A4160,""en"", ""mt"")"),"Fin-nofsinhar")</f>
        <v>Fin-nofsinhar</v>
      </c>
    </row>
    <row r="4161" ht="15.75" customHeight="1">
      <c r="A4161" s="2" t="s">
        <v>4161</v>
      </c>
      <c r="B4161" s="2" t="str">
        <f>IFERROR(__xludf.DUMMYFUNCTION("GOOGLETRANSLATE(A4161,""en"", ""mt"")"),"iż-żgħażagħ u l-anzjani")</f>
        <v>iż-żgħażagħ u l-anzjani</v>
      </c>
    </row>
    <row r="4162" ht="15.75" customHeight="1">
      <c r="A4162" s="2" t="s">
        <v>4162</v>
      </c>
      <c r="B4162" s="2" t="str">
        <f>IFERROR(__xludf.DUMMYFUNCTION("GOOGLETRANSLATE(A4162,""en"", ""mt"")"),"Kelliema jinnominaw")</f>
        <v>Kelliema jinnominaw</v>
      </c>
    </row>
    <row r="4163" ht="15.75" customHeight="1">
      <c r="A4163" s="2" t="s">
        <v>4163</v>
      </c>
      <c r="B4163" s="2" t="str">
        <f>IFERROR(__xludf.DUMMYFUNCTION("GOOGLETRANSLATE(A4163,""en"", ""mt"")"),"ħoss każwali")</f>
        <v>ħoss każwali</v>
      </c>
    </row>
    <row r="4164" ht="15.75" customHeight="1">
      <c r="A4164" s="2" t="s">
        <v>4164</v>
      </c>
      <c r="B4164" s="2" t="str">
        <f>IFERROR(__xludf.DUMMYFUNCTION("GOOGLETRANSLATE(A4164,""en"", ""mt"")"),"In-Nofsinhar tal-Kalifornja tinkludi ż-żona urbana mibnija ħafna tul il-kosta tal-Paċifiku minn Ventura, permezz tal-Greater Los Angeles Area u l-Imperu Intern, u 'l isfel għall-Greater San Diego. Il-popolazzjoni tan-Nofsinhar ta 'California tiġbor fiha s"&amp;"eba' żoni metropolitani, jew MSAs: iż-żona metropolitana ta 'Los Angeles, li tikkonsisti minn kontej ta' Los Angeles u Orange; l-imperu intern, li jikkonsisti minn kontej Riverside u San Bernardino; iż-żona metropolitana ta 'San Diego; Iż-żona metropolita"&amp;"na ta 'Oxnard - Elf Oaks-Ventura; iż-żona tal-metro Santa Barbara; iż-żona metropolitana ta 'San Luis Obispo; u ż-żona El Centro. Minn dawn, tlieta huma żoni b'popolazzjoni qawwija: iż-żona ta 'Los Angeles b'aktar minn 12-il miljun abitant, iż-żona Rivers"&amp;"ide-San Bernardino b'aktar minn erba' miljun abitant, u ż-żona ta 'San Diego b'aktar minn 3 miljun abitant. Għal skopijiet metropolitani CSA, il-ħames kontej ta 'Los Angeles, Orange, Riverside, San Bernardino, u Ventura huma kollha kkombinati biex jagħmlu"&amp;" l-akbar żona ta' Los Angeles b'aktar minn 17.5 miljun persuna. B'aktar minn 22 miljun persuna, in-Nofsinhar ta 'California fih madwar 60 fil-mija tal-popolazzjoni ta' California.")</f>
        <v>In-Nofsinhar tal-Kalifornja tinkludi ż-żona urbana mibnija ħafna tul il-kosta tal-Paċifiku minn Ventura, permezz tal-Greater Los Angeles Area u l-Imperu Intern, u 'l isfel għall-Greater San Diego. Il-popolazzjoni tan-Nofsinhar ta 'California tiġbor fiha seba' żoni metropolitani, jew MSAs: iż-żona metropolitana ta 'Los Angeles, li tikkonsisti minn kontej ta' Los Angeles u Orange; l-imperu intern, li jikkonsisti minn kontej Riverside u San Bernardino; iż-żona metropolitana ta 'San Diego; Iż-żona metropolitana ta 'Oxnard - Elf Oaks-Ventura; iż-żona tal-metro Santa Barbara; iż-żona metropolitana ta 'San Luis Obispo; u ż-żona El Centro. Minn dawn, tlieta huma żoni b'popolazzjoni qawwija: iż-żona ta 'Los Angeles b'aktar minn 12-il miljun abitant, iż-żona Riverside-San Bernardino b'aktar minn erba' miljun abitant, u ż-żona ta 'San Diego b'aktar minn 3 miljun abitant. Għal skopijiet metropolitani CSA, il-ħames kontej ta 'Los Angeles, Orange, Riverside, San Bernardino, u Ventura huma kollha kkombinati biex jagħmlu l-akbar żona ta' Los Angeles b'aktar minn 17.5 miljun persuna. B'aktar minn 22 miljun persuna, in-Nofsinhar ta 'California fih madwar 60 fil-mija tal-popolazzjoni ta' California.</v>
      </c>
    </row>
    <row r="4165" ht="15.75" customHeight="1">
      <c r="A4165" s="2" t="s">
        <v>4165</v>
      </c>
      <c r="B4165" s="2" t="str">
        <f>IFERROR(__xludf.DUMMYFUNCTION("GOOGLETRANSLATE(A4165,""en"", ""mt"")"),"Il-kontej tagħha ta 'Los Angeles, Orange, San Diego, San Bernardino, u Riverside huma l-ħames l-aktar popolati fl-istat u kollha jinsabu fl-aqwa 15-il kontej l-iktar popolati fl-Istati Uniti.")</f>
        <v>Il-kontej tagħha ta 'Los Angeles, Orange, San Diego, San Bernardino, u Riverside huma l-ħames l-aktar popolati fl-istat u kollha jinsabu fl-aqwa 15-il kontej l-iktar popolati fl-Istati Uniti.</v>
      </c>
    </row>
    <row r="4166" ht="15.75" customHeight="1">
      <c r="A4166" s="2" t="s">
        <v>4166</v>
      </c>
      <c r="B4166" s="2" t="str">
        <f>IFERROR(__xludf.DUMMYFUNCTION("GOOGLETRANSLATE(A4166,""en"", ""mt"")"),"Minkejja r-repressjoni perjodika, il-fratellanza saret waħda mill-aktar movimenti influwenti fid-dinja Iżlamika, partikolarment fid-dinja Għarbija. Għal ħafna snin ġie deskritt bħala ""semi-legali"" u kien l-uniku grupp ta 'oppożizzjoni fl-Eġittu li kapaċ"&amp;"i jsaħħaħ il-kandidati waqt l-elezzjonijiet. Fl-elezzjoni Parlamentari Eġizzjana, 2011-2012, il-partiti politiċi identifikati bħala ""Iżlamisti"" (il-Partit tal-Libertà u l-Ġustizzja tal-Fratellanza, il-Partit Salafi al-Nour u l-Partit Liberali Iżlamista "&amp;"Al-Wasat) rebħu 75% tas-siġġijiet totali. Mohamed Morsi, Demokratiku Iżlamista tal-Fratellanza Musulmana, kien l-ewwel president elett demokratikament tal-Eġittu. Huwa ġie depożitat matul il-kolp ta 'stat Eġizzjan 2013.")</f>
        <v>Minkejja r-repressjoni perjodika, il-fratellanza saret waħda mill-aktar movimenti influwenti fid-dinja Iżlamika, partikolarment fid-dinja Għarbija. Għal ħafna snin ġie deskritt bħala "semi-legali" u kien l-uniku grupp ta 'oppożizzjoni fl-Eġittu li kapaċi jsaħħaħ il-kandidati waqt l-elezzjonijiet. Fl-elezzjoni Parlamentari Eġizzjana, 2011-2012, il-partiti politiċi identifikati bħala "Iżlamisti" (il-Partit tal-Libertà u l-Ġustizzja tal-Fratellanza, il-Partit Salafi al-Nour u l-Partit Liberali Iżlamista Al-Wasat) rebħu 75% tas-siġġijiet totali. Mohamed Morsi, Demokratiku Iżlamista tal-Fratellanza Musulmana, kien l-ewwel president elett demokratikament tal-Eġittu. Huwa ġie depożitat matul il-kolp ta 'stat Eġizzjan 2013.</v>
      </c>
    </row>
    <row r="4167" ht="15.75" customHeight="1">
      <c r="A4167" s="2" t="s">
        <v>4167</v>
      </c>
      <c r="B4167" s="2" t="str">
        <f>IFERROR(__xludf.DUMMYFUNCTION("GOOGLETRANSLATE(A4167,""en"", ""mt"")"),"""Ipotesi ta 'Huges""")</f>
        <v>"Ipotesi ta 'Huges"</v>
      </c>
    </row>
    <row r="4168" ht="15.75" customHeight="1">
      <c r="A4168" s="2" t="s">
        <v>4168</v>
      </c>
      <c r="B4168" s="2" t="str">
        <f>IFERROR(__xludf.DUMMYFUNCTION("GOOGLETRANSLATE(A4168,""en"", ""mt"")"),"Fl-1749 il-gvern Ingliż ta art lill-Kumpanija ta ’Ohio ta’ Virginia bil-għan li tiżviluppa kummerċ u insedjamenti fil-pajjiż ta ’Ohio. L-għotja kienet teħtieġ li tissetilja 100 familja fit-territorju, u tibni fort għall-protezzjoni tagħhom. Iżda, hekk kif"&amp;" it-territorju kien iddikjarat ukoll minn Pennsylvania, iż-żewġ kolonji bdew jimbuttaw għall-azzjoni biex itejbu t-talbiet rispettivi tagħhom. Fl-1750 Christopher Gist, li jaġixxi f'isem Virginia kif ukoll tal-kumpanija, esplora t-territorju ta 'Ohio u fe"&amp;"taħ negozjati mat-tribujiet Indjani f'Logstown. Huwa temm it-Trattat ta 'Logstown tal-1752 li fih l-Indjani lokali, permezz ta' ""nofs ir-re"" tagħhom ta 'Tanacharison u rappreżentant ta' Iroquois, qablu ma 'termini li kienu jinkludu permess biex jibnu """&amp;"dar b'saħħitha"" fil-bokka tax-xmara Monongahela (is-sit ta' Pittsburgh preżenti, Pennsylvania). Sal-aħħar tas-seklu 17, l-Iroquois kien imbuttat ħafna tribujiet 'il barra mill-wied ta' Ohio, u żammha bħala l-art tal-kaċċa bid-dritt tal-konkwista.")</f>
        <v>Fl-1749 il-gvern Ingliż ta art lill-Kumpanija ta ’Ohio ta’ Virginia bil-għan li tiżviluppa kummerċ u insedjamenti fil-pajjiż ta ’Ohio. L-għotja kienet teħtieġ li tissetilja 100 familja fit-territorju, u tibni fort għall-protezzjoni tagħhom. Iżda, hekk kif it-territorju kien iddikjarat ukoll minn Pennsylvania, iż-żewġ kolonji bdew jimbuttaw għall-azzjoni biex itejbu t-talbiet rispettivi tagħhom. Fl-1750 Christopher Gist, li jaġixxi f'isem Virginia kif ukoll tal-kumpanija, esplora t-territorju ta 'Ohio u fetaħ negozjati mat-tribujiet Indjani f'Logstown. Huwa temm it-Trattat ta 'Logstown tal-1752 li fih l-Indjani lokali, permezz ta' "nofs ir-re" tagħhom ta 'Tanacharison u rappreżentant ta' Iroquois, qablu ma 'termini li kienu jinkludu permess biex jibnu "dar b'saħħitha" fil-bokka tax-xmara Monongahela (is-sit ta' Pittsburgh preżenti, Pennsylvania). Sal-aħħar tas-seklu 17, l-Iroquois kien imbuttat ħafna tribujiet 'il barra mill-wied ta' Ohio, u żammha bħala l-art tal-kaċċa bid-dritt tal-konkwista.</v>
      </c>
    </row>
    <row r="4169" ht="15.75" customHeight="1">
      <c r="A4169" s="2" t="s">
        <v>4169</v>
      </c>
      <c r="B4169" s="2" t="str">
        <f>IFERROR(__xludf.DUMMYFUNCTION("GOOGLETRANSLATE(A4169,""en"", ""mt"")"),"Bejn is-snin 1880 u t-Tieni Gwerra Dinjija, id-downtown Fresno iffjorixxa, mimli karozzi tat-triq elettrika, u kien fih uħud mill-isbaħ bini arkitettoniku tal-Wied ta 'San Joaquin. Fost dawn, il-Qorti oriġinali tal-Kontea ta 'Fresno (imwaqqa), il-Librerij"&amp;"a Pubblika ta' Fresno Carnegie (imwaqqa), it-Torri tal-Ilma Fresno, il-Bank tal-Bank of Italja, il-Bini tal-Lbiċ tal-Paċifiku, il-bini tad-dawl u l-enerġija ta 'San Joaquin (bħalissa magħruf bħala l-Grand 1401), u l-lukanda Hughes (maħruqa), biex insemmu "&amp;"xi ftit.")</f>
        <v>Bejn is-snin 1880 u t-Tieni Gwerra Dinjija, id-downtown Fresno iffjorixxa, mimli karozzi tat-triq elettrika, u kien fih uħud mill-isbaħ bini arkitettoniku tal-Wied ta 'San Joaquin. Fost dawn, il-Qorti oriġinali tal-Kontea ta 'Fresno (imwaqqa), il-Librerija Pubblika ta' Fresno Carnegie (imwaqqa), it-Torri tal-Ilma Fresno, il-Bank tal-Bank of Italja, il-Bini tal-Lbiċ tal-Paċifiku, il-bini tad-dawl u l-enerġija ta 'San Joaquin (bħalissa magħruf bħala l-Grand 1401), u l-lukanda Hughes (maħruqa), biex insemmu xi ftit.</v>
      </c>
    </row>
    <row r="4170" ht="15.75" customHeight="1">
      <c r="A4170" s="2" t="s">
        <v>4170</v>
      </c>
      <c r="B4170" s="2" t="str">
        <f>IFERROR(__xludf.DUMMYFUNCTION("GOOGLETRANSLATE(A4170,""en"", ""mt"")"),"L-Amerika Ingliża u Franza l-ġdida")</f>
        <v>L-Amerika Ingliża u Franza l-ġdida</v>
      </c>
    </row>
    <row r="4171" ht="15.75" customHeight="1">
      <c r="A4171" s="2" t="s">
        <v>4171</v>
      </c>
      <c r="B4171" s="2" t="str">
        <f>IFERROR(__xludf.DUMMYFUNCTION("GOOGLETRANSLATE(A4171,""en"", ""mt"")"),"X'tip ta 'pagi ma jistgħux jaffordjaw edukazzjoni?")</f>
        <v>X'tip ta 'pagi ma jistgħux jaffordjaw edukazzjoni?</v>
      </c>
    </row>
    <row r="4172" ht="15.75" customHeight="1">
      <c r="A4172" s="2" t="s">
        <v>4172</v>
      </c>
      <c r="B4172" s="2" t="str">
        <f>IFERROR(__xludf.DUMMYFUNCTION("GOOGLETRANSLATE(A4172,""en"", ""mt"")"),"Minn liema sistema tal-muntanji huma l-Alpi Vittorjani?")</f>
        <v>Minn liema sistema tal-muntanji huma l-Alpi Vittorjani?</v>
      </c>
    </row>
    <row r="4173" ht="15.75" customHeight="1">
      <c r="A4173" s="2" t="s">
        <v>4173</v>
      </c>
      <c r="B4173" s="2" t="str">
        <f>IFERROR(__xludf.DUMMYFUNCTION("GOOGLETRANSLATE(A4173,""en"", ""mt"")"),"John B. Goodenough")</f>
        <v>John B. Goodenough</v>
      </c>
    </row>
    <row r="4174" ht="15.75" customHeight="1">
      <c r="A4174" s="2" t="s">
        <v>4174</v>
      </c>
      <c r="B4174" s="2" t="str">
        <f>IFERROR(__xludf.DUMMYFUNCTION("GOOGLETRANSLATE(A4174,""en"", ""mt"")"),"L-IPCC jikkonċentra l-attivitajiet tiegħu fuq il-kompiti allokati għalih mill-Kunsill Eżekuttiv tal-WMO rilevanti u l-UNEP li jirregola r-riżoluzzjonijiet u d-deċiżjonijiet tal-Kunsill kif ukoll fuq azzjonijiet b'appoġġ għall-proċess UNFCCC. Filwaqt li l-"&amp;"preparazzjoni tar-rapporti ta 'valutazzjoni hija funzjoni ewlenija tal-IPCC, hija tappoġġa wkoll attivitajiet oħra, bħaċ-Ċentru tad-Distribuzzjoni tad-Dejta u l-Programm Nazzjonali tal-Inventar tal-Gass serra, meħtieġa taħt l-UNFCCC. Dan jinvolvi l-pubbli"&amp;"kazzjoni ta 'fatturi ta' emissjoni ta 'inadempjenza, li huma fatturi użati biex jiġu derivati ​​stimi ta' emissjonijiet ibbażati fuq il-livelli ta 'konsum ta' fjuwil, produzzjoni industrijali u l-bqija.")</f>
        <v>L-IPCC jikkonċentra l-attivitajiet tiegħu fuq il-kompiti allokati għalih mill-Kunsill Eżekuttiv tal-WMO rilevanti u l-UNEP li jirregola r-riżoluzzjonijiet u d-deċiżjonijiet tal-Kunsill kif ukoll fuq azzjonijiet b'appoġġ għall-proċess UNFCCC. Filwaqt li l-preparazzjoni tar-rapporti ta 'valutazzjoni hija funzjoni ewlenija tal-IPCC, hija tappoġġa wkoll attivitajiet oħra, bħaċ-Ċentru tad-Distribuzzjoni tad-Dejta u l-Programm Nazzjonali tal-Inventar tal-Gass serra, meħtieġa taħt l-UNFCCC. Dan jinvolvi l-pubblikazzjoni ta 'fatturi ta' emissjoni ta 'inadempjenza, li huma fatturi użati biex jiġu derivati ​​stimi ta' emissjonijiet ibbażati fuq il-livelli ta 'konsum ta' fjuwil, produzzjoni industrijali u l-bqija.</v>
      </c>
    </row>
    <row r="4175" ht="15.75" customHeight="1">
      <c r="A4175" s="2" t="s">
        <v>4175</v>
      </c>
      <c r="B4175" s="2" t="str">
        <f>IFERROR(__xludf.DUMMYFUNCTION("GOOGLETRANSLATE(A4175,""en"", ""mt"")"),"Liema kumpanija għandha ABC?")</f>
        <v>Liema kumpanija għandha ABC?</v>
      </c>
    </row>
    <row r="4176" ht="15.75" customHeight="1">
      <c r="A4176" s="2" t="s">
        <v>4176</v>
      </c>
      <c r="B4176" s="2" t="str">
        <f>IFERROR(__xludf.DUMMYFUNCTION("GOOGLETRANSLATE(A4176,""en"", ""mt"")"),"Liema kumpanija kummerċjali għenet biex tissetilja Huguenots ħdejn il-Kap?")</f>
        <v>Liema kumpanija kummerċjali għenet biex tissetilja Huguenots ħdejn il-Kap?</v>
      </c>
    </row>
    <row r="4177" ht="15.75" customHeight="1">
      <c r="A4177" s="2" t="s">
        <v>4177</v>
      </c>
      <c r="B4177" s="2" t="str">
        <f>IFERROR(__xludf.DUMMYFUNCTION("GOOGLETRANSLATE(A4177,""en"", ""mt"")"),"Liema sett fiss ta 'fatturi jiddetermina l-azzjonijiet ta' magna tat-Turing deterministika")</f>
        <v>Liema sett fiss ta 'fatturi jiddetermina l-azzjonijiet ta' magna tat-Turing deterministika</v>
      </c>
    </row>
    <row r="4178" ht="15.75" customHeight="1">
      <c r="A4178" s="2" t="s">
        <v>4178</v>
      </c>
      <c r="B4178" s="2" t="str">
        <f>IFERROR(__xludf.DUMMYFUNCTION("GOOGLETRANSLATE(A4178,""en"", ""mt"")"),"Qoxra u l-ogħla porzjon riġidu tal-mantell ta 'fuq")</f>
        <v>Qoxra u l-ogħla porzjon riġidu tal-mantell ta 'fuq</v>
      </c>
    </row>
    <row r="4179" ht="15.75" customHeight="1">
      <c r="A4179" s="2" t="s">
        <v>4179</v>
      </c>
      <c r="B4179" s="2" t="str">
        <f>IFERROR(__xludf.DUMMYFUNCTION("GOOGLETRANSLATE(A4179,""en"", ""mt"")"),"Montpellier kien fost l-aktar importanti mis-66 ""Ville de Sûreté"" li l-editt tal-1598 ingħata lill-Huguenots. L-istituzzjonijiet politiċi tal-belt u l-università ngħataw lill-Huguenots. It-tensjoni ma 'Pariġi wasslet għal assedju mill-Armata Rjali fl-16"&amp;"22. It-termini tal-paċi talbu ż-żarmar tal-fortifikazzjonijiet tal-belt. Inbniet Ċittadella rjali u l-università u l-konsulat ittieħdu mill-Partit Kattoliku. Anke qabel l-Editt ta 'Alès (1629), il-ħakma Protestanta kienet mejta u l-Ville de Sûreté ma kien"&amp;"x aktar. [Ċitazzjoni meħtieġa]")</f>
        <v>Montpellier kien fost l-aktar importanti mis-66 "Ville de Sûreté" li l-editt tal-1598 ingħata lill-Huguenots. L-istituzzjonijiet politiċi tal-belt u l-università ngħataw lill-Huguenots. It-tensjoni ma 'Pariġi wasslet għal assedju mill-Armata Rjali fl-1622. It-termini tal-paċi talbu ż-żarmar tal-fortifikazzjonijiet tal-belt. Inbniet Ċittadella rjali u l-università u l-konsulat ittieħdu mill-Partit Kattoliku. Anke qabel l-Editt ta 'Alès (1629), il-ħakma Protestanta kienet mejta u l-Ville de Sûreté ma kienx aktar. [Ċitazzjoni meħtieġa]</v>
      </c>
    </row>
    <row r="4180" ht="15.75" customHeight="1">
      <c r="A4180" s="2" t="s">
        <v>4180</v>
      </c>
      <c r="B4180" s="2" t="str">
        <f>IFERROR(__xludf.DUMMYFUNCTION("GOOGLETRANSLATE(A4180,""en"", ""mt"")"),"inversament")</f>
        <v>inversament</v>
      </c>
    </row>
    <row r="4181" ht="15.75" customHeight="1">
      <c r="A4181" s="2" t="s">
        <v>4181</v>
      </c>
      <c r="B4181" s="2" t="str">
        <f>IFERROR(__xludf.DUMMYFUNCTION("GOOGLETRANSLATE(A4181,""en"", ""mt"")"),"Kemm it-trab jiġi minfuħ fis-sonar kull sena")</f>
        <v>Kemm it-trab jiġi minfuħ fis-sonar kull sena</v>
      </c>
    </row>
    <row r="4182" ht="15.75" customHeight="1">
      <c r="A4182" s="2" t="s">
        <v>4182</v>
      </c>
      <c r="B4182" s="2" t="str">
        <f>IFERROR(__xludf.DUMMYFUNCTION("GOOGLETRANSLATE(A4182,""en"", ""mt"")"),"X’naqsmu fl-għadd bejn l-1984 u l-1991?")</f>
        <v>X’naqsmu fl-għadd bejn l-1984 u l-1991?</v>
      </c>
    </row>
    <row r="4183" ht="15.75" customHeight="1">
      <c r="A4183" s="2" t="s">
        <v>4183</v>
      </c>
      <c r="B4183" s="2" t="str">
        <f>IFERROR(__xludf.DUMMYFUNCTION("GOOGLETRANSLATE(A4183,""en"", ""mt"")"),"Min iddikjara li ried li Iżrael jisparixxi?")</f>
        <v>Min iddikjara li ried li Iżrael jisparixxi?</v>
      </c>
    </row>
    <row r="4184" ht="15.75" customHeight="1">
      <c r="A4184" s="2" t="s">
        <v>4184</v>
      </c>
      <c r="B4184" s="2" t="str">
        <f>IFERROR(__xludf.DUMMYFUNCTION("GOOGLETRANSLATE(A4184,""en"", ""mt"")"),"iterattivament")</f>
        <v>iterattivament</v>
      </c>
    </row>
    <row r="4185" ht="15.75" customHeight="1">
      <c r="A4185" s="2" t="s">
        <v>4185</v>
      </c>
      <c r="B4185" s="2" t="str">
        <f>IFERROR(__xludf.DUMMYFUNCTION("GOOGLETRANSLATE(A4185,""en"", ""mt"")"),"il-mudell tad-datagramma")</f>
        <v>il-mudell tad-datagramma</v>
      </c>
    </row>
    <row r="4186" ht="15.75" customHeight="1">
      <c r="A4186" s="2" t="s">
        <v>4186</v>
      </c>
      <c r="B4186" s="2" t="str">
        <f>IFERROR(__xludf.DUMMYFUNCTION("GOOGLETRANSLATE(A4186,""en"", ""mt"")"),"Minkejja l-pożizzjoni għolja mogħtija lill-Musulmani, xi politiki tal-Imperaturi tal-Yuan jiddiskriminaw severament kontrihom, li jirrestrinġu l-qatla halal u prattiki Iżlamiċi oħra bħaċ-ċirkonċiżjoni, kif ukoll il-biċċier tal-kosher għal-Lhud, u ġiegħluh"&amp;"om jieklu l-ikel bil-Mongol. Lejn it-tmiem, il-korruzzjoni u l-persekuzzjoni saru daqshekk severi li l-Ġenerali Musulmani ngħaqdu maċ-Ċiniż Han fir-ribelli kontra l-Mongoli. Il-fundatur Ming Zhu Yuanzhang kellu ġenerali Musulmani bħal Lan Yu li rribella k"&amp;"ontra l-Mongoli u għelebhom fil-ġlieda kontra. Xi komunitajiet Musulmani kellhom kunjom Ċiniż li kien ifisser ""kwartieri"" u jistgħu jfissru wkoll ""grazzi"". Ħafna Musulmani Hui jiddikjaraw li dan huwa minħabba li kellhom rwol importanti fit-twaqqigħ ta"&amp;"l-Mongoli u ngħata grazzi miċ-Ċiniżi Han talli assistewhom. Matul il-ġlieda kontra l-Mongoli, fost l-armati tal-Imperatur Ming Zhu Yuanzhang kien hemm il-Hui Musulman Feng Sheng. Il-Musulmani fil-klassi Semu rrevoljaw ukoll kontra d-dinastija Yuan fir-rib"&amp;"elljoni tal-ISPAH iżda r-ribelljoni ġiet imfarrka u l-Musulmani ġew massakrati mill-kmandant lealista tal-wan Chen Youding.")</f>
        <v>Minkejja l-pożizzjoni għolja mogħtija lill-Musulmani, xi politiki tal-Imperaturi tal-Yuan jiddiskriminaw severament kontrihom, li jirrestrinġu l-qatla halal u prattiki Iżlamiċi oħra bħaċ-ċirkonċiżjoni, kif ukoll il-biċċier tal-kosher għal-Lhud, u ġiegħluhom jieklu l-ikel bil-Mongol. Lejn it-tmiem, il-korruzzjoni u l-persekuzzjoni saru daqshekk severi li l-Ġenerali Musulmani ngħaqdu maċ-Ċiniż Han fir-ribelli kontra l-Mongoli. Il-fundatur Ming Zhu Yuanzhang kellu ġenerali Musulmani bħal Lan Yu li rribella kontra l-Mongoli u għelebhom fil-ġlieda kontra. Xi komunitajiet Musulmani kellhom kunjom Ċiniż li kien ifisser "kwartieri" u jistgħu jfissru wkoll "grazzi". Ħafna Musulmani Hui jiddikjaraw li dan huwa minħabba li kellhom rwol importanti fit-twaqqigħ tal-Mongoli u ngħata grazzi miċ-Ċiniżi Han talli assistewhom. Matul il-ġlieda kontra l-Mongoli, fost l-armati tal-Imperatur Ming Zhu Yuanzhang kien hemm il-Hui Musulman Feng Sheng. Il-Musulmani fil-klassi Semu rrevoljaw ukoll kontra d-dinastija Yuan fir-ribelljoni tal-ISPAH iżda r-ribelljoni ġiet imfarrka u l-Musulmani ġew massakrati mill-kmandant lealista tal-wan Chen Youding.</v>
      </c>
    </row>
    <row r="4187" ht="15.75" customHeight="1">
      <c r="A4187" s="2" t="s">
        <v>4187</v>
      </c>
      <c r="B4187" s="2" t="str">
        <f>IFERROR(__xludf.DUMMYFUNCTION("GOOGLETRANSLATE(A4187,""en"", ""mt"")"),"il-post ċentrali tiegħu")</f>
        <v>il-post ċentrali tiegħu</v>
      </c>
    </row>
    <row r="4188" ht="15.75" customHeight="1">
      <c r="A4188" s="2" t="s">
        <v>4188</v>
      </c>
      <c r="B4188" s="2" t="str">
        <f>IFERROR(__xludf.DUMMYFUNCTION("GOOGLETRANSLATE(A4188,""en"", ""mt"")"),"Min jista 'jinforza l-liġi tal-Unjoni Ewropea?")</f>
        <v>Min jista 'jinforza l-liġi tal-Unjoni Ewropea?</v>
      </c>
    </row>
    <row r="4189" ht="15.75" customHeight="1">
      <c r="A4189" s="2" t="s">
        <v>4189</v>
      </c>
      <c r="B4189" s="2" t="str">
        <f>IFERROR(__xludf.DUMMYFUNCTION("GOOGLETRANSLATE(A4189,""en"", ""mt"")"),"Min hu eliġibbli biex jitfa 'isimhom fil-kappell biex ikun l-ewwel ministru?")</f>
        <v>Min hu eliġibbli biex jitfa 'isimhom fil-kappell biex ikun l-ewwel ministru?</v>
      </c>
    </row>
    <row r="4190" ht="15.75" customHeight="1">
      <c r="A4190" s="2" t="s">
        <v>4190</v>
      </c>
      <c r="B4190" s="2" t="str">
        <f>IFERROR(__xludf.DUMMYFUNCTION("GOOGLETRANSLATE(A4190,""en"", ""mt"")"),"Perjodu ta 'Cambrian.")</f>
        <v>Perjodu ta 'Cambrian.</v>
      </c>
    </row>
    <row r="4191" ht="15.75" customHeight="1">
      <c r="A4191" s="2" t="s">
        <v>4191</v>
      </c>
      <c r="B4191" s="2" t="str">
        <f>IFERROR(__xludf.DUMMYFUNCTION("GOOGLETRANSLATE(A4191,""en"", ""mt"")"),"Oriġini lingwistiċi doppji jew tripli mhux Franċiżi")</f>
        <v>Oriġini lingwistiċi doppji jew tripli mhux Franċiżi</v>
      </c>
    </row>
    <row r="4192" ht="15.75" customHeight="1">
      <c r="A4192" s="2" t="s">
        <v>4192</v>
      </c>
      <c r="B4192" s="2" t="str">
        <f>IFERROR(__xludf.DUMMYFUNCTION("GOOGLETRANSLATE(A4192,""en"", ""mt"")"),"In-nazzjonijiet industrijalizzati żiedu r-riservi tagħhom")</f>
        <v>In-nazzjonijiet industrijalizzati żiedu r-riservi tagħhom</v>
      </c>
    </row>
    <row r="4193" ht="15.75" customHeight="1">
      <c r="A4193" s="2" t="s">
        <v>4193</v>
      </c>
      <c r="B4193" s="2" t="str">
        <f>IFERROR(__xludf.DUMMYFUNCTION("GOOGLETRANSLATE(A4193,""en"", ""mt"")"),"It-trattati ewlenin li jiffurmaw l-Unjoni Ewropea bdew b'regoli komuni għall-faħam u l-azzar, u mbagħad l-enerġija atomika, iżda istituzzjonijiet aktar kompluti u formali ġew stabbiliti permezz tat-Trattat ta 'Ruma 1957 u t-Trattat Maastricht 1992 (issa: "&amp;"TFEU). Emendi minuri saru matul is-snin 1960 u 1970. Ġew iffirmati trattati ewlenin li jemendaw biex jitlesta l-iżvilupp ta 'suq intern wieħed fl-Att Uniku Ewropew tal-1986, biex ikompli l-iżvilupp ta' Ewropa aktar soċjali fit-Trattat ta 'Amsterdam 1997, "&amp;"u biex jagħmlu emendi minuri għall-poter relattiv tal-Istati Membri Fl-istituzzjonijiet tal-UE fit-Trattat ta 'Nizza 2001 u t-Trattat ta' Lisbona 2007. Mill-istabbiliment tiegħu, aktar stati membri ngħaqdu permezz ta 'serje ta' trattati ta 'adeżjoni, mir-"&amp;"Renju Unit, l-Irlanda, id-Danimarka u n-Norveġja fl-1972 (għalkemm in-Norveġja ma ntemmitx Ingħaqad), il-Greċja fl-1979, Spanja u l-Portugall 1985, l-Awstrija, il-Finlandja, in-Norveġja u l-Iżvezja fl-1994 (għalkemm għal darb'oħra n-Norveġja naqset milli "&amp;"tissieħeb, minħabba nuqqas ta 'appoġġ fir-referendum), ir-Repubblika Ċeka, Ċipru, Ċipru, l-Estonja, l-Ungerija, Il-Latvja, il-Litwanja, Malta, il-Polonja, is-Slovakkja u s-Slovenja fl-2004, ir-Rumanija u l-Bulgarija fl-2007 u l-Kroazja fl-2013. Greenland "&amp;"iffirmat trattat fl-1985 billi taha status speċjali.")</f>
        <v>It-trattati ewlenin li jiffurmaw l-Unjoni Ewropea bdew b'regoli komuni għall-faħam u l-azzar, u mbagħad l-enerġija atomika, iżda istituzzjonijiet aktar kompluti u formali ġew stabbiliti permezz tat-Trattat ta 'Ruma 1957 u t-Trattat Maastricht 1992 (issa: TFEU). Emendi minuri saru matul is-snin 1960 u 1970. Ġew iffirmati trattati ewlenin li jemendaw biex jitlesta l-iżvilupp ta 'suq intern wieħed fl-Att Uniku Ewropew tal-1986, biex ikompli l-iżvilupp ta' Ewropa aktar soċjali fit-Trattat ta 'Amsterdam 1997, u biex jagħmlu emendi minuri għall-poter relattiv tal-Istati Membri Fl-istituzzjonijiet tal-UE fit-Trattat ta 'Nizza 2001 u t-Trattat ta' Lisbona 2007. Mill-istabbiliment tiegħu, aktar stati membri ngħaqdu permezz ta 'serje ta' trattati ta 'adeżjoni, mir-Renju Unit, l-Irlanda, id-Danimarka u n-Norveġja fl-1972 (għalkemm in-Norveġja ma ntemmitx Ingħaqad), il-Greċja fl-1979, Spanja u l-Portugall 1985, l-Awstrija, il-Finlandja, in-Norveġja u l-Iżvezja fl-1994 (għalkemm għal darb'oħra n-Norveġja naqset milli tissieħeb, minħabba nuqqas ta 'appoġġ fir-referendum), ir-Repubblika Ċeka, Ċipru, Ċipru, l-Estonja, l-Ungerija, Il-Latvja, il-Litwanja, Malta, il-Polonja, is-Slovakkja u s-Slovenja fl-2004, ir-Rumanija u l-Bulgarija fl-2007 u l-Kroazja fl-2013. Greenland iffirmat trattat fl-1985 billi taha status speċjali.</v>
      </c>
    </row>
    <row r="4194" ht="15.75" customHeight="1">
      <c r="A4194" s="2" t="s">
        <v>4194</v>
      </c>
      <c r="B4194" s="2" t="str">
        <f>IFERROR(__xludf.DUMMYFUNCTION("GOOGLETRANSLATE(A4194,""en"", ""mt"")"),"Kif ħadu l-informazzjoni ta 'Celeron f'Logstown?")</f>
        <v>Kif ħadu l-informazzjoni ta 'Celeron f'Logstown?</v>
      </c>
    </row>
    <row r="4195" ht="15.75" customHeight="1">
      <c r="A4195" s="2" t="s">
        <v>4195</v>
      </c>
      <c r="B4195" s="2" t="str">
        <f>IFERROR(__xludf.DUMMYFUNCTION("GOOGLETRANSLATE(A4195,""en"", ""mt"")"),"Partiċelli tal-punt idealizzati")</f>
        <v>Partiċelli tal-punt idealizzati</v>
      </c>
    </row>
    <row r="4196" ht="15.75" customHeight="1">
      <c r="A4196" s="2" t="s">
        <v>4196</v>
      </c>
      <c r="B4196" s="2" t="str">
        <f>IFERROR(__xludf.DUMMYFUNCTION("GOOGLETRANSLATE(A4196,""en"", ""mt"")"),"Valley Buckland")</f>
        <v>Valley Buckland</v>
      </c>
    </row>
    <row r="4197" ht="15.75" customHeight="1">
      <c r="A4197" s="2" t="s">
        <v>4197</v>
      </c>
      <c r="B4197" s="2" t="str">
        <f>IFERROR(__xludf.DUMMYFUNCTION("GOOGLETRANSLATE(A4197,""en"", ""mt"")"),"Fejn jgħixu Ctenophora?")</f>
        <v>Fejn jgħixu Ctenophora?</v>
      </c>
    </row>
    <row r="4198" ht="15.75" customHeight="1">
      <c r="A4198" s="2" t="s">
        <v>4198</v>
      </c>
      <c r="B4198" s="2" t="str">
        <f>IFERROR(__xludf.DUMMYFUNCTION("GOOGLETRANSLATE(A4198,""en"", ""mt"")"),"Il-kostruzzjoni hija waħda mill-aktar okkupazzjonijiet perikolużi fid-dinja, li ġġarraf aktar fatalitajiet fuq ix-xogħol minn kwalunkwe settur ieħor kemm fl-Istati Uniti kif ukoll fl-Unjoni Ewropea. Fl-2009, ir-rata fatali ta 'korrimenti fuq ix-xogħol fos"&amp;"t il-ħaddiema tal-kostruzzjoni fl-Istati Uniti kienet kważi tliet darbiet dik għall-ħaddiema kollha. Il-waqgħat huma waħda mill-aktar kawżi komuni ta 'korrimenti fatali u mhux fatali fost il-ħaddiema tal-kostruzzjoni. Tagħmir ta 'sigurtà xieraq bħal arnes"&amp;"si u guardrails u proċeduri bħall-iżgurar tas-slielem u l-ispezzjoni tal-armar jista' jnaqqas ir-riskju ta 'korrimenti fuq ix-xogħol fl-industrija tal-kostruzzjoni. Kawżi ewlenin oħra ta 'fatalitajiet fl-industrija tal-kostruzzjoni jinkludu l-elettrokuzzj"&amp;"oni, l-inċidenti tat-trasport, u l-grotta ta' trinka.")</f>
        <v>Il-kostruzzjoni hija waħda mill-aktar okkupazzjonijiet perikolużi fid-dinja, li ġġarraf aktar fatalitajiet fuq ix-xogħol minn kwalunkwe settur ieħor kemm fl-Istati Uniti kif ukoll fl-Unjoni Ewropea. Fl-2009, ir-rata fatali ta 'korrimenti fuq ix-xogħol fost il-ħaddiema tal-kostruzzjoni fl-Istati Uniti kienet kważi tliet darbiet dik għall-ħaddiema kollha. Il-waqgħat huma waħda mill-aktar kawżi komuni ta 'korrimenti fatali u mhux fatali fost il-ħaddiema tal-kostruzzjoni. Tagħmir ta 'sigurtà xieraq bħal arnessi u guardrails u proċeduri bħall-iżgurar tas-slielem u l-ispezzjoni tal-armar jista' jnaqqas ir-riskju ta 'korrimenti fuq ix-xogħol fl-industrija tal-kostruzzjoni. Kawżi ewlenin oħra ta 'fatalitajiet fl-industrija tal-kostruzzjoni jinkludu l-elettrokuzzjoni, l-inċidenti tat-trasport, u l-grotta ta' trinka.</v>
      </c>
    </row>
    <row r="4199" ht="15.75" customHeight="1">
      <c r="A4199" s="2" t="s">
        <v>4199</v>
      </c>
      <c r="B4199" s="2" t="str">
        <f>IFERROR(__xludf.DUMMYFUNCTION("GOOGLETRANSLATE(A4199,""en"", ""mt"")"),"Iċ-ċittadinanza ta 'l-UE kienet dejjem aktar meqjusa bħala status ""fundamentali"" ta' ċittadini tal-istat membru mill-Qorti tal-Ġustizzja, u għalhekk żiedet in-numru ta 'servizzi soċjali li n-nies jistgħu jaċċessaw kull fejn jimxu. Il-qorti kienet teħtie"&amp;"ġ li l-edukazzjoni għolja, flimkien ma 'forom oħra ta' taħriġ vokazzjonali, għandha tkun aktar aċċess, għalkemm b'perjodi ta 'kwalifikazzjoni. Fil-Kummissjoni vs l-Awstrija l-qorti qalet li l-Awstrija ma kellhiex id-dritt li tillimita postijiet fl-univers"&amp;"itajiet Awstrijaċi għal studenti Awstrijaċi biex tevita ""problemi strutturali, ta 'persunal u finanzjarji"" jekk (prinċipalment Ġermaniżi) studenti barranin applikaw għal postijiet minħabba li kien hemm ftit evidenza ta' problema attwali Jonqos")</f>
        <v>Iċ-ċittadinanza ta 'l-UE kienet dejjem aktar meqjusa bħala status "fundamentali" ta' ċittadini tal-istat membru mill-Qorti tal-Ġustizzja, u għalhekk żiedet in-numru ta 'servizzi soċjali li n-nies jistgħu jaċċessaw kull fejn jimxu. Il-qorti kienet teħtieġ li l-edukazzjoni għolja, flimkien ma 'forom oħra ta' taħriġ vokazzjonali, għandha tkun aktar aċċess, għalkemm b'perjodi ta 'kwalifikazzjoni. Fil-Kummissjoni vs l-Awstrija l-qorti qalet li l-Awstrija ma kellhiex id-dritt li tillimita postijiet fl-universitajiet Awstrijaċi għal studenti Awstrijaċi biex tevita "problemi strutturali, ta 'persunal u finanzjarji" jekk (prinċipalment Ġermaniżi) studenti barranin applikaw għal postijiet minħabba li kien hemm ftit evidenza ta' problema attwali Jonqos</v>
      </c>
    </row>
    <row r="4200" ht="15.75" customHeight="1">
      <c r="A4200" s="2" t="s">
        <v>4200</v>
      </c>
      <c r="B4200" s="2" t="str">
        <f>IFERROR(__xludf.DUMMYFUNCTION("GOOGLETRANSLATE(A4200,""en"", ""mt"")"),"Dak li huwa komunement maħsub li huwa r-relazzjoni ta 'valur bejn p u ko-np")</f>
        <v>Dak li huwa komunement maħsub li huwa r-relazzjoni ta 'valur bejn p u ko-np</v>
      </c>
    </row>
    <row r="4201" ht="15.75" customHeight="1">
      <c r="A4201" s="2" t="s">
        <v>4201</v>
      </c>
      <c r="B4201" s="2" t="str">
        <f>IFERROR(__xludf.DUMMYFUNCTION("GOOGLETRANSLATE(A4201,""en"", ""mt"")"),"X’jagħmlu l-votanti fl-1967")</f>
        <v>X’jagħmlu l-votanti fl-1967</v>
      </c>
    </row>
    <row r="4202" ht="15.75" customHeight="1">
      <c r="A4202" s="2" t="s">
        <v>4202</v>
      </c>
      <c r="B4202" s="2" t="str">
        <f>IFERROR(__xludf.DUMMYFUNCTION("GOOGLETRANSLATE(A4202,""en"", ""mt"")"),"Il-Kummissjoni Santer")</f>
        <v>Il-Kummissjoni Santer</v>
      </c>
    </row>
    <row r="4203" ht="15.75" customHeight="1">
      <c r="A4203" s="2" t="s">
        <v>4203</v>
      </c>
      <c r="B4203" s="2" t="str">
        <f>IFERROR(__xludf.DUMMYFUNCTION("GOOGLETRANSLATE(A4203,""en"", ""mt"")"),"Boulevard Huntington")</f>
        <v>Boulevard Huntington</v>
      </c>
    </row>
    <row r="4204" ht="15.75" customHeight="1">
      <c r="A4204" s="2" t="s">
        <v>4204</v>
      </c>
      <c r="B4204" s="2" t="str">
        <f>IFERROR(__xludf.DUMMYFUNCTION("GOOGLETRANSLATE(A4204,""en"", ""mt"")"),"Madwar 61.1% tal-Vittorjani jiddeskrivu lilhom infushom bħala Kristjani. Kattoliċi Rumani jiffurmaw l-akbar grupp reliġjuż uniku fl-istat b’26,7% tal-popolazzjoni Vittorjana, segwita minn Anglikani u membri tal-knisja li tgħaqqad. Il-Buddiżmu huwa l-akbar"&amp;" reliġjon mhux Kristjana tal-istat, b'168,637 membru bħala l-iktar ċensiment riċenti. Victoria hija wkoll dar ta ’152,775 Musulmani u 45,150 Lhud. L-Induiżmu huwa r-reliġjon li qed tikber bl-iktar mod mgħaġġel. Madwar 20% tal-Vittorjani ma jitolbu l-ebda "&amp;"reliġjon. Fost dawk li jiddikjaraw affiljazzjoni reliġjuża, l-attendenza tal-knisja hija baxxa.")</f>
        <v>Madwar 61.1% tal-Vittorjani jiddeskrivu lilhom infushom bħala Kristjani. Kattoliċi Rumani jiffurmaw l-akbar grupp reliġjuż uniku fl-istat b’26,7% tal-popolazzjoni Vittorjana, segwita minn Anglikani u membri tal-knisja li tgħaqqad. Il-Buddiżmu huwa l-akbar reliġjon mhux Kristjana tal-istat, b'168,637 membru bħala l-iktar ċensiment riċenti. Victoria hija wkoll dar ta ’152,775 Musulmani u 45,150 Lhud. L-Induiżmu huwa r-reliġjon li qed tikber bl-iktar mod mgħaġġel. Madwar 20% tal-Vittorjani ma jitolbu l-ebda reliġjon. Fost dawk li jiddikjaraw affiljazzjoni reliġjuża, l-attendenza tal-knisja hija baxxa.</v>
      </c>
    </row>
    <row r="4205" ht="15.75" customHeight="1">
      <c r="A4205" s="2" t="s">
        <v>4205</v>
      </c>
      <c r="B4205" s="2" t="str">
        <f>IFERROR(__xludf.DUMMYFUNCTION("GOOGLETRANSLATE(A4205,""en"", ""mt"")"),"Taħt it-termini tal-Att tal-Iskozja tal-1978, se titwaqqaf assemblea eletta f'Edinburgu sakemm il-maġġoranza tal-elettorat Skoċċiż ivvota għalih f'referendum li għandu jsir fl-1 ta 'Marzu 1979 li kien jirrappreżenta mill-inqas 40% tal-elettorat totali. Ir"&amp;"-referendum tad-devoluzzjoni Skoċċiża tal-1979 biex jiġi stabbilit assemblea Skoċċiża devolta falliet. Għalkemm il-votazzjoni kienet ta '51 .6% favur assemblea Skoċċiża, din iċ-ċifra ma kinitx daqs l-40% tal-limitu tal-elettorat totali meqjus neċessarju b"&amp;"iex tgħaddi l-miżura, peress li 32.9% tal-popolazzjoni tal-votazzjoni eliġibbli ma kinitx, jew ma setgħetx, vot.")</f>
        <v>Taħt it-termini tal-Att tal-Iskozja tal-1978, se titwaqqaf assemblea eletta f'Edinburgu sakemm il-maġġoranza tal-elettorat Skoċċiż ivvota għalih f'referendum li għandu jsir fl-1 ta 'Marzu 1979 li kien jirrappreżenta mill-inqas 40% tal-elettorat totali. Ir-referendum tad-devoluzzjoni Skoċċiża tal-1979 biex jiġi stabbilit assemblea Skoċċiża devolta falliet. Għalkemm il-votazzjoni kienet ta '51 .6% favur assemblea Skoċċiża, din iċ-ċifra ma kinitx daqs l-40% tal-limitu tal-elettorat totali meqjus neċessarju biex tgħaddi l-miżura, peress li 32.9% tal-popolazzjoni tal-votazzjoni eliġibbli ma kinitx, jew ma setgħetx, vot.</v>
      </c>
    </row>
    <row r="4206" ht="15.75" customHeight="1">
      <c r="A4206" s="2" t="s">
        <v>4206</v>
      </c>
      <c r="B4206" s="2" t="str">
        <f>IFERROR(__xludf.DUMMYFUNCTION("GOOGLETRANSLATE(A4206,""en"", ""mt"")"),"Flussi tal-lava bażaltiċi b'saffi")</f>
        <v>Flussi tal-lava bażaltiċi b'saffi</v>
      </c>
    </row>
    <row r="4207" ht="15.75" customHeight="1">
      <c r="A4207" s="2" t="s">
        <v>4207</v>
      </c>
      <c r="B4207" s="2" t="str">
        <f>IFERROR(__xludf.DUMMYFUNCTION("GOOGLETRANSLATE(A4207,""en"", ""mt"")"),"X'inhu l-Protokoll UserDatagram Gaurentee")</f>
        <v>X'inhu l-Protokoll UserDatagram Gaurentee</v>
      </c>
    </row>
    <row r="4208" ht="15.75" customHeight="1">
      <c r="A4208" s="2" t="s">
        <v>4208</v>
      </c>
      <c r="B4208" s="2" t="str">
        <f>IFERROR(__xludf.DUMMYFUNCTION("GOOGLETRANSLATE(A4208,""en"", ""mt"")"),"kurrikulu ewlieni ta ’seba’ klassijiet")</f>
        <v>kurrikulu ewlieni ta ’seba’ klassijiet</v>
      </c>
    </row>
    <row r="4209" ht="15.75" customHeight="1">
      <c r="A4209" s="2" t="s">
        <v>4209</v>
      </c>
      <c r="B4209" s="2" t="str">
        <f>IFERROR(__xludf.DUMMYFUNCTION("GOOGLETRANSLATE(A4209,""en"", ""mt"")"),"Ukoll")</f>
        <v>Ukoll</v>
      </c>
    </row>
    <row r="4210" ht="15.75" customHeight="1">
      <c r="A4210" s="2" t="s">
        <v>4210</v>
      </c>
      <c r="B4210" s="2" t="str">
        <f>IFERROR(__xludf.DUMMYFUNCTION("GOOGLETRANSLATE(A4210,""en"", ""mt"")"),"Il-magni tal-fwar spiss ikollhom żewġ mekkaniżmi indipendenti biex jiżguraw li l-pressjoni fil-bojler ma tmurx għoli wisq; Wieħed jista 'jiġi aġġustat mill-utent, it-tieni huwa tipikament iddisinjat bħala falliment aħħari. Valvi ta 'sigurtà bħal dawn trad"&amp;"izzjonalment użaw lieva sempliċi biex trażżan valv tal-plagg fil-parti ta' fuq ta 'bojler. Tmiem tal-lieva wettaq piż jew molla li rażżan il-valv kontra l-pressjoni tal-fwar. Valvi bikrija jistgħu jiġu aġġustati minn sewwieqa tal-magna, li jwasslu għal ħa"&amp;"fna inċidenti meta xufier waħħal il-valv 'l isfel biex jippermetti pressjoni tal-fwar akbar u aktar qawwa mill-magna. It-tip aktar reċenti ta 'valv ta' sigurtà juża valv mgħobbi bir-rebbiegħa aġġustabbli, li huwa msakkra b'tali mod li l-operaturi ma jistg"&amp;"ħux ibatu l-aġġustament tiegħu sakemm siġill illegalment ikun miksur. Dan l-arranġament huwa konsiderevolment aktar sigur. [Ċitazzjoni meħtieġa]")</f>
        <v>Il-magni tal-fwar spiss ikollhom żewġ mekkaniżmi indipendenti biex jiżguraw li l-pressjoni fil-bojler ma tmurx għoli wisq; Wieħed jista 'jiġi aġġustat mill-utent, it-tieni huwa tipikament iddisinjat bħala falliment aħħari. Valvi ta 'sigurtà bħal dawn tradizzjonalment użaw lieva sempliċi biex trażżan valv tal-plagg fil-parti ta' fuq ta 'bojler. Tmiem tal-lieva wettaq piż jew molla li rażżan il-valv kontra l-pressjoni tal-fwar. Valvi bikrija jistgħu jiġu aġġustati minn sewwieqa tal-magna, li jwasslu għal ħafna inċidenti meta xufier waħħal il-valv 'l isfel biex jippermetti pressjoni tal-fwar akbar u aktar qawwa mill-magna. It-tip aktar reċenti ta 'valv ta' sigurtà juża valv mgħobbi bir-rebbiegħa aġġustabbli, li huwa msakkra b'tali mod li l-operaturi ma jistgħux ibatu l-aġġustament tiegħu sakemm siġill illegalment ikun miksur. Dan l-arranġament huwa konsiderevolment aktar sigur. [Ċitazzjoni meħtieġa]</v>
      </c>
    </row>
    <row r="4211" ht="15.75" customHeight="1">
      <c r="A4211" s="2" t="s">
        <v>4211</v>
      </c>
      <c r="B4211" s="2" t="str">
        <f>IFERROR(__xludf.DUMMYFUNCTION("GOOGLETRANSLATE(A4211,""en"", ""mt"")"),"ġeomorfoloġiku")</f>
        <v>ġeomorfoloġiku</v>
      </c>
    </row>
    <row r="4212" ht="15.75" customHeight="1">
      <c r="A4212" s="2" t="s">
        <v>4212</v>
      </c>
      <c r="B4212" s="2" t="str">
        <f>IFERROR(__xludf.DUMMYFUNCTION("GOOGLETRANSLATE(A4212,""en"", ""mt"")"),"forza tal-gravità")</f>
        <v>forza tal-gravità</v>
      </c>
    </row>
    <row r="4213" ht="15.75" customHeight="1">
      <c r="A4213" s="2" t="s">
        <v>4213</v>
      </c>
      <c r="B4213" s="2" t="str">
        <f>IFERROR(__xludf.DUMMYFUNCTION("GOOGLETRANSLATE(A4213,""en"", ""mt"")"),"X'kien il-verdett fuq allegati żbalji oħra?")</f>
        <v>X'kien il-verdett fuq allegati żbalji oħra?</v>
      </c>
    </row>
    <row r="4214" ht="15.75" customHeight="1">
      <c r="A4214" s="2" t="s">
        <v>4214</v>
      </c>
      <c r="B4214" s="2" t="str">
        <f>IFERROR(__xludf.DUMMYFUNCTION("GOOGLETRANSLATE(A4214,""en"", ""mt"")"),"Kif ġew eletti l-biċċa l-kbira tal-uffiċjali tal-belt fis-snin 1960?")</f>
        <v>Kif ġew eletti l-biċċa l-kbira tal-uffiċjali tal-belt fis-snin 1960?</v>
      </c>
    </row>
    <row r="4215" ht="15.75" customHeight="1">
      <c r="A4215" s="2" t="s">
        <v>4215</v>
      </c>
      <c r="B4215" s="2" t="str">
        <f>IFERROR(__xludf.DUMMYFUNCTION("GOOGLETRANSLATE(A4215,""en"", ""mt"")"),"Bayeux Tapestry")</f>
        <v>Bayeux Tapestry</v>
      </c>
    </row>
    <row r="4216" ht="15.75" customHeight="1">
      <c r="A4216" s="2" t="s">
        <v>4216</v>
      </c>
      <c r="B4216" s="2" t="str">
        <f>IFERROR(__xludf.DUMMYFUNCTION("GOOGLETRANSLATE(A4216,""en"", ""mt"")"),"li jirriflettu kontribuzzjonijiet individwali")</f>
        <v>li jirriflettu kontribuzzjonijiet individwali</v>
      </c>
    </row>
    <row r="4217" ht="15.75" customHeight="1">
      <c r="A4217" s="2" t="s">
        <v>4217</v>
      </c>
      <c r="B4217" s="2" t="str">
        <f>IFERROR(__xludf.DUMMYFUNCTION("GOOGLETRANSLATE(A4217,""en"", ""mt"")"),"Uħud mid-dħul ingħata fil-forma ta 'għajnuna lil nazzjonijiet oħra sottożviluppati li l-ekonomiji tagħhom kienu nqabdu bejn prezzijiet ogħla taż-żejt u prezzijiet aktar baxxi għall-prodotti ta' esportazzjoni tagħhom stess, fost it-tnaqqis tad-domanda tal-"&amp;"Punent. Ħafna marru għax-xiri tal-armi li jkabbru t-tensjonijiet politiċi, partikolarment fil-Lvant Nofsani. L-Arabja Sawdita nefqet aktar minn 100 biljun dollaru fid-deċennji li ġejjin biex tgħin ixerred l-interpretazzjoni fundamentalista tagħha tal-Iżla"&amp;"m, magħrufa bħala Wahhabism, madwar id-dinja, permezz ta ’karitajiet reliġjużi bħal fondazzjoni al-Haramain, li ħafna drabi tqassmu wkoll fondi lil gruppi estremisti vjolenti Sunni bħal al bħal al -Qaeda u t-Taliban.")</f>
        <v>Uħud mid-dħul ingħata fil-forma ta 'għajnuna lil nazzjonijiet oħra sottożviluppati li l-ekonomiji tagħhom kienu nqabdu bejn prezzijiet ogħla taż-żejt u prezzijiet aktar baxxi għall-prodotti ta' esportazzjoni tagħhom stess, fost it-tnaqqis tad-domanda tal-Punent. Ħafna marru għax-xiri tal-armi li jkabbru t-tensjonijiet politiċi, partikolarment fil-Lvant Nofsani. L-Arabja Sawdita nefqet aktar minn 100 biljun dollaru fid-deċennji li ġejjin biex tgħin ixerred l-interpretazzjoni fundamentalista tagħha tal-Iżlam, magħrufa bħala Wahhabism, madwar id-dinja, permezz ta ’karitajiet reliġjużi bħal fondazzjoni al-Haramain, li ħafna drabi tqassmu wkoll fondi lil gruppi estremisti vjolenti Sunni bħal al bħal al -Qaeda u t-Taliban.</v>
      </c>
    </row>
    <row r="4218" ht="15.75" customHeight="1">
      <c r="A4218" s="2" t="s">
        <v>4218</v>
      </c>
      <c r="B4218" s="2" t="str">
        <f>IFERROR(__xludf.DUMMYFUNCTION("GOOGLETRANSLATE(A4218,""en"", ""mt"")"),"Avveniment ewlieni")</f>
        <v>Avveniment ewlieni</v>
      </c>
    </row>
    <row r="4219" ht="15.75" customHeight="1">
      <c r="A4219" s="2" t="s">
        <v>4219</v>
      </c>
      <c r="B4219" s="2" t="str">
        <f>IFERROR(__xludf.DUMMYFUNCTION("GOOGLETRANSLATE(A4219,""en"", ""mt"")"),"Protokoll ta 'datagramma ta' l-utent")</f>
        <v>Protokoll ta 'datagramma ta' l-utent</v>
      </c>
    </row>
    <row r="4220" ht="15.75" customHeight="1">
      <c r="A4220" s="2" t="s">
        <v>4220</v>
      </c>
      <c r="B4220" s="2" t="str">
        <f>IFERROR(__xludf.DUMMYFUNCTION("GOOGLETRANSLATE(A4220,""en"", ""mt"")"),"X'tip ta 'arti iffjorixxew fil-wan?")</f>
        <v>X'tip ta 'arti iffjorixxew fil-wan?</v>
      </c>
    </row>
    <row r="4221" ht="15.75" customHeight="1">
      <c r="A4221" s="2" t="s">
        <v>4221</v>
      </c>
      <c r="B4221" s="2" t="str">
        <f>IFERROR(__xludf.DUMMYFUNCTION("GOOGLETRANSLATE(A4221,""en"", ""mt"")"),"Għaliex il-lagi żgħar fil-parks huma mbattla qabel ix-xitwa?")</f>
        <v>Għaliex il-lagi żgħar fil-parks huma mbattla qabel ix-xitwa?</v>
      </c>
    </row>
    <row r="4222" ht="15.75" customHeight="1">
      <c r="A4222" s="2" t="s">
        <v>4222</v>
      </c>
      <c r="B4222" s="2" t="str">
        <f>IFERROR(__xludf.DUMMYFUNCTION("GOOGLETRANSLATE(A4222,""en"", ""mt"")"),"Meta tiżviluppa l-minorenni f'adulti?")</f>
        <v>Meta tiżviluppa l-minorenni f'adulti?</v>
      </c>
    </row>
    <row r="4223" ht="15.75" customHeight="1">
      <c r="A4223" s="2" t="s">
        <v>4223</v>
      </c>
      <c r="B4223" s="2" t="str">
        <f>IFERROR(__xludf.DUMMYFUNCTION("GOOGLETRANSLATE(A4223,""en"", ""mt"")"),"Liema entità hija maħluqa jekk it-tliet istituzzjonijiet differenti ma jistgħux jaslu għal kunsens fi kwalunkwe stadju?")</f>
        <v>Liema entità hija maħluqa jekk it-tliet istituzzjonijiet differenti ma jistgħux jaslu għal kunsens fi kwalunkwe stadju?</v>
      </c>
    </row>
    <row r="4224" ht="15.75" customHeight="1">
      <c r="A4224" s="2" t="s">
        <v>4224</v>
      </c>
      <c r="B4224" s="2" t="str">
        <f>IFERROR(__xludf.DUMMYFUNCTION("GOOGLETRANSLATE(A4224,""en"", ""mt"")"),"rwol ta 'yersinia pestis fil-mewt l-Iswed")</f>
        <v>rwol ta 'yersinia pestis fil-mewt l-Iswed</v>
      </c>
    </row>
    <row r="4225" ht="15.75" customHeight="1">
      <c r="A4225" s="2" t="s">
        <v>4225</v>
      </c>
      <c r="B4225" s="2" t="str">
        <f>IFERROR(__xludf.DUMMYFUNCTION("GOOGLETRANSLATE(A4225,""en"", ""mt"")"),"Meta l-produtturi Għarbi taż-żejt neħħew l-embargo?")</f>
        <v>Meta l-produtturi Għarbi taż-żejt neħħew l-embargo?</v>
      </c>
    </row>
    <row r="4226" ht="15.75" customHeight="1">
      <c r="A4226" s="2" t="s">
        <v>4226</v>
      </c>
      <c r="B4226" s="2" t="str">
        <f>IFERROR(__xludf.DUMMYFUNCTION("GOOGLETRANSLATE(A4226,""en"", ""mt"")"),"In-Netwerk tax-Xjenza tal-Kompjuter")</f>
        <v>In-Netwerk tax-Xjenza tal-Kompjuter</v>
      </c>
    </row>
    <row r="4227" ht="15.75" customHeight="1">
      <c r="A4227" s="2" t="s">
        <v>4227</v>
      </c>
      <c r="B4227" s="2" t="str">
        <f>IFERROR(__xludf.DUMMYFUNCTION("GOOGLETRANSLATE(A4227,""en"", ""mt"")"),"Introduzzjoni")</f>
        <v>Introduzzjoni</v>
      </c>
    </row>
    <row r="4228" ht="15.75" customHeight="1">
      <c r="A4228" s="2" t="s">
        <v>4228</v>
      </c>
      <c r="B4228" s="2" t="str">
        <f>IFERROR(__xludf.DUMMYFUNCTION("GOOGLETRANSLATE(A4228,""en"", ""mt"")"),"L-ebda kamra tar-reviżjoni")</f>
        <v>L-ebda kamra tar-reviżjoni</v>
      </c>
    </row>
    <row r="4229" ht="15.75" customHeight="1">
      <c r="A4229" s="2" t="s">
        <v>4229</v>
      </c>
      <c r="B4229" s="2" t="str">
        <f>IFERROR(__xludf.DUMMYFUNCTION("GOOGLETRANSLATE(A4229,""en"", ""mt"")"),"Ma 'min kien Ralph inkarigat li qiegħed fil-gwerra?")</f>
        <v>Ma 'min kien Ralph inkarigat li qiegħed fil-gwerra?</v>
      </c>
    </row>
    <row r="4230" ht="15.75" customHeight="1">
      <c r="A4230" s="2" t="s">
        <v>4230</v>
      </c>
      <c r="B4230" s="2" t="str">
        <f>IFERROR(__xludf.DUMMYFUNCTION("GOOGLETRANSLATE(A4230,""en"", ""mt"")"),"Għin biex tippreserva t-tolleranza tas-soċjetà għad-diżubbidjenza ċivili")</f>
        <v>Għin biex tippreserva t-tolleranza tas-soċjetà għad-diżubbidjenza ċivili</v>
      </c>
    </row>
    <row r="4231" ht="15.75" customHeight="1">
      <c r="A4231" s="2" t="s">
        <v>4231</v>
      </c>
      <c r="B4231" s="2" t="str">
        <f>IFERROR(__xludf.DUMMYFUNCTION("GOOGLETRANSLATE(A4231,""en"", ""mt"")"),"Kif qabbel ir-rapport tal-IPCC tal-2001 mar-realtà fuq il-livelli tal-baħar?")</f>
        <v>Kif qabbel ir-rapport tal-IPCC tal-2001 mar-realtà fuq il-livelli tal-baħar?</v>
      </c>
    </row>
    <row r="4232" ht="15.75" customHeight="1">
      <c r="A4232" s="2" t="s">
        <v>4232</v>
      </c>
      <c r="B4232" s="2" t="str">
        <f>IFERROR(__xludf.DUMMYFUNCTION("GOOGLETRANSLATE(A4232,""en"", ""mt"")"),"Proċess ta 'Kolonizzazzjoni, Influwenza, u Anness ta' Partijiet oħra tad-Dinja")</f>
        <v>Proċess ta 'Kolonizzazzjoni, Influwenza, u Anness ta' Partijiet oħra tad-Dinja</v>
      </c>
    </row>
    <row r="4233" ht="15.75" customHeight="1">
      <c r="A4233" s="2" t="s">
        <v>4233</v>
      </c>
      <c r="B4233" s="2" t="str">
        <f>IFERROR(__xludf.DUMMYFUNCTION("GOOGLETRANSLATE(A4233,""en"", ""mt"")"),"Seminarju Teoloġiku ta ’Chicago")</f>
        <v>Seminarju Teoloġiku ta ’Chicago</v>
      </c>
    </row>
    <row r="4234" ht="15.75" customHeight="1">
      <c r="A4234" s="2" t="s">
        <v>4234</v>
      </c>
      <c r="B4234" s="2" t="str">
        <f>IFERROR(__xludf.DUMMYFUNCTION("GOOGLETRANSLATE(A4234,""en"", ""mt"")"),"Sonia Shankman School Orthogenic")</f>
        <v>Sonia Shankman School Orthogenic</v>
      </c>
    </row>
    <row r="4235" ht="15.75" customHeight="1">
      <c r="A4235" s="2" t="s">
        <v>4235</v>
      </c>
      <c r="B4235" s="2" t="str">
        <f>IFERROR(__xludf.DUMMYFUNCTION("GOOGLETRANSLATE(A4235,""en"", ""mt"")"),"Kunsinna ta 'dawn il-messaġġi bil-maħżen u l-iswiċċjar' il quddiem")</f>
        <v>Kunsinna ta 'dawn il-messaġġi bil-maħżen u l-iswiċċjar' il quddiem</v>
      </c>
    </row>
    <row r="4236" ht="15.75" customHeight="1">
      <c r="A4236" s="2" t="s">
        <v>4236</v>
      </c>
      <c r="B4236" s="2" t="str">
        <f>IFERROR(__xludf.DUMMYFUNCTION("GOOGLETRANSLATE(A4236,""en"", ""mt"")"),"Kemm korpi ta 'ilma jiffurmaw il-Lag Constance?")</f>
        <v>Kemm korpi ta 'ilma jiffurmaw il-Lag Constance?</v>
      </c>
    </row>
    <row r="4237" ht="15.75" customHeight="1">
      <c r="A4237" s="2" t="s">
        <v>4237</v>
      </c>
      <c r="B4237" s="2" t="str">
        <f>IFERROR(__xludf.DUMMYFUNCTION("GOOGLETRANSLATE(A4237,""en"", ""mt"")"),"Huwa konjetta li tnaqqis progressiv fil-livelli ta 'ormoni bl-età huwa parzjalment responsabbli għal risponsi immuni mdgħajfa f'individwi li qed jixjieħu. Bil-maqlub, xi ormoni huma rregolati mis-sistema immunitarja, l-aktar attività ta 'ormoni tat-tirojd"&amp;"e. It-tnaqqis relatat mal-età fil-funzjoni immuni huwa relatat ukoll ma 'tnaqqis fil-livelli ta' vitamina D fl-anzjani. Hekk kif in-nies jixjieħu, iseħħu żewġ affarijiet li jaffettwaw b'mod negattiv il-livelli ta 'vitamina D tagħhom. L-ewwel, huma jibqgħu"&amp;" ġewwa aktar minħabba tnaqqis fil-livelli ta 'attività. Dan ifisser li jiksbu inqas xemx u għalhekk jipproduċu inqas cholecalciferol permezz ta 'radjazzjoni UVB. It-tieni, hekk kif persuna tixjieħ il-ġilda ssir inqas adept fil-produzzjoni tal-vitamina D.")</f>
        <v>Huwa konjetta li tnaqqis progressiv fil-livelli ta 'ormoni bl-età huwa parzjalment responsabbli għal risponsi immuni mdgħajfa f'individwi li qed jixjieħu. Bil-maqlub, xi ormoni huma rregolati mis-sistema immunitarja, l-aktar attività ta 'ormoni tat-tirojde. It-tnaqqis relatat mal-età fil-funzjoni immuni huwa relatat ukoll ma 'tnaqqis fil-livelli ta' vitamina D fl-anzjani. Hekk kif in-nies jixjieħu, iseħħu żewġ affarijiet li jaffettwaw b'mod negattiv il-livelli ta 'vitamina D tagħhom. L-ewwel, huma jibqgħu ġewwa aktar minħabba tnaqqis fil-livelli ta 'attività. Dan ifisser li jiksbu inqas xemx u għalhekk jipproduċu inqas cholecalciferol permezz ta 'radjazzjoni UVB. It-tieni, hekk kif persuna tixjieħ il-ġilda ssir inqas adept fil-produzzjoni tal-vitamina D.</v>
      </c>
    </row>
    <row r="4238" ht="15.75" customHeight="1">
      <c r="A4238" s="2" t="s">
        <v>4238</v>
      </c>
      <c r="B4238" s="2" t="str">
        <f>IFERROR(__xludf.DUMMYFUNCTION("GOOGLETRANSLATE(A4238,""en"", ""mt"")"),"Meta ġie stabbilit is-soluzzjoni li kienet se ssir Varsavja?")</f>
        <v>Meta ġie stabbilit is-soluzzjoni li kienet se ssir Varsavja?</v>
      </c>
    </row>
    <row r="4239" ht="15.75" customHeight="1">
      <c r="A4239" s="2" t="s">
        <v>4239</v>
      </c>
      <c r="B4239" s="2" t="str">
        <f>IFERROR(__xludf.DUMMYFUNCTION("GOOGLETRANSLATE(A4239,""en"", ""mt"")"),"U.S.")</f>
        <v>U.S.</v>
      </c>
    </row>
    <row r="4240" ht="15.75" customHeight="1">
      <c r="A4240" s="2" t="s">
        <v>4240</v>
      </c>
      <c r="B4240" s="2" t="str">
        <f>IFERROR(__xludf.DUMMYFUNCTION("GOOGLETRANSLATE(A4240,""en"", ""mt"")"),"It-talba ta 'Franza fir-reġjun kienet superjuri għal dik tal-Ingliżi")</f>
        <v>It-talba ta 'Franza fir-reġjun kienet superjuri għal dik tal-Ingliżi</v>
      </c>
    </row>
    <row r="4241" ht="15.75" customHeight="1">
      <c r="A4241" s="2" t="s">
        <v>4241</v>
      </c>
      <c r="B4241" s="2" t="str">
        <f>IFERROR(__xludf.DUMMYFUNCTION("GOOGLETRANSLATE(A4241,""en"", ""mt"")"),"ħlas għal kull unità ta 'ħin ta' konnessjoni")</f>
        <v>ħlas għal kull unità ta 'ħin ta' konnessjoni</v>
      </c>
    </row>
    <row r="4242" ht="15.75" customHeight="1">
      <c r="A4242" s="2" t="s">
        <v>4242</v>
      </c>
      <c r="B4242" s="2" t="str">
        <f>IFERROR(__xludf.DUMMYFUNCTION("GOOGLETRANSLATE(A4242,""en"", ""mt"")"),"Flimkien ma 'avvanzi fil-komunikazzjoni, l-Ewropa kompliet ukoll tavvanza fit-teknoloġija militari. Kimiċi Ewropej għamlu splussivi fatali li jistgħu jintużaw fil-ġlieda kontra, u bl-innovazzjonijiet fil-makkinarju setgħu jimmanifatturaw armi tan-nar imte"&amp;"jba. Fis-snin 1880, il-magna gun kienet saret arma effettiva fil-kamp ta 'battalja. Din it-teknoloġija tat lill-armati Ewropej vantaġġ fuq l-avversarji tagħhom, peress li l-armati f'pajjiżi inqas żviluppati kienu għadhom jiġġieldu bi vleġeġ, xwabel u tark"&amp;"i tal-ġilda (e.g. iż-Żulus fl-Afrika t'Isfel matul il-Gwerra Anglo-Żulu tal-1879).")</f>
        <v>Flimkien ma 'avvanzi fil-komunikazzjoni, l-Ewropa kompliet ukoll tavvanza fit-teknoloġija militari. Kimiċi Ewropej għamlu splussivi fatali li jistgħu jintużaw fil-ġlieda kontra, u bl-innovazzjonijiet fil-makkinarju setgħu jimmanifatturaw armi tan-nar imtejba. Fis-snin 1880, il-magna gun kienet saret arma effettiva fil-kamp ta 'battalja. Din it-teknoloġija tat lill-armati Ewropej vantaġġ fuq l-avversarji tagħhom, peress li l-armati f'pajjiżi inqas żviluppati kienu għadhom jiġġieldu bi vleġeġ, xwabel u tarki tal-ġilda (e.g. iż-Żulus fl-Afrika t'Isfel matul il-Gwerra Anglo-Żulu tal-1879).</v>
      </c>
    </row>
    <row r="4243" ht="15.75" customHeight="1">
      <c r="A4243" s="2" t="s">
        <v>4243</v>
      </c>
      <c r="B4243" s="2" t="str">
        <f>IFERROR(__xludf.DUMMYFUNCTION("GOOGLETRANSLATE(A4243,""en"", ""mt"")"),"Maria Fold and Thrust Belt")</f>
        <v>Maria Fold and Thrust Belt</v>
      </c>
    </row>
    <row r="4244" ht="15.75" customHeight="1">
      <c r="A4244" s="2" t="s">
        <v>4244</v>
      </c>
      <c r="B4244" s="2" t="str">
        <f>IFERROR(__xludf.DUMMYFUNCTION("GOOGLETRANSLATE(A4244,""en"", ""mt"")"),"26.7%")</f>
        <v>26.7%</v>
      </c>
    </row>
    <row r="4245" ht="15.75" customHeight="1">
      <c r="A4245" s="2" t="s">
        <v>4245</v>
      </c>
      <c r="B4245" s="2" t="str">
        <f>IFERROR(__xludf.DUMMYFUNCTION("GOOGLETRANSLATE(A4245,""en"", ""mt"")"),"Hendrix v impjegat")</f>
        <v>Hendrix v impjegat</v>
      </c>
    </row>
    <row r="4246" ht="15.75" customHeight="1">
      <c r="A4246" s="2" t="s">
        <v>4246</v>
      </c>
      <c r="B4246" s="2" t="str">
        <f>IFERROR(__xludf.DUMMYFUNCTION("GOOGLETRANSLATE(A4246,""en"", ""mt"")"),"Dawk li jħossu li t-tobba biss jistgħu jivvalutaw b'mod affidabbli l-kontraindikazzjonijiet, il-proporzjonijiet tar-riskju / benefiċċju, u l-adegwatezza ġenerali ta 'individwu għall-użu ta' medikazzjoni")</f>
        <v>Dawk li jħossu li t-tobba biss jistgħu jivvalutaw b'mod affidabbli l-kontraindikazzjonijiet, il-proporzjonijiet tar-riskju / benefiċċju, u l-adegwatezza ġenerali ta 'individwu għall-użu ta' medikazzjoni</v>
      </c>
    </row>
    <row r="4247" ht="15.75" customHeight="1">
      <c r="A4247" s="2" t="s">
        <v>4247</v>
      </c>
      <c r="B4247" s="2" t="str">
        <f>IFERROR(__xludf.DUMMYFUNCTION("GOOGLETRANSLATE(A4247,""en"", ""mt"")"),"X'żieda żieda fit-tkabbir tas-sedimenti u d-delta pproduċa wkoll fir-Renu?")</f>
        <v>X'żieda żieda fit-tkabbir tas-sedimenti u d-delta pproduċa wkoll fir-Renu?</v>
      </c>
    </row>
    <row r="4248" ht="15.75" customHeight="1">
      <c r="A4248" s="2" t="s">
        <v>4248</v>
      </c>
      <c r="B4248" s="2" t="str">
        <f>IFERROR(__xludf.DUMMYFUNCTION("GOOGLETRANSLATE(A4248,""en"", ""mt"")"),"Il-Kummissjoni tat-Tagħlim Ogħla")</f>
        <v>Il-Kummissjoni tat-Tagħlim Ogħla</v>
      </c>
    </row>
    <row r="4249" ht="15.75" customHeight="1">
      <c r="A4249" s="2" t="s">
        <v>4249</v>
      </c>
      <c r="B4249" s="2" t="str">
        <f>IFERROR(__xludf.DUMMYFUNCTION("GOOGLETRANSLATE(A4249,""en"", ""mt"")"),"X'tip ta 'magni tipikament għandha l-karozza Amerikana?")</f>
        <v>X'tip ta 'magni tipikament għandha l-karozza Amerikana?</v>
      </c>
    </row>
    <row r="4250" ht="15.75" customHeight="1">
      <c r="A4250" s="2" t="s">
        <v>4250</v>
      </c>
      <c r="B4250" s="2" t="str">
        <f>IFERROR(__xludf.DUMMYFUNCTION("GOOGLETRANSLATE(A4250,""en"", ""mt"")"),"Prattiki ta 'kostruzzjoni residenzjali, teknoloġiji, u riżorsi għandhom jikkonformaw mar-regolamenti lokali tal-awtorità tal-bini u kodiċi ta' prattika. Materjali disponibbli faċilment fiż-żona ġeneralment jiddettaw il-materjali tal-kostruzzjoni użati (eż"&amp;". Briks kontra ġebla, kontra injam). L-ispiża tal-kostruzzjoni fuq bażi ta 'kull metru kwadru (jew għal kull pied kwadru) għad-djar tista' tvarja b'mod drammatiku fuq il-kundizzjonijiet tas-sit, regolamenti lokali, ekonomiji ta 'skala (djar iddisinjati ap"&amp;"posta ħafna drabi jiswew aktar biex jinbnew) u d-disponibbiltà ta' negozjanti tas-sengħa. Peress li l-kostruzzjoni residenzjali (kif ukoll it-tipi l-oħra kollha ta 'kostruzzjoni) tista' tiġġenera ħafna skart, hemm bżonn ta 'ppjanar bir-reqqa hawn.")</f>
        <v>Prattiki ta 'kostruzzjoni residenzjali, teknoloġiji, u riżorsi għandhom jikkonformaw mar-regolamenti lokali tal-awtorità tal-bini u kodiċi ta' prattika. Materjali disponibbli faċilment fiż-żona ġeneralment jiddettaw il-materjali tal-kostruzzjoni użati (eż. Briks kontra ġebla, kontra injam). L-ispiża tal-kostruzzjoni fuq bażi ta 'kull metru kwadru (jew għal kull pied kwadru) għad-djar tista' tvarja b'mod drammatiku fuq il-kundizzjonijiet tas-sit, regolamenti lokali, ekonomiji ta 'skala (djar iddisinjati apposta ħafna drabi jiswew aktar biex jinbnew) u d-disponibbiltà ta' negozjanti tas-sengħa. Peress li l-kostruzzjoni residenzjali (kif ukoll it-tipi l-oħra kollha ta 'kostruzzjoni) tista' tiġġenera ħafna skart, hemm bżonn ta 'ppjanar bir-reqqa hawn.</v>
      </c>
    </row>
    <row r="4251" ht="15.75" customHeight="1">
      <c r="A4251" s="2" t="s">
        <v>4251</v>
      </c>
      <c r="B4251" s="2" t="str">
        <f>IFERROR(__xludf.DUMMYFUNCTION("GOOGLETRANSLATE(A4251,""en"", ""mt"")"),"Densità akbar ta 'ilma kiesaħ")</f>
        <v>Densità akbar ta 'ilma kiesaħ</v>
      </c>
    </row>
    <row r="4252" ht="15.75" customHeight="1">
      <c r="A4252" s="2" t="s">
        <v>4252</v>
      </c>
      <c r="B4252" s="2" t="str">
        <f>IFERROR(__xludf.DUMMYFUNCTION("GOOGLETRANSLATE(A4252,""en"", ""mt"")"),"jaħbi Lhudi fid-dar tagħhom")</f>
        <v>jaħbi Lhudi fid-dar tagħhom</v>
      </c>
    </row>
    <row r="4253" ht="15.75" customHeight="1">
      <c r="A4253" s="2" t="s">
        <v>4253</v>
      </c>
      <c r="B4253" s="2" t="str">
        <f>IFERROR(__xludf.DUMMYFUNCTION("GOOGLETRANSLATE(A4253,""en"", ""mt"")"),"F'liema grad il-GPS per capita jistabbilixxi Victoria?")</f>
        <v>F'liema grad il-GPS per capita jistabbilixxi Victoria?</v>
      </c>
    </row>
    <row r="4254" ht="15.75" customHeight="1">
      <c r="A4254" s="2" t="s">
        <v>4254</v>
      </c>
      <c r="B4254" s="2" t="str">
        <f>IFERROR(__xludf.DUMMYFUNCTION("GOOGLETRANSLATE(A4254,""en"", ""mt"")"),"Kif xi kultant jissejjaħ iċ-ċiklu Rankine?")</f>
        <v>Kif xi kultant jissejjaħ iċ-ċiklu Rankine?</v>
      </c>
    </row>
    <row r="4255" ht="15.75" customHeight="1">
      <c r="A4255" s="2" t="s">
        <v>4255</v>
      </c>
      <c r="B4255" s="2" t="str">
        <f>IFERROR(__xludf.DUMMYFUNCTION("GOOGLETRANSLATE(A4255,""en"", ""mt"")"),"L-istudju sab ukoll li kien hemm żewġ clades li qabel kienu magħrufa iżda relatati (fergħat ġenetiċi) tal-ġenoma ta 'Y. pestis assoċjati ma' oqbra tal-massa medjevali. Dawn il-klades (li huma maħsuba li huma estinti) instabu li huma antenati għall-iżolati"&amp;" moderni tar-razez moderni ta ’Y. pestis Y. p. Orientalis u Y. p. Medevalis, li jissuġġerixxi li l-pesta setgħet daħlet fl-Ewropa f'żewġ mewġ. Stħarriġ ta 'Plague Pit jibqa' fi Franza u l-Ingilterra jindikaw li l-ewwel varjant daħal fl-Ewropa permezz tal-"&amp;"port ta 'Marsilja madwar Novembru 1347 u nfirex minn Franza matul is-sentejn li ġejjin, eventwalment jilħaq l-Ingilterra fir-rebbiegħa tal-1349, fejn infirex mill-pajjiż fi tlieta Epidemiji. L-istħarriġ tal-fossa tal-pesta li jibqa 'mill-belt Olandiża ta'"&amp;" Bergen Op Zoom wera l-ġenotip Y. pestis responsabbli għall-pandemija li jinfirex mill-pajjiżi baxxi mill-1350 kien differenti minn dak misjub fil-Gran Brittanja u Franza, li jimplika Bergen op zoom (u possibbilment partijiet oħra ta ' In-Nofsinhar tal-Pa"&amp;"jjiżi l-Baxxi) ma kienx infettat direttament mill-Ingilterra jew Franza fl-1349 u jissuġġerixxi t-tieni mewġa ta 'pesta, differenti minn dawk fil-Gran Brittanja u Franza, setgħet ġiet imwettqa lejn il-pajjiżi baxxi min-Norveġja, il-bliet Hanseatic jew sit"&amp;" ieħor.")</f>
        <v>L-istudju sab ukoll li kien hemm żewġ clades li qabel kienu magħrufa iżda relatati (fergħat ġenetiċi) tal-ġenoma ta 'Y. pestis assoċjati ma' oqbra tal-massa medjevali. Dawn il-klades (li huma maħsuba li huma estinti) instabu li huma antenati għall-iżolati moderni tar-razez moderni ta ’Y. pestis Y. p. Orientalis u Y. p. Medevalis, li jissuġġerixxi li l-pesta setgħet daħlet fl-Ewropa f'żewġ mewġ. Stħarriġ ta 'Plague Pit jibqa' fi Franza u l-Ingilterra jindikaw li l-ewwel varjant daħal fl-Ewropa permezz tal-port ta 'Marsilja madwar Novembru 1347 u nfirex minn Franza matul is-sentejn li ġejjin, eventwalment jilħaq l-Ingilterra fir-rebbiegħa tal-1349, fejn infirex mill-pajjiż fi tlieta Epidemiji. L-istħarriġ tal-fossa tal-pesta li jibqa 'mill-belt Olandiża ta' Bergen Op Zoom wera l-ġenotip Y. pestis responsabbli għall-pandemija li jinfirex mill-pajjiżi baxxi mill-1350 kien differenti minn dak misjub fil-Gran Brittanja u Franza, li jimplika Bergen op zoom (u possibbilment partijiet oħra ta ' In-Nofsinhar tal-Pajjiżi l-Baxxi) ma kienx infettat direttament mill-Ingilterra jew Franza fl-1349 u jissuġġerixxi t-tieni mewġa ta 'pesta, differenti minn dawk fil-Gran Brittanja u Franza, setgħet ġiet imwettqa lejn il-pajjiżi baxxi min-Norveġja, il-bliet Hanseatic jew sit ieħor.</v>
      </c>
    </row>
    <row r="4256" ht="15.75" customHeight="1">
      <c r="A4256" s="2" t="s">
        <v>4256</v>
      </c>
      <c r="B4256" s="2" t="str">
        <f>IFERROR(__xludf.DUMMYFUNCTION("GOOGLETRANSLATE(A4256,""en"", ""mt"")"),"Għalhekk, 6 mhix primarja. L-immaġni fuq il-lemin turi li 12 mhuwiex prim: 12 = 3 · 4. L-ebda numru uniformi akbar minn 2 huwa prim għaliex bid-definizzjoni, kwalunkwe numru n-Numru N għandu mill-inqas tliet diviżuri distinti, jiġifieri 1, 2, u n. Dan jim"&amp;"plika li n mhix primarja. Għaldaqstant, it-terminu fard prim jirreferi għal kwalunkwe numru ewlieni akbar minn 2. Bl-istess mod, meta miktub fis-sistema deċimali tas-soltu, in-numri ewlenin kollha akbar minn 5 jispiċċaw f'1, 3, 7, jew 9, peress li n-numri"&amp;" uniformi huma multipli ta '2 u In-numri li jispiċċaw f'0 jew 5 huma multipli ta '5.")</f>
        <v>Għalhekk, 6 mhix primarja. L-immaġni fuq il-lemin turi li 12 mhuwiex prim: 12 = 3 · 4. L-ebda numru uniformi akbar minn 2 huwa prim għaliex bid-definizzjoni, kwalunkwe numru n-Numru N għandu mill-inqas tliet diviżuri distinti, jiġifieri 1, 2, u n. Dan jimplika li n mhix primarja. Għaldaqstant, it-terminu fard prim jirreferi għal kwalunkwe numru ewlieni akbar minn 2. Bl-istess mod, meta miktub fis-sistema deċimali tas-soltu, in-numri ewlenin kollha akbar minn 5 jispiċċaw f'1, 3, 7, jew 9, peress li n-numri uniformi huma multipli ta '2 u In-numri li jispiċċaw f'0 jew 5 huma multipli ta '5.</v>
      </c>
    </row>
    <row r="4257" ht="15.75" customHeight="1">
      <c r="A4257" s="2" t="s">
        <v>4257</v>
      </c>
      <c r="B4257" s="2" t="str">
        <f>IFERROR(__xludf.DUMMYFUNCTION("GOOGLETRANSLATE(A4257,""en"", ""mt"")"),"probabilistiku")</f>
        <v>probabilistiku</v>
      </c>
    </row>
    <row r="4258" ht="15.75" customHeight="1">
      <c r="A4258" s="2" t="s">
        <v>4258</v>
      </c>
      <c r="B4258" s="2" t="str">
        <f>IFERROR(__xludf.DUMMYFUNCTION("GOOGLETRANSLATE(A4258,""en"", ""mt"")"),"it-tribujiet Mongoljani u Turkiċi")</f>
        <v>it-tribujiet Mongoljani u Turkiċi</v>
      </c>
    </row>
    <row r="4259" ht="15.75" customHeight="1">
      <c r="A4259" s="2" t="s">
        <v>4259</v>
      </c>
      <c r="B4259" s="2" t="str">
        <f>IFERROR(__xludf.DUMMYFUNCTION("GOOGLETRANSLATE(A4259,""en"", ""mt"")"),"Il-kampus tal-Università ta ’Chicago")</f>
        <v>Il-kampus tal-Università ta ’Chicago</v>
      </c>
    </row>
    <row r="4260" ht="15.75" customHeight="1">
      <c r="A4260" s="2" t="s">
        <v>4260</v>
      </c>
      <c r="B4260" s="2" t="str">
        <f>IFERROR(__xludf.DUMMYFUNCTION("GOOGLETRANSLATE(A4260,""en"", ""mt"")"),"Għal xiex kien magħruf Tugh Temur?")</f>
        <v>Għal xiex kien magħruf Tugh Temur?</v>
      </c>
    </row>
    <row r="4261" ht="15.75" customHeight="1">
      <c r="A4261" s="2" t="s">
        <v>4261</v>
      </c>
      <c r="B4261" s="2" t="str">
        <f>IFERROR(__xludf.DUMMYFUNCTION("GOOGLETRANSLATE(A4261,""en"", ""mt"")"),"Migrazzjoni interna u urbanizzazzjoni.")</f>
        <v>Migrazzjoni interna u urbanizzazzjoni.</v>
      </c>
    </row>
    <row r="4262" ht="15.75" customHeight="1">
      <c r="A4262" s="2" t="s">
        <v>4262</v>
      </c>
      <c r="B4262" s="2" t="str">
        <f>IFERROR(__xludf.DUMMYFUNCTION("GOOGLETRANSLATE(A4262,""en"", ""mt"")"),"X'inhuma xi kultant preżenti fil-kuruna tal-firebox tal-bojler?")</f>
        <v>X'inhuma xi kultant preżenti fil-kuruna tal-firebox tal-bojler?</v>
      </c>
    </row>
    <row r="4263" ht="15.75" customHeight="1">
      <c r="A4263" s="2" t="s">
        <v>4263</v>
      </c>
      <c r="B4263" s="2" t="str">
        <f>IFERROR(__xludf.DUMMYFUNCTION("GOOGLETRANSLATE(A4263,""en"", ""mt"")"),"Ġie argumentat li t-terminu ""diżubbidjenza ċivili"" dejjem sofra minn ambigwità u fi żminijiet moderni, sar kompletament imnaqqas. Marshall Cohen jinnota, ""Intuża biex jiddeskrivi kollox mill-ġbir ta 'każ fil-qrati federali biex jieħu l-għan lejn uffiċj"&amp;"al federali. Tassew, għall-Viċi President Agnew sar kelma ta' kodiċi li tiddeskrivi l-attivitajiet ta 'muggers, Arsonists , Abbozzi ta 'Evaders, Hecklers tal-Kampanja, Militanti tal-Kampus, Dimostraturi Kontra l-Gwerra, Delinkwenti tal-Minorenni u Assassi"&amp;"ni Politiċi. """)</f>
        <v>Ġie argumentat li t-terminu "diżubbidjenza ċivili" dejjem sofra minn ambigwità u fi żminijiet moderni, sar kompletament imnaqqas. Marshall Cohen jinnota, "Intuża biex jiddeskrivi kollox mill-ġbir ta 'każ fil-qrati federali biex jieħu l-għan lejn uffiċjal federali. Tassew, għall-Viċi President Agnew sar kelma ta' kodiċi li tiddeskrivi l-attivitajiet ta 'muggers, Arsonists , Abbozzi ta 'Evaders, Hecklers tal-Kampanja, Militanti tal-Kampus, Dimostraturi Kontra l-Gwerra, Delinkwenti tal-Minorenni u Assassini Politiċi. "</v>
      </c>
    </row>
    <row r="4264" ht="15.75" customHeight="1">
      <c r="A4264" s="2" t="s">
        <v>4264</v>
      </c>
      <c r="B4264" s="2" t="str">
        <f>IFERROR(__xludf.DUMMYFUNCTION("GOOGLETRANSLATE(A4264,""en"", ""mt"")"),"Elettorat ta 'Brandenburg u Elettorat tal-Palatinat")</f>
        <v>Elettorat ta 'Brandenburg u Elettorat tal-Palatinat</v>
      </c>
    </row>
    <row r="4265" ht="15.75" customHeight="1">
      <c r="A4265" s="2" t="s">
        <v>4265</v>
      </c>
      <c r="B4265" s="2" t="str">
        <f>IFERROR(__xludf.DUMMYFUNCTION("GOOGLETRANSLATE(A4265,""en"", ""mt"")"),"Dawn il-proċessi kollha mhux neċessarjament iseħħu f'ambjent wieħed, u mhux neċessarjament iseħħu f'ordni waħda. Il-gżejjer Ħawajjani, pereżempju, jikkonsistu kważi kompletament minn flussi ta 'lava bażaltika b'saffi. Is-sekwenzi sedimentarji ta 'l-Istati"&amp;" Uniti tan-Nofs Kontinentali u l-Grand Canyon fil-Lbiċ ta' l-Istati Uniti fihom munzelli kważi mhux deformati ta 'blat sedimentarji li baqgħu f'posthom sa minn żmien Cambrian. Żoni oħra huma ħafna iktar ġeoloġikament kumplessi. Fil-Lbiċ ta 'l-Istati Uniti"&amp;", il-blat sedimentarji, vulkaniċi u intrużivi ġew metamorfositi, difetti, foljati u mitwija. Anke blat anzjani, bħall-acasta gneiss tal-craton tal-iskjavi fil-majjistral tal-Kanada, l-eqdem blat magħruf fid-dinja ġew metamorfosi sal-punt fejn l-oriġini ta"&amp;"għhom ma tinstabx mingħajr analiżi tal-laboratorju. Barra minn hekk, dawn il-proċessi jistgħu jseħħu fi stadji. F’ħafna postijiet, il-Grand Canyon fil-Lbiċ ta ’l-Istati Uniti huwa eżempju viżibbli ħafna, l-unitajiet ta’ blat aktar baxxi ġew metamorfositi "&amp;"u deformati, u mbagħad id-deformazzjoni ntemmet u l-unitajiet ta ’fuq u mhux iffurmati ġew depożitati. Għalkemm jista 'jkun hemm kwalunkwe ammont ta' sostituzzjoni tal-blat u deformazzjoni tal-blat, u jistgħu jseħħu kwalunkwe numru ta 'drabi, dawn il-kunċ"&amp;"etti jipprovdu gwida biex tifhem l-istorja ġeoloġika ta' żona.")</f>
        <v>Dawn il-proċessi kollha mhux neċessarjament iseħħu f'ambjent wieħed, u mhux neċessarjament iseħħu f'ordni waħda. Il-gżejjer Ħawajjani, pereżempju, jikkonsistu kważi kompletament minn flussi ta 'lava bażaltika b'saffi. Is-sekwenzi sedimentarji ta 'l-Istati Uniti tan-Nofs Kontinentali u l-Grand Canyon fil-Lbiċ ta' l-Istati Uniti fihom munzelli kważi mhux deformati ta 'blat sedimentarji li baqgħu f'posthom sa minn żmien Cambrian. Żoni oħra huma ħafna iktar ġeoloġikament kumplessi. Fil-Lbiċ ta 'l-Istati Uniti, il-blat sedimentarji, vulkaniċi u intrużivi ġew metamorfositi, difetti, foljati u mitwija. Anke blat anzjani, bħall-acasta gneiss tal-craton tal-iskjavi fil-majjistral tal-Kanada, l-eqdem blat magħruf fid-dinja ġew metamorfosi sal-punt fejn l-oriġini tagħhom ma tinstabx mingħajr analiżi tal-laboratorju. Barra minn hekk, dawn il-proċessi jistgħu jseħħu fi stadji. F’ħafna postijiet, il-Grand Canyon fil-Lbiċ ta ’l-Istati Uniti huwa eżempju viżibbli ħafna, l-unitajiet ta’ blat aktar baxxi ġew metamorfositi u deformati, u mbagħad id-deformazzjoni ntemmet u l-unitajiet ta ’fuq u mhux iffurmati ġew depożitati. Għalkemm jista 'jkun hemm kwalunkwe ammont ta' sostituzzjoni tal-blat u deformazzjoni tal-blat, u jistgħu jseħħu kwalunkwe numru ta 'drabi, dawn il-kunċetti jipprovdu gwida biex tifhem l-istorja ġeoloġika ta' żona.</v>
      </c>
    </row>
    <row r="4266" ht="15.75" customHeight="1">
      <c r="A4266" s="2" t="s">
        <v>4266</v>
      </c>
      <c r="B4266" s="2" t="str">
        <f>IFERROR(__xludf.DUMMYFUNCTION("GOOGLETRANSLATE(A4266,""en"", ""mt"")"),"Abilene")</f>
        <v>Abilene</v>
      </c>
    </row>
    <row r="4267" ht="15.75" customHeight="1">
      <c r="A4267" s="2" t="s">
        <v>4267</v>
      </c>
      <c r="B4267" s="2" t="str">
        <f>IFERROR(__xludf.DUMMYFUNCTION("GOOGLETRANSLATE(A4267,""en"", ""mt"")"),"Huwa t-tentazzjoni li wieħed jaħseb li l-kunċett ta 'problemi ta' funzjoni huwa ħafna iktar sinjur mill-kunċett ta 'problemi ta' deċiżjoni. Madankollu, dan mhuwiex verament il-każ, peress li l-problemi tal-funzjoni jistgħu jerġgħu jinġabru bħala problemi "&amp;"ta 'deċiżjoni. Pereżempju, il-multiplikazzjoni ta 'żewġ numri interi tista' tiġi espressa bħala s-sett ta 'trippli (a, b, c) tali li r-relazzjoni a × b = c iżżomm. Jiddeċiedi jekk trippla partikolari hijiex membru ta 'dan is-sett tikkorrispondix biex isso"&amp;"lvi l-problema ta' l-immultiplikazzjoni ta 'żewġ numri.")</f>
        <v>Huwa t-tentazzjoni li wieħed jaħseb li l-kunċett ta 'problemi ta' funzjoni huwa ħafna iktar sinjur mill-kunċett ta 'problemi ta' deċiżjoni. Madankollu, dan mhuwiex verament il-każ, peress li l-problemi tal-funzjoni jistgħu jerġgħu jinġabru bħala problemi ta 'deċiżjoni. Pereżempju, il-multiplikazzjoni ta 'żewġ numri interi tista' tiġi espressa bħala s-sett ta 'trippli (a, b, c) tali li r-relazzjoni a × b = c iżżomm. Jiddeċiedi jekk trippla partikolari hijiex membru ta 'dan is-sett tikkorrispondix biex issolvi l-problema ta' l-immultiplikazzjoni ta 'żewġ numri.</v>
      </c>
    </row>
    <row r="4268" ht="15.75" customHeight="1">
      <c r="A4268" s="2" t="s">
        <v>4268</v>
      </c>
      <c r="B4268" s="2" t="str">
        <f>IFERROR(__xludf.DUMMYFUNCTION("GOOGLETRANSLATE(A4268,""en"", ""mt"")"),"Politika dwar it-Taxxa fuq il-Propjetà")</f>
        <v>Politika dwar it-Taxxa fuq il-Propjetà</v>
      </c>
    </row>
    <row r="4269" ht="15.75" customHeight="1">
      <c r="A4269" s="2" t="s">
        <v>4269</v>
      </c>
      <c r="B4269" s="2" t="str">
        <f>IFERROR(__xludf.DUMMYFUNCTION("GOOGLETRANSLATE(A4269,""en"", ""mt"")"),"tifforma sħubijiet kummerċjali ma 'tobba")</f>
        <v>tifforma sħubijiet kummerċjali ma 'tobba</v>
      </c>
    </row>
    <row r="4270" ht="15.75" customHeight="1">
      <c r="A4270" s="2" t="s">
        <v>4270</v>
      </c>
      <c r="B4270" s="2" t="str">
        <f>IFERROR(__xludf.DUMMYFUNCTION("GOOGLETRANSLATE(A4270,""en"", ""mt"")"),"Li opera n-netwerk VBSN")</f>
        <v>Li opera n-netwerk VBSN</v>
      </c>
    </row>
    <row r="4271" ht="15.75" customHeight="1">
      <c r="A4271" s="2" t="s">
        <v>4271</v>
      </c>
      <c r="B4271" s="2" t="str">
        <f>IFERROR(__xludf.DUMMYFUNCTION("GOOGLETRANSLATE(A4271,""en"", ""mt"")"),"jeħilsu tweġibiet immuni ospitanti")</f>
        <v>jeħilsu tweġibiet immuni ospitanti</v>
      </c>
    </row>
    <row r="4272" ht="15.75" customHeight="1">
      <c r="A4272" s="2" t="s">
        <v>4272</v>
      </c>
      <c r="B4272" s="2" t="str">
        <f>IFERROR(__xludf.DUMMYFUNCTION("GOOGLETRANSLATE(A4272,""en"", ""mt"")"),"X'inhi t-traduzzjoni bl-Ingliż ta 'Tawhid?")</f>
        <v>X'inhi t-traduzzjoni bl-Ingliż ta 'Tawhid?</v>
      </c>
    </row>
    <row r="4273" ht="15.75" customHeight="1">
      <c r="A4273" s="2" t="s">
        <v>4273</v>
      </c>
      <c r="B4273" s="2" t="str">
        <f>IFERROR(__xludf.DUMMYFUNCTION("GOOGLETRANSLATE(A4273,""en"", ""mt"")"),"Liema stil ta 'senser jixtieq juża x-xjentist biex ikejjel ir-radjazzjoni globali?")</f>
        <v>Liema stil ta 'senser jixtieq juża x-xjentist biex ikejjel ir-radjazzjoni globali?</v>
      </c>
    </row>
    <row r="4274" ht="15.75" customHeight="1">
      <c r="A4274" s="2" t="s">
        <v>4274</v>
      </c>
      <c r="B4274" s="2" t="str">
        <f>IFERROR(__xludf.DUMMYFUNCTION("GOOGLETRANSLATE(A4274,""en"", ""mt"")"),"Xi jfisser il-konnessjoni differenti ta 'kaxxi tas-sema Q?")</f>
        <v>Xi jfisser il-konnessjoni differenti ta 'kaxxi tas-sema Q?</v>
      </c>
    </row>
    <row r="4275" ht="15.75" customHeight="1">
      <c r="A4275" s="2" t="s">
        <v>4275</v>
      </c>
      <c r="B4275" s="2" t="str">
        <f>IFERROR(__xludf.DUMMYFUNCTION("GOOGLETRANSLATE(A4275,""en"", ""mt"")"),"Skond it-teorija tal-konċentrazzjoni tal-ġid, liema vantaġġ għandhom is-sinjur fl-akkumulazzjoni ta 'ġid ġdid?")</f>
        <v>Skond it-teorija tal-konċentrazzjoni tal-ġid, liema vantaġġ għandhom is-sinjur fl-akkumulazzjoni ta 'ġid ġdid?</v>
      </c>
    </row>
    <row r="4276" ht="15.75" customHeight="1">
      <c r="A4276" s="2" t="s">
        <v>4276</v>
      </c>
      <c r="B4276" s="2" t="str">
        <f>IFERROR(__xludf.DUMMYFUNCTION("GOOGLETRANSLATE(A4276,""en"", ""mt"")"),"Liema organizzazzjoni ingħaqad ma 'Iqbal f'Londra?")</f>
        <v>Liema organizzazzjoni ingħaqad ma 'Iqbal f'Londra?</v>
      </c>
    </row>
    <row r="4277" ht="15.75" customHeight="1">
      <c r="A4277" s="2" t="s">
        <v>4277</v>
      </c>
      <c r="B4277" s="2" t="str">
        <f>IFERROR(__xludf.DUMMYFUNCTION("GOOGLETRANSLATE(A4277,""en"", ""mt"")"),"Komponenti oħra huma spiss preżenti; Pompi (bħal injettur) biex ifornu l-ilma lill-bojler waqt l-operazzjoni, kondensaturi biex jirriċirkulaw l-ilma u jirkupraw is-sħana moħbija tal-vaporizzazzjoni, u s-superheaters biex jgħollu t-temperatura tal-fwar 'il"&amp;" fuq mill-punt tal-fwar saturat tiegħu, u diversi mekkaniżmi biex iżidu l- Abbozz għall-FireBoxes. Meta jintuża l-faħam, mekkaniżmu ta 'stoking tal-katina jew kamin u l-magna tas-sewqan jew mutur tiegħu jistgħu jiġu inklużi biex iċċaqlaq il-fjuwil minn bi"&amp;"nja tal-provvista (bunker) lejn il-firebox. Ara: Stoker Mekkaniku")</f>
        <v>Komponenti oħra huma spiss preżenti; Pompi (bħal injettur) biex ifornu l-ilma lill-bojler waqt l-operazzjoni, kondensaturi biex jirriċirkulaw l-ilma u jirkupraw is-sħana moħbija tal-vaporizzazzjoni, u s-superheaters biex jgħollu t-temperatura tal-fwar 'il fuq mill-punt tal-fwar saturat tiegħu, u diversi mekkaniżmi biex iżidu l- Abbozz għall-FireBoxes. Meta jintuża l-faħam, mekkaniżmu ta 'stoking tal-katina jew kamin u l-magna tas-sewqan jew mutur tiegħu jistgħu jiġu inklużi biex iċċaqlaq il-fjuwil minn binja tal-provvista (bunker) lejn il-firebox. Ara: Stoker Mekkaniku</v>
      </c>
    </row>
    <row r="4278" ht="15.75" customHeight="1">
      <c r="A4278" s="2" t="s">
        <v>4278</v>
      </c>
      <c r="B4278" s="2" t="str">
        <f>IFERROR(__xludf.DUMMYFUNCTION("GOOGLETRANSLATE(A4278,""en"", ""mt"")"),"Mit-twaqqif tagħha, l-UE ħadmet fost pluralità dejjem tiżdied ta 'sistemi legali nazzjonali u globalizzanti. Dan fisser kemm il-Qorti Ewropea tal-Ġustizzja kif ukoll l-ogħla qrati nazzjonali kellhom jiżviluppaw prinċipji biex isolvu kunflitti ta 'liġijiet"&amp;" bejn sistemi differenti. Fi ħdan l-UE nnifisha, il-fehma tal-Qorti tal-Ġustizzja hija li jekk il-liġi tal-UE tkun f’kunflitti ma ’dispożizzjoni tal-liġi nazzjonali, allura l-liġi tal-UE għandha l-primat. Fl-ewwel każ ewlieni fl-1964, Costa v Enel, avukat"&amp;" Milanese, u ex-azzjonist ta 'kumpanija tal-enerġija, bl-isem is-Sur Costa rrifjutaw li jħallsu l-kont tal-elettriku tiegħu biex jeħlu, bħala protesta kontra n-nazzjonalizzazzjoni tal-korporazzjonijiet tal-enerġija Taljani. Huwa ddikjara li l-liġi tan-naz"&amp;"zjonalizzazzjoni Taljana kienet f’kunflitt mat-Trattat ta ’Ruma, u talab referenza kemm lill-Qorti Kostituzzjonali Taljana kif ukoll lill-Qorti tal-Ġustizzja taħt l-Artikolu 267. Il-Qorti Kostituzzjonali Taljana tat opinjoni li minħabba l-liġi tan-nazzjon"&amp;"alizzazzjoni kienet mill-1962 , u t-trattat kien fis-seħħ mill-1958, Costa ma kellha l-ebda talba. B'kuntrast, il-Qorti tal-Ġustizzja ddeċidiet li fl-aħħar it-Trattat ta 'Ruma bl-ebda mod ma evita n-nazzjonalizzazzjoni tal-enerġija, u fi kwalunkwe każ taħ"&amp;"t id-dispożizzjonijiet tat-trattati biss il-Kummissjoni setgħet ġabet talba, mhux is-Sur Costa. Madankollu, fil-prinċipju, is-Sur Costa kien intitolat li jinvoka li t-trattat kien f’kunflitt mal-liġi nazzjonali, u l-qorti jkollha d-dmir li tikkunsidra t-t"&amp;"alba tiegħu li tagħmel referenza jekk ma jkun hemm l-ebda appell kontra d-deċiżjoni tiegħu. Il-Qorti tal-Ġustizzja, li rrepetiet il-fehma tagħha f'Van Gend en Loos, qalet li l-istati membri ""għalkemm fi sferi limitati, illimitaw id-drittijiet sovrani tag"&amp;"ħhom u ħolqu korp ta 'liġi applikabbli kemm għaċ-ċittadini tagħhom kif ukoll lilhom infushom"" fuq il- ""bażi ta' reċiproċità"" Jonqos Il-liġi tal-UE ma tkunx ""twarrab minn dispożizzjonijiet legali domestiċi, madankollu inkwadrata ... mingħajr il-bażi le"&amp;"gali tal-komunità nnifisha ma tkunx ikkontestata."" Dan kien ifisser kull ""att unilaterali sussegwenti"" ta 'l-Istat Membru inapplikabbli. Bl-istess mod, f'Amministrazione Delle Finanze vs Simmenthal Spa, kumpanija, Simmenthal Spa, sostniet li ħlas ta 's"&amp;"pezzjoni tas-saħħa pubblika taħt il-liġi Taljana tal-1970 għall-importazzjoni taċ-ċanga minn Franza lejn l-Italja għall-Italja kien kuntrarju għal żewġ regolamenti mill-1964 u l-1968. Il-prinċipju tal-preċedenza tal-liġi tal-komunità, ""qalet il-Qorti tal"&amp;"-Ġustizzja,"" il-miżuri applikabbli direttament tal-istituzzjonijiet ""(bħar-regolamenti fil-każ)"" tirrendi awtomatikament inapplikabbli kwalunkwe dispożizzjoni konfliġġenti tal-liġi nazzjonali attwali "". Dan kien meħtieġ biex jiġi evitat ""ċaħda korris"&amp;"pondenti"" ta 'obbligi ta' trattat ""imwettqa mingħajr kundizzjonijiet u irrevokabbilment mill-istati membri"", li jistgħu ""jimperixxu l-pedamenti stess ta 'l-UE. Iżda minkejja l-opinjonijiet tal-Qorti tal-Ġustizzja, il-Qrati Nazzjonali tal-Istati Membri"&amp;" ma aċċettawx l-istess analiżi.")</f>
        <v>Mit-twaqqif tagħha, l-UE ħadmet fost pluralità dejjem tiżdied ta 'sistemi legali nazzjonali u globalizzanti. Dan fisser kemm il-Qorti Ewropea tal-Ġustizzja kif ukoll l-ogħla qrati nazzjonali kellhom jiżviluppaw prinċipji biex isolvu kunflitti ta 'liġijiet bejn sistemi differenti. Fi ħdan l-UE nnifisha, il-fehma tal-Qorti tal-Ġustizzja hija li jekk il-liġi tal-UE tkun f’kunflitti ma ’dispożizzjoni tal-liġi nazzjonali, allura l-liġi tal-UE għandha l-primat. Fl-ewwel każ ewlieni fl-1964, Costa v Enel, avukat Milanese, u ex-azzjonist ta 'kumpanija tal-enerġija, bl-isem is-Sur Costa rrifjutaw li jħallsu l-kont tal-elettriku tiegħu biex jeħlu, bħala protesta kontra n-nazzjonalizzazzjoni tal-korporazzjonijiet tal-enerġija Taljani. Huwa ddikjara li l-liġi tan-nazzjonalizzazzjoni Taljana kienet f’kunflitt mat-Trattat ta ’Ruma, u talab referenza kemm lill-Qorti Kostituzzjonali Taljana kif ukoll lill-Qorti tal-Ġustizzja taħt l-Artikolu 267. Il-Qorti Kostituzzjonali Taljana tat opinjoni li minħabba l-liġi tan-nazzjonalizzazzjoni kienet mill-1962 , u t-trattat kien fis-seħħ mill-1958, Costa ma kellha l-ebda talba. B'kuntrast, il-Qorti tal-Ġustizzja ddeċidiet li fl-aħħar it-Trattat ta 'Ruma bl-ebda mod ma evita n-nazzjonalizzazzjoni tal-enerġija, u fi kwalunkwe każ taħt id-dispożizzjonijiet tat-trattati biss il-Kummissjoni setgħet ġabet talba, mhux is-Sur Costa. Madankollu, fil-prinċipju, is-Sur Costa kien intitolat li jinvoka li t-trattat kien f’kunflitt mal-liġi nazzjonali, u l-qorti jkollha d-dmir li tikkunsidra t-talba tiegħu li tagħmel referenza jekk ma jkun hemm l-ebda appell kontra d-deċiżjoni tiegħu. Il-Qorti tal-Ġustizzja, li rrepetiet il-fehma tagħha f'Van Gend en Loos, qalet li l-istati membri "għalkemm fi sferi limitati, illimitaw id-drittijiet sovrani tagħhom u ħolqu korp ta 'liġi applikabbli kemm għaċ-ċittadini tagħhom kif ukoll lilhom infushom" fuq il- "bażi ta' reċiproċità" Jonqos Il-liġi tal-UE ma tkunx "twarrab minn dispożizzjonijiet legali domestiċi, madankollu inkwadrata ... mingħajr il-bażi legali tal-komunità nnifisha ma tkunx ikkontestata." Dan kien ifisser kull "att unilaterali sussegwenti" ta 'l-Istat Membru inapplikabbli. Bl-istess mod, f'Amministrazione Delle Finanze vs Simmenthal Spa, kumpanija, Simmenthal Spa, sostniet li ħlas ta 'spezzjoni tas-saħħa pubblika taħt il-liġi Taljana tal-1970 għall-importazzjoni taċ-ċanga minn Franza lejn l-Italja għall-Italja kien kuntrarju għal żewġ regolamenti mill-1964 u l-1968. Il-prinċipju tal-preċedenza tal-liġi tal-komunità, "qalet il-Qorti tal-Ġustizzja," il-miżuri applikabbli direttament tal-istituzzjonijiet "(bħar-regolamenti fil-każ)" tirrendi awtomatikament inapplikabbli kwalunkwe dispożizzjoni konfliġġenti tal-liġi nazzjonali attwali ". Dan kien meħtieġ biex jiġi evitat "ċaħda korrispondenti" ta 'obbligi ta' trattat "imwettqa mingħajr kundizzjonijiet u irrevokabbilment mill-istati membri", li jistgħu "jimperixxu l-pedamenti stess ta 'l-UE. Iżda minkejja l-opinjonijiet tal-Qorti tal-Ġustizzja, il-Qrati Nazzjonali tal-Istati Membri ma aċċettawx l-istess analiżi.</v>
      </c>
    </row>
    <row r="4279" ht="15.75" customHeight="1">
      <c r="A4279" s="2" t="s">
        <v>4279</v>
      </c>
      <c r="B4279" s="2" t="str">
        <f>IFERROR(__xludf.DUMMYFUNCTION("GOOGLETRANSLATE(A4279,""en"", ""mt"")"),"Nies li jagħtu servizzi ""għar-remunerazzjoni""")</f>
        <v>Nies li jagħtu servizzi "għar-remunerazzjoni"</v>
      </c>
    </row>
    <row r="4280" ht="15.75" customHeight="1">
      <c r="A4280" s="2" t="s">
        <v>4280</v>
      </c>
      <c r="B4280" s="2" t="str">
        <f>IFERROR(__xludf.DUMMYFUNCTION("GOOGLETRANSLATE(A4280,""en"", ""mt"")"),"Liema xprunat żieda fl-appoġġ għar-riforma tal-gvern?")</f>
        <v>Liema xprunat żieda fl-appoġġ għar-riforma tal-gvern?</v>
      </c>
    </row>
    <row r="4281" ht="15.75" customHeight="1">
      <c r="A4281" s="2" t="s">
        <v>4281</v>
      </c>
      <c r="B4281" s="2" t="str">
        <f>IFERROR(__xludf.DUMMYFUNCTION("GOOGLETRANSLATE(A4281,""en"", ""mt"")"),"L-università kienet forza fundatriċi wara liema konferenza?")</f>
        <v>L-università kienet forza fundatriċi wara liema konferenza?</v>
      </c>
    </row>
    <row r="4282" ht="15.75" customHeight="1">
      <c r="A4282" s="2" t="s">
        <v>4282</v>
      </c>
      <c r="B4282" s="2" t="str">
        <f>IFERROR(__xludf.DUMMYFUNCTION("GOOGLETRANSLATE(A4282,""en"", ""mt"")"),"Min kien l-ewwel Amerikan li jivvjaġġa lejn ix-Xmara Amazon")</f>
        <v>Min kien l-ewwel Amerikan li jivvjaġġa lejn ix-Xmara Amazon</v>
      </c>
    </row>
    <row r="4283" ht="15.75" customHeight="1">
      <c r="A4283" s="2" t="s">
        <v>4283</v>
      </c>
      <c r="B4283" s="2" t="str">
        <f>IFERROR(__xludf.DUMMYFUNCTION("GOOGLETRANSLATE(A4283,""en"", ""mt"")"),"X'inhi tip ta 'rispons ta' difiża li jagħmel l-impjant kollu reżistenti għal aġent partikolari?")</f>
        <v>X'inhi tip ta 'rispons ta' difiża li jagħmel l-impjant kollu reżistenti għal aġent partikolari?</v>
      </c>
    </row>
    <row r="4284" ht="15.75" customHeight="1">
      <c r="A4284" s="2" t="s">
        <v>4284</v>
      </c>
      <c r="B4284" s="2" t="str">
        <f>IFERROR(__xludf.DUMMYFUNCTION("GOOGLETRANSLATE(A4284,""en"", ""mt"")"),"ħames l-iktar popolati fl-istat")</f>
        <v>ħames l-iktar popolati fl-istat</v>
      </c>
    </row>
    <row r="4285" ht="15.75" customHeight="1">
      <c r="A4285" s="2" t="s">
        <v>4285</v>
      </c>
      <c r="B4285" s="2" t="str">
        <f>IFERROR(__xludf.DUMMYFUNCTION("GOOGLETRANSLATE(A4285,""en"", ""mt"")"),"Rivoluzzjoni Dinjija")</f>
        <v>Rivoluzzjoni Dinjija</v>
      </c>
    </row>
    <row r="4286" ht="15.75" customHeight="1">
      <c r="A4286" s="2" t="s">
        <v>4286</v>
      </c>
      <c r="B4286" s="2" t="str">
        <f>IFERROR(__xludf.DUMMYFUNCTION("GOOGLETRANSLATE(A4286,""en"", ""mt"")"),"X'inhu l-isem tar-reġjun li mhux definit mit-tmien jew 10 definizzjonijiet tal-kontea?")</f>
        <v>X'inhu l-isem tar-reġjun li mhux definit mit-tmien jew 10 definizzjonijiet tal-kontea?</v>
      </c>
    </row>
    <row r="4287" ht="15.75" customHeight="1">
      <c r="A4287" s="2" t="s">
        <v>4287</v>
      </c>
      <c r="B4287" s="2" t="str">
        <f>IFERROR(__xludf.DUMMYFUNCTION("GOOGLETRANSLATE(A4287,""en"", ""mt"")"),"L-ewwel ivvjaġġar irreġistrat mill-Ewropej lejn iċ-Ċina u d-data ta 'wara minn dan iż-żmien. L-iktar vjaġġatur famuż tal-perjodu kien il-Venezjan Marco Polo, li r-rendikont tiegħu tal-vjaġġ tiegħu lejn ""Cambaluc,"" il-kapitali tal-Khan il-Kbir, u tal-ħaj"&amp;"ja hemm stagħġeb lin-nies tal-Ewropa. Ir-rendikont tal-ivvjaġġar tiegħu, IL Milione (jew, il-miljun, magħruf bl-Ingliż bħala l-ivvjaġġar ta 'Marco Polo), deher madwar is-sena 1299. Xi wħud jargumentaw fuq l-eżattezza tal-kontijiet ta' Marco Polo minħabba "&amp;"n-nuqqas li jsemmu l-Ħajt il-Kbir ta ' Iċ-Ċina, djar tat-te, li kienu jkunu vista prominenti peress li l-Ewropej kienu għadhom iridu jadottaw kultura tat-te, kif ukoll il-prattika ta 'marda li torbot min-nisa fil-kapitali tal-Khan il-Kbir. Xi wħud jissuġġ"&amp;"erixxu li Marco Polo akkwista ħafna mill-għarfien tiegħu permezz ta 'kuntatt ma' negozjanti Persjani peress li ħafna mill-postijiet li hu jismu kienu fil-Persjan.")</f>
        <v>L-ewwel ivvjaġġar irreġistrat mill-Ewropej lejn iċ-Ċina u d-data ta 'wara minn dan iż-żmien. L-iktar vjaġġatur famuż tal-perjodu kien il-Venezjan Marco Polo, li r-rendikont tiegħu tal-vjaġġ tiegħu lejn "Cambaluc," il-kapitali tal-Khan il-Kbir, u tal-ħajja hemm stagħġeb lin-nies tal-Ewropa. Ir-rendikont tal-ivvjaġġar tiegħu, IL Milione (jew, il-miljun, magħruf bl-Ingliż bħala l-ivvjaġġar ta 'Marco Polo), deher madwar is-sena 1299. Xi wħud jargumentaw fuq l-eżattezza tal-kontijiet ta' Marco Polo minħabba n-nuqqas li jsemmu l-Ħajt il-Kbir ta ' Iċ-Ċina, djar tat-te, li kienu jkunu vista prominenti peress li l-Ewropej kienu għadhom iridu jadottaw kultura tat-te, kif ukoll il-prattika ta 'marda li torbot min-nisa fil-kapitali tal-Khan il-Kbir. Xi wħud jissuġġerixxu li Marco Polo akkwista ħafna mill-għarfien tiegħu permezz ta 'kuntatt ma' negozjanti Persjani peress li ħafna mill-postijiet li hu jismu kienu fil-Persjan.</v>
      </c>
    </row>
    <row r="4288" ht="15.75" customHeight="1">
      <c r="A4288" s="2" t="s">
        <v>4288</v>
      </c>
      <c r="B4288" s="2" t="str">
        <f>IFERROR(__xludf.DUMMYFUNCTION("GOOGLETRANSLATE(A4288,""en"", ""mt"")"),"L-ewwel servizz online kummerċjali tad-dinja")</f>
        <v>L-ewwel servizz online kummerċjali tad-dinja</v>
      </c>
    </row>
    <row r="4289" ht="15.75" customHeight="1">
      <c r="A4289" s="2" t="s">
        <v>4289</v>
      </c>
      <c r="B4289" s="2" t="str">
        <f>IFERROR(__xludf.DUMMYFUNCTION("GOOGLETRANSLATE(A4289,""en"", ""mt"")"),"it-tieni")</f>
        <v>it-tieni</v>
      </c>
    </row>
    <row r="4290" ht="15.75" customHeight="1">
      <c r="A4290" s="2" t="s">
        <v>4290</v>
      </c>
      <c r="B4290" s="2" t="str">
        <f>IFERROR(__xludf.DUMMYFUNCTION("GOOGLETRANSLATE(A4290,""en"", ""mt"")"),"Teoremi tal-Ġerarkija tal-Ħin u l-Ispazju")</f>
        <v>Teoremi tal-Ġerarkija tal-Ħin u l-Ispazju</v>
      </c>
    </row>
    <row r="4291" ht="15.75" customHeight="1">
      <c r="A4291" s="2" t="s">
        <v>4291</v>
      </c>
      <c r="B4291" s="2" t="str">
        <f>IFERROR(__xludf.DUMMYFUNCTION("GOOGLETRANSLATE(A4291,""en"", ""mt"")"),"X’għamlet il-Amazon Rainforest matul il-Miocene Nofsani?")</f>
        <v>X’għamlet il-Amazon Rainforest matul il-Miocene Nofsani?</v>
      </c>
    </row>
    <row r="4292" ht="15.75" customHeight="1">
      <c r="A4292" s="2" t="s">
        <v>4292</v>
      </c>
      <c r="B4292" s="2" t="str">
        <f>IFERROR(__xludf.DUMMYFUNCTION("GOOGLETRANSLATE(A4292,""en"", ""mt"")"),"3–2.7 biljun sena ilu")</f>
        <v>3–2.7 biljun sena ilu</v>
      </c>
    </row>
    <row r="4293" ht="15.75" customHeight="1">
      <c r="A4293" s="2" t="s">
        <v>4293</v>
      </c>
      <c r="B4293" s="2" t="str">
        <f>IFERROR(__xludf.DUMMYFUNCTION("GOOGLETRANSLATE(A4293,""en"", ""mt"")"),"Il-ġnien tas-Sassonu, li jkopri l-erja ta ’15 .5 ettaru, kien formalment ġnien irjali. Hemm aktar minn 100 speċi differenti ta 'siġar u t-toroq huma post fejn joqogħdu u jirrilassaw. Fit-tarf tal-lvant tal-park, jinsab il-qabar tas-suldat mhux magħruf. Fi"&amp;"s-seklu 19 il-ġnien tal-Palazz Krasiński ġie mibdul mill-ġdid minn Franciszek Szanior. Fiż-żona ċentrali tal-park wieħed xorta jista 'jsib siġar qodma li jmorru minn dak il-perjodu: siġra tal-maidenhair, ġewż iswed, ġellewża Torka u siġar tal-ġwienaħ Kawk"&amp;"asi. Bil-bankijiet tagħha, twapet tal-fjuri, għadira bil-papri u bitħa għat-tfal, il-ġnien tal-palazz Krasiński huwa destinazzjoni popolari għall-varsovians. Il-monument tar-rewwixta tal-ghetto ta 'Varsavja jinsab ukoll hawn. Il-park łazienki jkopri l-erj"&amp;"a ta '76 ettaru. Il-karattru u l-istorja uniċi tal-park huma riflessi fl-arkitettura tal-pajsaġġ tiegħu (pavaljuni, skulturi, pontijiet, kaskati, għadajjar) u veġetazzjoni (speċi domestiċi u barranin ta 'siġar u arbuxxelli). Dak li jagħmel dan il-park dif"&amp;"ferenti minn spazji ħodor oħra f'Varsavja huwa l-preżenza ta 'paguni u faġani, li jistgħu jidhru hawn mixi liberament, u carps rjali fl-għadira. Il-Park tal-Palazz Wilanów, imur lura għat-tieni nofs tas-seklu 17. Ikopri l-erja ta '43 ha. Iż-żona ċentrali "&amp;"tagħha ta 'stil Franċiż tikkorrispondi għall-forom barokki tal-qedem tal-palazz. Is-sezzjoni tal-Lvant tal-park, l-eqreb lejn il-palazz, hija l-ġnien b'żewġ livelli bi terrazzin li jħares lejn l-għadira. Il-park madwar il-Palazz tal-Królikania jinsab fuq "&amp;"l-escarpment il-qadim tal-Vistula. Il-park għandu karreġġjati li jiġru fuq ftit livelli fil-fond fir-ravini fuq iż-żewġ naħat tal-palazz.")</f>
        <v>Il-ġnien tas-Sassonu, li jkopri l-erja ta ’15 .5 ettaru, kien formalment ġnien irjali. Hemm aktar minn 100 speċi differenti ta 'siġar u t-toroq huma post fejn joqogħdu u jirrilassaw. Fit-tarf tal-lvant tal-park, jinsab il-qabar tas-suldat mhux magħruf. Fis-seklu 19 il-ġnien tal-Palazz Krasiński ġie mibdul mill-ġdid minn Franciszek Szanior. Fiż-żona ċentrali tal-park wieħed xorta jista 'jsib siġar qodma li jmorru minn dak il-perjodu: siġra tal-maidenhair, ġewż iswed, ġellewża Torka u siġar tal-ġwienaħ Kawkasi. Bil-bankijiet tagħha, twapet tal-fjuri, għadira bil-papri u bitħa għat-tfal, il-ġnien tal-palazz Krasiński huwa destinazzjoni popolari għall-varsovians. Il-monument tar-rewwixta tal-ghetto ta 'Varsavja jinsab ukoll hawn. Il-park łazienki jkopri l-erja ta '76 ettaru. Il-karattru u l-istorja uniċi tal-park huma riflessi fl-arkitettura tal-pajsaġġ tiegħu (pavaljuni, skulturi, pontijiet, kaskati, għadajjar) u veġetazzjoni (speċi domestiċi u barranin ta 'siġar u arbuxxelli). Dak li jagħmel dan il-park differenti minn spazji ħodor oħra f'Varsavja huwa l-preżenza ta 'paguni u faġani, li jistgħu jidhru hawn mixi liberament, u carps rjali fl-għadira. Il-Park tal-Palazz Wilanów, imur lura għat-tieni nofs tas-seklu 17. Ikopri l-erja ta '43 ha. Iż-żona ċentrali tagħha ta 'stil Franċiż tikkorrispondi għall-forom barokki tal-qedem tal-palazz. Is-sezzjoni tal-Lvant tal-park, l-eqreb lejn il-palazz, hija l-ġnien b'żewġ livelli bi terrazzin li jħares lejn l-għadira. Il-park madwar il-Palazz tal-Królikania jinsab fuq l-escarpment il-qadim tal-Vistula. Il-park għandu karreġġjati li jiġru fuq ftit livelli fil-fond fir-ravini fuq iż-żewġ naħat tal-palazz.</v>
      </c>
    </row>
    <row r="4294" ht="15.75" customHeight="1">
      <c r="A4294" s="2" t="s">
        <v>4294</v>
      </c>
      <c r="B4294" s="2" t="str">
        <f>IFERROR(__xludf.DUMMYFUNCTION("GOOGLETRANSLATE(A4294,""en"", ""mt"")"),"Qabbad żewġ minikompjuters PDP-11")</f>
        <v>Qabbad żewġ minikompjuters PDP-11</v>
      </c>
    </row>
    <row r="4295" ht="15.75" customHeight="1">
      <c r="A4295" s="2" t="s">
        <v>4295</v>
      </c>
      <c r="B4295" s="2" t="str">
        <f>IFERROR(__xludf.DUMMYFUNCTION("GOOGLETRANSLATE(A4295,""en"", ""mt"")"),"Cyclades")</f>
        <v>Cyclades</v>
      </c>
    </row>
    <row r="4296" ht="15.75" customHeight="1">
      <c r="A4296" s="2" t="s">
        <v>4296</v>
      </c>
      <c r="B4296" s="2" t="str">
        <f>IFERROR(__xludf.DUMMYFUNCTION("GOOGLETRANSLATE(A4296,""en"", ""mt"")"),"X'evidenza bejn u fost klassijiet ta 'kumplessità tfisser il-baqra teoretika għat-teorija tal-kumplessità?")</f>
        <v>X'evidenza bejn u fost klassijiet ta 'kumplessità tfisser il-baqra teoretika għat-teorija tal-kumplessità?</v>
      </c>
    </row>
    <row r="4297" ht="15.75" customHeight="1">
      <c r="A4297" s="2" t="s">
        <v>4297</v>
      </c>
      <c r="B4297" s="2" t="str">
        <f>IFERROR(__xludf.DUMMYFUNCTION("GOOGLETRANSLATE(A4297,""en"", ""mt"")"),"Xi jfisser rapport tal-2013 dwar in-Niġerja?")</f>
        <v>Xi jfisser rapport tal-2013 dwar in-Niġerja?</v>
      </c>
    </row>
    <row r="4298" ht="15.75" customHeight="1">
      <c r="A4298" s="2" t="s">
        <v>4298</v>
      </c>
      <c r="B4298" s="2" t="str">
        <f>IFERROR(__xludf.DUMMYFUNCTION("GOOGLETRANSLATE(A4298,""en"", ""mt"")"),"tripartite")</f>
        <v>tripartite</v>
      </c>
    </row>
    <row r="4299" ht="15.75" customHeight="1">
      <c r="A4299" s="2" t="s">
        <v>4299</v>
      </c>
      <c r="B4299" s="2" t="str">
        <f>IFERROR(__xludf.DUMMYFUNCTION("GOOGLETRANSLATE(A4299,""en"", ""mt"")"),"gass ​​diatomiku")</f>
        <v>gass ​​diatomiku</v>
      </c>
    </row>
    <row r="4300" ht="15.75" customHeight="1">
      <c r="A4300" s="2" t="s">
        <v>4300</v>
      </c>
      <c r="B4300" s="2" t="str">
        <f>IFERROR(__xludf.DUMMYFUNCTION("GOOGLETRANSLATE(A4300,""en"", ""mt"")"),"Min f'Varsavja għandu s-setgħa ta 'azzjoni leġiżlattiva?")</f>
        <v>Min f'Varsavja għandu s-setgħa ta 'azzjoni leġiżlattiva?</v>
      </c>
    </row>
    <row r="4301" ht="15.75" customHeight="1">
      <c r="A4301" s="2" t="s">
        <v>4301</v>
      </c>
      <c r="B4301" s="2" t="str">
        <f>IFERROR(__xludf.DUMMYFUNCTION("GOOGLETRANSLATE(A4301,""en"", ""mt"")"),"X'tip ta 'konfini ta' difett huwa definit billi jkollok terremoti qawwija mifruxa, bħal fl-istat ta 'California?")</f>
        <v>X'tip ta 'konfini ta' difett huwa definit billi jkollok terremoti qawwija mifruxa, bħal fl-istat ta 'California?</v>
      </c>
    </row>
    <row r="4302" ht="15.75" customHeight="1">
      <c r="A4302" s="2" t="s">
        <v>4302</v>
      </c>
      <c r="B4302" s="2" t="str">
        <f>IFERROR(__xludf.DUMMYFUNCTION("GOOGLETRANSLATE(A4302,""en"", ""mt"")"),"Liema stipendju jirreġistraw l-istudenti fil-korsijiet ta 'prijorità?")</f>
        <v>Liema stipendju jirreġistraw l-istudenti fil-korsijiet ta 'prijorità?</v>
      </c>
    </row>
    <row r="4303" ht="15.75" customHeight="1">
      <c r="A4303" s="2" t="s">
        <v>4303</v>
      </c>
      <c r="B4303" s="2" t="str">
        <f>IFERROR(__xludf.DUMMYFUNCTION("GOOGLETRANSLATE(A4303,""en"", ""mt"")"),"X'inhi waħda mill-ikbar skejjel tal-mużika fl-Ewropa?")</f>
        <v>X'inhi waħda mill-ikbar skejjel tal-mużika fl-Ewropa?</v>
      </c>
    </row>
    <row r="4304" ht="15.75" customHeight="1">
      <c r="A4304" s="2" t="s">
        <v>4304</v>
      </c>
      <c r="B4304" s="2" t="str">
        <f>IFERROR(__xludf.DUMMYFUNCTION("GOOGLETRANSLATE(A4304,""en"", ""mt"")"),"spiċċa inkonklussivament")</f>
        <v>spiċċa inkonklussivament</v>
      </c>
    </row>
    <row r="4305" ht="15.75" customHeight="1">
      <c r="A4305" s="2" t="s">
        <v>4305</v>
      </c>
      <c r="B4305" s="2" t="str">
        <f>IFERROR(__xludf.DUMMYFUNCTION("GOOGLETRANSLATE(A4305,""en"", ""mt"")"),"Dak li kien Tymnet")</f>
        <v>Dak li kien Tymnet</v>
      </c>
    </row>
    <row r="4306" ht="15.75" customHeight="1">
      <c r="A4306" s="2" t="s">
        <v>4306</v>
      </c>
      <c r="B4306" s="2" t="str">
        <f>IFERROR(__xludf.DUMMYFUNCTION("GOOGLETRANSLATE(A4306,""en"", ""mt"")"),"Kemm irnexxiet l-isforzi riveduti Franċiżi?")</f>
        <v>Kemm irnexxiet l-isforzi riveduti Franċiżi?</v>
      </c>
    </row>
    <row r="4307" ht="15.75" customHeight="1">
      <c r="A4307" s="2" t="s">
        <v>4307</v>
      </c>
      <c r="B4307" s="2" t="str">
        <f>IFERROR(__xludf.DUMMYFUNCTION("GOOGLETRANSLATE(A4307,""en"", ""mt"")"),"Min purhcased l-4 pacakages li fadal disponibbli għax-xandara?")</f>
        <v>Min purhcased l-4 pacakages li fadal disponibbli għax-xandara?</v>
      </c>
    </row>
    <row r="4308" ht="15.75" customHeight="1">
      <c r="A4308" s="2" t="s">
        <v>4308</v>
      </c>
      <c r="B4308" s="2" t="str">
        <f>IFERROR(__xludf.DUMMYFUNCTION("GOOGLETRANSLATE(A4308,""en"", ""mt"")"),"X'inhu CSNET")</f>
        <v>X'inhu CSNET</v>
      </c>
    </row>
    <row r="4309" ht="15.75" customHeight="1">
      <c r="A4309" s="2" t="s">
        <v>4309</v>
      </c>
      <c r="B4309" s="2" t="str">
        <f>IFERROR(__xludf.DUMMYFUNCTION("GOOGLETRANSLATE(A4309,""en"", ""mt"")"),"Netwerk fuq livell nazzjonali")</f>
        <v>Netwerk fuq livell nazzjonali</v>
      </c>
    </row>
    <row r="4310" ht="15.75" customHeight="1">
      <c r="A4310" s="2" t="s">
        <v>4310</v>
      </c>
      <c r="B4310" s="2" t="str">
        <f>IFERROR(__xludf.DUMMYFUNCTION("GOOGLETRANSLATE(A4310,""en"", ""mt"")"),"Il-mewt l-Iswed kienet ferm aktar mgħaġġla minn dik tal-pesta bubonika moderna")</f>
        <v>Il-mewt l-Iswed kienet ferm aktar mgħaġġla minn dik tal-pesta bubonika moderna</v>
      </c>
    </row>
    <row r="4311" ht="15.75" customHeight="1">
      <c r="A4311" s="2" t="s">
        <v>4311</v>
      </c>
      <c r="B4311" s="2" t="str">
        <f>IFERROR(__xludf.DUMMYFUNCTION("GOOGLETRANSLATE(A4311,""en"", ""mt"")"),"Il-kapitolu soċjali huwa kapitolu tat-Trattat tal-1997 ta 'Amsterdam li jkopri kwistjonijiet ta' politika soċjali fil-liġi tal-Unjoni Ewropea. Il-bażi għall-kapitolu soċjali ġiet żviluppata fl-1989 mir-rappreżentanti tas- ""imsieħba soċjali"", jiġifieri l"&amp;"-Unice, il-Konfederazzjoni ta 'Min Iħaddem, il-Konfederazzjoni tat-Trejdjunjins Ewropej (ETUC) u Ceep, iċ-Ċentru Ewropew ta' l-Intrapriżi Pubbliċi. Verżjoni attenwata ġiet adottata bħala l-Karta Soċjali fil-Kunsill Ewropew ta 'Strasburgu tal-1989. Il-Kart"&amp;"a Soċjali tiddikjara 30 prinċipju ġenerali, inkluż fuq remunerazzjoni ġusta ta 'impjiegi, saħħa u sigurtà fuq ix-xogħol, drittijiet ta' persuni b'diżabilità u anzjani, id-drittijiet tal-ħaddiema, dwar taħriġ vokazzjonali u titjib tal-kundizzjonijiet tal-g"&amp;"ħajxien. Il-Karta Soċjali saret il-bażi għal-leġislazzjoni tal-Komunità Ewropea dwar dawn il-kwistjonijiet f'40 biċċa ta 'leġiżlazzjoni.")</f>
        <v>Il-kapitolu soċjali huwa kapitolu tat-Trattat tal-1997 ta 'Amsterdam li jkopri kwistjonijiet ta' politika soċjali fil-liġi tal-Unjoni Ewropea. Il-bażi għall-kapitolu soċjali ġiet żviluppata fl-1989 mir-rappreżentanti tas- "imsieħba soċjali", jiġifieri l-Unice, il-Konfederazzjoni ta 'Min Iħaddem, il-Konfederazzjoni tat-Trejdjunjins Ewropej (ETUC) u Ceep, iċ-Ċentru Ewropew ta' l-Intrapriżi Pubbliċi. Verżjoni attenwata ġiet adottata bħala l-Karta Soċjali fil-Kunsill Ewropew ta 'Strasburgu tal-1989. Il-Karta Soċjali tiddikjara 30 prinċipju ġenerali, inkluż fuq remunerazzjoni ġusta ta 'impjiegi, saħħa u sigurtà fuq ix-xogħol, drittijiet ta' persuni b'diżabilità u anzjani, id-drittijiet tal-ħaddiema, dwar taħriġ vokazzjonali u titjib tal-kundizzjonijiet tal-għajxien. Il-Karta Soċjali saret il-bażi għal-leġislazzjoni tal-Komunità Ewropea dwar dawn il-kwistjonijiet f'40 biċċa ta 'leġiżlazzjoni.</v>
      </c>
    </row>
    <row r="4312" ht="15.75" customHeight="1">
      <c r="A4312" s="2" t="s">
        <v>4312</v>
      </c>
      <c r="B4312" s="2" t="str">
        <f>IFERROR(__xludf.DUMMYFUNCTION("GOOGLETRANSLATE(A4312,""en"", ""mt"")"),"Fl-1872, il-Ferrovija Ċentrali tal-Paċifiku stabbilixxiet stazzjon qrib l-Easterby - minn issa razzett tal-qamħ immensament produttiv - għal-linja l-ġdida tagħha tan-Nofsinhar tal-Paċifiku. Hekk kien hemm maħżen madwar l-istazzjon u l-maħżen kiber il-belt"&amp;" ta 'Fresno Station, aktar tard imsejjaħ Fresno. Ħafna residenti ta 'Millerton, imfassla mill-konvenjenza tal-ferrovija u inkwetati dwar l-għargħar, marru jgħixu fil-komunità l-ġdida. Fresno sar belt inkorporata fl-1885. Sal-1931 il-Kumpanija ta 'Trazzjon"&amp;"i Fresno operat 47 streetcars fuq 49 mil ta' korsa.")</f>
        <v>Fl-1872, il-Ferrovija Ċentrali tal-Paċifiku stabbilixxiet stazzjon qrib l-Easterby - minn issa razzett tal-qamħ immensament produttiv - għal-linja l-ġdida tagħha tan-Nofsinhar tal-Paċifiku. Hekk kien hemm maħżen madwar l-istazzjon u l-maħżen kiber il-belt ta 'Fresno Station, aktar tard imsejjaħ Fresno. Ħafna residenti ta 'Millerton, imfassla mill-konvenjenza tal-ferrovija u inkwetati dwar l-għargħar, marru jgħixu fil-komunità l-ġdida. Fresno sar belt inkorporata fl-1885. Sal-1931 il-Kumpanija ta 'Trazzjoni Fresno operat 47 streetcars fuq 49 mil ta' korsa.</v>
      </c>
    </row>
    <row r="4313" ht="15.75" customHeight="1">
      <c r="A4313" s="2" t="s">
        <v>4313</v>
      </c>
      <c r="B4313" s="2" t="str">
        <f>IFERROR(__xludf.DUMMYFUNCTION("GOOGLETRANSLATE(A4313,""en"", ""mt"")"),"Ikklassifikat 'il fuq miż-żewġ tobba personali tal-Imperatur")</f>
        <v>Ikklassifikat 'il fuq miż-żewġ tobba personali tal-Imperatur</v>
      </c>
    </row>
    <row r="4314" ht="15.75" customHeight="1">
      <c r="A4314" s="2" t="s">
        <v>4314</v>
      </c>
      <c r="B4314" s="2" t="str">
        <f>IFERROR(__xludf.DUMMYFUNCTION("GOOGLETRANSLATE(A4314,""en"", ""mt"")"),"University_of_chicago")</f>
        <v>University_of_chicago</v>
      </c>
    </row>
    <row r="4315" ht="15.75" customHeight="1">
      <c r="A4315" s="2" t="s">
        <v>4315</v>
      </c>
      <c r="B4315" s="2" t="str">
        <f>IFERROR(__xludf.DUMMYFUNCTION("GOOGLETRANSLATE(A4315,""en"", ""mt"")"),"l-1950s")</f>
        <v>l-1950s</v>
      </c>
    </row>
    <row r="4316" ht="15.75" customHeight="1">
      <c r="A4316" s="2" t="s">
        <v>4316</v>
      </c>
      <c r="B4316" s="2" t="str">
        <f>IFERROR(__xludf.DUMMYFUNCTION("GOOGLETRANSLATE(A4316,""en"", ""mt"")"),"L-ewwel referenza storika għal Varsavja tmur lura għas-sena 1313, fi żmien meta Kraków serva bħala l-belt kapitali Pollakka. Minħabba l-lok ċentrali tagħha bejn il-kapitali Pollakki-Litwani tal-Commonwealth ta 'Kraków u Vilnius, Varsav It-tielet diviżjoni"&amp;" tal-Polonja fl-1795, Varsavja ġiet inkorporata fir-Renju tal-Prussja. Fl-1806 matul il-Gwerer Napoloniċi, il-belt saret il-kapitali uffiċjali tal-Gran Dukat ta ’Varsavja, stat ta’ pupazzi tal-ewwel imperu Franċiż stabbilit minn Napoleon Bonaparte. Skond "&amp;"id-deċiżjonijiet tal-Kungress ta 'Vjenna, l-Imperu Russu annessa Varsavja fl-1815 u sar parti mir- ""Renju tal-Kungress"". Fl-1918 biss kisbet l-indipendenza mir-regola barranija u ħarġet bħala kapitali ġdida tar-Repubblika Indipendenti tal-Polonja. L-inv"&amp;"ażjoni Ġermaniża fl-1939, il-massakru tal-popolazzjoni Lhudija u d-deportazzjonijiet għall-kampijiet tal-konċentrament wasslu għar-rewwixta fil-ghetto ta 'Varsav ""Minħabba li baqa 'ħaj ħafna gwerer, kunflitti u invażjonijiet matul l-istorja twila tiegħu."&amp;" L-iktar notevolment, il-belt kienet teħtieġ bini mill-ġdid iebes wara l-ħsara estensiva li sofriet fit-Tieni Gwerra Dinjija, li qerdet 85% tal-bini tagħha. Fid-9 ta 'Novembru 1940, il-belt ingħatat l-ogħla dekorazzjoni militari għall-eroiżmu tal-Polonja,"&amp;" il-militari VirtUti, waqt l-Assedju ta' Varsavja (1939).")</f>
        <v>L-ewwel referenza storika għal Varsavja tmur lura għas-sena 1313, fi żmien meta Kraków serva bħala l-belt kapitali Pollakka. Minħabba l-lok ċentrali tagħha bejn il-kapitali Pollakki-Litwani tal-Commonwealth ta 'Kraków u Vilnius, Varsav It-tielet diviżjoni tal-Polonja fl-1795, Varsavja ġiet inkorporata fir-Renju tal-Prussja. Fl-1806 matul il-Gwerer Napoloniċi, il-belt saret il-kapitali uffiċjali tal-Gran Dukat ta ’Varsavja, stat ta’ pupazzi tal-ewwel imperu Franċiż stabbilit minn Napoleon Bonaparte. Skond id-deċiżjonijiet tal-Kungress ta 'Vjenna, l-Imperu Russu annessa Varsavja fl-1815 u sar parti mir- "Renju tal-Kungress". Fl-1918 biss kisbet l-indipendenza mir-regola barranija u ħarġet bħala kapitali ġdida tar-Repubblika Indipendenti tal-Polonja. L-invażjoni Ġermaniża fl-1939, il-massakru tal-popolazzjoni Lhudija u d-deportazzjonijiet għall-kampijiet tal-konċentrament wasslu għar-rewwixta fil-ghetto ta 'Varsav "Minħabba li baqa 'ħaj ħafna gwerer, kunflitti u invażjonijiet matul l-istorja twila tiegħu. L-iktar notevolment, il-belt kienet teħtieġ bini mill-ġdid iebes wara l-ħsara estensiva li sofriet fit-Tieni Gwerra Dinjija, li qerdet 85% tal-bini tagħha. Fid-9 ta 'Novembru 1940, il-belt ingħatat l-ogħla dekorazzjoni militari għall-eroiżmu tal-Polonja, il-militari VirtUti, waqt l-Assedju ta' Varsavja (1939).</v>
      </c>
    </row>
    <row r="4317" ht="15.75" customHeight="1">
      <c r="A4317" s="2" t="s">
        <v>4317</v>
      </c>
      <c r="B4317" s="2" t="str">
        <f>IFERROR(__xludf.DUMMYFUNCTION("GOOGLETRANSLATE(A4317,""en"", ""mt"")"),"Fejn Canonball waqa 'mill-bejta ta' vapur fil-fatt l-art?")</f>
        <v>Fejn Canonball waqa 'mill-bejta ta' vapur fil-fatt l-art?</v>
      </c>
    </row>
    <row r="4318" ht="15.75" customHeight="1">
      <c r="A4318" s="2" t="s">
        <v>4318</v>
      </c>
      <c r="B4318" s="2" t="str">
        <f>IFERROR(__xludf.DUMMYFUNCTION("GOOGLETRANSLATE(A4318,""en"", ""mt"")"),"Triq il-Knisja Franċiża tinsab f’liema belt Irlandiża?")</f>
        <v>Triq il-Knisja Franċiża tinsab f’liema belt Irlandiża?</v>
      </c>
    </row>
    <row r="4319" ht="15.75" customHeight="1">
      <c r="A4319" s="2" t="s">
        <v>4319</v>
      </c>
      <c r="B4319" s="2" t="str">
        <f>IFERROR(__xludf.DUMMYFUNCTION("GOOGLETRANSLATE(A4319,""en"", ""mt"")"),"L-immunoloġija hija xjenza li teżamina l-istruttura u l-funzjoni tas-sistema immuni. Joriġina mill-mediċina u studji bikrija dwar il-kawżi tal-immunità għall-mard. L-ewwel referenza magħrufa għall-immunità kienet matul il-pesta ta 'Ateni fl-430 QK. Thucyd"&amp;"ides innota li nies li rkupraw minn bout preċedenti tal-marda jistgħu jreddgħu lill-morda mingħajr ma jikkuntrattaw il-marda għat-tieni darba. Fis-seklu 18, Pierre-Louis Moreau de Maupertuis għamel esperimenti bil-velenu tal-iskorpjun u osserva li ċerti k"&amp;"lieb u ġrieden kienu immuni għal dan il-velenu. Dan u osservazzjonijiet oħra ta 'immunità akkwistata ġew sfruttati aktar tard minn Louis Pasteur fl-iżvilupp tiegħu ta' tilqim u t-teorija tal-ġermen proposta tiegħu tal-marda. It-teorija ta 'Pasteur kienet "&amp;"f'oppożizzjoni diretta għat-teoriji kontemporanji tal-mard, bħat-teorija ta' Miasma. Ma kienx il-provi tal-1891 ta 'Robert Koch, li għalihom ingħata Premju Nobel fl-1905, li l-mikro-organiżmi ġew ikkonfermati bħala l-kawża ta' mard infettiv. Il-virus ġew "&amp;"ikkonfermati bħala patoġeni umani fl-1901, bl-iskoperta tal-virus tad-deni isfar minn Walter Reed.")</f>
        <v>L-immunoloġija hija xjenza li teżamina l-istruttura u l-funzjoni tas-sistema immuni. Joriġina mill-mediċina u studji bikrija dwar il-kawżi tal-immunità għall-mard. L-ewwel referenza magħrufa għall-immunità kienet matul il-pesta ta 'Ateni fl-430 QK. Thucydides innota li nies li rkupraw minn bout preċedenti tal-marda jistgħu jreddgħu lill-morda mingħajr ma jikkuntrattaw il-marda għat-tieni darba. Fis-seklu 18, Pierre-Louis Moreau de Maupertuis għamel esperimenti bil-velenu tal-iskorpjun u osserva li ċerti klieb u ġrieden kienu immuni għal dan il-velenu. Dan u osservazzjonijiet oħra ta 'immunità akkwistata ġew sfruttati aktar tard minn Louis Pasteur fl-iżvilupp tiegħu ta' tilqim u t-teorija tal-ġermen proposta tiegħu tal-marda. It-teorija ta 'Pasteur kienet f'oppożizzjoni diretta għat-teoriji kontemporanji tal-mard, bħat-teorija ta' Miasma. Ma kienx il-provi tal-1891 ta 'Robert Koch, li għalihom ingħata Premju Nobel fl-1905, li l-mikro-organiżmi ġew ikkonfermati bħala l-kawża ta' mard infettiv. Il-virus ġew ikkonfermati bħala patoġeni umani fl-1901, bl-iskoperta tal-virus tad-deni isfar minn Walter Reed.</v>
      </c>
    </row>
    <row r="4320" ht="15.75" customHeight="1">
      <c r="A4320" s="2" t="s">
        <v>4320</v>
      </c>
      <c r="B4320" s="2" t="str">
        <f>IFERROR(__xludf.DUMMYFUNCTION("GOOGLETRANSLATE(A4320,""en"", ""mt"")"),"It-Tieni Gwerra Dinjija")</f>
        <v>It-Tieni Gwerra Dinjija</v>
      </c>
    </row>
    <row r="4321" ht="15.75" customHeight="1">
      <c r="A4321" s="2" t="s">
        <v>4321</v>
      </c>
      <c r="B4321" s="2" t="str">
        <f>IFERROR(__xludf.DUMMYFUNCTION("GOOGLETRANSLATE(A4321,""en"", ""mt"")"),"Analiżi tal-algoritmi")</f>
        <v>Analiżi tal-algoritmi</v>
      </c>
    </row>
    <row r="4322" ht="15.75" customHeight="1">
      <c r="A4322" s="2" t="s">
        <v>4322</v>
      </c>
      <c r="B4322" s="2" t="str">
        <f>IFERROR(__xludf.DUMMYFUNCTION("GOOGLETRANSLATE(A4322,""en"", ""mt"")"),"Ir-Renu ma kienx magħruf għal Herodotus u l-ewwel jidħol fil-perjodu storiku fis-seklu 1 QK fil-ġeografija tal-era Rumana. Dak iż-żmien, hija ffurmat il-konfini bejn Gaul u Germania. Ir-Renu ta ’Fuq kien ilu parti mill-Areal tal-kultura tal-Hallstatt tard"&amp;" mill-6 seklu QK, u sas-seklu 1 QK, l-areal tal-kultura La Tène kopriet kważi t-tul kollu tagħha, li jifforma żona ta’ kuntatt mal-kultura Jastorf, i.e. Il-lokus ta 'kuntatt kulturali Ċeltiku-Ġermaniku bikri. Fil-ġeografija Rumana, ir-Renu ffurma l-konfin"&amp;"i bejn Gallia u Germania bid-definizzjoni; e.g. Maurus Servius Honoratus, Kummentarju dwar l-Aeneid ta 'Vergil (8.727) (Rhenus) Fluvius Galliae, Qui Germanos A Gallia Dividit ""(Ir-Renu huwa A) Xmara ta' Gaul, li taqsam in-nies Ġermaniċi minn Gaul.""")</f>
        <v>Ir-Renu ma kienx magħruf għal Herodotus u l-ewwel jidħol fil-perjodu storiku fis-seklu 1 QK fil-ġeografija tal-era Rumana. Dak iż-żmien, hija ffurmat il-konfini bejn Gaul u Germania. Ir-Renu ta ’Fuq kien ilu parti mill-Areal tal-kultura tal-Hallstatt tard mill-6 seklu QK, u sas-seklu 1 QK, l-areal tal-kultura La Tène kopriet kważi t-tul kollu tagħha, li jifforma żona ta’ kuntatt mal-kultura Jastorf, i.e. Il-lokus ta 'kuntatt kulturali Ċeltiku-Ġermaniku bikri. Fil-ġeografija Rumana, ir-Renu ffurma l-konfini bejn Gallia u Germania bid-definizzjoni; e.g. Maurus Servius Honoratus, Kummentarju dwar l-Aeneid ta 'Vergil (8.727) (Rhenus) Fluvius Galliae, Qui Germanos A Gallia Dividit "(Ir-Renu huwa A) Xmara ta' Gaul, li taqsam in-nies Ġermaniċi minn Gaul."</v>
      </c>
    </row>
    <row r="4323" ht="15.75" customHeight="1">
      <c r="A4323" s="2" t="s">
        <v>4323</v>
      </c>
      <c r="B4323" s="2" t="str">
        <f>IFERROR(__xludf.DUMMYFUNCTION("GOOGLETRANSLATE(A4323,""en"", ""mt"")"),"Koordinatur tal-Proġett")</f>
        <v>Koordinatur tal-Proġett</v>
      </c>
    </row>
    <row r="4324" ht="15.75" customHeight="1">
      <c r="A4324" s="2" t="s">
        <v>4324</v>
      </c>
      <c r="B4324" s="2" t="str">
        <f>IFERROR(__xludf.DUMMYFUNCTION("GOOGLETRANSLATE(A4324,""en"", ""mt"")"),"Kemm-il darba l-California tan-Nofsinhar ippruvat tikseb stat separat?")</f>
        <v>Kemm-il darba l-California tan-Nofsinhar ippruvat tikseb stat separat?</v>
      </c>
    </row>
    <row r="4325" ht="15.75" customHeight="1">
      <c r="A4325" s="2" t="s">
        <v>4325</v>
      </c>
      <c r="B4325" s="2" t="str">
        <f>IFERROR(__xludf.DUMMYFUNCTION("GOOGLETRANSLATE(A4325,""en"", ""mt"")"),"Karrotti, nevew, varjetajiet ġodda ta 'lumi, brunġiel, u bettieħ, zokkor granulat ta' kwalità għolja, u qoton")</f>
        <v>Karrotti, nevew, varjetajiet ġodda ta 'lumi, brunġiel, u bettieħ, zokkor granulat ta' kwalità għolja, u qoton</v>
      </c>
    </row>
    <row r="4326" ht="15.75" customHeight="1">
      <c r="A4326" s="2" t="s">
        <v>4326</v>
      </c>
      <c r="B4326" s="2" t="str">
        <f>IFERROR(__xludf.DUMMYFUNCTION("GOOGLETRANSLATE(A4326,""en"", ""mt"")"),"tirċievi l-ebda ħin tal-ħabs")</f>
        <v>tirċievi l-ebda ħin tal-ħabs</v>
      </c>
    </row>
    <row r="4327" ht="15.75" customHeight="1">
      <c r="A4327" s="2" t="s">
        <v>4327</v>
      </c>
      <c r="B4327" s="2" t="str">
        <f>IFERROR(__xludf.DUMMYFUNCTION("GOOGLETRANSLATE(A4327,""en"", ""mt"")"),"Il-liġi tal-Unjoni Ewropea hija applikata mill-qrati ta 'l-Istati Membri u l-Qorti tal-Ġustizzja ta' l-Unjoni Ewropea. Fejn il-liġijiet tal-istati membri jipprovdu għal-liġi tal-Unjoni Ewropea tad-drittijiet inqas jistgħu jiġu infurzati mill-qrati tal-ist"&amp;"ati membri. Fil-każ tal-liġi tal-Unjoni Ewropea li suppost ġiet trasposta fil-liġijiet tal-istati membri, bħal direttivi, il-Kummissjoni Ewropea tista 'tieħu proċeduri kontra l-Istat Membru taħt it-Trattat dwar il-Funzjonament tal-Unjoni Ewropea. Il-Qorti"&amp;" Ewropea tal-Ġustizzja hija l-ogħla qorti li kapaċi tinterpreta l-liġi tal-Unjoni Ewropea. Sorsi supplimentari tal-liġi tal-Unjoni Ewropea jinkludu ġurisprudenza mill-Qorti tal-Ġustizzja, Liġi Internazzjonali u Prinċipji Ġenerali tal-Liġi tal-Unjoni Ewrop"&amp;"ea.")</f>
        <v>Il-liġi tal-Unjoni Ewropea hija applikata mill-qrati ta 'l-Istati Membri u l-Qorti tal-Ġustizzja ta' l-Unjoni Ewropea. Fejn il-liġijiet tal-istati membri jipprovdu għal-liġi tal-Unjoni Ewropea tad-drittijiet inqas jistgħu jiġu infurzati mill-qrati tal-istati membri. Fil-każ tal-liġi tal-Unjoni Ewropea li suppost ġiet trasposta fil-liġijiet tal-istati membri, bħal direttivi, il-Kummissjoni Ewropea tista 'tieħu proċeduri kontra l-Istat Membru taħt it-Trattat dwar il-Funzjonament tal-Unjoni Ewropea. Il-Qorti Ewropea tal-Ġustizzja hija l-ogħla qorti li kapaċi tinterpreta l-liġi tal-Unjoni Ewropea. Sorsi supplimentari tal-liġi tal-Unjoni Ewropea jinkludu ġurisprudenza mill-Qorti tal-Ġustizzja, Liġi Internazzjonali u Prinċipji Ġenerali tal-Liġi tal-Unjoni Ewropea.</v>
      </c>
    </row>
    <row r="4328" ht="15.75" customHeight="1">
      <c r="A4328" s="2" t="s">
        <v>4328</v>
      </c>
      <c r="B4328" s="2" t="str">
        <f>IFERROR(__xludf.DUMMYFUNCTION("GOOGLETRANSLATE(A4328,""en"", ""mt"")"),"F'liema għaxar snin ir-Rankine Cycle ħoloq 90% tal-enerġija elettrika?")</f>
        <v>F'liema għaxar snin ir-Rankine Cycle ħoloq 90% tal-enerġija elettrika?</v>
      </c>
    </row>
    <row r="4329" ht="15.75" customHeight="1">
      <c r="A4329" s="2" t="s">
        <v>4329</v>
      </c>
      <c r="B4329" s="2" t="str">
        <f>IFERROR(__xludf.DUMMYFUNCTION("GOOGLETRANSLATE(A4329,""en"", ""mt"")"),"Li tivvjaġġa lejn in-nofsinhar fuq l-Interstate 5, id-distakk ewlieni għall-urbanizzazzjoni kontinwa huwa Camp Pendleton. Il-bliet u l-komunitajiet tul l-Interstate 15 u l-Interstate 215 huma daqshekk relatati li Temecula u Murrieta għandhom konnessjoni d"&amp;"aqshekk maż-żona metropolitana ta 'San Diego bħalma jagħmlu ma' l-Imperu Intern. Fil-Lvant, l-Uffiċċju taċ-Ċensiment ta 'l-Istati Uniti jqis iż-żoni tal-Kontea ta' San Bernardino u Riverside, iż-żona ta 'Riverside-san Bernardino bħala żona metropolitana s"&amp;"eparata mill-Kontea ta' Los Angeles. Filwaqt li ħafna jivvjaġġaw lejn il-kontej L.A. u Orange, hemm xi differenzi fl-iżvilupp, peress li l-biċċa l-kbira tal-kontej ta 'San Bernardino u Riverside (il-porzjonijiet mhux deżerta) ġew żviluppati fis-snin 1980 "&amp;"u disgħinijiet. Exurbs li għadhom kemm ġew żviluppati ffurmati fil-Wied ta 'Antelope fit-tramuntana ta' Los Angeles, il-Wied ta 'Victor u l-Wied Coachella mal-Wied Imperjali. Ukoll, it-tkabbir tal-popolazzjoni kien għoli fiż-żoni tal-Kontea ta 'Bakersfiel"&amp;"d-Kern, Santa Maria u San Luis Obispo.")</f>
        <v>Li tivvjaġġa lejn in-nofsinhar fuq l-Interstate 5, id-distakk ewlieni għall-urbanizzazzjoni kontinwa huwa Camp Pendleton. Il-bliet u l-komunitajiet tul l-Interstate 15 u l-Interstate 215 huma daqshekk relatati li Temecula u Murrieta għandhom konnessjoni daqshekk maż-żona metropolitana ta 'San Diego bħalma jagħmlu ma' l-Imperu Intern. Fil-Lvant, l-Uffiċċju taċ-Ċensiment ta 'l-Istati Uniti jqis iż-żoni tal-Kontea ta' San Bernardino u Riverside, iż-żona ta 'Riverside-san Bernardino bħala żona metropolitana separata mill-Kontea ta' Los Angeles. Filwaqt li ħafna jivvjaġġaw lejn il-kontej L.A. u Orange, hemm xi differenzi fl-iżvilupp, peress li l-biċċa l-kbira tal-kontej ta 'San Bernardino u Riverside (il-porzjonijiet mhux deżerta) ġew żviluppati fis-snin 1980 u disgħinijiet. Exurbs li għadhom kemm ġew żviluppati ffurmati fil-Wied ta 'Antelope fit-tramuntana ta' Los Angeles, il-Wied ta 'Victor u l-Wied Coachella mal-Wied Imperjali. Ukoll, it-tkabbir tal-popolazzjoni kien għoli fiż-żoni tal-Kontea ta 'Bakersfield-Kern, Santa Maria u San Luis Obispo.</v>
      </c>
    </row>
    <row r="4330" ht="15.75" customHeight="1">
      <c r="A4330" s="2" t="s">
        <v>4330</v>
      </c>
      <c r="B4330" s="2" t="str">
        <f>IFERROR(__xludf.DUMMYFUNCTION("GOOGLETRANSLATE(A4330,""en"", ""mt"")"),"Sevenfold")</f>
        <v>Sevenfold</v>
      </c>
    </row>
    <row r="4331" ht="15.75" customHeight="1">
      <c r="A4331" s="2" t="s">
        <v>4331</v>
      </c>
      <c r="B4331" s="2" t="str">
        <f>IFERROR(__xludf.DUMMYFUNCTION("GOOGLETRANSLATE(A4331,""en"", ""mt"")"),"Teorema tan-Numru Prim")</f>
        <v>Teorema tan-Numru Prim</v>
      </c>
    </row>
    <row r="4332" ht="15.75" customHeight="1">
      <c r="A4332" s="2" t="s">
        <v>4332</v>
      </c>
      <c r="B4332" s="2" t="str">
        <f>IFERROR(__xludf.DUMMYFUNCTION("GOOGLETRANSLATE(A4332,""en"", ""mt"")"),"Prim fard")</f>
        <v>Prim fard</v>
      </c>
    </row>
    <row r="4333" ht="15.75" customHeight="1">
      <c r="A4333" s="2" t="s">
        <v>4333</v>
      </c>
      <c r="B4333" s="2" t="str">
        <f>IFERROR(__xludf.DUMMYFUNCTION("GOOGLETRANSLATE(A4333,""en"", ""mt"")"),"Il-konġettura ta 'Giuga tgħid li din l-ekwazzjoni hija wkoll kundizzjoni suffiċjenti biex P tkun primarja. Konsegwenza oħra tat-teorema żgħira ta 'Fermat hija dan li ġej: Jekk P huwa numru ewlieni minbarra 2 u 5, 1 / p huwa dejjem deċimali rikurrenti, li "&amp;"l-perjodu tiegħu huwa p - 1 jew divisor ta' p - 1. il-frazzjoni 1 / p espress bl-istess mod fil-bażi Q (minflok il-bażi 10) għandu effett simili, sakemm P ma jkunx fattur ewlieni ta 'q. It-teorema ta 'Wilson tgħid li p&gt; 1 numru sħiħ huwa prim jekk u biss "&amp;"jekk il-fatt (p - 1)! + 1 huwa diviżibbli minn p. Barra minn hekk, numru sħiħ n&gt; 4 huwa kompost jekk u biss jekk (n - 1)! huwa diviżibbli minn n.")</f>
        <v>Il-konġettura ta 'Giuga tgħid li din l-ekwazzjoni hija wkoll kundizzjoni suffiċjenti biex P tkun primarja. Konsegwenza oħra tat-teorema żgħira ta 'Fermat hija dan li ġej: Jekk P huwa numru ewlieni minbarra 2 u 5, 1 / p huwa dejjem deċimali rikurrenti, li l-perjodu tiegħu huwa p - 1 jew divisor ta' p - 1. il-frazzjoni 1 / p espress bl-istess mod fil-bażi Q (minflok il-bażi 10) għandu effett simili, sakemm P ma jkunx fattur ewlieni ta 'q. It-teorema ta 'Wilson tgħid li p&gt; 1 numru sħiħ huwa prim jekk u biss jekk il-fatt (p - 1)! + 1 huwa diviżibbli minn p. Barra minn hekk, numru sħiħ n&gt; 4 huwa kompost jekk u biss jekk (n - 1)! huwa diviżibbli minn n.</v>
      </c>
    </row>
    <row r="4334" ht="15.75" customHeight="1">
      <c r="A4334" s="2" t="s">
        <v>4334</v>
      </c>
      <c r="B4334" s="2" t="str">
        <f>IFERROR(__xludf.DUMMYFUNCTION("GOOGLETRANSLATE(A4334,""en"", ""mt"")"),"mhux ċivilizzat")</f>
        <v>mhux ċivilizzat</v>
      </c>
    </row>
    <row r="4335" ht="15.75" customHeight="1">
      <c r="A4335" s="2" t="s">
        <v>4335</v>
      </c>
      <c r="B4335" s="2" t="str">
        <f>IFERROR(__xludf.DUMMYFUNCTION("GOOGLETRANSLATE(A4335,""en"", ""mt"")"),"Il-Prinċep ta ’Płock")</f>
        <v>Il-Prinċep ta ’Płock</v>
      </c>
    </row>
    <row r="4336" ht="15.75" customHeight="1">
      <c r="A4336" s="2" t="s">
        <v>4336</v>
      </c>
      <c r="B4336" s="2" t="str">
        <f>IFERROR(__xludf.DUMMYFUNCTION("GOOGLETRANSLATE(A4336,""en"", ""mt"")"),"Mexxejja Bolshevik")</f>
        <v>Mexxejja Bolshevik</v>
      </c>
    </row>
    <row r="4337" ht="15.75" customHeight="1">
      <c r="A4337" s="2" t="s">
        <v>4337</v>
      </c>
      <c r="B4337" s="2" t="str">
        <f>IFERROR(__xludf.DUMMYFUNCTION("GOOGLETRANSLATE(A4337,""en"", ""mt"")"),"Prinċipju ta 'esklużjoni ta' Pauli")</f>
        <v>Prinċipju ta 'esklużjoni ta' Pauli</v>
      </c>
    </row>
    <row r="4338" ht="15.75" customHeight="1">
      <c r="A4338" s="2" t="s">
        <v>4338</v>
      </c>
      <c r="B4338" s="2" t="str">
        <f>IFERROR(__xludf.DUMMYFUNCTION("GOOGLETRANSLATE(A4338,""en"", ""mt"")"),"Aqta 'l-fortizzi tal-fruntiera Franċiża")</f>
        <v>Aqta 'l-fortizzi tal-fruntiera Franċiża</v>
      </c>
    </row>
    <row r="4339" ht="15.75" customHeight="1">
      <c r="A4339" s="2" t="s">
        <v>4339</v>
      </c>
      <c r="B4339" s="2" t="str">
        <f>IFERROR(__xludf.DUMMYFUNCTION("GOOGLETRANSLATE(A4339,""en"", ""mt"")"),"L-ewwel insedjamenti msaħħa fuq is-sit tal-Varsavja tal-lum kienu jinsabu fi Bródno (seklu 9/10) u Jazdów (seklu 12/13). Wara li Jazdów ġie attakkat minn gruppi u duki fil-viċin, ġie stabbilit soluzzjoni simili ġdida fuq is-sit ta 'villaġġ tas-sajd żgħir "&amp;"imsejjaħ Warszowa. Il-Prinċep ta 'Płock, Bolesław II ta' Masovia, stabbilixxa dan is-soluzzjoni, il-ġurnata moderna ta 'Varsav Fl-1413. L-ekonomija ta 'Varsavja tas-seklu 14 mistrieħ fuq l-aktar snajja u kummerċ. Mal-estinzjoni tal-linja dukali lokali, id"&amp;"-dukat ġie inkorporat mill-ġdid fil-kuruna Pollakka fl-1526.")</f>
        <v>L-ewwel insedjamenti msaħħa fuq is-sit tal-Varsavja tal-lum kienu jinsabu fi Bródno (seklu 9/10) u Jazdów (seklu 12/13). Wara li Jazdów ġie attakkat minn gruppi u duki fil-viċin, ġie stabbilit soluzzjoni simili ġdida fuq is-sit ta 'villaġġ tas-sajd żgħir imsejjaħ Warszowa. Il-Prinċep ta 'Płock, Bolesław II ta' Masovia, stabbilixxa dan is-soluzzjoni, il-ġurnata moderna ta 'Varsav Fl-1413. L-ekonomija ta 'Varsavja tas-seklu 14 mistrieħ fuq l-aktar snajja u kummerċ. Mal-estinzjoni tal-linja dukali lokali, id-dukat ġie inkorporat mill-ġdid fil-kuruna Pollakka fl-1526.</v>
      </c>
    </row>
    <row r="4340" ht="15.75" customHeight="1">
      <c r="A4340" s="2" t="s">
        <v>4340</v>
      </c>
      <c r="B4340" s="2" t="str">
        <f>IFERROR(__xludf.DUMMYFUNCTION("GOOGLETRANSLATE(A4340,""en"", ""mt"")"),"Meta mqabbel ma 'elementi oħra, kemm huwa abbundanti l-ossiġnu?")</f>
        <v>Meta mqabbel ma 'elementi oħra, kemm huwa abbundanti l-ossiġnu?</v>
      </c>
    </row>
    <row r="4341" ht="15.75" customHeight="1">
      <c r="A4341" s="2" t="s">
        <v>4341</v>
      </c>
      <c r="B4341" s="2" t="str">
        <f>IFERROR(__xludf.DUMMYFUNCTION("GOOGLETRANSLATE(A4341,""en"", ""mt"")"),"Karta tal-flus tal-benesseri")</f>
        <v>Karta tal-flus tal-benesseri</v>
      </c>
    </row>
    <row r="4342" ht="15.75" customHeight="1">
      <c r="A4342" s="2" t="s">
        <v>4342</v>
      </c>
      <c r="B4342" s="2" t="str">
        <f>IFERROR(__xludf.DUMMYFUNCTION("GOOGLETRANSLATE(A4342,""en"", ""mt"")"),"Dioxygen")</f>
        <v>Dioxygen</v>
      </c>
    </row>
    <row r="4343" ht="15.75" customHeight="1">
      <c r="A4343" s="2" t="s">
        <v>4343</v>
      </c>
      <c r="B4343" s="2" t="str">
        <f>IFERROR(__xludf.DUMMYFUNCTION("GOOGLETRANSLATE(A4343,""en"", ""mt"")"),"L-intestatura tal-pakkett tista 'tkun żgħira")</f>
        <v>L-intestatura tal-pakkett tista 'tkun żgħira</v>
      </c>
    </row>
    <row r="4344" ht="15.75" customHeight="1">
      <c r="A4344" s="2" t="s">
        <v>4344</v>
      </c>
      <c r="B4344" s="2" t="str">
        <f>IFERROR(__xludf.DUMMYFUNCTION("GOOGLETRANSLATE(A4344,""en"", ""mt"")"),"Antiforms")</f>
        <v>Antiforms</v>
      </c>
    </row>
    <row r="4345" ht="15.75" customHeight="1">
      <c r="A4345" s="2" t="s">
        <v>4345</v>
      </c>
      <c r="B4345" s="2" t="str">
        <f>IFERROR(__xludf.DUMMYFUNCTION("GOOGLETRANSLATE(A4345,""en"", ""mt"")"),"tista 'tipproduċi kemm bajd kif ukoll sperma fl-istess ħin.")</f>
        <v>tista 'tipproduċi kemm bajd kif ukoll sperma fl-istess ħin.</v>
      </c>
    </row>
    <row r="4346" ht="15.75" customHeight="1">
      <c r="A4346" s="2" t="s">
        <v>4346</v>
      </c>
      <c r="B4346" s="2" t="str">
        <f>IFERROR(__xludf.DUMMYFUNCTION("GOOGLETRANSLATE(A4346,""en"", ""mt"")"),"Rivoluzzjoni Dinjija")</f>
        <v>Rivoluzzjoni Dinjija</v>
      </c>
    </row>
    <row r="4347" ht="15.75" customHeight="1">
      <c r="A4347" s="2" t="s">
        <v>4347</v>
      </c>
      <c r="B4347" s="2" t="str">
        <f>IFERROR(__xludf.DUMMYFUNCTION("GOOGLETRANSLATE(A4347,""en"", ""mt"")"),"Il-funzjoni Zeta hija relatata mill-qrib man-numri ewlenin. Pereżempju, il-fatt imsemmi hawn fuq li hemm ħafna primes infinitament jista 'jidher ukoll bl-użu tal-funzjoni Zeta: jekk kien hemm biss ħafna primes finitament allura ζ (1) ikollu valur finit. M"&amp;"adankollu, is-Serje Armonika 1 + 1/2 + 1/3 + 1/4 + ... tvarja (i.e., taqbeż kull numru partikolari), u għalhekk għandu jkun hemm ħafna primes infinitament. Eżempju ieħor tar-rikkezza tal-funzjoni Zeta u idea tat-teorija moderna tan-numru alġebrin huwa l-i"&amp;"dentità li ġejja (problema ta 'Basel), minħabba Euler,")</f>
        <v>Il-funzjoni Zeta hija relatata mill-qrib man-numri ewlenin. Pereżempju, il-fatt imsemmi hawn fuq li hemm ħafna primes infinitament jista 'jidher ukoll bl-użu tal-funzjoni Zeta: jekk kien hemm biss ħafna primes finitament allura ζ (1) ikollu valur finit. Madankollu, is-Serje Armonika 1 + 1/2 + 1/3 + 1/4 + ... tvarja (i.e., taqbeż kull numru partikolari), u għalhekk għandu jkun hemm ħafna primes infinitament. Eżempju ieħor tar-rikkezza tal-funzjoni Zeta u idea tat-teorija moderna tan-numru alġebrin huwa l-identità li ġejja (problema ta 'Basel), minħabba Euler,</v>
      </c>
    </row>
    <row r="4348" ht="15.75" customHeight="1">
      <c r="A4348" s="2" t="s">
        <v>4348</v>
      </c>
      <c r="B4348" s="2" t="str">
        <f>IFERROR(__xludf.DUMMYFUNCTION("GOOGLETRANSLATE(A4348,""en"", ""mt"")"),"gravità")</f>
        <v>gravità</v>
      </c>
    </row>
    <row r="4349" ht="15.75" customHeight="1">
      <c r="A4349" s="2" t="s">
        <v>4349</v>
      </c>
      <c r="B4349" s="2" t="str">
        <f>IFERROR(__xludf.DUMMYFUNCTION("GOOGLETRANSLATE(A4349,""en"", ""mt"")"),"X’għamel l-emigrazzjoni lejn dawn il-kolonji attraenti?")</f>
        <v>X’għamel l-emigrazzjoni lejn dawn il-kolonji attraenti?</v>
      </c>
    </row>
    <row r="4350" ht="15.75" customHeight="1">
      <c r="A4350" s="2" t="s">
        <v>4350</v>
      </c>
      <c r="B4350" s="2" t="str">
        <f>IFERROR(__xludf.DUMMYFUNCTION("GOOGLETRANSLATE(A4350,""en"", ""mt"")"),"Kumitat tal-Konċiljazzjoni")</f>
        <v>Kumitat tal-Konċiljazzjoni</v>
      </c>
    </row>
    <row r="4351" ht="15.75" customHeight="1">
      <c r="A4351" s="2" t="s">
        <v>4351</v>
      </c>
      <c r="B4351" s="2" t="str">
        <f>IFERROR(__xludf.DUMMYFUNCTION("GOOGLETRANSLATE(A4351,""en"", ""mt"")"),"l-aktar sinjur 1 fil-mija")</f>
        <v>l-aktar sinjur 1 fil-mija</v>
      </c>
    </row>
    <row r="4352" ht="15.75" customHeight="1">
      <c r="A4352" s="2" t="s">
        <v>4352</v>
      </c>
      <c r="B4352" s="2" t="str">
        <f>IFERROR(__xludf.DUMMYFUNCTION("GOOGLETRANSLATE(A4352,""en"", ""mt"")"),"X'kien l-effett tal-ħabta tad-djar fuq ir-reġjun?")</f>
        <v>X'kien l-effett tal-ħabta tad-djar fuq ir-reġjun?</v>
      </c>
    </row>
    <row r="4353" ht="15.75" customHeight="1">
      <c r="A4353" s="2" t="s">
        <v>4353</v>
      </c>
      <c r="B4353" s="2" t="str">
        <f>IFERROR(__xludf.DUMMYFUNCTION("GOOGLETRANSLATE(A4353,""en"", ""mt"")"),"Uchicago tiddikjara li għandha x'tip ta 'esperjenza ta' tagħlim meta mqabbla ma 'universitajiet oħra?")</f>
        <v>Uchicago tiddikjara li għandha x'tip ta 'esperjenza ta' tagħlim meta mqabbla ma 'universitajiet oħra?</v>
      </c>
    </row>
    <row r="4354" ht="15.75" customHeight="1">
      <c r="A4354" s="2" t="s">
        <v>4354</v>
      </c>
      <c r="B4354" s="2" t="str">
        <f>IFERROR(__xludf.DUMMYFUNCTION("GOOGLETRANSLATE(A4354,""en"", ""mt"")"),"It-tielet rapport ta 'valutazzjoni (TAR) deher b'mod prominenti graff bit-tikketta ""Millennial Northern Emisphere Reconstruction"" ibbażata fuq karta tal-1999 minn Michael E. Mann, Raymond S. Bradley u Malcolm K. Hughes (MBH99), li ġiet imsejħa bħala l- "&amp;"""Hockey Stick Graph"". Dan il-graff estenda l-graff simili fil-Figura 3.20 mir-Rapport ta 'Valutazzjoni tal-IPCC tal-1995, u kien differenti minn skematiku fl-ewwel rapport ta' valutazzjoni li kien nieqes minn unitajiet ta 'temperatura, iżda deher li jur"&amp;"i varjazzjonijiet ta' temperatura globali akbar matul l-aħħar 1000 sena, u temperaturi ogħla matul il-perjodu sħun medjevali minn nofs is-seklu 20. L-iskematiku ma kienx biċċa ta 'dejta attwali, u kien ibbażat fuq dijagramma ta' temperaturi fl-Ingilterra "&amp;"Ċentrali, b'temperaturi miżjuda fuq il-bażi ta 'evidenza dokumentarja ta' vinji medjevali fl-Ingilterra. Anke b'din iż-żieda, il-massimu li wera għall-perjodu sħun medjevali ma laħaqx temperaturi rreġistrati fl-Ingilterra Ċentrali fl-2007. Is-sejba MBH99 "&amp;"kienet appoġġjata minn rikostruzzjonijiet iċċitati minn Jones et al. 1998, Pollack, Huang &amp; Shen 1998, Crowley &amp; Lowery 2000 u Briffa 2000, bl-użu ta 'dejta u metodi differenti. Il-Jones et al. u r-rikostruzzjonijiet ta 'Briffa ġew sovrapposti mar-rikostr"&amp;"uzzjoni MBH99 fil-Figura 2.21 tar-rapport IPCC.")</f>
        <v>It-tielet rapport ta 'valutazzjoni (TAR) deher b'mod prominenti graff bit-tikketta "Millennial Northern Emisphere Reconstruction" ibbażata fuq karta tal-1999 minn Michael E. Mann, Raymond S. Bradley u Malcolm K. Hughes (MBH99), li ġiet imsejħa bħala l- "Hockey Stick Graph". Dan il-graff estenda l-graff simili fil-Figura 3.20 mir-Rapport ta 'Valutazzjoni tal-IPCC tal-1995, u kien differenti minn skematiku fl-ewwel rapport ta' valutazzjoni li kien nieqes minn unitajiet ta 'temperatura, iżda deher li juri varjazzjonijiet ta' temperatura globali akbar matul l-aħħar 1000 sena, u temperaturi ogħla matul il-perjodu sħun medjevali minn nofs is-seklu 20. L-iskematiku ma kienx biċċa ta 'dejta attwali, u kien ibbażat fuq dijagramma ta' temperaturi fl-Ingilterra Ċentrali, b'temperaturi miżjuda fuq il-bażi ta 'evidenza dokumentarja ta' vinji medjevali fl-Ingilterra. Anke b'din iż-żieda, il-massimu li wera għall-perjodu sħun medjevali ma laħaqx temperaturi rreġistrati fl-Ingilterra Ċentrali fl-2007. Is-sejba MBH99 kienet appoġġjata minn rikostruzzjonijiet iċċitati minn Jones et al. 1998, Pollack, Huang &amp; Shen 1998, Crowley &amp; Lowery 2000 u Briffa 2000, bl-użu ta 'dejta u metodi differenti. Il-Jones et al. u r-rikostruzzjonijiet ta 'Briffa ġew sovrapposti mar-rikostruzzjoni MBH99 fil-Figura 2.21 tar-rapport IPCC.</v>
      </c>
    </row>
    <row r="4355" ht="15.75" customHeight="1">
      <c r="A4355" s="2" t="s">
        <v>4355</v>
      </c>
      <c r="B4355" s="2" t="str">
        <f>IFERROR(__xludf.DUMMYFUNCTION("GOOGLETRANSLATE(A4355,""en"", ""mt"")"),"San Lawrenz u Mississippi Watersheds")</f>
        <v>San Lawrenz u Mississippi Watersheds</v>
      </c>
    </row>
    <row r="4356" ht="15.75" customHeight="1">
      <c r="A4356" s="2" t="s">
        <v>4356</v>
      </c>
      <c r="B4356" s="2" t="str">
        <f>IFERROR(__xludf.DUMMYFUNCTION("GOOGLETRANSLATE(A4356,""en"", ""mt"")"),"Ħalq ix-Xmara Monongahela")</f>
        <v>Ħalq ix-Xmara Monongahela</v>
      </c>
    </row>
    <row r="4357" ht="15.75" customHeight="1">
      <c r="A4357" s="2" t="s">
        <v>4357</v>
      </c>
      <c r="B4357" s="2" t="str">
        <f>IFERROR(__xludf.DUMMYFUNCTION("GOOGLETRANSLATE(A4357,""en"", ""mt"")"),"Erbat elef")</f>
        <v>Erbat elef</v>
      </c>
    </row>
    <row r="4358" ht="15.75" customHeight="1">
      <c r="A4358" s="2" t="s">
        <v>4358</v>
      </c>
      <c r="B4358" s="2" t="str">
        <f>IFERROR(__xludf.DUMMYFUNCTION("GOOGLETRANSLATE(A4358,""en"", ""mt"")"),"Ħaddem IP fuq l-ATM jew verżjoni ta 'MPLS")</f>
        <v>Ħaddem IP fuq l-ATM jew verżjoni ta 'MPLS</v>
      </c>
    </row>
    <row r="4359" ht="15.75" customHeight="1">
      <c r="A4359" s="2" t="s">
        <v>4359</v>
      </c>
      <c r="B4359" s="2" t="str">
        <f>IFERROR(__xludf.DUMMYFUNCTION("GOOGLETRANSLATE(A4359,""en"", ""mt"")"),"Prattiki ta 'kostruzzjoni residenzjali, teknoloġiji, u riżorsi għandhom jikkonformaw ma' xiex?")</f>
        <v>Prattiki ta 'kostruzzjoni residenzjali, teknoloġiji, u riżorsi għandhom jikkonformaw ma' xiex?</v>
      </c>
    </row>
    <row r="4360" ht="15.75" customHeight="1">
      <c r="A4360" s="2" t="s">
        <v>4360</v>
      </c>
      <c r="B4360" s="2" t="str">
        <f>IFERROR(__xludf.DUMMYFUNCTION("GOOGLETRANSLATE(A4360,""en"", ""mt"")"),"Min ikkritika l-ordni minn spiżeriji onlajn li ma jeħtiġux preskrizzjonijiet?")</f>
        <v>Min ikkritika l-ordni minn spiżeriji onlajn li ma jeħtiġux preskrizzjonijiet?</v>
      </c>
    </row>
    <row r="4361" ht="15.75" customHeight="1">
      <c r="A4361" s="2" t="s">
        <v>4361</v>
      </c>
      <c r="B4361" s="2" t="str">
        <f>IFERROR(__xludf.DUMMYFUNCTION("GOOGLETRANSLATE(A4361,""en"", ""mt"")"),"Terapija bl-ossiġnu")</f>
        <v>Terapija bl-ossiġnu</v>
      </c>
    </row>
    <row r="4362" ht="15.75" customHeight="1">
      <c r="A4362" s="2" t="s">
        <v>4362</v>
      </c>
      <c r="B4362" s="2" t="str">
        <f>IFERROR(__xludf.DUMMYFUNCTION("GOOGLETRANSLATE(A4362,""en"", ""mt"")"),"L-iskejjel privati ​​ġeneralment jippreferu jissejħu skejjel indipendenti, minħabba l-libertà tagħhom li joperaw barra mill-kontroll tal-gvern u tal-gvern lokali. Uħud minn dawn huma magħrufa wkoll bħala skejjel pubbliċi. Skejjel preparatorji fir-Renju Un"&amp;"it iħejju studenti ta ’sa 13-il sena biex jidħlu fl-iskejjel pubbliċi. L-isem ""skola pubblika"" huwa bbażat fuq il-fatt li l-iskejjel kienu miftuħa għall-istudenti minn kullimkien, u mhux biss għal dawk minn ċerta lokalità, u ta 'kwalunkwe reliġjon jew o"&amp;"kkupazzjoni. Skond il-gwida tal-iskejjel tajbin madwar 9 fil-mija tat-tfal li qed jiġu edukati fir-Renju Unit qed jagħmlu dan fi skejjel li jħallsu l-ħlas fil-livell tal-GSCE u 13 fil-mija fil-livell A. [Ċitazzjoni meħtieġa] Ħafna skejjel indipendenti hum"&amp;"a sess wieħed (għalkemm Dan qed isir inqas komuni). It-tariffi jvarjaw minn inqas minn £ 3,000 sa £ 21,000 u aktar fis-sena għall-istudenti ta 'kuljum, li jiżdiedu għal £ 27,000 + fis-sena għall-boarders. Għal dettalji fl-Iskozja, ara ""Tiltaqa 'mal-Ispiż"&amp;"a"".")</f>
        <v>L-iskejjel privati ​​ġeneralment jippreferu jissejħu skejjel indipendenti, minħabba l-libertà tagħhom li joperaw barra mill-kontroll tal-gvern u tal-gvern lokali. Uħud minn dawn huma magħrufa wkoll bħala skejjel pubbliċi. Skejjel preparatorji fir-Renju Unit iħejju studenti ta ’sa 13-il sena biex jidħlu fl-iskejjel pubbliċi. L-isem "skola pubblika" huwa bbażat fuq il-fatt li l-iskejjel kienu miftuħa għall-istudenti minn kullimkien, u mhux biss għal dawk minn ċerta lokalità, u ta 'kwalunkwe reliġjon jew okkupazzjoni. Skond il-gwida tal-iskejjel tajbin madwar 9 fil-mija tat-tfal li qed jiġu edukati fir-Renju Unit qed jagħmlu dan fi skejjel li jħallsu l-ħlas fil-livell tal-GSCE u 13 fil-mija fil-livell A. [Ċitazzjoni meħtieġa] Ħafna skejjel indipendenti huma sess wieħed (għalkemm Dan qed isir inqas komuni). It-tariffi jvarjaw minn inqas minn £ 3,000 sa £ 21,000 u aktar fis-sena għall-istudenti ta 'kuljum, li jiżdiedu għal £ 27,000 + fis-sena għall-boarders. Għal dettalji fl-Iskozja, ara "Tiltaqa 'mal-Ispiża".</v>
      </c>
    </row>
    <row r="4363" ht="15.75" customHeight="1">
      <c r="A4363" s="2" t="s">
        <v>4363</v>
      </c>
      <c r="B4363" s="2" t="str">
        <f>IFERROR(__xludf.DUMMYFUNCTION("GOOGLETRANSLATE(A4363,""en"", ""mt"")"),"Il-proċess tal-IPCC dwar it-tibdil fil-klima u l-effiċjenza u s-suċċess tiegħu ġie mqabbel ma 'trattamenti ma' sfidi ambjentali oħra (qabbel it-tnaqqis tal-ożonu u t-tisħin globali). Fil-każ tar-regolament globali tat-tnaqqis tal-ożonu bbażat fuq il-proto"&amp;"koll ta 'Montreal kien suċċess, f'każ ta' bidla fil-klima, il-protokoll ta 'Kyoto falla. Il-każ tal-ożonu ntuża biex tevalwa l-effiċjenza tal-proċess IPCC. Is-sitwazzjoni tal-lockstep tal-IPCC qed tibni kunsens wiesa 'tax-xjenza filwaqt li l-istati u l-gv"&amp;"ernijiet għadhom isegwu għanijiet differenti, jekk mhux opposti. Il-mudell lineari sottostanti tat-tfassil tal-politika ta 'aktar għarfien li għandna, aħjar tkun qed tiġi ddubita r-rispons politiku.")</f>
        <v>Il-proċess tal-IPCC dwar it-tibdil fil-klima u l-effiċjenza u s-suċċess tiegħu ġie mqabbel ma 'trattamenti ma' sfidi ambjentali oħra (qabbel it-tnaqqis tal-ożonu u t-tisħin globali). Fil-każ tar-regolament globali tat-tnaqqis tal-ożonu bbażat fuq il-protokoll ta 'Montreal kien suċċess, f'każ ta' bidla fil-klima, il-protokoll ta 'Kyoto falla. Il-każ tal-ożonu ntuża biex tevalwa l-effiċjenza tal-proċess IPCC. Is-sitwazzjoni tal-lockstep tal-IPCC qed tibni kunsens wiesa 'tax-xjenza filwaqt li l-istati u l-gvernijiet għadhom isegwu għanijiet differenti, jekk mhux opposti. Il-mudell lineari sottostanti tat-tfassil tal-politika ta 'aktar għarfien li għandna, aħjar tkun qed tiġi ddubita r-rispons politiku.</v>
      </c>
    </row>
    <row r="4364" ht="15.75" customHeight="1">
      <c r="A4364" s="2" t="s">
        <v>4364</v>
      </c>
      <c r="B4364" s="2" t="str">
        <f>IFERROR(__xludf.DUMMYFUNCTION("GOOGLETRANSLATE(A4364,""en"", ""mt"")"),"X'inhu d-dmir tas-CJEU?")</f>
        <v>X'inhu d-dmir tas-CJEU?</v>
      </c>
    </row>
    <row r="4365" ht="15.75" customHeight="1">
      <c r="A4365" s="2" t="s">
        <v>4365</v>
      </c>
      <c r="B4365" s="2" t="str">
        <f>IFERROR(__xludf.DUMMYFUNCTION("GOOGLETRANSLATE(A4365,""en"", ""mt"")"),"Tip ta 'pistuni reċiprokanti")</f>
        <v>Tip ta 'pistuni reċiprokanti</v>
      </c>
    </row>
    <row r="4366" ht="15.75" customHeight="1">
      <c r="A4366" s="2" t="s">
        <v>4366</v>
      </c>
      <c r="B4366" s="2" t="str">
        <f>IFERROR(__xludf.DUMMYFUNCTION("GOOGLETRANSLATE(A4366,""en"", ""mt"")"),"Austpac kien netwerk pubbliku Awstraljan X.25 imħaddem minn Telstra. Beda minn Telecom Australia fil-bidu tas-snin 1980, Austpac kien l-ewwel netwerk ta 'dejta tal-pakketti pubbliċi tal-Awstralja, li jappoġġja applikazzjonijiet bħal imħatri onlajn, applik"&amp;"azzjonijiet finanzjarji - l-Uffiċċju tat-Taxxa Awstraljan għamel użu mill-AUSTPAC - u aċċess terminali mill-bogħod għall-istituzzjonijiet akkademiċi, li żammew il-konnessjonijiet tagħhom ma 'Austpac sa nofs it-tmiem tas-snin disgħin f'xi każijiet. L-aċċes"&amp;"s jista 'jkun permezz ta' terminal dial-up ma 'kuxxinett, jew, billi tgħaqqad nodu X.25 permanenti man-netwerk. [Ċitazzjoni meħtieġa]")</f>
        <v>Austpac kien netwerk pubbliku Awstraljan X.25 imħaddem minn Telstra. Beda minn Telecom Australia fil-bidu tas-snin 1980, Austpac kien l-ewwel netwerk ta 'dejta tal-pakketti pubbliċi tal-Awstralja, li jappoġġja applikazzjonijiet bħal imħatri onlajn, applikazzjonijiet finanzjarji - l-Uffiċċju tat-Taxxa Awstraljan għamel użu mill-AUSTPAC - u aċċess terminali mill-bogħod għall-istituzzjonijiet akkademiċi, li żammew il-konnessjonijiet tagħhom ma 'Austpac sa nofs it-tmiem tas-snin disgħin f'xi każijiet. L-aċċess jista 'jkun permezz ta' terminal dial-up ma 'kuxxinett, jew, billi tgħaqqad nodu X.25 permanenti man-netwerk. [Ċitazzjoni meħtieġa]</v>
      </c>
    </row>
    <row r="4367" ht="15.75" customHeight="1">
      <c r="A4367" s="2" t="s">
        <v>4367</v>
      </c>
      <c r="B4367" s="2" t="str">
        <f>IFERROR(__xludf.DUMMYFUNCTION("GOOGLETRANSLATE(A4367,""en"", ""mt"")"),"L-għarfien mediku kien staġna matul il-Medju Evu. L-iktar kont awtorevoli dak iż-żmien ġie mill-fakultà medika f'Pariġi f'rapport lir-Re ta 'Franza li waħħal is-smewwiet, fil-forma ta' konġunzjoni ta 'tliet pjaneti fl-1345 li kkawża ""pestilenza kbira fl-"&amp;"arja"". Dan ir-rapport sar l-ewwel u l-iktar li ċċirkola b'mod wiesa 'serje ta' passaġġi tal-pesta li fittxew li jagħtu pariri lil dawk li jbatu. Li l-pesta kienet ikkawżata mill-arja ħażina saret it-teorija l-iktar aċċettata. Illum, din hija magħrufa bħa"&amp;"la t-teorija tal-Miasma. Il-kelma ""pesta"" ma kellha l-ebda sinifikat speċjali f'dan il-ħin, u r-rikorrenza ta 'tifqigħat biss matul il-Medju Evu tatha l-isem li sar it-terminu mediku.")</f>
        <v>L-għarfien mediku kien staġna matul il-Medju Evu. L-iktar kont awtorevoli dak iż-żmien ġie mill-fakultà medika f'Pariġi f'rapport lir-Re ta 'Franza li waħħal is-smewwiet, fil-forma ta' konġunzjoni ta 'tliet pjaneti fl-1345 li kkawża "pestilenza kbira fl-arja". Dan ir-rapport sar l-ewwel u l-iktar li ċċirkola b'mod wiesa 'serje ta' passaġġi tal-pesta li fittxew li jagħtu pariri lil dawk li jbatu. Li l-pesta kienet ikkawżata mill-arja ħażina saret it-teorija l-iktar aċċettata. Illum, din hija magħrufa bħala t-teorija tal-Miasma. Il-kelma "pesta" ma kellha l-ebda sinifikat speċjali f'dan il-ħin, u r-rikorrenza ta 'tifqigħat biss matul il-Medju Evu tatha l-isem li sar it-terminu mediku.</v>
      </c>
    </row>
    <row r="4368" ht="15.75" customHeight="1">
      <c r="A4368" s="2" t="s">
        <v>4368</v>
      </c>
      <c r="B4368" s="2" t="str">
        <f>IFERROR(__xludf.DUMMYFUNCTION("GOOGLETRANSLATE(A4368,""en"", ""mt"")"),"Proġetti ewlenin ta 'informazzjoni nazzjonali u internazzjonali tal-pazjenti")</f>
        <v>Proġetti ewlenin ta 'informazzjoni nazzjonali u internazzjonali tal-pazjenti</v>
      </c>
    </row>
    <row r="4369" ht="15.75" customHeight="1">
      <c r="A4369" s="2" t="s">
        <v>4369</v>
      </c>
      <c r="B4369" s="2" t="str">
        <f>IFERROR(__xludf.DUMMYFUNCTION("GOOGLETRANSLATE(A4369,""en"", ""mt"")"),"Ħin ta 'Cambrian")</f>
        <v>Ħin ta 'Cambrian</v>
      </c>
    </row>
    <row r="4370" ht="15.75" customHeight="1">
      <c r="A4370" s="2" t="s">
        <v>4370</v>
      </c>
      <c r="B4370" s="2" t="str">
        <f>IFERROR(__xludf.DUMMYFUNCTION("GOOGLETRANSLATE(A4370,""en"", ""mt"")"),"Minħabba li huwa ħela ta 'riżorsi")</f>
        <v>Minħabba li huwa ħela ta 'riżorsi</v>
      </c>
    </row>
    <row r="4371" ht="15.75" customHeight="1">
      <c r="A4371" s="2" t="s">
        <v>4371</v>
      </c>
      <c r="B4371" s="2" t="str">
        <f>IFERROR(__xludf.DUMMYFUNCTION("GOOGLETRANSLATE(A4371,""en"", ""mt"")"),"Partijiet fin-Nofsinhar u Ċentrali ta 'Franza,")</f>
        <v>Partijiet fin-Nofsinhar u Ċentrali ta 'Franza,</v>
      </c>
    </row>
    <row r="4372" ht="15.75" customHeight="1">
      <c r="A4372" s="2" t="s">
        <v>4372</v>
      </c>
      <c r="B4372" s="2" t="str">
        <f>IFERROR(__xludf.DUMMYFUNCTION("GOOGLETRANSLATE(A4372,""en"", ""mt"")"),"Ċelloli qattiela naturali")</f>
        <v>Ċelloli qattiela naturali</v>
      </c>
    </row>
    <row r="4373" ht="15.75" customHeight="1">
      <c r="A4373" s="2" t="s">
        <v>4373</v>
      </c>
      <c r="B4373" s="2" t="str">
        <f>IFERROR(__xludf.DUMMYFUNCTION("GOOGLETRANSLATE(A4373,""en"", ""mt"")"),"Id-Diviżjoni Kolleġġjata l-Ġdida")</f>
        <v>Id-Diviżjoni Kolleġġjata l-Ġdida</v>
      </c>
    </row>
    <row r="4374" ht="15.75" customHeight="1">
      <c r="A4374" s="2" t="s">
        <v>4374</v>
      </c>
      <c r="B4374" s="2" t="str">
        <f>IFERROR(__xludf.DUMMYFUNCTION("GOOGLETRANSLATE(A4374,""en"", ""mt"")"),"Fondazzjoni Nazzjonali tax-Xjenza")</f>
        <v>Fondazzjoni Nazzjonali tax-Xjenza</v>
      </c>
    </row>
    <row r="4375" ht="15.75" customHeight="1">
      <c r="A4375" s="2" t="s">
        <v>4375</v>
      </c>
      <c r="B4375" s="2" t="str">
        <f>IFERROR(__xludf.DUMMYFUNCTION("GOOGLETRANSLATE(A4375,""en"", ""mt"")"),"is-sid tal-proprjetà")</f>
        <v>is-sid tal-proprjetà</v>
      </c>
    </row>
    <row r="4376" ht="15.75" customHeight="1">
      <c r="A4376" s="2" t="s">
        <v>4376</v>
      </c>
      <c r="B4376" s="2" t="str">
        <f>IFERROR(__xludf.DUMMYFUNCTION("GOOGLETRANSLATE(A4376,""en"", ""mt"")"),"L-ideali ewlenin huma l-punti ta 'oġġetti alġebro-ġeometriċi, permezz tal-kunċett ta' l-ispettru ta 'ċirku. Il-ġeometrija aritmetika tibbenefika wkoll minn din il-kunċett, u ħafna kunċetti jeżistu kemm fil-ġeometrija kif ukoll fit-teorija tan-numri. Pereż"&amp;"empju, fatorizzazzjoni jew ramifikazzjoni ta 'ideali ewlenin meta titneħħa għal qasam ta' estensjoni, problema bażika tat-teorija tan-numri alġebriċi, għandha xebh ma 'ramifikazzjoni fil-ġeometrija. Mistoqsijiet ta 'ramifikazzjoni bħal dawn iseħħu anke fi"&amp;" mistoqsijiet teoretiċi b'numri kkonċernati biss ma' numri interi. Pereżempju, ideali ewlenin fiċ-ċirku ta 'numru sħiħ ta' oqsma ta 'numri kwadratiċi jistgħu jintużaw biex jippruvaw reċiproċità kwadratika, dikjarazzjoni li tikkonċerna s-solvabilità ta' ek"&amp;"wazzjonijiet kwadratiċi")</f>
        <v>L-ideali ewlenin huma l-punti ta 'oġġetti alġebro-ġeometriċi, permezz tal-kunċett ta' l-ispettru ta 'ċirku. Il-ġeometrija aritmetika tibbenefika wkoll minn din il-kunċett, u ħafna kunċetti jeżistu kemm fil-ġeometrija kif ukoll fit-teorija tan-numri. Pereżempju, fatorizzazzjoni jew ramifikazzjoni ta 'ideali ewlenin meta titneħħa għal qasam ta' estensjoni, problema bażika tat-teorija tan-numri alġebriċi, għandha xebh ma 'ramifikazzjoni fil-ġeometrija. Mistoqsijiet ta 'ramifikazzjoni bħal dawn iseħħu anke fi mistoqsijiet teoretiċi b'numri kkonċernati biss ma' numri interi. Pereżempju, ideali ewlenin fiċ-ċirku ta 'numru sħiħ ta' oqsma ta 'numri kwadratiċi jistgħu jintużaw biex jippruvaw reċiproċità kwadratika, dikjarazzjoni li tikkonċerna s-solvabilità ta' ekwazzjonijiet kwadratiċi</v>
      </c>
    </row>
    <row r="4377" ht="15.75" customHeight="1">
      <c r="A4377" s="2" t="s">
        <v>4377</v>
      </c>
      <c r="B4377" s="2" t="str">
        <f>IFERROR(__xludf.DUMMYFUNCTION("GOOGLETRANSLATE(A4377,""en"", ""mt"")"),"Ix-xejra tal-gwerra, segwita minn perjodi qosra ta ’paċi, kompliet għal kważi kwart ieħor ta’ seklu. Il-gwerra ġiet definittivament imqabbda fl-1598, meta Henry ta 'Navarra, wara li rnexxielu t-tron Franċiż bħala Henry IV, u wara li reġa' ħa l-Protestanti"&amp;"żmu favur il-Kattoliċiżmu Ruman, ħareġ l-editt ta 'Nantes. L-editt afferma mill-ġdid il-Kattoliċiżmu bħala r-reliġjon tal-istat ta ’Franza, iżda ta lill-Protestanti ugwaljanza mal-Kattoliċi taħt it-tron u grad ta’ libertà reliġjuża u politika fl-oqsma tag"&amp;"ħhom. L-editt protett fl-istess ħin l-interessi Kattoliċi billi jiskoraġġixxi l-fondazzjoni ta 'knejjes Protestanti ġodda f'reġjuni kkontrollati mill-Kattoliċi. [Ċitazzjoni meħtieġa]")</f>
        <v>Ix-xejra tal-gwerra, segwita minn perjodi qosra ta ’paċi, kompliet għal kważi kwart ieħor ta’ seklu. Il-gwerra ġiet definittivament imqabbda fl-1598, meta Henry ta 'Navarra, wara li rnexxielu t-tron Franċiż bħala Henry IV, u wara li reġa' ħa l-Protestantiżmu favur il-Kattoliċiżmu Ruman, ħareġ l-editt ta 'Nantes. L-editt afferma mill-ġdid il-Kattoliċiżmu bħala r-reliġjon tal-istat ta ’Franza, iżda ta lill-Protestanti ugwaljanza mal-Kattoliċi taħt it-tron u grad ta’ libertà reliġjuża u politika fl-oqsma tagħhom. L-editt protett fl-istess ħin l-interessi Kattoliċi billi jiskoraġġixxi l-fondazzjoni ta 'knejjes Protestanti ġodda f'reġjuni kkontrollati mill-Kattoliċi. [Ċitazzjoni meħtieġa]</v>
      </c>
    </row>
    <row r="4378" ht="15.75" customHeight="1">
      <c r="A4378" s="2" t="s">
        <v>4378</v>
      </c>
      <c r="B4378" s="2" t="str">
        <f>IFERROR(__xludf.DUMMYFUNCTION("GOOGLETRANSLATE(A4378,""en"", ""mt"")"),"Xi jindikaw ukoll dikjarazzjonijiet mill-PO u l-membru inkarigati mill-abbozz?")</f>
        <v>Xi jindikaw ukoll dikjarazzjonijiet mill-PO u l-membru inkarigati mill-abbozz?</v>
      </c>
    </row>
    <row r="4379" ht="15.75" customHeight="1">
      <c r="A4379" s="2" t="s">
        <v>4379</v>
      </c>
      <c r="B4379" s="2" t="str">
        <f>IFERROR(__xludf.DUMMYFUNCTION("GOOGLETRANSLATE(A4379,""en"", ""mt"")"),"X'inhu eżempju ta 'mudell ta' magna li jiddevja minn magna b'ħafna tape aċċettata ġeneralment?")</f>
        <v>X'inhu eżempju ta 'mudell ta' magna li jiddevja minn magna b'ħafna tape aċċettata ġeneralment?</v>
      </c>
    </row>
    <row r="4380" ht="15.75" customHeight="1">
      <c r="A4380" s="2" t="s">
        <v>4380</v>
      </c>
      <c r="B4380" s="2" t="str">
        <f>IFERROR(__xludf.DUMMYFUNCTION("GOOGLETRANSLATE(A4380,""en"", ""mt"")"),"L-Iżlamiżmu, magħruf ukoll bħala l-Islam politiku (Għarbi: إسلام سياسي Islām Siyāsī), huwa moviment tal-qawmien mill-ġdid Iżlamiku li spiss ikun ikkaratterizzat minn konservattiviżmu morali, litteraliżmu, u l-attentat ""biex jimplimenta valuri Iżlamiċi fl"&amp;"-isferi kollha tal-ħajja."" L-Iżlamiżmu jiffavorixxi l-ordni mill-ġdid tal-gvern u tas-soċjetà skont ix-Shari'a. Il-movimenti Iżlamisti differenti ġew deskritti bħala ""li joxxillaw bejn żewġ poli"": f'tarf wieħed hija strateġija ta 'l-Iżlamizzazzjoni tas"&amp;"-Soċjetà permezz ta' poter tal-istat maqbud minn rivoluzzjoni jew invażjoni; Fl-arblu l-ieħor ""riformist"" l-Iżlamisti jaħdmu biex is-soċjetà Iżlamizza gradwalment ""minn isfel għal fuq"". Il-movimenti ""bla dubju biddlu l-Lvant Nofsani aktar minn kwalun"&amp;"kwe xejra minn meta l-istati moderni kisbu l-indipendenza"", jiddefinixxu mill-ġdid ""politika u anke fruntieri"" skond ġurnalist wieħed (Robin Wright).")</f>
        <v>L-Iżlamiżmu, magħruf ukoll bħala l-Islam politiku (Għarbi: إسلام سياسي Islām Siyāsī), huwa moviment tal-qawmien mill-ġdid Iżlamiku li spiss ikun ikkaratterizzat minn konservattiviżmu morali, litteraliżmu, u l-attentat "biex jimplimenta valuri Iżlamiċi fl-isferi kollha tal-ħajja." L-Iżlamiżmu jiffavorixxi l-ordni mill-ġdid tal-gvern u tas-soċjetà skont ix-Shari'a. Il-movimenti Iżlamisti differenti ġew deskritti bħala "li joxxillaw bejn żewġ poli": f'tarf wieħed hija strateġija ta 'l-Iżlamizzazzjoni tas-Soċjetà permezz ta' poter tal-istat maqbud minn rivoluzzjoni jew invażjoni; Fl-arblu l-ieħor "riformist" l-Iżlamisti jaħdmu biex is-soċjetà Iżlamizza gradwalment "minn isfel għal fuq". Il-movimenti "bla dubju biddlu l-Lvant Nofsani aktar minn kwalunkwe xejra minn meta l-istati moderni kisbu l-indipendenza", jiddefinixxu mill-ġdid "politika u anke fruntieri" skond ġurnalist wieħed (Robin Wright).</v>
      </c>
    </row>
    <row r="4381" ht="15.75" customHeight="1">
      <c r="A4381" s="2" t="s">
        <v>4381</v>
      </c>
      <c r="B4381" s="2" t="str">
        <f>IFERROR(__xludf.DUMMYFUNCTION("GOOGLETRANSLATE(A4381,""en"", ""mt"")"),"Problema ta 'sodisfazzjon Boolean NP-komplut NP")</f>
        <v>Problema ta 'sodisfazzjon Boolean NP-komplut NP</v>
      </c>
    </row>
    <row r="4382" ht="15.75" customHeight="1">
      <c r="A4382" s="2" t="s">
        <v>4382</v>
      </c>
      <c r="B4382" s="2" t="str">
        <f>IFERROR(__xludf.DUMMYFUNCTION("GOOGLETRANSLATE(A4382,""en"", ""mt"")"),"Fit-Tieni Gwerra Dinjija, Charles de Gaulle u l-Franċiżi ħielsa użaw il-kolonji barranin bħala bażi li minnhom huma ġġieldu biex jilliberaw lil Franza. Madankollu wara l-1945 movimenti anti-kolonjali bdew jikkontestaw l-imperu. Franza ġġieldet u tilfet gw"&amp;"erra morra fil-Vjetnam fil-ħamsinijiet. Billi huma rebħu l-gwerra fl-Alġerija, il-mexxej Franċiż dak iż-żmien, Charles de Gaulle, iddeċidew li jagħtu l-indipendenza tal-Alġerija xorta waħda fl-1962. Il-kolonizzaturi tagħha u ħafna partitarji lokali rrilok"&amp;"aw lejn Franza. Kważi l-kolonji kollha ta 'Franza kisbu l-indipendenza sal-1960, iżda Franza żammet influwenza finanzjarja u diplomatika kbira. Huwa ripetutament bagħat truppi biex jgħinu lill-kolonji preċedenti tagħha fl-Afrika biex irażżnu l-insurrezzjo"&amp;"nijiet u l-kolp ta 'stat.")</f>
        <v>Fit-Tieni Gwerra Dinjija, Charles de Gaulle u l-Franċiżi ħielsa użaw il-kolonji barranin bħala bażi li minnhom huma ġġieldu biex jilliberaw lil Franza. Madankollu wara l-1945 movimenti anti-kolonjali bdew jikkontestaw l-imperu. Franza ġġieldet u tilfet gwerra morra fil-Vjetnam fil-ħamsinijiet. Billi huma rebħu l-gwerra fl-Alġerija, il-mexxej Franċiż dak iż-żmien, Charles de Gaulle, iddeċidew li jagħtu l-indipendenza tal-Alġerija xorta waħda fl-1962. Il-kolonizzaturi tagħha u ħafna partitarji lokali rrilokaw lejn Franza. Kważi l-kolonji kollha ta 'Franza kisbu l-indipendenza sal-1960, iżda Franza żammet influwenza finanzjarja u diplomatika kbira. Huwa ripetutament bagħat truppi biex jgħinu lill-kolonji preċedenti tagħha fl-Afrika biex irażżnu l-insurrezzjonijiet u l-kolp ta 'stat.</v>
      </c>
    </row>
    <row r="4383" ht="15.75" customHeight="1">
      <c r="A4383" s="2" t="s">
        <v>4383</v>
      </c>
      <c r="B4383" s="2" t="str">
        <f>IFERROR(__xludf.DUMMYFUNCTION("GOOGLETRANSLATE(A4383,""en"", ""mt"")"),"Huma meħtieġa inqas ħaddiema")</f>
        <v>Huma meħtieġa inqas ħaddiema</v>
      </c>
    </row>
    <row r="4384" ht="15.75" customHeight="1">
      <c r="A4384" s="2" t="s">
        <v>4384</v>
      </c>
      <c r="B4384" s="2" t="str">
        <f>IFERROR(__xludf.DUMMYFUNCTION("GOOGLETRANSLATE(A4384,""en"", ""mt"")"),"X'inhu l-isem mogħti lis-sekwenza tal-input ta 'problema tal-komputazzjoni?")</f>
        <v>X'inhu l-isem mogħti lis-sekwenza tal-input ta 'problema tal-komputazzjoni?</v>
      </c>
    </row>
    <row r="4385" ht="15.75" customHeight="1">
      <c r="A4385" s="2" t="s">
        <v>4385</v>
      </c>
      <c r="B4385" s="2" t="str">
        <f>IFERROR(__xludf.DUMMYFUNCTION("GOOGLETRANSLATE(A4385,""en"", ""mt"")"),"X'inhu l-isem tat-tielet, il-Knisja Permanenti Huguenot fi New Rochelle?")</f>
        <v>X'inhu l-isem tat-tielet, il-Knisja Permanenti Huguenot fi New Rochelle?</v>
      </c>
    </row>
    <row r="4386" ht="15.75" customHeight="1">
      <c r="A4386" s="2" t="s">
        <v>4386</v>
      </c>
      <c r="B4386" s="2" t="str">
        <f>IFERROR(__xludf.DUMMYFUNCTION("GOOGLETRANSLATE(A4386,""en"", ""mt"")"),"Wara r-revoka tal-Kuruna Franċiża ta 'l-Editt ta' Nantes, ħafna Huguenots stabbilixxew fl-Irlanda fl-aħħar tas-sekli 17 u kmieni fit-18-il seklu, imħeġġa minn Att tal-Parlament għall-Protestanti li joqogħdu fl-Irlanda. Ir-reġimenti Huguenot iġġieldu għal "&amp;"William ta 'Orange fil-Gwerra ta' Williamite fl-Irlanda, li għalihom ġew ippremjati b'għotjiet u titli tal-art, ħafna joqogħdu f'Dublin. L-insedjamenti sinifikanti ta 'Huguenot kienu f'Dublin, Cork, Portarlington, Lisburn, Waterford u Youghal. L-insedjame"&amp;"nti iżgħar, li kienu jinkludu Killeshandra fil-Kontea ta 'Cavan, ikkontribwew għall-espansjoni tal-kultivazzjoni tal-kittien u t-tkabbir tal-industrija tal-bjankerija Irlandiża.")</f>
        <v>Wara r-revoka tal-Kuruna Franċiża ta 'l-Editt ta' Nantes, ħafna Huguenots stabbilixxew fl-Irlanda fl-aħħar tas-sekli 17 u kmieni fit-18-il seklu, imħeġġa minn Att tal-Parlament għall-Protestanti li joqogħdu fl-Irlanda. Ir-reġimenti Huguenot iġġieldu għal William ta 'Orange fil-Gwerra ta' Williamite fl-Irlanda, li għalihom ġew ippremjati b'għotjiet u titli tal-art, ħafna joqogħdu f'Dublin. L-insedjamenti sinifikanti ta 'Huguenot kienu f'Dublin, Cork, Portarlington, Lisburn, Waterford u Youghal. L-insedjamenti iżgħar, li kienu jinkludu Killeshandra fil-Kontea ta 'Cavan, ikkontribwew għall-espansjoni tal-kultivazzjoni tal-kittien u t-tkabbir tal-industrija tal-bjankerija Irlandiża.</v>
      </c>
    </row>
    <row r="4387" ht="15.75" customHeight="1">
      <c r="A4387" s="2" t="s">
        <v>4387</v>
      </c>
      <c r="B4387" s="2" t="str">
        <f>IFERROR(__xludf.DUMMYFUNCTION("GOOGLETRANSLATE(A4387,""en"", ""mt"")"),"Forom oħra ta 'pesta ġew implikati minn xjenzati moderni. Il-pesta bubonika moderna għandha rata ta 'mortalità ta' 30-75% u sintomi li jinkludu deni ta '38-41 ° C (100-106 ° F), uġigħ ta' ras, ġonot ta 'uġigħ ta' uġigħ, nawżea u rimettar, u sensazzjoni ġe"&amp;"nerali ta 'telqa. Tħalla mhux trattata, minn dawk li jikkuntrattaw il-pesta bubonika, 80 fil-mija jmutu fi żmien tmint ijiem. Il-pesta pnewmonika għandha rata ta 'mortalità ta '90 sa 95 fil-mija. Is-sintomi jinkludu deni, sogħla, u sputum miżbugħ fid-demm"&amp;". Hekk kif il-marda timxi 'l quddiem, l-isputum isir ħieles li jiċċirkola u aħmar jgħajjat. Il-pesta settiċemika hija l-inqas komuni mit-tliet forom, b'rata ta 'mortalità qrib 100%. Is-sintomi huma deni għoljin u rqajja vjola tal-ġilda (purpura minħabba k"&amp;"oagulazzjoni intravaskulari mxerrda). F'każijiet ta 'pesta pnewmonika u partikolarment settiċemika, il-progress tal-marda huwa daqshekk mgħaġġel li ħafna drabi ma jkun hemm l-ebda ħin għall-iżvilupp tal-għoqiedi linfatiċi mkabbra li ġew innotati bħala bub"&amp;"o.")</f>
        <v>Forom oħra ta 'pesta ġew implikati minn xjenzati moderni. Il-pesta bubonika moderna għandha rata ta 'mortalità ta' 30-75% u sintomi li jinkludu deni ta '38-41 ° C (100-106 ° F), uġigħ ta' ras, ġonot ta 'uġigħ ta' uġigħ, nawżea u rimettar, u sensazzjoni ġenerali ta 'telqa. Tħalla mhux trattata, minn dawk li jikkuntrattaw il-pesta bubonika, 80 fil-mija jmutu fi żmien tmint ijiem. Il-pesta pnewmonika għandha rata ta 'mortalità ta '90 sa 95 fil-mija. Is-sintomi jinkludu deni, sogħla, u sputum miżbugħ fid-demm. Hekk kif il-marda timxi 'l quddiem, l-isputum isir ħieles li jiċċirkola u aħmar jgħajjat. Il-pesta settiċemika hija l-inqas komuni mit-tliet forom, b'rata ta 'mortalità qrib 100%. Is-sintomi huma deni għoljin u rqajja vjola tal-ġilda (purpura minħabba koagulazzjoni intravaskulari mxerrda). F'każijiet ta 'pesta pnewmonika u partikolarment settiċemika, il-progress tal-marda huwa daqshekk mgħaġġel li ħafna drabi ma jkun hemm l-ebda ħin għall-iżvilupp tal-għoqiedi linfatiċi mkabbra li ġew innotati bħala bubo.</v>
      </c>
    </row>
    <row r="4388" ht="15.75" customHeight="1">
      <c r="A4388" s="2" t="s">
        <v>4388</v>
      </c>
      <c r="B4388" s="2" t="str">
        <f>IFERROR(__xludf.DUMMYFUNCTION("GOOGLETRANSLATE(A4388,""en"", ""mt"")"),"Il-wiċċ ta 'barra jġorr ġeneralment tmien ringieli tal-moxt, imsejħa pjanċi tal-għawm, li jintużaw għall-għawm. Ir-ringieli huma orjentati biex jimxu minn ħdejn il-ħalq (l- ""arblu orali"") sat-tarf oppost (l- ""arblu aboral""), u huma spazjati ftit jew w"&amp;"isq indaqs madwar il-ġisem, għalkemm ix-xejriet tal-ispazjar ivarjaw skont l-ispeċi u f'ħafna mill-ispeċi Ir-ringieli tal-moxt jestendu biss parti mid-distanza mill-arblu aboral lejn il-ħalq. Il- ""pettnijiet"" (imsejħa wkoll ""ctenes"" jew ""pjanċi tal-m"&amp;"oxt"") jimxu madwar kull ringiela, u kull wieħed jikkonsisti f'eluf ta 'ċili mhux tas-soltu twal, sa 2 millimetri (0.079 in). B'differenza minn cilia konvenzjonali u flagella, li għandha struttura ta 'filament irranġata f'disinn ta' 9 + 2, dawn iċ-ċili hu"&amp;"ma rranġati f'disinn ta '9 + 3, fejn il-filament kompatt żejjed huwa suspettat li għandu funzjoni ta' sostenn. Dawn normalment jegħlbu sabiex il-puplesija tal-propulsjoni tkun 'il bogħod mill-ħalq, għalkemm jistgħu wkoll ibiddlu d-direzzjoni. Għalhekk cte"&amp;"nophores ġeneralment jgħumu fid-direzzjoni li fiha l-ħalq ikun qed jipponta, b'differenza mill-bram. Meta tipprova taħrab mill-predaturi, speċi waħda tista 'tħaffef għal sitt darbiet il-veloċità normali tagħha; Xi speċi oħra jdawru d-direzzjoni bħala part"&amp;"i mill-imġieba tal-ħarba tagħhom, billi jreġġgħu lura l-power puplesija tal-pjanċa tal-moxt.")</f>
        <v>Il-wiċċ ta 'barra jġorr ġeneralment tmien ringieli tal-moxt, imsejħa pjanċi tal-għawm, li jintużaw għall-għawm. Ir-ringieli huma orjentati biex jimxu minn ħdejn il-ħalq (l- "arblu orali") sat-tarf oppost (l- "arblu aboral"), u huma spazjati ftit jew wisq indaqs madwar il-ġisem, għalkemm ix-xejriet tal-ispazjar ivarjaw skont l-ispeċi u f'ħafna mill-ispeċi Ir-ringieli tal-moxt jestendu biss parti mid-distanza mill-arblu aboral lejn il-ħalq. Il- "pettnijiet" (imsejħa wkoll "ctenes" jew "pjanċi tal-moxt") jimxu madwar kull ringiela, u kull wieħed jikkonsisti f'eluf ta 'ċili mhux tas-soltu twal, sa 2 millimetri (0.079 in). B'differenza minn cilia konvenzjonali u flagella, li għandha struttura ta 'filament irranġata f'disinn ta' 9 + 2, dawn iċ-ċili huma rranġati f'disinn ta '9 + 3, fejn il-filament kompatt żejjed huwa suspettat li għandu funzjoni ta' sostenn. Dawn normalment jegħlbu sabiex il-puplesija tal-propulsjoni tkun 'il bogħod mill-ħalq, għalkemm jistgħu wkoll ibiddlu d-direzzjoni. Għalhekk ctenophores ġeneralment jgħumu fid-direzzjoni li fiha l-ħalq ikun qed jipponta, b'differenza mill-bram. Meta tipprova taħrab mill-predaturi, speċi waħda tista 'tħaffef għal sitt darbiet il-veloċità normali tagħha; Xi speċi oħra jdawru d-direzzjoni bħala parti mill-imġieba tal-ħarba tagħhom, billi jreġġgħu lura l-power puplesija tal-pjanċa tal-moxt.</v>
      </c>
    </row>
    <row r="4389" ht="15.75" customHeight="1">
      <c r="A4389" s="2" t="s">
        <v>4389</v>
      </c>
      <c r="B4389" s="2" t="str">
        <f>IFERROR(__xludf.DUMMYFUNCTION("GOOGLETRANSLATE(A4389,""en"", ""mt"")"),"Il-fatat ta 'Le Roi Huguet")</f>
        <v>Il-fatat ta 'Le Roi Huguet</v>
      </c>
    </row>
    <row r="4390" ht="15.75" customHeight="1">
      <c r="A4390" s="2" t="s">
        <v>4390</v>
      </c>
      <c r="B4390" s="2" t="str">
        <f>IFERROR(__xludf.DUMMYFUNCTION("GOOGLETRANSLATE(A4390,""en"", ""mt"")"),"Ir-Rebels Turban Red")</f>
        <v>Ir-Rebels Turban Red</v>
      </c>
    </row>
    <row r="4391" ht="15.75" customHeight="1">
      <c r="A4391" s="2" t="s">
        <v>4391</v>
      </c>
      <c r="B4391" s="2" t="str">
        <f>IFERROR(__xludf.DUMMYFUNCTION("GOOGLETRANSLATE(A4391,""en"", ""mt"")"),"Armata tal-Ġermanja inferjuri")</f>
        <v>Armata tal-Ġermanja inferjuri</v>
      </c>
    </row>
    <row r="4392" ht="15.75" customHeight="1">
      <c r="A4392" s="2" t="s">
        <v>4392</v>
      </c>
      <c r="B4392" s="2" t="str">
        <f>IFERROR(__xludf.DUMMYFUNCTION("GOOGLETRANSLATE(A4392,""en"", ""mt"")"),"Ħafna klassijiet ta 'kumplessità huma definiti bl-użu tal-kunċett ta' tnaqqis. Tnaqqis huwa trasformazzjoni ta 'problema waħda fi problema oħra. Jaqbad il-kunċett informali ta 'problema għall-inqas diffiċli daqs problema oħra. Pereżempju, jekk problema x "&amp;"tista 'tissolva bl-użu ta' algoritmu għal y, X mhix iktar diffiċli minn y, u aħna ngħidu li X tnaqqas għal Y. Hemm ħafna tipi differenti ta 'tnaqqis, ibbażati fuq il-metodu ta' tnaqqis, bħal Tnaqqis tal-kok, tnaqqis tal-karp u tnaqqis tal-levin, u l-marbu"&amp;"t fuq il-kumplessità ta 'tnaqqis, bħal tnaqqis fil-ħin polinomjali jew tnaqqis fl-ispazju ta' log.")</f>
        <v>Ħafna klassijiet ta 'kumplessità huma definiti bl-użu tal-kunċett ta' tnaqqis. Tnaqqis huwa trasformazzjoni ta 'problema waħda fi problema oħra. Jaqbad il-kunċett informali ta 'problema għall-inqas diffiċli daqs problema oħra. Pereżempju, jekk problema x tista 'tissolva bl-użu ta' algoritmu għal y, X mhix iktar diffiċli minn y, u aħna ngħidu li X tnaqqas għal Y. Hemm ħafna tipi differenti ta 'tnaqqis, ibbażati fuq il-metodu ta' tnaqqis, bħal Tnaqqis tal-kok, tnaqqis tal-karp u tnaqqis tal-levin, u l-marbut fuq il-kumplessità ta 'tnaqqis, bħal tnaqqis fil-ħin polinomjali jew tnaqqis fl-ispazju ta' log.</v>
      </c>
    </row>
    <row r="4393" ht="15.75" customHeight="1">
      <c r="A4393" s="2" t="s">
        <v>4393</v>
      </c>
      <c r="B4393" s="2" t="str">
        <f>IFERROR(__xludf.DUMMYFUNCTION("GOOGLETRANSLATE(A4393,""en"", ""mt"")"),"Il-gvernatur ċentrifugali ġie adottat minn James Watt għall-użu fuq magna tal-fwar fl-1788 wara li s-sieħeb ta 'Watt Boulton ra wieħed fi Dqiq Mill Boulton &amp; Watt kienu qed jibnu. Il-gvernatur ma setax fil-fatt iżomm veloċità stabbilita, minħabba li jassu"&amp;"mi veloċità kostanti ġdida b'reazzjoni għal bidliet fit-tagħbija. Il-gvernatur kien kapaċi jimmaniġġa varjazzjonijiet iżgħar bħal dawk ikkawżati minn tagħbija tas-sħana li tvarja lill-bojler. Ukoll, kien hemm tendenza għall-oxxillazzjoni kull meta kien he"&amp;"mm bidla fil-veloċità. Bħala konsegwenza, magni mgħammra biss ma 'dan il-gvernatur ma kinux adattati għal operazzjonijiet li jeħtieġu veloċità kostanti, bħall-għażil tal-qoton. Il-gvernatur ġie mtejjeb maż-żmien u flimkien ma 'fwar varjabbli maqtugħ, kont"&amp;"roll tal-veloċità tajba b'reazzjoni għal bidliet fit-tagħbija kien jista' jintlaħaq qrib it-tmiem tas-seklu 19.")</f>
        <v>Il-gvernatur ċentrifugali ġie adottat minn James Watt għall-użu fuq magna tal-fwar fl-1788 wara li s-sieħeb ta 'Watt Boulton ra wieħed fi Dqiq Mill Boulton &amp; Watt kienu qed jibnu. Il-gvernatur ma setax fil-fatt iżomm veloċità stabbilita, minħabba li jassumi veloċità kostanti ġdida b'reazzjoni għal bidliet fit-tagħbija. Il-gvernatur kien kapaċi jimmaniġġa varjazzjonijiet iżgħar bħal dawk ikkawżati minn tagħbija tas-sħana li tvarja lill-bojler. Ukoll, kien hemm tendenza għall-oxxillazzjoni kull meta kien hemm bidla fil-veloċità. Bħala konsegwenza, magni mgħammra biss ma 'dan il-gvernatur ma kinux adattati għal operazzjonijiet li jeħtieġu veloċità kostanti, bħall-għażil tal-qoton. Il-gvernatur ġie mtejjeb maż-żmien u flimkien ma 'fwar varjabbli maqtugħ, kontroll tal-veloċità tajba b'reazzjoni għal bidliet fit-tagħbija kien jista' jintlaħaq qrib it-tmiem tas-seklu 19.</v>
      </c>
    </row>
    <row r="4394" ht="15.75" customHeight="1">
      <c r="A4394" s="2" t="s">
        <v>4394</v>
      </c>
      <c r="B4394" s="2" t="str">
        <f>IFERROR(__xludf.DUMMYFUNCTION("GOOGLETRANSLATE(A4394,""en"", ""mt"")"),"X'inhuma l-konsiderazzjonijiet ta 'Malum Projbitu?")</f>
        <v>X'inhuma l-konsiderazzjonijiet ta 'Malum Projbitu?</v>
      </c>
    </row>
    <row r="4395" ht="15.75" customHeight="1">
      <c r="A4395" s="2" t="s">
        <v>4395</v>
      </c>
      <c r="B4395" s="2" t="str">
        <f>IFERROR(__xludf.DUMMYFUNCTION("GOOGLETRANSLATE(A4395,""en"", ""mt"")"),"Studji stabbli u radjuattivi tal-iżotopi jipprovdu ħarsa lejn xiex?")</f>
        <v>Studji stabbli u radjuattivi tal-iżotopi jipprovdu ħarsa lejn xiex?</v>
      </c>
    </row>
    <row r="4396" ht="15.75" customHeight="1">
      <c r="A4396" s="2" t="s">
        <v>4396</v>
      </c>
      <c r="B4396" s="2" t="str">
        <f>IFERROR(__xludf.DUMMYFUNCTION("GOOGLETRANSLATE(A4396,""en"", ""mt"")"),"Użu ta 'netwerk deċentralizzat b'ħafna mogħdijiet bejn kwalunkwe żewġ punti, li jaqsmu messaġġi ta' utent fi blokki ta 'messaġġi, aktar tard imsejħa pakketti")</f>
        <v>Użu ta 'netwerk deċentralizzat b'ħafna mogħdijiet bejn kwalunkwe żewġ punti, li jaqsmu messaġġi ta' utent fi blokki ta 'messaġġi, aktar tard imsejħa pakketti</v>
      </c>
    </row>
    <row r="4397" ht="15.75" customHeight="1">
      <c r="A4397" s="2" t="s">
        <v>4397</v>
      </c>
      <c r="B4397" s="2" t="str">
        <f>IFERROR(__xludf.DUMMYFUNCTION("GOOGLETRANSLATE(A4397,""en"", ""mt"")"),"It-temperaturi medji ta 'kull xahar ivarjaw minn madwar 53 F f'Jannar għal 82 F f'Lulju. Temperaturi għoljin medja 64 sa 92 ° F (18 sa 33 ° C) matul is-sena. Indiċi tas-sħana għoljin huma komuni għax-xhur tas-sajf fiż-żona, b'indiċi 'l fuq minn 110 ° F (4"&amp;"3.3 ° C) possibbli. L-ogħla temperatura rreġistrata kienet ta ’104 ° F (40 ° C) fil-11 ta’ Lulju, 1879 u t-28 ta ’Lulju, 1872. Huwa komuni li l-maltempati jinqerdu waqt wara nofsinhar tipiku tas-sajf. Dawn huma kkawżati mit-tisħin rapidu ta 'l-art relatti"&amp;"va għall-ilma, flimkien ma' umdità estremament għolja.")</f>
        <v>It-temperaturi medji ta 'kull xahar ivarjaw minn madwar 53 F f'Jannar għal 82 F f'Lulju. Temperaturi għoljin medja 64 sa 92 ° F (18 sa 33 ° C) matul is-sena. Indiċi tas-sħana għoljin huma komuni għax-xhur tas-sajf fiż-żona, b'indiċi 'l fuq minn 110 ° F (43.3 ° C) possibbli. L-ogħla temperatura rreġistrata kienet ta ’104 ° F (40 ° C) fil-11 ta’ Lulju, 1879 u t-28 ta ’Lulju, 1872. Huwa komuni li l-maltempati jinqerdu waqt wara nofsinhar tipiku tas-sajf. Dawn huma kkawżati mit-tisħin rapidu ta 'l-art relattiva għall-ilma, flimkien ma' umdità estremament għolja.</v>
      </c>
    </row>
    <row r="4398" ht="15.75" customHeight="1">
      <c r="A4398" s="2" t="s">
        <v>4398</v>
      </c>
      <c r="B4398" s="2" t="str">
        <f>IFERROR(__xludf.DUMMYFUNCTION("GOOGLETRANSLATE(A4398,""en"", ""mt"")"),"riċettur alternattiv taċ-ċelloli T (TCR)")</f>
        <v>riċettur alternattiv taċ-ċelloli T (TCR)</v>
      </c>
    </row>
    <row r="4399" ht="15.75" customHeight="1">
      <c r="A4399" s="2" t="s">
        <v>4399</v>
      </c>
      <c r="B4399" s="2" t="str">
        <f>IFERROR(__xludf.DUMMYFUNCTION("GOOGLETRANSLATE(A4399,""en"", ""mt"")"),"hemicycle")</f>
        <v>hemicycle</v>
      </c>
    </row>
    <row r="4400" ht="15.75" customHeight="1">
      <c r="A4400" s="2" t="s">
        <v>4400</v>
      </c>
      <c r="B4400" s="2" t="str">
        <f>IFERROR(__xludf.DUMMYFUNCTION("GOOGLETRANSLATE(A4400,""en"", ""mt"")"),"jenfasizzaw l-akkademiċi")</f>
        <v>jenfasizzaw l-akkademiċi</v>
      </c>
    </row>
    <row r="4401" ht="15.75" customHeight="1">
      <c r="A4401" s="2" t="s">
        <v>4401</v>
      </c>
      <c r="B4401" s="2" t="str">
        <f>IFERROR(__xludf.DUMMYFUNCTION("GOOGLETRANSLATE(A4401,""en"", ""mt"")"),"Is-sid jipproduċi lista ta 'rekwiżiti għal proġett, li jagħti veduta ġenerali tal-għanijiet tal-proġett. Bosta kuntratturi ta 'D&amp;B jippreżentaw ideat differenti dwar kif jistgħu jintlaħqu dawn l-għanijiet. Is-sid jagħżel l-ideat li jħobb l-aħjar u jikri l"&amp;"-kuntrattur xieraq. Ħafna drabi, mhuwiex biss kuntrattur wieħed, iżda konsorzju ta 'diversi kuntratturi li jaħdmu flimkien. Ladarba dawn ikunu ġew mikrija, jibdew jibnu l-ewwel fażi tal-proġett. Hekk kif jibnu l-fażi 1, huma jiddisinjaw il-fażi 2. Dan huw"&amp;"a f'kuntrast ma 'kuntratt ta' bini-bid, fejn il-proġett huwa ddisinjat kompletament mis-sid, u mbagħad jitlesta, imbagħad tlesta.")</f>
        <v>Is-sid jipproduċi lista ta 'rekwiżiti għal proġett, li jagħti veduta ġenerali tal-għanijiet tal-proġett. Bosta kuntratturi ta 'D&amp;B jippreżentaw ideat differenti dwar kif jistgħu jintlaħqu dawn l-għanijiet. Is-sid jagħżel l-ideat li jħobb l-aħjar u jikri l-kuntrattur xieraq. Ħafna drabi, mhuwiex biss kuntrattur wieħed, iżda konsorzju ta 'diversi kuntratturi li jaħdmu flimkien. Ladarba dawn ikunu ġew mikrija, jibdew jibnu l-ewwel fażi tal-proġett. Hekk kif jibnu l-fażi 1, huma jiddisinjaw il-fażi 2. Dan huwa f'kuntrast ma 'kuntratt ta' bini-bid, fejn il-proġett huwa ddisinjat kompletament mis-sid, u mbagħad jitlesta, imbagħad tlesta.</v>
      </c>
    </row>
    <row r="4402" ht="15.75" customHeight="1">
      <c r="A4402" s="2" t="s">
        <v>4402</v>
      </c>
      <c r="B4402" s="2" t="str">
        <f>IFERROR(__xludf.DUMMYFUNCTION("GOOGLETRANSLATE(A4402,""en"", ""mt"")"),"Speċi Oċeanika")</f>
        <v>Speċi Oċeanika</v>
      </c>
    </row>
    <row r="4403" ht="15.75" customHeight="1">
      <c r="A4403" s="2" t="s">
        <v>4403</v>
      </c>
      <c r="B4403" s="2" t="str">
        <f>IFERROR(__xludf.DUMMYFUNCTION("GOOGLETRANSLATE(A4403,""en"", ""mt"")"),"Liema rwol ieħor għandhom ħafna spiżjara?")</f>
        <v>Liema rwol ieħor għandhom ħafna spiżjara?</v>
      </c>
    </row>
    <row r="4404" ht="15.75" customHeight="1">
      <c r="A4404" s="2" t="s">
        <v>4404</v>
      </c>
      <c r="B4404" s="2" t="str">
        <f>IFERROR(__xludf.DUMMYFUNCTION("GOOGLETRANSLATE(A4404,""en"", ""mt"")"),"X'tip ta 'pajsaġġi minbarra pajsaġġi ta' ekosistema ġeoloġika u naturali jistgħu jinstabu fin-Nofsinhar ta 'California?")</f>
        <v>X'tip ta 'pajsaġġi minbarra pajsaġġi ta' ekosistema ġeoloġika u naturali jistgħu jinstabu fin-Nofsinhar ta 'California?</v>
      </c>
    </row>
    <row r="4405" ht="15.75" customHeight="1">
      <c r="A4405" s="2" t="s">
        <v>4405</v>
      </c>
      <c r="B4405" s="2" t="str">
        <f>IFERROR(__xludf.DUMMYFUNCTION("GOOGLETRANSLATE(A4405,""en"", ""mt"")"),"Afrikans")</f>
        <v>Afrikans</v>
      </c>
    </row>
    <row r="4406" ht="15.75" customHeight="1">
      <c r="A4406" s="2" t="s">
        <v>4406</v>
      </c>
      <c r="B4406" s="2" t="str">
        <f>IFERROR(__xludf.DUMMYFUNCTION("GOOGLETRANSLATE(A4406,""en"", ""mt"")"),"X'tagħmel l-għarbiel ta 'Eratosthenes?")</f>
        <v>X'tagħmel l-għarbiel ta 'Eratosthenes?</v>
      </c>
    </row>
    <row r="4407" ht="15.75" customHeight="1">
      <c r="A4407" s="2" t="s">
        <v>4407</v>
      </c>
      <c r="B4407" s="2" t="str">
        <f>IFERROR(__xludf.DUMMYFUNCTION("GOOGLETRANSLATE(A4407,""en"", ""mt"")"),"Miftuħa")</f>
        <v>Miftuħa</v>
      </c>
    </row>
    <row r="4408" ht="15.75" customHeight="1">
      <c r="A4408" s="2" t="s">
        <v>4408</v>
      </c>
      <c r="B4408" s="2" t="str">
        <f>IFERROR(__xludf.DUMMYFUNCTION("GOOGLETRANSLATE(A4408,""en"", ""mt"")"),"tmienja")</f>
        <v>tmienja</v>
      </c>
    </row>
    <row r="4409" ht="15.75" customHeight="1">
      <c r="A4409" s="2" t="s">
        <v>4409</v>
      </c>
      <c r="B4409" s="2" t="str">
        <f>IFERROR(__xludf.DUMMYFUNCTION("GOOGLETRANSLATE(A4409,""en"", ""mt"")"),"Fl-1271, Kublai Khan impona l-isem Great Yuan (Ċiniż: 大 大; pinyin: dà yuán; wade - giles: ta-yüan), li stabbilixxa d-dinastija Yuan. ""Dà Yuán"" (大 元) hija mis-sentenza ""大 哉 乾元"" (Dà Zai Qián Yuán / ""Kbira hija Qián, il-Primal"") fil-kummentarji dwar it"&amp;"-taqsima klassika tal-bidliet (i ching) rigward Qián (乾) Jonqos Il-kontroparti bil-lingwa Mongoljana kienet Dai Ön Ulus, mogħtija wkoll bħala Ikh Yuan üls jew Yekhe Yuan Ulus. Fil-Mongoljan, Dai Ön (wan kbir) ħafna drabi jintuża flimkien mal- ""Yeke Mongg"&amp;"hul Ulus"" (Lit. ""Great Mongol Stat""), li jirriżulta f'Dai Ön Yeke Mongghul Ulus (Script Mongoljan :), li jfisser ""Yuan Great Mongol Stat"". Id-dinastija Yuan hija magħrufa wkoll bħala d- ""Dynasty Mongol"" jew ""Dynasty Mongol taċ-Ċina"", simili għall"&amp;"-ismijiet ""Dynasty Manchu"" jew ""Dynasty Manchu taċ-Ċina"" għad-dinastija Qing. Barra minn hekk, il-Yuan xi kultant huwa magħruf bħala l- ""Imperu tal-Khan il-Kbir"" jew ""Khanate tal-Khan il-Kbir"", li partikolarment deher fuq xi mapep tal-wan, peress "&amp;"li l-imperaturi tal-wan kellhom it-titlu nominali ta 'Khan il-Kbir. Madankollu, iż-żewġ termini jistgħu jirreferu wkoll għall-Khanate fi ħdan l-imperu Mongoljan immexxi direttament mill-Khans il-Kbir qabel l-istabbiliment attwali tad-Dynasty Yuan minn Kub"&amp;"lai Khan fl-1271.")</f>
        <v>Fl-1271, Kublai Khan impona l-isem Great Yuan (Ċiniż: 大 大; pinyin: dà yuán; wade - giles: ta-yüan), li stabbilixxa d-dinastija Yuan. "Dà Yuán" (大 元) hija mis-sentenza "大 哉 乾元" (Dà Zai Qián Yuán / "Kbira hija Qián, il-Primal") fil-kummentarji dwar it-taqsima klassika tal-bidliet (i ching) rigward Qián (乾) Jonqos Il-kontroparti bil-lingwa Mongoljana kienet Dai Ön Ulus, mogħtija wkoll bħala Ikh Yuan üls jew Yekhe Yuan Ulus. Fil-Mongoljan, Dai Ön (wan kbir) ħafna drabi jintuża flimkien mal- "Yeke Mongghul Ulus" (Lit. "Great Mongol Stat"), li jirriżulta f'Dai Ön Yeke Mongghul Ulus (Script Mongoljan :), li jfisser "Yuan Great Mongol Stat". Id-dinastija Yuan hija magħrufa wkoll bħala d- "Dynasty Mongol" jew "Dynasty Mongol taċ-Ċina", simili għall-ismijiet "Dynasty Manchu" jew "Dynasty Manchu taċ-Ċina" għad-dinastija Qing. Barra minn hekk, il-Yuan xi kultant huwa magħruf bħala l- "Imperu tal-Khan il-Kbir" jew "Khanate tal-Khan il-Kbir", li partikolarment deher fuq xi mapep tal-wan, peress li l-imperaturi tal-wan kellhom it-titlu nominali ta 'Khan il-Kbir. Madankollu, iż-żewġ termini jistgħu jirreferu wkoll għall-Khanate fi ħdan l-imperu Mongoljan immexxi direttament mill-Khans il-Kbir qabel l-istabbiliment attwali tad-Dynasty Yuan minn Kublai Khan fl-1271.</v>
      </c>
    </row>
    <row r="4410" ht="15.75" customHeight="1">
      <c r="A4410" s="2" t="s">
        <v>4410</v>
      </c>
      <c r="B4410" s="2" t="str">
        <f>IFERROR(__xludf.DUMMYFUNCTION("GOOGLETRANSLATE(A4410,""en"", ""mt"")"),"L-iktar stima aċċettata b'mod wiesa 'għall-Lvant Nofsani, inklużi l-Iraq, l-Iran u s-Sirja, matul dan iż-żmien, hija għal rata ta' mewt ta 'madwar terz. Il-mewt l-Iswed qatlet madwar 40% tal-popolazzjoni tal-Eġittu. Nofs il-popolazzjoni ta 'Pariġi ta' 100"&amp;",000 persuna mietet. Fl-Italja, il-popolazzjoni ta 'Firenze tnaqqset minn 110-120 elf abitant fl-1338' l isfel għal 50 elf fl-1351. Mill-inqas 60% tal-popolazzjoni ta 'Hamburg u Bremen jitħassru, u persentaġġ simili ta' Londoners seta 'miet mill-marda bħa"&amp;"la Ukoll. Interessanti filwaqt li r-rapporti kontemporanji jammontaw għall-fosos tad-dfin tal-massa li qed jinħolqu b'reazzjoni għan-numru kbir ta 'investigazzjonijiet xjentifiċi riċenti ta' fossa tax-xandir fiċ-ċentru ta 'Londra sabu individwi ppreservat"&amp;"i sew biex jiġu midfuna f'qabra iżolati, spazjati b'mod indaqs, li jissuġġerixxu mill-inqas xi wħud -Panning u Dfin Kristjan f'dan il-ħin. Qabel l-1350, kien hemm madwar 170,000 insedjament fil-Ġermanja, u dan tnaqqas bi kważi 40,000 sal-1450. Fl-1348, il"&amp;"-pesta nfirxet malajr li qabel ma xi tobba jew awtoritajiet tal-gvern kellhom il-ħin biex jirriflettu fuq l-oriġini tiegħu, madwar terz tal-Ewropew Il-popolazzjoni kienet diġà miexja. Fi bliet iffullati, ma kienx komuni għal daqs 50% tal-popolazzjoni li t"&amp;"mut. Il-marda qabżet xi żoni, u l-iktar żoni iżolati kienu inqas vulnerabbli għall-kontaġju. Il-patrijiet u s-saċerdoti kienu milquta speċjalment minn meta kienu jieħdu ħsieb il-vittmi tal-mewt sewda.")</f>
        <v>L-iktar stima aċċettata b'mod wiesa 'għall-Lvant Nofsani, inklużi l-Iraq, l-Iran u s-Sirja, matul dan iż-żmien, hija għal rata ta' mewt ta 'madwar terz. Il-mewt l-Iswed qatlet madwar 40% tal-popolazzjoni tal-Eġittu. Nofs il-popolazzjoni ta 'Pariġi ta' 100,000 persuna mietet. Fl-Italja, il-popolazzjoni ta 'Firenze tnaqqset minn 110-120 elf abitant fl-1338' l isfel għal 50 elf fl-1351. Mill-inqas 60% tal-popolazzjoni ta 'Hamburg u Bremen jitħassru, u persentaġġ simili ta' Londoners seta 'miet mill-marda bħala Ukoll. Interessanti filwaqt li r-rapporti kontemporanji jammontaw għall-fosos tad-dfin tal-massa li qed jinħolqu b'reazzjoni għan-numru kbir ta 'investigazzjonijiet xjentifiċi riċenti ta' fossa tax-xandir fiċ-ċentru ta 'Londra sabu individwi ppreservati sew biex jiġu midfuna f'qabra iżolati, spazjati b'mod indaqs, li jissuġġerixxu mill-inqas xi wħud -Panning u Dfin Kristjan f'dan il-ħin. Qabel l-1350, kien hemm madwar 170,000 insedjament fil-Ġermanja, u dan tnaqqas bi kważi 40,000 sal-1450. Fl-1348, il-pesta nfirxet malajr li qabel ma xi tobba jew awtoritajiet tal-gvern kellhom il-ħin biex jirriflettu fuq l-oriġini tiegħu, madwar terz tal-Ewropew Il-popolazzjoni kienet diġà miexja. Fi bliet iffullati, ma kienx komuni għal daqs 50% tal-popolazzjoni li tmut. Il-marda qabżet xi żoni, u l-iktar żoni iżolati kienu inqas vulnerabbli għall-kontaġju. Il-patrijiet u s-saċerdoti kienu milquta speċjalment minn meta kienu jieħdu ħsieb il-vittmi tal-mewt sewda.</v>
      </c>
    </row>
    <row r="4411" ht="15.75" customHeight="1">
      <c r="A4411" s="2" t="s">
        <v>4411</v>
      </c>
      <c r="B4411" s="2" t="str">
        <f>IFERROR(__xludf.DUMMYFUNCTION("GOOGLETRANSLATE(A4411,""en"", ""mt"")"),"Torri ta 'tkessiħ evaporattiv huwa msejjaħ ukoll bħala x'tip ta' torri tat-tkessiħ?")</f>
        <v>Torri ta 'tkessiħ evaporattiv huwa msejjaħ ukoll bħala x'tip ta' torri tat-tkessiħ?</v>
      </c>
    </row>
    <row r="4412" ht="15.75" customHeight="1">
      <c r="A4412" s="2" t="s">
        <v>4412</v>
      </c>
      <c r="B4412" s="2" t="str">
        <f>IFERROR(__xludf.DUMMYFUNCTION("GOOGLETRANSLATE(A4412,""en"", ""mt"")"),"X'inhu użat biex jiġu stmati l-emissjonijiet?")</f>
        <v>X'inhu użat biex jiġu stmati l-emissjonijiet?</v>
      </c>
    </row>
    <row r="4413" ht="15.75" customHeight="1">
      <c r="A4413" s="2" t="s">
        <v>4413</v>
      </c>
      <c r="B4413" s="2" t="str">
        <f>IFERROR(__xludf.DUMMYFUNCTION("GOOGLETRANSLATE(A4413,""en"", ""mt"")"),"Kien hemm żewġ tipi ta 'netwerks X.25. Uħud bħal DataPac u TransPac ġew inizjalment implimentati b'interface esterna X.25. Xi netwerks anzjani bħal Telenet u Tymnet ġew modifikati biex jipprovdu interface ospitanti X.25 minbarra skemi ta 'konnessjoni ospi"&amp;"tanti anzjani. Datapac ġie żviluppat minn Bell Northern Research li kienet impriża konġunta ta ’Bell Canada (trasportatur komuni) u tat-telekomunikazzjoni tat-Tramuntana (fornitur tat-tagħmir tat-telekomunikazzjoni). Northern Telecom biegħ diversi kloni D"&amp;"atapac lil PTTs barranin inkluż id-Deutsche Bundespost. X.75 u X.121 ippermettew l-interkonnessjoni tan-netwerks nazzjonali X.25. Utent jew ospitanti jistgħu jċemplu ospitanti fuq netwerk barrani billi jinkludu d-DNIC tan-netwerk remot bħala parti mill-in"&amp;"dirizz tad-destinazzjoni. [Ċitazzjoni meħtieġa]")</f>
        <v>Kien hemm żewġ tipi ta 'netwerks X.25. Uħud bħal DataPac u TransPac ġew inizjalment implimentati b'interface esterna X.25. Xi netwerks anzjani bħal Telenet u Tymnet ġew modifikati biex jipprovdu interface ospitanti X.25 minbarra skemi ta 'konnessjoni ospitanti anzjani. Datapac ġie żviluppat minn Bell Northern Research li kienet impriża konġunta ta ’Bell Canada (trasportatur komuni) u tat-telekomunikazzjoni tat-Tramuntana (fornitur tat-tagħmir tat-telekomunikazzjoni). Northern Telecom biegħ diversi kloni Datapac lil PTTs barranin inkluż id-Deutsche Bundespost. X.75 u X.121 ippermettew l-interkonnessjoni tan-netwerks nazzjonali X.25. Utent jew ospitanti jistgħu jċemplu ospitanti fuq netwerk barrani billi jinkludu d-DNIC tan-netwerk remot bħala parti mill-indirizz tad-destinazzjoni. [Ċitazzjoni meħtieġa]</v>
      </c>
    </row>
    <row r="4414" ht="15.75" customHeight="1">
      <c r="A4414" s="2" t="s">
        <v>4414</v>
      </c>
      <c r="B4414" s="2" t="str">
        <f>IFERROR(__xludf.DUMMYFUNCTION("GOOGLETRANSLATE(A4414,""en"", ""mt"")"),"Min influwenza Bismark minbarra l-ġirien tiegħu?")</f>
        <v>Min influwenza Bismark minbarra l-ġirien tiegħu?</v>
      </c>
    </row>
    <row r="4415" ht="15.75" customHeight="1">
      <c r="A4415" s="2" t="s">
        <v>4415</v>
      </c>
      <c r="B4415" s="2" t="str">
        <f>IFERROR(__xludf.DUMMYFUNCTION("GOOGLETRANSLATE(A4415,""en"", ""mt"")"),"L-ispedizzjoni ta 'Johnson kienet organizzata aħjar minn dik ta' Shirley, li kienet innutata mill-gvernatur ta 'New France, il-Marquis de Vaudreuil. Huwa kien primarjament imħasseb dwar il-linja ta 'provvista estiża għall-fortizzi fuq l-Ohio, u kien bagħa"&amp;"t lill-Baruni Dieskau biex imexxi d-difiżi fi Frontenac kontra l-attakk mistenni ta' Shirley. Meta Johnson kien meqjus bħala t-theddida ikbar, Vaudreuil bagħat lil Dieskau fil-Fort San Frédéric biex jiltaqa ’ma’ dik it-theddida. Dieskau ppjana li jattakka"&amp;" l-akkampjar Brittaniku fil-Fort Edward fit-tarf ta 'fuq tan-navigazzjoni fuq ix-Xmara Hudson, iżda Johnson kien imsaħħaħ bil-qawwa, u l-appoġġ Indjan ta' Dieskau kien ħerqan li jattakka. Iż-żewġ forzi fl-aħħar iltaqgħu fil-battalja mdemmi tal-Lag George "&amp;"bejn Fort Edward u Fort William Henry. Il-battalja ntemmet b'mod inkonklussiv, biż-żewġ naħat jirtiraw mill-għalqa. L-avvanz ta ’Johnson waqaf fil-Fort William Henry, u l-Franċiżi rtiraw lejn Ticonderoga Point, fejn bdew il-kostruzzjoni ta’ Fort Carillon "&amp;"(aktar tard semmiet Fort Ticonderoga wara li qbadt l-Ingliżi fl-1759).")</f>
        <v>L-ispedizzjoni ta 'Johnson kienet organizzata aħjar minn dik ta' Shirley, li kienet innutata mill-gvernatur ta 'New France, il-Marquis de Vaudreuil. Huwa kien primarjament imħasseb dwar il-linja ta 'provvista estiża għall-fortizzi fuq l-Ohio, u kien bagħat lill-Baruni Dieskau biex imexxi d-difiżi fi Frontenac kontra l-attakk mistenni ta' Shirley. Meta Johnson kien meqjus bħala t-theddida ikbar, Vaudreuil bagħat lil Dieskau fil-Fort San Frédéric biex jiltaqa ’ma’ dik it-theddida. Dieskau ppjana li jattakka l-akkampjar Brittaniku fil-Fort Edward fit-tarf ta 'fuq tan-navigazzjoni fuq ix-Xmara Hudson, iżda Johnson kien imsaħħaħ bil-qawwa, u l-appoġġ Indjan ta' Dieskau kien ħerqan li jattakka. Iż-żewġ forzi fl-aħħar iltaqgħu fil-battalja mdemmi tal-Lag George bejn Fort Edward u Fort William Henry. Il-battalja ntemmet b'mod inkonklussiv, biż-żewġ naħat jirtiraw mill-għalqa. L-avvanz ta ’Johnson waqaf fil-Fort William Henry, u l-Franċiżi rtiraw lejn Ticonderoga Point, fejn bdew il-kostruzzjoni ta’ Fort Carillon (aktar tard semmiet Fort Ticonderoga wara li qbadt l-Ingliżi fl-1759).</v>
      </c>
    </row>
    <row r="4416" ht="15.75" customHeight="1">
      <c r="A4416" s="2" t="s">
        <v>4416</v>
      </c>
      <c r="B4416" s="2" t="str">
        <f>IFERROR(__xludf.DUMMYFUNCTION("GOOGLETRANSLATE(A4416,""en"", ""mt"")"),"Southern_California")</f>
        <v>Southern_California</v>
      </c>
    </row>
    <row r="4417" ht="15.75" customHeight="1">
      <c r="A4417" s="2" t="s">
        <v>4417</v>
      </c>
      <c r="B4417" s="2" t="str">
        <f>IFERROR(__xludf.DUMMYFUNCTION("GOOGLETRANSLATE(A4417,""en"", ""mt"")"),"Flimkien ma 'Stephenson u Walschaerts, x'inhu eżempju ta' mozzjoni sempliċi?")</f>
        <v>Flimkien ma 'Stephenson u Walschaerts, x'inhu eżempju ta' mozzjoni sempliċi?</v>
      </c>
    </row>
    <row r="4418" ht="15.75" customHeight="1">
      <c r="A4418" s="2" t="s">
        <v>4418</v>
      </c>
      <c r="B4418" s="2" t="str">
        <f>IFERROR(__xludf.DUMMYFUNCTION("GOOGLETRANSLATE(A4418,""en"", ""mt"")"),"Liema park huwa d-dar għaż-Żoo Fresno Chafffee?")</f>
        <v>Liema park huwa d-dar għaż-Żoo Fresno Chafffee?</v>
      </c>
    </row>
    <row r="4419" ht="15.75" customHeight="1">
      <c r="A4419" s="2" t="s">
        <v>4419</v>
      </c>
      <c r="B4419" s="2" t="str">
        <f>IFERROR(__xludf.DUMMYFUNCTION("GOOGLETRANSLATE(A4419,""en"", ""mt"")"),"Interkonnessjoni b'veloċità għolja")</f>
        <v>Interkonnessjoni b'veloċità għolja</v>
      </c>
    </row>
    <row r="4420" ht="15.75" customHeight="1">
      <c r="A4420" s="2" t="s">
        <v>4420</v>
      </c>
      <c r="B4420" s="2" t="str">
        <f>IFERROR(__xludf.DUMMYFUNCTION("GOOGLETRANSLATE(A4420,""en"", ""mt"")"),"Il-Port ta ’Los Angeles")</f>
        <v>Il-Port ta ’Los Angeles</v>
      </c>
    </row>
    <row r="4421" ht="15.75" customHeight="1">
      <c r="A4421" s="2" t="s">
        <v>4421</v>
      </c>
      <c r="B4421" s="2" t="str">
        <f>IFERROR(__xludf.DUMMYFUNCTION("GOOGLETRANSLATE(A4421,""en"", ""mt"")"),"James Bryant Conant (President, 1933–1953) reġa 'ssaħħaħ il-borża ta' studju kreattiv biex jiggarantixxi l-preeminenza tagħha fost l-istituzzjonijiet ta 'riċerka. Huwa ra l-edukazzjoni għolja bħala vettura ta 'opportunità għat-talent minflok intitolament "&amp;"għall-għonja, u għalhekk Conant fassal programmi biex jidentifikaw, jirreklutaw u jappoġġjaw żgħażagħ b'talent. Fl-1943, huwa talab lill-fakultà tagħmel dikjarazzjoni definittiva dwar dak li għandha tkun l-edukazzjoni ġenerali, fil-livell sekondarju kif u"&amp;"koll fil-livell tal-kulleġġ. Ir-rapport li rriżulta, ippubblikat fl-1945, kien wieħed mill-aktar manifesti influwenti fl-istorja tal-edukazzjoni Amerikana fis-seklu 20.")</f>
        <v>James Bryant Conant (President, 1933–1953) reġa 'ssaħħaħ il-borża ta' studju kreattiv biex jiggarantixxi l-preeminenza tagħha fost l-istituzzjonijiet ta 'riċerka. Huwa ra l-edukazzjoni għolja bħala vettura ta 'opportunità għat-talent minflok intitolament għall-għonja, u għalhekk Conant fassal programmi biex jidentifikaw, jirreklutaw u jappoġġjaw żgħażagħ b'talent. Fl-1943, huwa talab lill-fakultà tagħmel dikjarazzjoni definittiva dwar dak li għandha tkun l-edukazzjoni ġenerali, fil-livell sekondarju kif ukoll fil-livell tal-kulleġġ. Ir-rapport li rriżulta, ippubblikat fl-1945, kien wieħed mill-aktar manifesti influwenti fl-istorja tal-edukazzjoni Amerikana fis-seklu 20.</v>
      </c>
    </row>
    <row r="4422" ht="15.75" customHeight="1">
      <c r="A4422" s="2" t="s">
        <v>4422</v>
      </c>
      <c r="B4422" s="2" t="str">
        <f>IFERROR(__xludf.DUMMYFUNCTION("GOOGLETRANSLATE(A4422,""en"", ""mt"")"),"L-ekonomista bankarju ċentrali Raghuram Rajan jargumenta li ""l-inugwaljanzi ekonomiċi sistematiċi, fl-Istati Uniti u madwar id-dinja, ħolqu 'linji ta' difetti finanzjarji profondi li għamlu kriżijiet [finanzjarji] aktar probabbli li jiġri milli fil-passa"&amp;"t"" - il-kriżi finanzjarja ta ' 2007–08 huwa l-iktar eżempju reċenti. Biex tikkumpensa għall-istaġnar u t-tnaqqis tal-poter tax-xiri, il-pressjoni politika żviluppat biex testendi kreditu aktar faċli għal dawk li jaqilgħu bi dħul aktar baxx u medju - part"&amp;"ikolarment biex jixtru djar - u kreditu aktar faċli b'mod ġenerali biex iżommu r-rati tal-qgħad baxxi. Dan ta lill-ekonomija Amerikana tendenza li tmur ""minn bużżieqa għal bużżieqa"" alimentata minn stimulazzjoni monetarja mhux sostenibbli.")</f>
        <v>L-ekonomista bankarju ċentrali Raghuram Rajan jargumenta li "l-inugwaljanzi ekonomiċi sistematiċi, fl-Istati Uniti u madwar id-dinja, ħolqu 'linji ta' difetti finanzjarji profondi li għamlu kriżijiet [finanzjarji] aktar probabbli li jiġri milli fil-passat" - il-kriżi finanzjarja ta ' 2007–08 huwa l-iktar eżempju reċenti. Biex tikkumpensa għall-istaġnar u t-tnaqqis tal-poter tax-xiri, il-pressjoni politika żviluppat biex testendi kreditu aktar faċli għal dawk li jaqilgħu bi dħul aktar baxx u medju - partikolarment biex jixtru djar - u kreditu aktar faċli b'mod ġenerali biex iżommu r-rati tal-qgħad baxxi. Dan ta lill-ekonomija Amerikana tendenza li tmur "minn bużżieqa għal bużżieqa" alimentata minn stimulazzjoni monetarja mhux sostenibbli.</v>
      </c>
    </row>
    <row r="4423" ht="15.75" customHeight="1">
      <c r="A4423" s="2" t="s">
        <v>4423</v>
      </c>
      <c r="B4423" s="2" t="str">
        <f>IFERROR(__xludf.DUMMYFUNCTION("GOOGLETRANSLATE(A4423,""en"", ""mt"")"),"X’tistaw it-tribujiet Ġermaniċi bl-għajnuna mir-Rhine?")</f>
        <v>X’tistaw it-tribujiet Ġermaniċi bl-għajnuna mir-Rhine?</v>
      </c>
    </row>
    <row r="4424" ht="15.75" customHeight="1">
      <c r="A4424" s="2" t="s">
        <v>4424</v>
      </c>
      <c r="B4424" s="2" t="str">
        <f>IFERROR(__xludf.DUMMYFUNCTION("GOOGLETRANSLATE(A4424,""en"", ""mt"")"),"L-Ekene f'nofs")</f>
        <v>L-Ekene f'nofs</v>
      </c>
    </row>
    <row r="4425" ht="15.75" customHeight="1">
      <c r="A4425" s="2" t="s">
        <v>4425</v>
      </c>
      <c r="B4425" s="2" t="str">
        <f>IFERROR(__xludf.DUMMYFUNCTION("GOOGLETRANSLATE(A4425,""en"", ""mt"")"),"L-Uffiċċju taċ-Ċensiment tal-Istati Uniti")</f>
        <v>L-Uffiċċju taċ-Ċensiment tal-Istati Uniti</v>
      </c>
    </row>
    <row r="4426" ht="15.75" customHeight="1">
      <c r="A4426" s="2" t="s">
        <v>4426</v>
      </c>
      <c r="B4426" s="2" t="str">
        <f>IFERROR(__xludf.DUMMYFUNCTION("GOOGLETRANSLATE(A4426,""en"", ""mt"")"),"Fi problema tal-komputazzjoni, x'jista 'jiġi deskritt bħala sekwenza fuq alfabett?")</f>
        <v>Fi problema tal-komputazzjoni, x'jista 'jiġi deskritt bħala sekwenza fuq alfabett?</v>
      </c>
    </row>
    <row r="4427" ht="15.75" customHeight="1">
      <c r="A4427" s="2" t="s">
        <v>4427</v>
      </c>
      <c r="B4427" s="2" t="str">
        <f>IFERROR(__xludf.DUMMYFUNCTION("GOOGLETRANSLATE(A4427,""en"", ""mt"")"),"B'liema isem hija dik il-knisja Huguenot l-ewwel magħrufa llum?")</f>
        <v>B'liema isem hija dik il-knisja Huguenot l-ewwel magħrufa llum?</v>
      </c>
    </row>
    <row r="4428" ht="15.75" customHeight="1">
      <c r="A4428" s="2" t="s">
        <v>4428</v>
      </c>
      <c r="B4428" s="2" t="str">
        <f>IFERROR(__xludf.DUMMYFUNCTION("GOOGLETRANSLATE(A4428,""en"", ""mt"")"),"Ħdejn Tamins-Reichenau, ir-Renu ta 'qabel u r-Renu ta' wara jingħaqdu u jiffurmaw ir-Renu. Ix-xmara tagħmel dawra distintiva lejn it-tramuntana ħdejn Chur. Din it-taqsima hija twila kważi 86 km, u tinżel minn għoli ta '599 m sa 396 m. Jidħol minn wied wie"&amp;"sa 'glaċjali alpin magħruf bħala l-Wied tar-Renu (Ġermaniż: Rheintal). Ħdejn Sargans diga naturali, għolja biss ftit metri, tipprevjeniha milli toħroġ fil-wied miftuħ ta 'Seeztal u mbagħad mill-Lag Walen u l-Lag Zurich fix-xmara Aare. Ir-Rhine Alpin jibda"&amp;" fl-iktar parti tal-punent tal-Canton Żvizzeru ta 'Graubünden, u aktar tard jifforma l-fruntiera bejn l-Isvizzera lejn il-punent u Liechtenstein u aktar tard l-Awstrija lejn il-lvant.")</f>
        <v>Ħdejn Tamins-Reichenau, ir-Renu ta 'qabel u r-Renu ta' wara jingħaqdu u jiffurmaw ir-Renu. Ix-xmara tagħmel dawra distintiva lejn it-tramuntana ħdejn Chur. Din it-taqsima hija twila kważi 86 km, u tinżel minn għoli ta '599 m sa 396 m. Jidħol minn wied wiesa 'glaċjali alpin magħruf bħala l-Wied tar-Renu (Ġermaniż: Rheintal). Ħdejn Sargans diga naturali, għolja biss ftit metri, tipprevjeniha milli toħroġ fil-wied miftuħ ta 'Seeztal u mbagħad mill-Lag Walen u l-Lag Zurich fix-xmara Aare. Ir-Rhine Alpin jibda fl-iktar parti tal-punent tal-Canton Żvizzeru ta 'Graubünden, u aktar tard jifforma l-fruntiera bejn l-Isvizzera lejn il-punent u Liechtenstein u aktar tard l-Awstrija lejn il-lvant.</v>
      </c>
    </row>
    <row r="4429" ht="15.75" customHeight="1">
      <c r="A4429" s="2" t="s">
        <v>4429</v>
      </c>
      <c r="B4429" s="2" t="str">
        <f>IFERROR(__xludf.DUMMYFUNCTION("GOOGLETRANSLATE(A4429,""en"", ""mt"")"),"Immunodefiċjenzi jseħħu meta wieħed jew aktar mill-komponenti tas-sistema immuni huma inattivi. L-abbiltà tas-sistema immuni biex tirreaġixxi għal patoġeni hija mnaqqsa kemm fiż-żgħażagħ kif ukoll fl-anzjani, b'reazzjonijiet immuni li jibdew jonqsu għal m"&amp;"adwar 50 sena minħabba l-immunosenescence. Fil-pajjiżi żviluppati, l-obeżità, l-alkoħoliżmu, u l-użu tad-droga huma kawżi komuni ta 'funzjoni immuni ħażina. Madankollu, il-malnutrizzjoni hija l-iktar kawża komuni ta 'immunodefiċjenza f'pajjiżi li qed jiżv"&amp;"iluppaw. Dieti li m'għandhomx biżżejjed proteina huma assoċjati ma 'immunità medjata minn ċelloli indebolita, attività ta' komplement, funzjoni tal-fagoċiti, konċentrazzjonijiet ta 'antikorpi IgA, u produzzjoni ta' ċitokini. Barra minn hekk, it-telf tat-t"&amp;"imu f'età bikrija permezz ta 'mutazzjoni ġenetika jew tneħħija kirurġika jirriżulta f'immunodefiċjenza severa u suxxettibilità għolja għall-infezzjoni.")</f>
        <v>Immunodefiċjenzi jseħħu meta wieħed jew aktar mill-komponenti tas-sistema immuni huma inattivi. L-abbiltà tas-sistema immuni biex tirreaġixxi għal patoġeni hija mnaqqsa kemm fiż-żgħażagħ kif ukoll fl-anzjani, b'reazzjonijiet immuni li jibdew jonqsu għal madwar 50 sena minħabba l-immunosenescence. Fil-pajjiżi żviluppati, l-obeżità, l-alkoħoliżmu, u l-użu tad-droga huma kawżi komuni ta 'funzjoni immuni ħażina. Madankollu, il-malnutrizzjoni hija l-iktar kawża komuni ta 'immunodefiċjenza f'pajjiżi li qed jiżviluppaw. Dieti li m'għandhomx biżżejjed proteina huma assoċjati ma 'immunità medjata minn ċelloli indebolita, attività ta' komplement, funzjoni tal-fagoċiti, konċentrazzjonijiet ta 'antikorpi IgA, u produzzjoni ta' ċitokini. Barra minn hekk, it-telf tat-timu f'età bikrija permezz ta 'mutazzjoni ġenetika jew tneħħija kirurġika jirriżulta f'immunodefiċjenza severa u suxxettibilità għolja għall-infezzjoni.</v>
      </c>
    </row>
    <row r="4430" ht="15.75" customHeight="1">
      <c r="A4430" s="2" t="s">
        <v>4430</v>
      </c>
      <c r="B4430" s="2" t="str">
        <f>IFERROR(__xludf.DUMMYFUNCTION("GOOGLETRANSLATE(A4430,""en"", ""mt"")"),"Il-fwar jaħrab")</f>
        <v>Il-fwar jaħrab</v>
      </c>
    </row>
    <row r="4431" ht="15.75" customHeight="1">
      <c r="A4431" s="2" t="s">
        <v>4431</v>
      </c>
      <c r="B4431" s="2" t="str">
        <f>IFERROR(__xludf.DUMMYFUNCTION("GOOGLETRANSLATE(A4431,""en"", ""mt"")"),"Ir-realiżmu tas-sens komun ta 'dak il-filosfi Skoċċiżi inkorpora Agassiz fil-fehma doppja tiegħu ta' Knowedge?")</f>
        <v>Ir-realiżmu tas-sens komun ta 'dak il-filosfi Skoċċiżi inkorpora Agassiz fil-fehma doppja tiegħu ta' Knowedge?</v>
      </c>
    </row>
    <row r="4432" ht="15.75" customHeight="1">
      <c r="A4432" s="2" t="s">
        <v>4432</v>
      </c>
      <c r="B4432" s="2" t="str">
        <f>IFERROR(__xludf.DUMMYFUNCTION("GOOGLETRANSLATE(A4432,""en"", ""mt"")"),"In-nisa baqgħu segregati f'Radcliffe, għalkemm aktar u aktar ħadu klassijiet ta 'Harvard. Madankollu, il-popolazzjoni li għadhom ma ggradwawx ta 'Harvard baqgħet prinċipalment maskili, b'madwar erba' rġiel jattendu l-Kulleġġ ta 'Harvard għal kull mara li "&amp;"tistudja f'Radcliffe. Wara l-għaqda tal-ammissjonijiet ta 'Harvard u Radcliffe fl-1977, il-proporzjon ta' dawk li għadhom ma ggradwawx nisa żdied b'mod kostanti, u jirrifletti xejra matul l-edukazzjoni għolja fl-Istati Uniti. L-iskejjel gradwati ta 'Harva"&amp;"rd, li kienu aċċettaw nisa u gruppi oħra f'numri akbar anki qabel il-kulleġġ, saru wkoll aktar diversi fil-perjodu ta' wara t-Tieni Gwerra Dinjija.")</f>
        <v>In-nisa baqgħu segregati f'Radcliffe, għalkemm aktar u aktar ħadu klassijiet ta 'Harvard. Madankollu, il-popolazzjoni li għadhom ma ggradwawx ta 'Harvard baqgħet prinċipalment maskili, b'madwar erba' rġiel jattendu l-Kulleġġ ta 'Harvard għal kull mara li tistudja f'Radcliffe. Wara l-għaqda tal-ammissjonijiet ta 'Harvard u Radcliffe fl-1977, il-proporzjon ta' dawk li għadhom ma ggradwawx nisa żdied b'mod kostanti, u jirrifletti xejra matul l-edukazzjoni għolja fl-Istati Uniti. L-iskejjel gradwati ta 'Harvard, li kienu aċċettaw nisa u gruppi oħra f'numri akbar anki qabel il-kulleġġ, saru wkoll aktar diversi fil-perjodu ta' wara t-Tieni Gwerra Dinjija.</v>
      </c>
    </row>
    <row r="4433" ht="15.75" customHeight="1">
      <c r="A4433" s="2" t="s">
        <v>4433</v>
      </c>
      <c r="B4433" s="2" t="str">
        <f>IFERROR(__xludf.DUMMYFUNCTION("GOOGLETRANSLATE(A4433,""en"", ""mt"")"),"sieq l-arblu")</f>
        <v>sieq l-arblu</v>
      </c>
    </row>
    <row r="4434" ht="15.75" customHeight="1">
      <c r="A4434" s="2" t="s">
        <v>4434</v>
      </c>
      <c r="B4434" s="2" t="str">
        <f>IFERROR(__xludf.DUMMYFUNCTION("GOOGLETRANSLATE(A4434,""en"", ""mt"")"),"F'liema livell ta 'edukazzjoni dan l-isport qed isir aktar popolari?")</f>
        <v>F'liema livell ta 'edukazzjoni dan l-isport qed isir aktar popolari?</v>
      </c>
    </row>
    <row r="4435" ht="15.75" customHeight="1">
      <c r="A4435" s="2" t="s">
        <v>4435</v>
      </c>
      <c r="B4435" s="2" t="str">
        <f>IFERROR(__xludf.DUMMYFUNCTION("GOOGLETRANSLATE(A4435,""en"", ""mt"")"),"X'inhi l-inqas temperatura rreġistrata fir-Rabat?")</f>
        <v>X'inhi l-inqas temperatura rreġistrata fir-Rabat?</v>
      </c>
    </row>
    <row r="4436" ht="15.75" customHeight="1">
      <c r="A4436" s="2" t="s">
        <v>4436</v>
      </c>
      <c r="B4436" s="2" t="str">
        <f>IFERROR(__xludf.DUMMYFUNCTION("GOOGLETRANSLATE(A4436,""en"", ""mt"")"),"""Villes de Sûreté""")</f>
        <v>"Villes de Sûreté"</v>
      </c>
    </row>
    <row r="4437" ht="15.75" customHeight="1">
      <c r="A4437" s="2" t="s">
        <v>4437</v>
      </c>
      <c r="B4437" s="2" t="str">
        <f>IFERROR(__xludf.DUMMYFUNCTION("GOOGLETRANSLATE(A4437,""en"", ""mt"")"),"Ministru tal-Intern")</f>
        <v>Ministru tal-Intern</v>
      </c>
    </row>
    <row r="4438" ht="15.75" customHeight="1">
      <c r="A4438" s="2" t="s">
        <v>4438</v>
      </c>
      <c r="B4438" s="2" t="str">
        <f>IFERROR(__xludf.DUMMYFUNCTION("GOOGLETRANSLATE(A4438,""en"", ""mt"")"),"F’esperiment wieħed, Lavoisier osserva li ma kien hemm l-ebda żieda ġenerali fil-piż meta l-landa u l-arja ġew imsaħħna f'kontenitur magħluq. Huwa nnota li l-arja ġrew meta fetaħ il-kontenitur, li indika li parti mill-arja maqbuda kienet ġiet ikkunsmata. "&amp;"Huwa nnota wkoll li l-landa kienet żdiedet fil-piż u li ż-żieda kienet l-istess bħall-piż tal-arja li ġrew lura. Dan u esperimenti oħra fuq il-kombustjoni kienu dokumentati fil-ktieb tiegħu Sur La La Combustion en Général, li ġie ppubblikat fl-1777. F'dak"&amp;" ix-xogħol, huwa wera li l-arja hija taħlita ta 'żewġ gassijiet; ""Arja vitali"", li hija essenzjali għall-kombustjoni u r-respirazzjoni, u Azote (Gk. ἄζωτον ""bla ħajja""), li lanqas ma appoġġjat. Azote aktar tard sar nitroġenu bl-Ingliż, għalkemm żamm l"&amp;"-isem bil-Franċiż u diversi lingwi Ewropej oħra.")</f>
        <v>F’esperiment wieħed, Lavoisier osserva li ma kien hemm l-ebda żieda ġenerali fil-piż meta l-landa u l-arja ġew imsaħħna f'kontenitur magħluq. Huwa nnota li l-arja ġrew meta fetaħ il-kontenitur, li indika li parti mill-arja maqbuda kienet ġiet ikkunsmata. Huwa nnota wkoll li l-landa kienet żdiedet fil-piż u li ż-żieda kienet l-istess bħall-piż tal-arja li ġrew lura. Dan u esperimenti oħra fuq il-kombustjoni kienu dokumentati fil-ktieb tiegħu Sur La La Combustion en Général, li ġie ppubblikat fl-1777. F'dak ix-xogħol, huwa wera li l-arja hija taħlita ta 'żewġ gassijiet; "Arja vitali", li hija essenzjali għall-kombustjoni u r-respirazzjoni, u Azote (Gk. ἄζωτον "bla ħajja"), li lanqas ma appoġġjat. Azote aktar tard sar nitroġenu bl-Ingliż, għalkemm żamm l-isem bil-Franċiż u diversi lingwi Ewropej oħra.</v>
      </c>
    </row>
    <row r="4439" ht="15.75" customHeight="1">
      <c r="A4439" s="2" t="s">
        <v>4439</v>
      </c>
      <c r="B4439" s="2" t="str">
        <f>IFERROR(__xludf.DUMMYFUNCTION("GOOGLETRANSLATE(A4439,""en"", ""mt"")"),"Netwerk ta 'Tifel Qadim")</f>
        <v>Netwerk ta 'Tifel Qadim</v>
      </c>
    </row>
    <row r="4440" ht="15.75" customHeight="1">
      <c r="A4440" s="2" t="s">
        <v>4440</v>
      </c>
      <c r="B4440" s="2" t="str">
        <f>IFERROR(__xludf.DUMMYFUNCTION("GOOGLETRANSLATE(A4440,""en"", ""mt"")"),"Liema bini żamm l-Istitut Milton Friedman?")</f>
        <v>Liema bini żamm l-Istitut Milton Friedman?</v>
      </c>
    </row>
    <row r="4441" ht="15.75" customHeight="1">
      <c r="A4441" s="2" t="s">
        <v>4441</v>
      </c>
      <c r="B4441" s="2" t="str">
        <f>IFERROR(__xludf.DUMMYFUNCTION("GOOGLETRANSLATE(A4441,""en"", ""mt"")"),"Normans")</f>
        <v>Normans</v>
      </c>
    </row>
    <row r="4442" ht="15.75" customHeight="1">
      <c r="A4442" s="2" t="s">
        <v>4442</v>
      </c>
      <c r="B4442" s="2" t="str">
        <f>IFERROR(__xludf.DUMMYFUNCTION("GOOGLETRANSLATE(A4442,""en"", ""mt"")"),"Islam mhux politiku")</f>
        <v>Islam mhux politiku</v>
      </c>
    </row>
    <row r="4443" ht="15.75" customHeight="1">
      <c r="A4443" s="2" t="s">
        <v>4443</v>
      </c>
      <c r="B4443" s="2" t="str">
        <f>IFERROR(__xludf.DUMMYFUNCTION("GOOGLETRANSLATE(A4443,""en"", ""mt"")"),"Jew il-possedimenti kontinentali tagħha ta 'l-Amerika ta' Fuq fil-lvant tal-Mississippi jew il-gżejjer tal-Karibew ta 'Guadeloupe u Martinique,")</f>
        <v>Jew il-possedimenti kontinentali tagħha ta 'l-Amerika ta' Fuq fil-lvant tal-Mississippi jew il-gżejjer tal-Karibew ta 'Guadeloupe u Martinique,</v>
      </c>
    </row>
    <row r="4444" ht="15.75" customHeight="1">
      <c r="A4444" s="2" t="s">
        <v>4444</v>
      </c>
      <c r="B4444" s="2" t="str">
        <f>IFERROR(__xludf.DUMMYFUNCTION("GOOGLETRANSLATE(A4444,""en"", ""mt"")"),"Mudell tal-kompjuter ta 'bidla fil-klima futura kkawżata mill-emissjonijiet ta' gass b'effett serra juri li l-foresta tropikali tal-Amażonja tista 'ssir insostenibbli f'kundizzjonijiet ta' xita mnaqqsa severament u żieda fit-temperaturi, li twassal għal t"&amp;"elf kważi komplet ta 'kopertura tal-foresta tropikali fil-baċin b'2100. Madankollu, simulazzjonijiet ta' Amazon It-tibdil fil-klima tal-baċin f'ħafna mudelli differenti mhumiex konsistenti fl-istima tagħhom ta 'xi rispons ta' xita, li jvarja minn żidiet d"&amp;"għajfa għal tnaqqis qawwi. Ir-riżultat jindika li l-foresta tropikali tista 'tkun mhedda għalkemm is-seklu 21 permezz tat-tibdil fil-klima minbarra d-deforestazzjoni.")</f>
        <v>Mudell tal-kompjuter ta 'bidla fil-klima futura kkawżata mill-emissjonijiet ta' gass b'effett serra juri li l-foresta tropikali tal-Amażonja tista 'ssir insostenibbli f'kundizzjonijiet ta' xita mnaqqsa severament u żieda fit-temperaturi, li twassal għal telf kważi komplet ta 'kopertura tal-foresta tropikali fil-baċin b'2100. Madankollu, simulazzjonijiet ta' Amazon It-tibdil fil-klima tal-baċin f'ħafna mudelli differenti mhumiex konsistenti fl-istima tagħhom ta 'xi rispons ta' xita, li jvarja minn żidiet dgħajfa għal tnaqqis qawwi. Ir-riżultat jindika li l-foresta tropikali tista 'tkun mhedda għalkemm is-seklu 21 permezz tat-tibdil fil-klima minbarra d-deforestazzjoni.</v>
      </c>
    </row>
    <row r="4445" ht="15.75" customHeight="1">
      <c r="A4445" s="2" t="s">
        <v>4445</v>
      </c>
      <c r="B4445" s="2" t="str">
        <f>IFERROR(__xludf.DUMMYFUNCTION("GOOGLETRANSLATE(A4445,""en"", ""mt"")"),"Trinity-st. Knisja Episkopali ta ’Pawlu")</f>
        <v>Trinity-st. Knisja Episkopali ta ’Pawlu</v>
      </c>
    </row>
    <row r="4446" ht="15.75" customHeight="1">
      <c r="A4446" s="2" t="s">
        <v>4446</v>
      </c>
      <c r="B4446" s="2" t="str">
        <f>IFERROR(__xludf.DUMMYFUNCTION("GOOGLETRANSLATE(A4446,""en"", ""mt"")"),"Il-cuticle tax-xama '")</f>
        <v>Il-cuticle tax-xama '</v>
      </c>
    </row>
    <row r="4447" ht="15.75" customHeight="1">
      <c r="A4447" s="2" t="s">
        <v>4447</v>
      </c>
      <c r="B4447" s="2" t="str">
        <f>IFERROR(__xludf.DUMMYFUNCTION("GOOGLETRANSLATE(A4447,""en"", ""mt"")"),"Bl-introduzzjoni aċċidentali tal-Mnemiopsis li jiekol Ctenophore Beroe Ovata,")</f>
        <v>Bl-introduzzjoni aċċidentali tal-Mnemiopsis li jiekol Ctenophore Beroe Ovata,</v>
      </c>
    </row>
    <row r="4448" ht="15.75" customHeight="1">
      <c r="A4448" s="2" t="s">
        <v>4448</v>
      </c>
      <c r="B4448" s="2" t="str">
        <f>IFERROR(__xludf.DUMMYFUNCTION("GOOGLETRANSLATE(A4448,""en"", ""mt"")"),"Kif wasal il-wan biex ikollu l-4 skejjel tal-mediċina?")</f>
        <v>Kif wasal il-wan biex ikollu l-4 skejjel tal-mediċina?</v>
      </c>
    </row>
    <row r="4449" ht="15.75" customHeight="1">
      <c r="A4449" s="2" t="s">
        <v>4449</v>
      </c>
      <c r="B4449" s="2" t="str">
        <f>IFERROR(__xludf.DUMMYFUNCTION("GOOGLETRANSLATE(A4449,""en"", ""mt"")"),"Iċ-ċelloli T Delta Gamma għandhom verżjoni differenti ta 'liema riċettur?")</f>
        <v>Iċ-ċelloli T Delta Gamma għandhom verżjoni differenti ta 'liema riċettur?</v>
      </c>
    </row>
    <row r="4450" ht="15.75" customHeight="1">
      <c r="A4450" s="2" t="s">
        <v>4450</v>
      </c>
      <c r="B4450" s="2" t="str">
        <f>IFERROR(__xludf.DUMMYFUNCTION("GOOGLETRANSLATE(A4450,""en"", ""mt"")"),"Conant iddisinja programmi")</f>
        <v>Conant iddisinja programmi</v>
      </c>
    </row>
    <row r="4451" ht="15.75" customHeight="1">
      <c r="A4451" s="2" t="s">
        <v>4451</v>
      </c>
      <c r="B4451" s="2" t="str">
        <f>IFERROR(__xludf.DUMMYFUNCTION("GOOGLETRANSLATE(A4451,""en"", ""mt"")"),"Il-forzi tat-tensjoni jistgħu jiġu mmudellati bl-użu ta 'kordi ideali li huma bla massa, mingħajr frizzjoni, li ma jistgħux jinbdew, u li ma jistgħux jiġu stretti. Jistgħu jiġu kkombinati ma 'taljoli ideali, li jippermettu kordi ideali biex jaqilbu d-dire"&amp;"zzjoni fiżika. Strings ideali jittrasmettu forzi ta 'tensjoni istantanjament f'pari ta' reazzjoni ta 'azzjoni sabiex jekk żewġ oġġetti huma konnessi minn korda ideali, kwalunkwe forza diretta tul is-sekwenza mill-ewwel oġġett hija akkumpanjata minn forza "&amp;"diretta tul il-korda fid-direzzjoni opposta mit-tieni oġġett Jonqos Billi tikkonnettja l-istess sekwenza bosta drabi mal-istess oġġett permezz tal-użu ta 'set-up li juża taljoli mobbli, il-forza tat-tensjoni fuq tagħbija tista' tiġi mmultiplikata. Għal ku"&amp;"ll sekwenza li taġixxi fuq tagħbija, fattur ieħor tal-forza tat-tensjoni fis-sekwenza taġixxi fuq it-tagħbija. Madankollu, minkejja li dawn il-magni jippermettu żieda fis-seħħ, hemm żieda korrispondenti fit-tul tal-korda li trid tiġi spostata sabiex tiċċa"&amp;"qlaq it-tagħbija. Dawn l-effetti tandem jirriżultaw fl-aħħar mill-aħħar fil-konservazzjoni tal-enerġija mekkanika peress li x-xogħol magħmul fuq it-tagħbija huwa l-istess irrispettivament minn kemm tkun ikkumplikata l-magna.")</f>
        <v>Il-forzi tat-tensjoni jistgħu jiġu mmudellati bl-użu ta 'kordi ideali li huma bla massa, mingħajr frizzjoni, li ma jistgħux jinbdew, u li ma jistgħux jiġu stretti. Jistgħu jiġu kkombinati ma 'taljoli ideali, li jippermettu kordi ideali biex jaqilbu d-direzzjoni fiżika. Strings ideali jittrasmettu forzi ta 'tensjoni istantanjament f'pari ta' reazzjoni ta 'azzjoni sabiex jekk żewġ oġġetti huma konnessi minn korda ideali, kwalunkwe forza diretta tul is-sekwenza mill-ewwel oġġett hija akkumpanjata minn forza diretta tul il-korda fid-direzzjoni opposta mit-tieni oġġett Jonqos Billi tikkonnettja l-istess sekwenza bosta drabi mal-istess oġġett permezz tal-użu ta 'set-up li juża taljoli mobbli, il-forza tat-tensjoni fuq tagħbija tista' tiġi mmultiplikata. Għal kull sekwenza li taġixxi fuq tagħbija, fattur ieħor tal-forza tat-tensjoni fis-sekwenza taġixxi fuq it-tagħbija. Madankollu, minkejja li dawn il-magni jippermettu żieda fis-seħħ, hemm żieda korrispondenti fit-tul tal-korda li trid tiġi spostata sabiex tiċċaqlaq it-tagħbija. Dawn l-effetti tandem jirriżultaw fl-aħħar mill-aħħar fil-konservazzjoni tal-enerġija mekkanika peress li x-xogħol magħmul fuq it-tagħbija huwa l-istess irrispettivament minn kemm tkun ikkumplikata l-magna.</v>
      </c>
    </row>
    <row r="4452" ht="15.75" customHeight="1">
      <c r="A4452" s="2" t="s">
        <v>4452</v>
      </c>
      <c r="B4452" s="2" t="str">
        <f>IFERROR(__xludf.DUMMYFUNCTION("GOOGLETRANSLATE(A4452,""en"", ""mt"")"),"suspettat li għandu funzjoni ta 'appoġġ")</f>
        <v>suspettat li għandu funzjoni ta 'appoġġ</v>
      </c>
    </row>
    <row r="4453" ht="15.75" customHeight="1">
      <c r="A4453" s="2" t="s">
        <v>4453</v>
      </c>
      <c r="B4453" s="2" t="str">
        <f>IFERROR(__xludf.DUMMYFUNCTION("GOOGLETRANSLATE(A4453,""en"", ""mt"")"),"X'inhu l-għan ta 'diżubbidjenza ċivili individwali?")</f>
        <v>X'inhu l-għan ta 'diżubbidjenza ċivili individwali?</v>
      </c>
    </row>
    <row r="4454" ht="15.75" customHeight="1">
      <c r="A4454" s="2" t="s">
        <v>4454</v>
      </c>
      <c r="B4454" s="2" t="str">
        <f>IFERROR(__xludf.DUMMYFUNCTION("GOOGLETRANSLATE(A4454,""en"", ""mt"")"),"X'inhuma t-3 libreriji popolari wara li għadhom ma ggradwawx fis-sistema ta 'Harvard?")</f>
        <v>X'inhuma t-3 libreriji popolari wara li għadhom ma ggradwawx fis-sistema ta 'Harvard?</v>
      </c>
    </row>
    <row r="4455" ht="15.75" customHeight="1">
      <c r="A4455" s="2" t="s">
        <v>4455</v>
      </c>
      <c r="B4455" s="2" t="str">
        <f>IFERROR(__xludf.DUMMYFUNCTION("GOOGLETRANSLATE(A4455,""en"", ""mt"")"),"sett fiss ta 'regoli biex jiddetermina l-azzjonijiet futuri tiegħu")</f>
        <v>sett fiss ta 'regoli biex jiddetermina l-azzjonijiet futuri tiegħu</v>
      </c>
    </row>
    <row r="4456" ht="15.75" customHeight="1">
      <c r="A4456" s="2" t="s">
        <v>4456</v>
      </c>
      <c r="B4456" s="2" t="str">
        <f>IFERROR(__xludf.DUMMYFUNCTION("GOOGLETRANSLATE(A4456,""en"", ""mt"")"),"Indirizzi assenjati awtomatikament, aġġornaw l-ispazju ta 'l-ismijiet distribwiti, u kkonfiguraw kwalunkwe rotta ta' bejn in-netwerk meħtieġa")</f>
        <v>Indirizzi assenjati awtomatikament, aġġornaw l-ispazju ta 'l-ismijiet distribwiti, u kkonfiguraw kwalunkwe rotta ta' bejn in-netwerk meħtieġa</v>
      </c>
    </row>
    <row r="4457" ht="15.75" customHeight="1">
      <c r="A4457" s="2" t="s">
        <v>4457</v>
      </c>
      <c r="B4457" s="2" t="str">
        <f>IFERROR(__xludf.DUMMYFUNCTION("GOOGLETRANSLATE(A4457,""en"", ""mt"")"),"innifsu")</f>
        <v>innifsu</v>
      </c>
    </row>
    <row r="4458" ht="15.75" customHeight="1">
      <c r="A4458" s="2" t="s">
        <v>4458</v>
      </c>
      <c r="B4458" s="2" t="str">
        <f>IFERROR(__xludf.DUMMYFUNCTION("GOOGLETRANSLATE(A4458,""en"", ""mt"")"),"In-natura fermjonika ta 'l-elettroni")</f>
        <v>In-natura fermjonika ta 'l-elettroni</v>
      </c>
    </row>
    <row r="4459" ht="15.75" customHeight="1">
      <c r="A4459" s="2" t="s">
        <v>4459</v>
      </c>
      <c r="B4459" s="2" t="str">
        <f>IFERROR(__xludf.DUMMYFUNCTION("GOOGLETRANSLATE(A4459,""en"", ""mt"")"),"B'liema mod il-kordi tal-idea jittrasmettu l-forzi tat-teżjoni?")</f>
        <v>B'liema mod il-kordi tal-idea jittrasmettu l-forzi tat-teżjoni?</v>
      </c>
    </row>
    <row r="4460" ht="15.75" customHeight="1">
      <c r="A4460" s="2" t="s">
        <v>4460</v>
      </c>
      <c r="B4460" s="2" t="str">
        <f>IFERROR(__xludf.DUMMYFUNCTION("GOOGLETRANSLATE(A4460,""en"", ""mt"")"),"Ma 'dak li jikkuntrasta l-bdil tal-pakketti")</f>
        <v>Ma 'dak li jikkuntrasta l-bdil tal-pakketti</v>
      </c>
    </row>
    <row r="4461" ht="15.75" customHeight="1">
      <c r="A4461" s="2" t="s">
        <v>4461</v>
      </c>
      <c r="B4461" s="2" t="str">
        <f>IFERROR(__xludf.DUMMYFUNCTION("GOOGLETRANSLATE(A4461,""en"", ""mt"")"),"mill-inqas erbgħa")</f>
        <v>mill-inqas erbgħa</v>
      </c>
    </row>
    <row r="4462" ht="15.75" customHeight="1">
      <c r="A4462" s="2" t="s">
        <v>4462</v>
      </c>
      <c r="B4462" s="2" t="str">
        <f>IFERROR(__xludf.DUMMYFUNCTION("GOOGLETRANSLATE(A4462,""en"", ""mt"")"),"żviluppa f'parti ewlenija tas-sinsla tal-internet")</f>
        <v>żviluppa f'parti ewlenija tas-sinsla tal-internet</v>
      </c>
    </row>
    <row r="4463" ht="15.75" customHeight="1">
      <c r="A4463" s="2" t="s">
        <v>4463</v>
      </c>
      <c r="B4463" s="2" t="str">
        <f>IFERROR(__xludf.DUMMYFUNCTION("GOOGLETRANSLATE(A4463,""en"", ""mt"")"),"Jitlob mhux ħati")</f>
        <v>Jitlob mhux ħati</v>
      </c>
    </row>
    <row r="4464" ht="15.75" customHeight="1">
      <c r="A4464" s="2" t="s">
        <v>4464</v>
      </c>
      <c r="B4464" s="2" t="str">
        <f>IFERROR(__xludf.DUMMYFUNCTION("GOOGLETRANSLATE(A4464,""en"", ""mt"")"),"Prinċipalment fil-Lbiċ ta 'Franza")</f>
        <v>Prinċipalment fil-Lbiċ ta 'Franza</v>
      </c>
    </row>
    <row r="4465" ht="15.75" customHeight="1">
      <c r="A4465" s="2" t="s">
        <v>4465</v>
      </c>
      <c r="B4465" s="2" t="str">
        <f>IFERROR(__xludf.DUMMYFUNCTION("GOOGLETRANSLATE(A4465,""en"", ""mt"")"),"Wara l-1940s, l-istil Gotiku fil-kampus beda jċedi għal stili moderni. Fl-1955, Eero Saarinen ġie kkuntrattat biex jiżviluppa t-tieni pjan ewlieni, li wassal għall-kostruzzjoni ta 'bini kemm fit-tramuntana kif ukoll fin-nofsinhar tan-nofs, inkluż il-kwadr"&amp;"angle Laird Bell Law (kumpless iddisinjat minn Saarinen); serje ta 'bini tal-arti; bini ddisinjat minn Ludwig Mies van der Rohe għall-Iskola tas-Servizz Soċjali tal-Università;, bini li għandu jsir id-dar tal-Iskola Harris tal-Politika Pubblika Studji min"&amp;"n Edward Durrell Stone, u l-Librerija Regenstein, l-akbar bini fuq il-kampus , Struttura Brutalista ddisinjata minn Walter Netsch tad-ditta ta 'Chicago Skidmore, Owings &amp; Merrill. Pjan ewlieni ieħor, iddisinjat fl-1999 u aġġornat fl-2004, ipproduċa l-Gera"&amp;"ld Ratner Athletics Centre (2003), il-Max Palevsky Residential Commons (2001), ir-Residenza tal-Kampus tan-Nofsinhar u Dining Commons (2009), sptar tat-tfal ġdid, u kostruzzjoni oħra , espansjonijiet, u restawr. Fl-2011, l-Università temmet il-Librerija J"&amp;"oe u Rika Mansueto tal-Koppla tal-Ħġieġ, li tipprovdi kamra tal-qari grandjuża għal-librerija tal-università u tipprevjeni l-ħtieġa għal depożitarju tal-ktieb barra mill-kampus.")</f>
        <v>Wara l-1940s, l-istil Gotiku fil-kampus beda jċedi għal stili moderni. Fl-1955, Eero Saarinen ġie kkuntrattat biex jiżviluppa t-tieni pjan ewlieni, li wassal għall-kostruzzjoni ta 'bini kemm fit-tramuntana kif ukoll fin-nofsinhar tan-nofs, inkluż il-kwadrangle Laird Bell Law (kumpless iddisinjat minn Saarinen); serje ta 'bini tal-arti; bini ddisinjat minn Ludwig Mies van der Rohe għall-Iskola tas-Servizz Soċjali tal-Università;, bini li għandu jsir id-dar tal-Iskola Harris tal-Politika Pubblika Studji minn Edward Durrell Stone, u l-Librerija Regenstein, l-akbar bini fuq il-kampus , Struttura Brutalista ddisinjata minn Walter Netsch tad-ditta ta 'Chicago Skidmore, Owings &amp; Merrill. Pjan ewlieni ieħor, iddisinjat fl-1999 u aġġornat fl-2004, ipproduċa l-Gerald Ratner Athletics Centre (2003), il-Max Palevsky Residential Commons (2001), ir-Residenza tal-Kampus tan-Nofsinhar u Dining Commons (2009), sptar tat-tfal ġdid, u kostruzzjoni oħra , espansjonijiet, u restawr. Fl-2011, l-Università temmet il-Librerija Joe u Rika Mansueto tal-Koppla tal-Ħġieġ, li tipprovdi kamra tal-qari grandjuża għal-librerija tal-università u tipprevjeni l-ħtieġa għal depożitarju tal-ktieb barra mill-kampus.</v>
      </c>
    </row>
    <row r="4466" ht="15.75" customHeight="1">
      <c r="A4466" s="2" t="s">
        <v>4466</v>
      </c>
      <c r="B4466" s="2" t="str">
        <f>IFERROR(__xludf.DUMMYFUNCTION("GOOGLETRANSLATE(A4466,""en"", ""mt"")"),"Trotsky, u oħrajn, emmnu li r-rivoluzzjoni tista 'tirnexxi biss fir-Russja bħala parti minn rivoluzzjoni dinjija. Lenin kiteb b'mod estensiv dwar il-kwistjoni u ddikjara famuż li l-imperjalizmu kien l-ogħla stadju tal-kapitaliżmu. Madankollu, wara l-mewt "&amp;"ta 'Lenin, Joseph Stalin stabbilixxa ""Soċjaliżmu f'pajjiż wieħed"" għall-Unjoni Sovjetika, u ħoloq il-mudell għal stati stalinisti sussegwenti li jħarsu' l ġewwa u jnaddfu l-elementi internazzjonalisti bikrija. It-tendenzi internazzjonalisti tar-rivoluzz"&amp;"joni bikrija jiġu abbandunati sakemm jirritornaw fil-qafas ta 'stat ta' klijent f'kompetizzjoni mal-Amerikani matul il-Gwerra Bierda. Bil-bidu tal-era l-ġdida, il-perjodu ta 'wara Stalin sejjaħ ""jinħall"", fl-aħħar tas-snin 1950, il-mexxej politiku l-ġdi"&amp;"d Nikita Khrushchev għamel pressjoni saħansitra aktar fuq ir-relazzjonijiet Sovjetiċi-Amerikani li jibdew mewġa ġdida ta' propaganda anti-imperialista. Fid-diskors tiegħu dwar il-Konferenza tan-NU fl-1960, huwa ħabbar it-tkomplija tal-gwerra għall-imperja"&amp;"lizmu, u ddikjara li dalwaqt in-nies ta 'pajjiżi differenti se jingħaqdu flimkien u jwaqqa' l-mexxejja imperjalisti tagħhom. Għalkemm l-Unjoni Sovjetika ddikjarat lilha nnifisha anti-imperjalista, il-kritiċi jargumentaw li hija wriet tendenzi komuni għall"&amp;"-imperi storiċi. Xi studjużi jsostnu li l-Unjoni Sovjetika kienet entità ibrida li fiha elementi komuni kemm għall-imperi multinazzjonali kif ukoll għall-istati nazzjon. Ġie argumentat ukoll li l-URSS ipprattika l-kolonjaliżmu bħalma għamlu poteri imperja"&amp;"li oħra u kienet qed tmexxi t-tradizzjoni antika Russa ta 'espansjoni u kontroll. Mao Zedong darba argumenta li l-Unjoni Sovjetika kienet stess saret poter imperjalista waqt li żżomm faċċata soċjalista. Barra minn hekk, l-ideat tal-imperjalizmu kienu mifr"&amp;"uxa ħafna fl-azzjoni fuq il-livelli ogħla tal-gvern. Marxisti mhux Russi fil-Federazzjoni Russa u aktar tard l-USSR, bħas-Sultan Galiev u l-Vasyl Shakhrai, ikkunsidraw ir-reġim Sovjetiku verżjoni mġedda tal-imperjalizmu u l-kolonjaliżmu Russu.")</f>
        <v>Trotsky, u oħrajn, emmnu li r-rivoluzzjoni tista 'tirnexxi biss fir-Russja bħala parti minn rivoluzzjoni dinjija. Lenin kiteb b'mod estensiv dwar il-kwistjoni u ddikjara famuż li l-imperjalizmu kien l-ogħla stadju tal-kapitaliżmu. Madankollu, wara l-mewt ta 'Lenin, Joseph Stalin stabbilixxa "Soċjaliżmu f'pajjiż wieħed" għall-Unjoni Sovjetika, u ħoloq il-mudell għal stati stalinisti sussegwenti li jħarsu' l ġewwa u jnaddfu l-elementi internazzjonalisti bikrija. It-tendenzi internazzjonalisti tar-rivoluzzjoni bikrija jiġu abbandunati sakemm jirritornaw fil-qafas ta 'stat ta' klijent f'kompetizzjoni mal-Amerikani matul il-Gwerra Bierda. Bil-bidu tal-era l-ġdida, il-perjodu ta 'wara Stalin sejjaħ "jinħall", fl-aħħar tas-snin 1950, il-mexxej politiku l-ġdid Nikita Khrushchev għamel pressjoni saħansitra aktar fuq ir-relazzjonijiet Sovjetiċi-Amerikani li jibdew mewġa ġdida ta' propaganda anti-imperialista. Fid-diskors tiegħu dwar il-Konferenza tan-NU fl-1960, huwa ħabbar it-tkomplija tal-gwerra għall-imperjalizmu, u ddikjara li dalwaqt in-nies ta 'pajjiżi differenti se jingħaqdu flimkien u jwaqqa' l-mexxejja imperjalisti tagħhom. Għalkemm l-Unjoni Sovjetika ddikjarat lilha nnifisha anti-imperjalista, il-kritiċi jargumentaw li hija wriet tendenzi komuni għall-imperi storiċi. Xi studjużi jsostnu li l-Unjoni Sovjetika kienet entità ibrida li fiha elementi komuni kemm għall-imperi multinazzjonali kif ukoll għall-istati nazzjon. Ġie argumentat ukoll li l-URSS ipprattika l-kolonjaliżmu bħalma għamlu poteri imperjali oħra u kienet qed tmexxi t-tradizzjoni antika Russa ta 'espansjoni u kontroll. Mao Zedong darba argumenta li l-Unjoni Sovjetika kienet stess saret poter imperjalista waqt li żżomm faċċata soċjalista. Barra minn hekk, l-ideat tal-imperjalizmu kienu mifruxa ħafna fl-azzjoni fuq il-livelli ogħla tal-gvern. Marxisti mhux Russi fil-Federazzjoni Russa u aktar tard l-USSR, bħas-Sultan Galiev u l-Vasyl Shakhrai, ikkunsidraw ir-reġim Sovjetiku verżjoni mġedda tal-imperjalizmu u l-kolonjaliżmu Russu.</v>
      </c>
    </row>
    <row r="4467" ht="15.75" customHeight="1">
      <c r="A4467" s="2" t="s">
        <v>4467</v>
      </c>
      <c r="B4467" s="2" t="str">
        <f>IFERROR(__xludf.DUMMYFUNCTION("GOOGLETRANSLATE(A4467,""en"", ""mt"")"),"European_union_law")</f>
        <v>European_union_law</v>
      </c>
    </row>
    <row r="4468" ht="15.75" customHeight="1">
      <c r="A4468" s="2" t="s">
        <v>4468</v>
      </c>
      <c r="B4468" s="2" t="str">
        <f>IFERROR(__xludf.DUMMYFUNCTION("GOOGLETRANSLATE(A4468,""en"", ""mt"")"),"Wara t-trattat sabiħ, kien hemm tentattiv biex tirriforma l-liġi kostituzzjonali tal-Unjoni Ewropea u tagħmilha aktar trasparenti; Dan kien jipproduċi wkoll dokument kostituzzjonali wieħed. Madankollu, bħala riżultat tar-referendum fi Franza u r-referendu"&amp;"m fl-Olanda, it-trattat tal-2004 li jistabbilixxi kostituzzjoni għall-Ewropa qatt ma daħal fis-seħħ. Minflok, it-Trattat ta 'Lisbona ġie promulgat. Is-sustanza tagħha kienet simili ħafna għat-trattat kostituzzjonali propost, iżda kienet formalment trattat"&amp;" li jemenda, u - għalkemm biddel b'mod sinifikanti t-trattati eżistenti - ma ħaditx kompletament.")</f>
        <v>Wara t-trattat sabiħ, kien hemm tentattiv biex tirriforma l-liġi kostituzzjonali tal-Unjoni Ewropea u tagħmilha aktar trasparenti; Dan kien jipproduċi wkoll dokument kostituzzjonali wieħed. Madankollu, bħala riżultat tar-referendum fi Franza u r-referendum fl-Olanda, it-trattat tal-2004 li jistabbilixxi kostituzzjoni għall-Ewropa qatt ma daħal fis-seħħ. Minflok, it-Trattat ta 'Lisbona ġie promulgat. Is-sustanza tagħha kienet simili ħafna għat-trattat kostituzzjonali propost, iżda kienet formalment trattat li jemenda, u - għalkemm biddel b'mod sinifikanti t-trattati eżistenti - ma ħaditx kompletament.</v>
      </c>
    </row>
    <row r="4469" ht="15.75" customHeight="1">
      <c r="A4469" s="2" t="s">
        <v>4469</v>
      </c>
      <c r="B4469" s="2" t="str">
        <f>IFERROR(__xludf.DUMMYFUNCTION("GOOGLETRANSLATE(A4469,""en"", ""mt"")"),"L-ex Kamra tad-Dibattitu tal-Kunsill Reġjonali ta 'Strathclyde")</f>
        <v>L-ex Kamra tad-Dibattitu tal-Kunsill Reġjonali ta 'Strathclyde</v>
      </c>
    </row>
    <row r="4470" ht="15.75" customHeight="1">
      <c r="A4470" s="2" t="s">
        <v>4470</v>
      </c>
      <c r="B4470" s="2" t="str">
        <f>IFERROR(__xludf.DUMMYFUNCTION("GOOGLETRANSLATE(A4470,""en"", ""mt"")"),"Eżempji eċċezzjonali ta 'l-arkitettura burgheż tal-perjodi aktar tard ma ġewx restawrati mill-awtoritajiet komunisti wara l-gwerra (bħalma semmew il-Palazz Kronenberg u l-Kumpanija tal-Assikurazzjoni Rosja Building) jew inbnew mill-ġdid fl-istil ta' reali"&amp;"żmu soċjalista (bħal edifiċju ta 'Filarmonija ta' Varsavja oriġinarjament ispirati minn Palais Garnier fi Pariġi). Minkejja li l-Bini tal-Università tat-Teknoloġija ta 'Varsavja (1899-1902) huwa l-iktar interessanti ta' l-arkitettura tard tas-seklu 19. Xi"&amp;" bini tas-seklu 19 fid-distrett ta 'Praga (il-bank tal-lemin ta' Vistula) ġew restawrati għalkemm ħafna nżammu ħażin. L-awtoritajiet tal-gvern muniċipali ta 'Varsavja ddeċidew li jibnu mill-ġdid il-Palazz Sassonu u l-Palazz Brühl, l-iktar bini distintiv f"&amp;"i Prewar Varsavja.")</f>
        <v>Eżempji eċċezzjonali ta 'l-arkitettura burgheż tal-perjodi aktar tard ma ġewx restawrati mill-awtoritajiet komunisti wara l-gwerra (bħalma semmew il-Palazz Kronenberg u l-Kumpanija tal-Assikurazzjoni Rosja Building) jew inbnew mill-ġdid fl-istil ta' realiżmu soċjalista (bħal edifiċju ta 'Filarmonija ta' Varsavja oriġinarjament ispirati minn Palais Garnier fi Pariġi). Minkejja li l-Bini tal-Università tat-Teknoloġija ta 'Varsavja (1899-1902) huwa l-iktar interessanti ta' l-arkitettura tard tas-seklu 19. Xi bini tas-seklu 19 fid-distrett ta 'Praga (il-bank tal-lemin ta' Vistula) ġew restawrati għalkemm ħafna nżammu ħażin. L-awtoritajiet tal-gvern muniċipali ta 'Varsavja ddeċidew li jibnu mill-ġdid il-Palazz Sassonu u l-Palazz Brühl, l-iktar bini distintiv fi Prewar Varsavja.</v>
      </c>
    </row>
    <row r="4471" ht="15.75" customHeight="1">
      <c r="A4471" s="2" t="s">
        <v>4471</v>
      </c>
      <c r="B4471" s="2" t="str">
        <f>IFERROR(__xludf.DUMMYFUNCTION("GOOGLETRANSLATE(A4471,""en"", ""mt"")"),"L-iżvilupp ta 'Terra Preta ppermetta għal dak li jiġri fil-foresta tal-Amażonja?")</f>
        <v>L-iżvilupp ta 'Terra Preta ppermetta għal dak li jiġri fil-foresta tal-Amażonja?</v>
      </c>
    </row>
    <row r="4472" ht="15.75" customHeight="1">
      <c r="A4472" s="2" t="s">
        <v>4472</v>
      </c>
      <c r="B4472" s="2" t="str">
        <f>IFERROR(__xludf.DUMMYFUNCTION("GOOGLETRANSLATE(A4472,""en"", ""mt"")"),"kundizzjonijiet ta 'ekwilibriju statiku")</f>
        <v>kundizzjonijiet ta 'ekwilibriju statiku</v>
      </c>
    </row>
    <row r="4473" ht="15.75" customHeight="1">
      <c r="A4473" s="2" t="s">
        <v>4473</v>
      </c>
      <c r="B4473" s="2" t="str">
        <f>IFERROR(__xludf.DUMMYFUNCTION("GOOGLETRANSLATE(A4473,""en"", ""mt"")"),"Il-weekend li għadda ta 'Settembru")</f>
        <v>Il-weekend li għadda ta 'Settembru</v>
      </c>
    </row>
    <row r="4474" ht="15.75" customHeight="1">
      <c r="A4474" s="2" t="s">
        <v>4474</v>
      </c>
      <c r="B4474" s="2" t="str">
        <f>IFERROR(__xludf.DUMMYFUNCTION("GOOGLETRANSLATE(A4474,""en"", ""mt"")"),"Liema partijiet ta 'magna tal-fwar reċiprokanti konvenzjonali jistgħu jiġu sostitwiti b'magna li jdur mingħajr piston?")</f>
        <v>Liema partijiet ta 'magna tal-fwar reċiprokanti konvenzjonali jistgħu jiġu sostitwiti b'magna li jdur mingħajr piston?</v>
      </c>
    </row>
    <row r="4475" ht="15.75" customHeight="1">
      <c r="A4475" s="2" t="s">
        <v>4475</v>
      </c>
      <c r="B4475" s="2" t="str">
        <f>IFERROR(__xludf.DUMMYFUNCTION("GOOGLETRANSLATE(A4475,""en"", ""mt"")"),"Fejn huma Jersey u Guernsey")</f>
        <v>Fejn huma Jersey u Guernsey</v>
      </c>
    </row>
    <row r="4476" ht="15.75" customHeight="1">
      <c r="A4476" s="2" t="s">
        <v>4476</v>
      </c>
      <c r="B4476" s="2" t="str">
        <f>IFERROR(__xludf.DUMMYFUNCTION("GOOGLETRANSLATE(A4476,""en"", ""mt"")"),"billi jitilqu l-bibien")</f>
        <v>billi jitilqu l-bibien</v>
      </c>
    </row>
    <row r="4477" ht="15.75" customHeight="1">
      <c r="A4477" s="2" t="s">
        <v>4477</v>
      </c>
      <c r="B4477" s="2" t="str">
        <f>IFERROR(__xludf.DUMMYFUNCTION("GOOGLETRANSLATE(A4477,""en"", ""mt"")"),"Min kunċettalizza l-aeolipile?")</f>
        <v>Min kunċettalizza l-aeolipile?</v>
      </c>
    </row>
    <row r="4478" ht="15.75" customHeight="1">
      <c r="A4478" s="2" t="s">
        <v>4478</v>
      </c>
      <c r="B4478" s="2" t="str">
        <f>IFERROR(__xludf.DUMMYFUNCTION("GOOGLETRANSLATE(A4478,""en"", ""mt"")"),"Li ddeċidiet id-dukat tan-Normandija")</f>
        <v>Li ddeċidiet id-dukat tan-Normandija</v>
      </c>
    </row>
    <row r="4479" ht="15.75" customHeight="1">
      <c r="A4479" s="2" t="s">
        <v>4479</v>
      </c>
      <c r="B4479" s="2" t="str">
        <f>IFERROR(__xludf.DUMMYFUNCTION("GOOGLETRANSLATE(A4479,""en"", ""mt"")"),"L-isem ma kienx korrett")</f>
        <v>L-isem ma kienx korrett</v>
      </c>
    </row>
    <row r="4480" ht="15.75" customHeight="1">
      <c r="A4480" s="2" t="s">
        <v>4480</v>
      </c>
      <c r="B4480" s="2" t="str">
        <f>IFERROR(__xludf.DUMMYFUNCTION("GOOGLETRANSLATE(A4480,""en"", ""mt"")"),"""Wise up jew imut.""")</f>
        <v>"Wise up jew imut."</v>
      </c>
    </row>
    <row r="4481" ht="15.75" customHeight="1">
      <c r="A4481" s="2" t="s">
        <v>4481</v>
      </c>
      <c r="B4481" s="2" t="str">
        <f>IFERROR(__xludf.DUMMYFUNCTION("GOOGLETRANSLATE(A4481,""en"", ""mt"")"),"Spin Triplet State")</f>
        <v>Spin Triplet State</v>
      </c>
    </row>
    <row r="4482" ht="15.75" customHeight="1">
      <c r="A4482" s="2" t="s">
        <v>4482</v>
      </c>
      <c r="B4482" s="2" t="str">
        <f>IFERROR(__xludf.DUMMYFUNCTION("GOOGLETRANSLATE(A4482,""en"", ""mt"")"),"X'irrakkomanda standard u fqir biex tħaffef l-irkupru tal-ekonomija?")</f>
        <v>X'irrakkomanda standard u fqir biex tħaffef l-irkupru tal-ekonomija?</v>
      </c>
    </row>
    <row r="4483" ht="15.75" customHeight="1">
      <c r="A4483" s="2" t="s">
        <v>4483</v>
      </c>
      <c r="B4483" s="2" t="str">
        <f>IFERROR(__xludf.DUMMYFUNCTION("GOOGLETRANSLATE(A4483,""en"", ""mt"")"),"Biex tikklassifika l-ħin tal-komputazzjoni (jew riżorsi simili, bħall-konsum spazjali), wieħed huwa interessat li jipprova limiti ta 'fuq u t'isfel fuq l-ammont minimu ta' ħin meħtieġ mill-algoritmu l-iktar effiċjenti biex issolvi problema partikolari. Il"&amp;"-kumplessità ta 'algoritmu ġeneralment tittieħed bħala l-agħar kumplessità tiegħu, sakemm ma tkunx speċifikata mod ieħor. L-analiżi ta 'algoritmu partikolari jaqa' taħt il-qasam ta 'analiżi ta' algoritmi. Biex turi t (n) fuq il-kumplessità tal-ħin ta 'pro"&amp;"blema, wieħed irid juri biss li hemm algoritmu partikolari bil-ħin ta' tħaddim fil-biċċa l-kbira t (n). Madankollu, li tipprova limiti aktar baxxi hija ħafna iktar diffiċli, peress li limiti aktar baxxi jagħmlu dikjarazzjoni dwar l-algoritmi kollha possib"&amp;"bli li jsolvu problema partikolari. Il-frażi ""l-algoritmi kollha possibbli"" tinkludi mhux biss l-algoritmi magħrufa llum, iżda kwalunkwe algoritmu li jista 'jiġi skopert fil-futur. Biex turi limitu aktar baxx ta 't (n) għal problema teħtieġ li turi li l"&amp;"-ebda algoritmu ma jista' jkollu kumplessità tal-ħin inqas minn t (n).")</f>
        <v>Biex tikklassifika l-ħin tal-komputazzjoni (jew riżorsi simili, bħall-konsum spazjali), wieħed huwa interessat li jipprova limiti ta 'fuq u t'isfel fuq l-ammont minimu ta' ħin meħtieġ mill-algoritmu l-iktar effiċjenti biex issolvi problema partikolari. Il-kumplessità ta 'algoritmu ġeneralment tittieħed bħala l-agħar kumplessità tiegħu, sakemm ma tkunx speċifikata mod ieħor. L-analiżi ta 'algoritmu partikolari jaqa' taħt il-qasam ta 'analiżi ta' algoritmi. Biex turi t (n) fuq il-kumplessità tal-ħin ta 'problema, wieħed irid juri biss li hemm algoritmu partikolari bil-ħin ta' tħaddim fil-biċċa l-kbira t (n). Madankollu, li tipprova limiti aktar baxxi hija ħafna iktar diffiċli, peress li limiti aktar baxxi jagħmlu dikjarazzjoni dwar l-algoritmi kollha possibbli li jsolvu problema partikolari. Il-frażi "l-algoritmi kollha possibbli" tinkludi mhux biss l-algoritmi magħrufa llum, iżda kwalunkwe algoritmu li jista 'jiġi skopert fil-futur. Biex turi limitu aktar baxx ta 't (n) għal problema teħtieġ li turi li l-ebda algoritmu ma jista' jkollu kumplessità tal-ħin inqas minn t (n).</v>
      </c>
    </row>
    <row r="4484" ht="15.75" customHeight="1">
      <c r="A4484" s="2" t="s">
        <v>4484</v>
      </c>
      <c r="B4484" s="2" t="str">
        <f>IFERROR(__xludf.DUMMYFUNCTION("GOOGLETRANSLATE(A4484,""en"", ""mt"")"),"Kif inħolqu xi inugwaljanzi ekonomiċi moderni?")</f>
        <v>Kif inħolqu xi inugwaljanzi ekonomiċi moderni?</v>
      </c>
    </row>
    <row r="4485" ht="15.75" customHeight="1">
      <c r="A4485" s="2" t="s">
        <v>4485</v>
      </c>
      <c r="B4485" s="2" t="str">
        <f>IFERROR(__xludf.DUMMYFUNCTION("GOOGLETRANSLATE(A4485,""en"", ""mt"")"),"Università Renmin")</f>
        <v>Università Renmin</v>
      </c>
    </row>
    <row r="4486" ht="15.75" customHeight="1">
      <c r="A4486" s="2" t="s">
        <v>4486</v>
      </c>
      <c r="B4486" s="2" t="str">
        <f>IFERROR(__xludf.DUMMYFUNCTION("GOOGLETRANSLATE(A4486,""en"", ""mt"")"),"liberazzjoni u evita l-ħabs")</f>
        <v>liberazzjoni u evita l-ħabs</v>
      </c>
    </row>
    <row r="4487" ht="15.75" customHeight="1">
      <c r="A4487" s="2" t="s">
        <v>4487</v>
      </c>
      <c r="B4487" s="2" t="str">
        <f>IFERROR(__xludf.DUMMYFUNCTION("GOOGLETRANSLATE(A4487,""en"", ""mt"")"),"Ir-riċetturi tar-rikonoxximent tal-mudelli huma proteini użati minn kważi l-organiżmi kollha biex jidentifikaw molekuli assoċjati ma 'patoġeni. Il-peptidi antimikrobiċi msejħa difensini huma komponent evoluzzjonalment ikkonservat tar-rispons immuni innat "&amp;"misjub fl-annimali u l-pjanti kollha, u jirrappreżentaw il-forma ewlenija ta 'immunità sistemika invertebrata. Is-sistema tal-komplement u ċ-ċelloli fagoċitiċi jintużaw ukoll mill-biċċa l-kbira tal-forom tal-ħajja invertebrati. Ir-ribonukleżiżi u l-mogħdi"&amp;"ja ta 'interferenza RNA huma kkonservati fl-ewkarioti kollha, u huma maħsuba li għandhom rwol fir-rispons immuni għall-viruses.")</f>
        <v>Ir-riċetturi tar-rikonoxximent tal-mudelli huma proteini użati minn kważi l-organiżmi kollha biex jidentifikaw molekuli assoċjati ma 'patoġeni. Il-peptidi antimikrobiċi msejħa difensini huma komponent evoluzzjonalment ikkonservat tar-rispons immuni innat misjub fl-annimali u l-pjanti kollha, u jirrappreżentaw il-forma ewlenija ta 'immunità sistemika invertebrata. Is-sistema tal-komplement u ċ-ċelloli fagoċitiċi jintużaw ukoll mill-biċċa l-kbira tal-forom tal-ħajja invertebrati. Ir-ribonukleżiżi u l-mogħdija ta 'interferenza RNA huma kkonservati fl-ewkarioti kollha, u huma maħsuba li għandhom rwol fir-rispons immuni għall-viruses.</v>
      </c>
    </row>
    <row r="4488" ht="15.75" customHeight="1">
      <c r="A4488" s="2" t="s">
        <v>4488</v>
      </c>
      <c r="B4488" s="2" t="str">
        <f>IFERROR(__xludf.DUMMYFUNCTION("GOOGLETRANSLATE(A4488,""en"", ""mt"")"),"Kemm ir-riċerkaturi issa jaħsbu li l-livelli tal-baħar se jogħlew mill-1990 sal-2100?")</f>
        <v>Kemm ir-riċerkaturi issa jaħsbu li l-livelli tal-baħar se jogħlew mill-1990 sal-2100?</v>
      </c>
    </row>
    <row r="4489" ht="15.75" customHeight="1">
      <c r="A4489" s="2" t="s">
        <v>4489</v>
      </c>
      <c r="B4489" s="2" t="str">
        <f>IFERROR(__xludf.DUMMYFUNCTION("GOOGLETRANSLATE(A4489,""en"", ""mt"")"),"X'inhu joħloq kunflitt bejn problema X u problema C fil-kuntest ta 'tnaqqis?")</f>
        <v>X'inhu joħloq kunflitt bejn problema X u problema C fil-kuntest ta 'tnaqqis?</v>
      </c>
    </row>
    <row r="4490" ht="15.75" customHeight="1">
      <c r="A4490" s="2" t="s">
        <v>4490</v>
      </c>
      <c r="B4490" s="2" t="str">
        <f>IFERROR(__xludf.DUMMYFUNCTION("GOOGLETRANSLATE(A4490,""en"", ""mt"")"),"Ċittadin jista 'jistrieħ fuq id-direttiva f'tali azzjoni")</f>
        <v>Ċittadin jista 'jistrieħ fuq id-direttiva f'tali azzjoni</v>
      </c>
    </row>
    <row r="4491" ht="15.75" customHeight="1">
      <c r="A4491" s="2" t="s">
        <v>4491</v>
      </c>
      <c r="B4491" s="2" t="str">
        <f>IFERROR(__xludf.DUMMYFUNCTION("GOOGLETRANSLATE(A4491,""en"", ""mt"")"),"Fiċ-Ċina tal-Yuan, jew l-era tal-Mongolja, diversi żviluppi importanti fl-arti seħħew jew komplew fl-iżvilupp tagħhom, inklużi l-oqsma tal-pittura, il-matematika, il-kaligrafija, il-poeżija, u t-teatru, b’ħafna artisti u kittieba kbar huma famużi llum. Mi"&amp;"nħabba l-għaqda flimkien ta 'pittura, poeżija, u kaligrafija f'dan il-ħin ħafna mill-artisti li jipprattikaw dawn l-insegwiment differenti kienu l-istess individwi, għalkemm forsi aktar famużi għal qasam wieħed tal-kisbiet tagħhom minn oħrajn. Ħafna drabi"&amp;" f'termini tal-iżvilupp ulterjuri tal-pittura tal-pajsaġġ kif ukoll tal-għaqda klassika flimkien tal-arti tal-pittura, tal-poeżija, u tal-kaligrafija, id-dinastija tal-kanzunetta u d-dinastija Yuan huma marbuta flimkien. Fil-qasam tal-pittura Ċiniża matul"&amp;" id-dinastija Yuan kien hemm ħafna pitturi famużi. Fil-qasam tal-kaligrafija ħafna mill-kaligrafi l-kbar kienu mill-era tad-dinastija Yuan. Fil-poeżija tal-wan, l-iżvilupp ewlieni kien il-QU, li ntuża fost forom poetiċi oħra mill-biċċa l-kbira tal-poeti t"&amp;"al-Yuan famużi. Ħafna mill-poeti kienu involuti wkoll fl-iżviluppi ewlenin fit-teatru matul dan iż-żmien, u bil-maqlub, b'nies importanti fit-teatru jsiru famużi permezz tal-iżvilupp tat-tip Sanqu ta 'Qu. Wieħed mill-fatturi ewlenin fit-taħlita ta 'The Za"&amp;"ju Variety Show kien l-inkorporazzjoni tal-poeżija kemm klassika kif ukoll tal-forma Qu l-aktar ġdida. Wieħed mill-iżviluppi kulturali importanti matul l-era tal-wan kien il-konsolidazzjoni tal-poeżija, il-pittura, u l-kaligrafija f'biċċa unifikata tat-ti"&amp;"p li għandha t-tendenza li tiġi f'moħħna meta n-nies jaħsbu dwar l-arti Ċiniża klassika. Aspett importanti ieħor taż-żminijiet tal-wan huwa l-inkorporazzjoni dejjem tiżdied taċ-Ċiniż kurrenti u vernakolari kemm fil-forma Qu tal-poeżija kif ukoll fil-varji"&amp;" Zaju. Konsiderazzjoni importanti oħra rigward l-arti u l-kultura tad-dinastija Yuan hija li tant minnha baqgħet ħajja fiċ-Ċina, relattivament għal xogħlijiet mid-dinastija Tang u d-dinastija tal-kanzunetti, li ħafna drabi ġew ippreservati aħjar f'postiji"&amp;"et bħal Shōsōin, fil-Ġappun.")</f>
        <v>Fiċ-Ċina tal-Yuan, jew l-era tal-Mongolja, diversi żviluppi importanti fl-arti seħħew jew komplew fl-iżvilupp tagħhom, inklużi l-oqsma tal-pittura, il-matematika, il-kaligrafija, il-poeżija, u t-teatru, b’ħafna artisti u kittieba kbar huma famużi llum. Minħabba l-għaqda flimkien ta 'pittura, poeżija, u kaligrafija f'dan il-ħin ħafna mill-artisti li jipprattikaw dawn l-insegwiment differenti kienu l-istess individwi, għalkemm forsi aktar famużi għal qasam wieħed tal-kisbiet tagħhom minn oħrajn. Ħafna drabi f'termini tal-iżvilupp ulterjuri tal-pittura tal-pajsaġġ kif ukoll tal-għaqda klassika flimkien tal-arti tal-pittura, tal-poeżija, u tal-kaligrafija, id-dinastija tal-kanzunetta u d-dinastija Yuan huma marbuta flimkien. Fil-qasam tal-pittura Ċiniża matul id-dinastija Yuan kien hemm ħafna pitturi famużi. Fil-qasam tal-kaligrafija ħafna mill-kaligrafi l-kbar kienu mill-era tad-dinastija Yuan. Fil-poeżija tal-wan, l-iżvilupp ewlieni kien il-QU, li ntuża fost forom poetiċi oħra mill-biċċa l-kbira tal-poeti tal-Yuan famużi. Ħafna mill-poeti kienu involuti wkoll fl-iżviluppi ewlenin fit-teatru matul dan iż-żmien, u bil-maqlub, b'nies importanti fit-teatru jsiru famużi permezz tal-iżvilupp tat-tip Sanqu ta 'Qu. Wieħed mill-fatturi ewlenin fit-taħlita ta 'The Zaju Variety Show kien l-inkorporazzjoni tal-poeżija kemm klassika kif ukoll tal-forma Qu l-aktar ġdida. Wieħed mill-iżviluppi kulturali importanti matul l-era tal-wan kien il-konsolidazzjoni tal-poeżija, il-pittura, u l-kaligrafija f'biċċa unifikata tat-tip li għandha t-tendenza li tiġi f'moħħna meta n-nies jaħsbu dwar l-arti Ċiniża klassika. Aspett importanti ieħor taż-żminijiet tal-wan huwa l-inkorporazzjoni dejjem tiżdied taċ-Ċiniż kurrenti u vernakolari kemm fil-forma Qu tal-poeżija kif ukoll fil-varji Zaju. Konsiderazzjoni importanti oħra rigward l-arti u l-kultura tad-dinastija Yuan hija li tant minnha baqgħet ħajja fiċ-Ċina, relattivament għal xogħlijiet mid-dinastija Tang u d-dinastija tal-kanzunetti, li ħafna drabi ġew ippreservati aħjar f'postijiet bħal Shōsōin, fil-Ġappun.</v>
      </c>
    </row>
    <row r="4492" ht="15.75" customHeight="1">
      <c r="A4492" s="2" t="s">
        <v>4492</v>
      </c>
      <c r="B4492" s="2" t="str">
        <f>IFERROR(__xludf.DUMMYFUNCTION("GOOGLETRANSLATE(A4492,""en"", ""mt"")"),"Kif kienu l-irġiel li għamlu kompiti bħal dawk tal-ispiżjara tal-lum fil-Ġappun fil-perjodi ta 'Asuka u Nara?")</f>
        <v>Kif kienu l-irġiel li għamlu kompiti bħal dawk tal-ispiżjara tal-lum fil-Ġappun fil-perjodi ta 'Asuka u Nara?</v>
      </c>
    </row>
    <row r="4493" ht="15.75" customHeight="1">
      <c r="A4493" s="2" t="s">
        <v>4493</v>
      </c>
      <c r="B4493" s="2" t="str">
        <f>IFERROR(__xludf.DUMMYFUNCTION("GOOGLETRANSLATE(A4493,""en"", ""mt"")"),"Dewweb (magma u / jew lava)")</f>
        <v>Dewweb (magma u / jew lava)</v>
      </c>
    </row>
    <row r="4494" ht="15.75" customHeight="1">
      <c r="A4494" s="2" t="s">
        <v>4494</v>
      </c>
      <c r="B4494" s="2" t="str">
        <f>IFERROR(__xludf.DUMMYFUNCTION("GOOGLETRANSLATE(A4494,""en"", ""mt"")"),"Fix-Xjenza, l-alumni jinkludu l-astronomi Carl Sagan, kontributur prominenti għar-riċerka xjentifika tal-ħajja extraterrestrial, u Edwin Hubble, magħrufa għall- ""Liġi ta 'Hubble"", l-astronawt tan-NASA John M. M. Grunsfeld, il-ġenetista James Watson, l-i"&amp;"ktar magħruf bħala wieħed mill-ko- Discoverters of the Structure of DNA, Fiżiċista Esperimentali Luis Alvarez, Ambjentalista Popolari David Suzuki, Balloonist Jeannette Piccard, Bijoloġisti Ernest Everett Just u Lynn Margulis, Xjentist tal-Kompjuter Richa"&amp;"rd Hamming, il-kreatur tal-Kodiċi Hamming, l-iżviluppatur tal-batterija tal-Lithium, John B. , ir-riċevitur tal-Midalja tal-Matematika u tal-Fields Paul Joseph Cohen, u l-ġeokimista Clair Cameron Patterson, li żviluppaw il-metodu ta 'dating taċ-ċomb tal-u"&amp;"ranju fid-dating taċ-ċomb taċ-ċomb. Il-fiżiċista u r-riċerkatur nukleari Stanton Friedman, li ħadem fuq xi proġetti bikrija li jinvolvu sistemi ta 'propulsjoni spazjali li jaħdmu bl-enerġija nukleari, huwa wkoll gradwat (M.SC).")</f>
        <v>Fix-Xjenza, l-alumni jinkludu l-astronomi Carl Sagan, kontributur prominenti għar-riċerka xjentifika tal-ħajja extraterrestrial, u Edwin Hubble, magħrufa għall- "Liġi ta 'Hubble", l-astronawt tan-NASA John M. M. Grunsfeld, il-ġenetista James Watson, l-iktar magħruf bħala wieħed mill-ko- Discoverters of the Structure of DNA, Fiżiċista Esperimentali Luis Alvarez, Ambjentalista Popolari David Suzuki, Balloonist Jeannette Piccard, Bijoloġisti Ernest Everett Just u Lynn Margulis, Xjentist tal-Kompjuter Richard Hamming, il-kreatur tal-Kodiċi Hamming, l-iżviluppatur tal-batterija tal-Lithium, John B. , ir-riċevitur tal-Midalja tal-Matematika u tal-Fields Paul Joseph Cohen, u l-ġeokimista Clair Cameron Patterson, li żviluppaw il-metodu ta 'dating taċ-ċomb tal-uranju fid-dating taċ-ċomb taċ-ċomb. Il-fiżiċista u r-riċerkatur nukleari Stanton Friedman, li ħadem fuq xi proġetti bikrija li jinvolvu sistemi ta 'propulsjoni spazjali li jaħdmu bl-enerġija nukleari, huwa wkoll gradwat (M.SC).</v>
      </c>
    </row>
    <row r="4495" ht="15.75" customHeight="1">
      <c r="A4495" s="2" t="s">
        <v>4495</v>
      </c>
      <c r="B4495" s="2" t="str">
        <f>IFERROR(__xludf.DUMMYFUNCTION("GOOGLETRANSLATE(A4495,""en"", ""mt"")"),"Jidher li jidher li t-tibdil fil-klima huwa iktar serju billi jeverti l-impatt")</f>
        <v>Jidher li jidher li t-tibdil fil-klima huwa iktar serju billi jeverti l-impatt</v>
      </c>
    </row>
    <row r="4496" ht="15.75" customHeight="1">
      <c r="A4496" s="2" t="s">
        <v>4496</v>
      </c>
      <c r="B4496" s="2" t="str">
        <f>IFERROR(__xludf.DUMMYFUNCTION("GOOGLETRANSLATE(A4496,""en"", ""mt"")"),"Id-diżubbidjenza ċivili hija ġeneralment definita bħala li għandha x'taqsam mar-relazzjoni ta 'ċittadin mal-istat u l-liġijiet tiegħu, kif distint minn impass kostituzzjonali li fih żewġ aġenziji pubbliċi, speċjalment żewġ fergħat ugwalment sovrani tal-gv"&amp;"ern, kunflitt. Pereżempju, jekk il-kap tal-gvern ta 'pajjiż kien jirrifjuta li jinforza deċiżjoni ta' l-ogħla qorti ta 'dak il-pajjiż, ma tkunx diżubbidjenza ċivili, peress li l-kap tal-gvern ikun qed jaġixxi fil-kapaċità tagħha jew tiegħu bħala uffiċjal "&amp;"pubbliku aktar milli privat ċittadin.")</f>
        <v>Id-diżubbidjenza ċivili hija ġeneralment definita bħala li għandha x'taqsam mar-relazzjoni ta 'ċittadin mal-istat u l-liġijiet tiegħu, kif distint minn impass kostituzzjonali li fih żewġ aġenziji pubbliċi, speċjalment żewġ fergħat ugwalment sovrani tal-gvern, kunflitt. Pereżempju, jekk il-kap tal-gvern ta 'pajjiż kien jirrifjuta li jinforza deċiżjoni ta' l-ogħla qorti ta 'dak il-pajjiż, ma tkunx diżubbidjenza ċivili, peress li l-kap tal-gvern ikun qed jaġixxi fil-kapaċità tagħha jew tiegħu bħala uffiċjal pubbliku aktar milli privat ċittadin.</v>
      </c>
    </row>
    <row r="4497" ht="15.75" customHeight="1">
      <c r="A4497" s="2" t="s">
        <v>4497</v>
      </c>
      <c r="B4497" s="2" t="str">
        <f>IFERROR(__xludf.DUMMYFUNCTION("GOOGLETRANSLATE(A4497,""en"", ""mt"")"),"Meta ħadu l-moll tad-distributarji ewlenin tar-Rhine?")</f>
        <v>Meta ħadu l-moll tad-distributarji ewlenin tar-Rhine?</v>
      </c>
    </row>
    <row r="4498" ht="15.75" customHeight="1">
      <c r="A4498" s="2" t="s">
        <v>4498</v>
      </c>
      <c r="B4498" s="2" t="str">
        <f>IFERROR(__xludf.DUMMYFUNCTION("GOOGLETRANSLATE(A4498,""en"", ""mt"")"),"Bħal fil-House of Commons, numru ta 'kwalifiki japplikaw għal MSP. Dawn il-kwalifiki ġew introdotti taħt l-Att dwar l-1975 tal-House of Commons tal-1975 u l-Att dwar in-Nazzjonalità Brittanika tal-1981. Speċifikament, il-membri jridu jkunu aktar minn 18-i"&amp;"l sena u għandhom ikunu ċittadin tar-Renju Unit, ir-Repubblika tal-Irlanda, wieħed mill-pajjiżi Commonwealth of Nations, ċittadin ta ’territorju Brittaniku barrani, jew ċittadin tal-Unjoni Ewropea residenti fir-Renju Unit. Il-membri tal-pulizija u tal-for"&amp;"zi armati huma skwalifikati milli joqogħdu fil-Parlament Skoċċiż bħala MSPs eletti, u bl-istess mod, impjegati taċ-ċivil u membri tal-leġiżlaturi barranin huma skwalifikati. Individwu ma jistax joqgħod fil-Parlament Skoċċiż jekk hu jew hi jiġi ġġudikat li"&amp;" jkun insane skont it-termini tal-Att dwar is-Saħħa Mentali (Kura u Trattament) (l-Iskozja) tal-2003.")</f>
        <v>Bħal fil-House of Commons, numru ta 'kwalifiki japplikaw għal MSP. Dawn il-kwalifiki ġew introdotti taħt l-Att dwar l-1975 tal-House of Commons tal-1975 u l-Att dwar in-Nazzjonalità Brittanika tal-1981. Speċifikament, il-membri jridu jkunu aktar minn 18-il sena u għandhom ikunu ċittadin tar-Renju Unit, ir-Repubblika tal-Irlanda, wieħed mill-pajjiżi Commonwealth of Nations, ċittadin ta ’territorju Brittaniku barrani, jew ċittadin tal-Unjoni Ewropea residenti fir-Renju Unit. Il-membri tal-pulizija u tal-forzi armati huma skwalifikati milli joqogħdu fil-Parlament Skoċċiż bħala MSPs eletti, u bl-istess mod, impjegati taċ-ċivil u membri tal-leġiżlaturi barranin huma skwalifikati. Individwu ma jistax joqgħod fil-Parlament Skoċċiż jekk hu jew hi jiġi ġġudikat li jkun insane skont it-termini tal-Att dwar is-Saħħa Mentali (Kura u Trattament) (l-Iskozja) tal-2003.</v>
      </c>
    </row>
    <row r="4499" ht="15.75" customHeight="1">
      <c r="A4499" s="2" t="s">
        <v>4499</v>
      </c>
      <c r="B4499" s="2" t="str">
        <f>IFERROR(__xludf.DUMMYFUNCTION("GOOGLETRANSLATE(A4499,""en"", ""mt"")"),"Dak li tfisser l-intrattabilità fil-prattika huwa miftuħ għad-dibattitu. Li tgħid li problema mhix f'P ma timplikax li l-każijiet kbar kollha tal-problema huma iebsa jew saħansitra li ħafna minnhom huma. Pereżempju, il-problema tad-deċiżjoni fl-aritmetika"&amp;" ta 'Presburger intweriet li mhix f'P, iżda ġew miktuba algoritmi li jsolvu l-problema fi żminijiet raġonevoli f'ħafna każijiet. Bl-istess mod, l-algoritmi jistgħu jsolvu l-problema ta 'ħabta kompluta NP fuq firxa wiesgħa ta' daqsijiet f'inqas minn ħin kw"&amp;"adratiku u s-solvers SAT jimmaniġġjaw rutina ta 'każijiet kbar tal-problema ta' sodisfazzjon Boolean NP-komplut.")</f>
        <v>Dak li tfisser l-intrattabilità fil-prattika huwa miftuħ għad-dibattitu. Li tgħid li problema mhix f'P ma timplikax li l-każijiet kbar kollha tal-problema huma iebsa jew saħansitra li ħafna minnhom huma. Pereżempju, il-problema tad-deċiżjoni fl-aritmetika ta 'Presburger intweriet li mhix f'P, iżda ġew miktuba algoritmi li jsolvu l-problema fi żminijiet raġonevoli f'ħafna każijiet. Bl-istess mod, l-algoritmi jistgħu jsolvu l-problema ta 'ħabta kompluta NP fuq firxa wiesgħa ta' daqsijiet f'inqas minn ħin kwadratiku u s-solvers SAT jimmaniġġjaw rutina ta 'każijiet kbar tal-problema ta' sodisfazzjon Boolean NP-komplut.</v>
      </c>
    </row>
    <row r="4500" ht="15.75" customHeight="1">
      <c r="A4500" s="2" t="s">
        <v>4500</v>
      </c>
      <c r="B4500" s="2" t="str">
        <f>IFERROR(__xludf.DUMMYFUNCTION("GOOGLETRANSLATE(A4500,""en"", ""mt"")"),"Magazine tax-Xjenza")</f>
        <v>Magazine tax-Xjenza</v>
      </c>
    </row>
    <row r="4501" ht="15.75" customHeight="1">
      <c r="A4501" s="2" t="s">
        <v>4501</v>
      </c>
      <c r="B4501" s="2" t="str">
        <f>IFERROR(__xludf.DUMMYFUNCTION("GOOGLETRANSLATE(A4501,""en"", ""mt"")"),"Il-ħin parlamentari huwa wkoll imwarrab għal perjodi ta 'mistoqsijiet fil-kamra tad-dibattitu. ""Ħin ta 'Mistoqsija Ġenerali"" iseħħ nhar il-Ħamis bejn il-11: 40 a.m. u t-12 p.m. fejn il-membri jistgħu jidderieġu mistoqsijiet lil kwalunkwe membru tal-gver"&amp;"n Skoċċiż. Fis-2.30pm, iseħħ ""ħin ta 'mistoqsija"" b'tema ta '40 minuta, fejn il-membri jistgħu jistaqsu mistoqsijiet tal-ministri fid-dipartimenti li huma magħżula għall-interrogazzjoni ta' dik il-ġurnata tas-seduta, bħas-saħħa u l-ġustizzja jew l-eduka"&amp;"zzjoni u t-trasport. Bejn it-12 p.m. u 12.30 p.m. Nhar il-Ħamis, meta l-Parlament ikun bilqiegħda, iseħħ il-ħin tal-mistoqsijiet tal-ewwel ministru. Dan jagħti lill-membri l-opportunità li jiddubitaw lill-ewwel ministru direttament fuq kwistjonijiet taħt "&amp;"il-ġurisdizzjoni tagħhom. Il-mexxejja tal-oppożizzjoni jistaqsu mistoqsija ġenerali tal-ewwel ministru u mbagħad mistoqsijiet supplimentari. Prattika bħal din tippermetti ""ċomb"" lill-interpellant, li mbagħad juża l-mistoqsija supplimentari tagħhom biex "&amp;"jistaqsi lill-ewwel ministru kwalunkwe kwistjoni. L-erba 'mistoqsijiet ġenerali disponibbli għall-mexxejja tal-oppożizzjoni huma:")</f>
        <v>Il-ħin parlamentari huwa wkoll imwarrab għal perjodi ta 'mistoqsijiet fil-kamra tad-dibattitu. "Ħin ta 'Mistoqsija Ġenerali" iseħħ nhar il-Ħamis bejn il-11: 40 a.m. u t-12 p.m. fejn il-membri jistgħu jidderieġu mistoqsijiet lil kwalunkwe membru tal-gvern Skoċċiż. Fis-2.30pm, iseħħ "ħin ta 'mistoqsija" b'tema ta '40 minuta, fejn il-membri jistgħu jistaqsu mistoqsijiet tal-ministri fid-dipartimenti li huma magħżula għall-interrogazzjoni ta' dik il-ġurnata tas-seduta, bħas-saħħa u l-ġustizzja jew l-edukazzjoni u t-trasport. Bejn it-12 p.m. u 12.30 p.m. Nhar il-Ħamis, meta l-Parlament ikun bilqiegħda, iseħħ il-ħin tal-mistoqsijiet tal-ewwel ministru. Dan jagħti lill-membri l-opportunità li jiddubitaw lill-ewwel ministru direttament fuq kwistjonijiet taħt il-ġurisdizzjoni tagħhom. Il-mexxejja tal-oppożizzjoni jistaqsu mistoqsija ġenerali tal-ewwel ministru u mbagħad mistoqsijiet supplimentari. Prattika bħal din tippermetti "ċomb" lill-interpellant, li mbagħad juża l-mistoqsija supplimentari tagħhom biex jistaqsi lill-ewwel ministru kwalunkwe kwistjoni. L-erba 'mistoqsijiet ġenerali disponibbli għall-mexxejja tal-oppożizzjoni huma:</v>
      </c>
    </row>
    <row r="4502" ht="15.75" customHeight="1">
      <c r="A4502" s="2" t="s">
        <v>4502</v>
      </c>
      <c r="B4502" s="2" t="str">
        <f>IFERROR(__xludf.DUMMYFUNCTION("GOOGLETRANSLATE(A4502,""en"", ""mt"")"),"Magdalen Tower")</f>
        <v>Magdalen Tower</v>
      </c>
    </row>
    <row r="4503" ht="15.75" customHeight="1">
      <c r="A4503" s="2" t="s">
        <v>4503</v>
      </c>
      <c r="B4503" s="2" t="str">
        <f>IFERROR(__xludf.DUMMYFUNCTION("GOOGLETRANSLATE(A4503,""en"", ""mt"")"),"Albarellos mis-sekli 16 u 17, kotba ta ’preskrizzjoni qodma u drogi antiki")</f>
        <v>Albarellos mis-sekli 16 u 17, kotba ta ’preskrizzjoni qodma u drogi antiki</v>
      </c>
    </row>
    <row r="4504" ht="15.75" customHeight="1">
      <c r="A4504" s="2" t="s">
        <v>4504</v>
      </c>
      <c r="B4504" s="2" t="str">
        <f>IFERROR(__xludf.DUMMYFUNCTION("GOOGLETRANSLATE(A4504,""en"", ""mt"")"),"X'inhu l-isem tal-itwal pont fil-Ġermanja?")</f>
        <v>X'inhu l-isem tal-itwal pont fil-Ġermanja?</v>
      </c>
    </row>
    <row r="4505" ht="15.75" customHeight="1">
      <c r="A4505" s="2" t="s">
        <v>4505</v>
      </c>
      <c r="B4505" s="2" t="str">
        <f>IFERROR(__xludf.DUMMYFUNCTION("GOOGLETRANSLATE(A4505,""en"", ""mt"")"),"Biex iġġiegħel lill-Ġappun ikun aktar involut fil-kriżi, x’għamlu l-gvern Sawdi u Kuwajt?")</f>
        <v>Biex iġġiegħel lill-Ġappun ikun aktar involut fil-kriżi, x’għamlu l-gvern Sawdi u Kuwajt?</v>
      </c>
    </row>
    <row r="4506" ht="15.75" customHeight="1">
      <c r="A4506" s="2" t="s">
        <v>4506</v>
      </c>
      <c r="B4506" s="2" t="str">
        <f>IFERROR(__xludf.DUMMYFUNCTION("GOOGLETRANSLATE(A4506,""en"", ""mt"")"),"48.8 ° C.")</f>
        <v>48.8 ° C.</v>
      </c>
    </row>
    <row r="4507" ht="15.75" customHeight="1">
      <c r="A4507" s="2" t="s">
        <v>4507</v>
      </c>
      <c r="B4507" s="2" t="str">
        <f>IFERROR(__xludf.DUMMYFUNCTION("GOOGLETRANSLATE(A4507,""en"", ""mt"")"),"Fl-2010 il-forza assorbit 8 GT ta 'dak")</f>
        <v>Fl-2010 il-forza assorbit 8 GT ta 'dak</v>
      </c>
    </row>
    <row r="4508" ht="15.75" customHeight="1">
      <c r="A4508" s="2" t="s">
        <v>4508</v>
      </c>
      <c r="B4508" s="2" t="str">
        <f>IFERROR(__xludf.DUMMYFUNCTION("GOOGLETRANSLATE(A4508,""en"", ""mt"")"),"F’dak li sar magħruf bħala l-massakru ta ’Jum San Bartolomew fl-24 ta’ Awwissu - 3 ta ’Ottubru 1572, il-Kattoliċi qatlu eluf ta’ Huguenots f’Pariġi. Massakri simili seħħew fi bliet oħra fil-ġimgħat ta ’wara. Il-bliet u l-ibliet provinċjali ewlenin li jesp"&amp;"erjenzaw il-massakru kienu Aix, Bordeaux, Bourges, Lyons, Meaux, Orleans, Rouen, Toulouse, u Troyes. Kważi 3,000 Protestant inqatlu f'Toulouse biss. L-għadd eżatt ta 'fatalitajiet madwar il-pajjiż mhux magħruf. Fit-23-24 ta ’Awwissu, bejn madwar 2,000 u 3"&amp;",000 Protestant inqatlu f’Pariġi u bejn 3,000 u 7,000 aktar fil-provinċji Franċiżi. Sal-17 ta ’Settembru, kważi 25,000 Protestant kienu ġew massakrati biss f’Pariġi. Lil hinn minn Pariġi, il-qtil kompla sat-3 ta ’Ottubru. Amnestija mogħtija fl-1573 maħfra"&amp;" lill-awturi. [Ċitazzjoni meħtieġa]")</f>
        <v>F’dak li sar magħruf bħala l-massakru ta ’Jum San Bartolomew fl-24 ta’ Awwissu - 3 ta ’Ottubru 1572, il-Kattoliċi qatlu eluf ta’ Huguenots f’Pariġi. Massakri simili seħħew fi bliet oħra fil-ġimgħat ta ’wara. Il-bliet u l-ibliet provinċjali ewlenin li jesperjenzaw il-massakru kienu Aix, Bordeaux, Bourges, Lyons, Meaux, Orleans, Rouen, Toulouse, u Troyes. Kważi 3,000 Protestant inqatlu f'Toulouse biss. L-għadd eżatt ta 'fatalitajiet madwar il-pajjiż mhux magħruf. Fit-23-24 ta ’Awwissu, bejn madwar 2,000 u 3,000 Protestant inqatlu f’Pariġi u bejn 3,000 u 7,000 aktar fil-provinċji Franċiżi. Sal-17 ta ’Settembru, kważi 25,000 Protestant kienu ġew massakrati biss f’Pariġi. Lil hinn minn Pariġi, il-qtil kompla sat-3 ta ’Ottubru. Amnestija mogħtija fl-1573 maħfra lill-awturi. [Ċitazzjoni meħtieġa]</v>
      </c>
    </row>
    <row r="4509" ht="15.75" customHeight="1">
      <c r="A4509" s="2" t="s">
        <v>4509</v>
      </c>
      <c r="B4509" s="2" t="str">
        <f>IFERROR(__xludf.DUMMYFUNCTION("GOOGLETRANSLATE(A4509,""en"", ""mt"")"),"Ir-Russja")</f>
        <v>Ir-Russja</v>
      </c>
    </row>
    <row r="4510" ht="15.75" customHeight="1">
      <c r="A4510" s="2" t="s">
        <v>4510</v>
      </c>
      <c r="B4510" s="2" t="str">
        <f>IFERROR(__xludf.DUMMYFUNCTION("GOOGLETRANSLATE(A4510,""en"", ""mt"")"),"livell tal-aqwa rata tat-taxxa")</f>
        <v>livell tal-aqwa rata tat-taxxa</v>
      </c>
    </row>
    <row r="4511" ht="15.75" customHeight="1">
      <c r="A4511" s="2" t="s">
        <v>4511</v>
      </c>
      <c r="B4511" s="2" t="str">
        <f>IFERROR(__xludf.DUMMYFUNCTION("GOOGLETRANSLATE(A4511,""en"", ""mt"")"),"Min ma jħobbx il-programm ta 'affiljat?")</f>
        <v>Min ma jħobbx il-programm ta 'affiljat?</v>
      </c>
    </row>
    <row r="4512" ht="15.75" customHeight="1">
      <c r="A4512" s="2" t="s">
        <v>4512</v>
      </c>
      <c r="B4512" s="2" t="str">
        <f>IFERROR(__xludf.DUMMYFUNCTION("GOOGLETRANSLATE(A4512,""en"", ""mt"")")," X'inhu Internet2")</f>
        <v> X'inhu Internet2</v>
      </c>
    </row>
    <row r="4513" ht="15.75" customHeight="1">
      <c r="A4513" s="2" t="s">
        <v>4513</v>
      </c>
      <c r="B4513" s="2" t="str">
        <f>IFERROR(__xludf.DUMMYFUNCTION("GOOGLETRANSLATE(A4513,""en"", ""mt"")"),"L-Ewropa tat-Tramuntana u n-Nofs l-Atlantiku")</f>
        <v>L-Ewropa tat-Tramuntana u n-Nofs l-Atlantiku</v>
      </c>
    </row>
    <row r="4514" ht="15.75" customHeight="1">
      <c r="A4514" s="2" t="s">
        <v>4514</v>
      </c>
      <c r="B4514" s="2" t="str">
        <f>IFERROR(__xludf.DUMMYFUNCTION("GOOGLETRANSLATE(A4514,""en"", ""mt"")"),"Il-pesta laqat diversi pajjiżi fil-Lvant Nofsani matul il-pandemija, u dan wassal għal depopolazzjoni serja u bidla permanenti kemm fl-istrutturi ekonomiċi u soċjali. Hekk kif infirex fl-Ewropa tal-Punent, il-marda daħlet fir-reġjun mir-Russja tan-Nofsinh"&amp;"ar ukoll. Sal-ħarifa 1347, il-pesta laħqet Lixandra fl-Eġittu, probabbilment permezz tal-kummerċ tal-port ma 'Kostantinopli, u portijiet fuq il-Baħar l-Iswed. Matul l-1347, il-marda vvjaġġat lejn il-lvant lejn Gaza, u fit-tramuntana tul il-kosta tal-Lvant"&amp;" lejn bliet fil-Libanu, is-Sirja u l-Palestina, inklużi Ashkelon, Acre, Ġerusalemm, Sidon, Sidon, Damasku, Homs, u Aleppo. Fl-1348–49, il-marda laħqet Antijokja. Ir-residenti tal-belt ħarbu lejn it-tramuntana, ħafna minnhom imutu matul il-vjaġġ, iżda l-in"&amp;"fezzjoni kienet mifruxa għan-nies tal-Asja Minuri. [Ċitazzjoni meħtieġa]")</f>
        <v>Il-pesta laqat diversi pajjiżi fil-Lvant Nofsani matul il-pandemija, u dan wassal għal depopolazzjoni serja u bidla permanenti kemm fl-istrutturi ekonomiċi u soċjali. Hekk kif infirex fl-Ewropa tal-Punent, il-marda daħlet fir-reġjun mir-Russja tan-Nofsinhar ukoll. Sal-ħarifa 1347, il-pesta laħqet Lixandra fl-Eġittu, probabbilment permezz tal-kummerċ tal-port ma 'Kostantinopli, u portijiet fuq il-Baħar l-Iswed. Matul l-1347, il-marda vvjaġġat lejn il-lvant lejn Gaza, u fit-tramuntana tul il-kosta tal-Lvant lejn bliet fil-Libanu, is-Sirja u l-Palestina, inklużi Ashkelon, Acre, Ġerusalemm, Sidon, Sidon, Damasku, Homs, u Aleppo. Fl-1348–49, il-marda laħqet Antijokja. Ir-residenti tal-belt ħarbu lejn it-tramuntana, ħafna minnhom imutu matul il-vjaġġ, iżda l-infezzjoni kienet mifruxa għan-nies tal-Asja Minuri. [Ċitazzjoni meħtieġa]</v>
      </c>
    </row>
    <row r="4515" ht="15.75" customHeight="1">
      <c r="A4515" s="2" t="s">
        <v>4515</v>
      </c>
      <c r="B4515" s="2" t="str">
        <f>IFERROR(__xludf.DUMMYFUNCTION("GOOGLETRANSLATE(A4515,""en"", ""mt"")"),"importanza dejjem tiżdied tal-kapital uman fl-iżvilupp")</f>
        <v>importanza dejjem tiżdied tal-kapital uman fl-iżvilupp</v>
      </c>
    </row>
    <row r="4516" ht="15.75" customHeight="1">
      <c r="A4516" s="2" t="s">
        <v>4516</v>
      </c>
      <c r="B4516" s="2" t="str">
        <f>IFERROR(__xludf.DUMMYFUNCTION("GOOGLETRANSLATE(A4516,""en"", ""mt"")"),"L-istoriku Frederick W. Mote kiteb li l-użu tat-terminu ""klassijiet soċjali"" għal din is-sistema kien qarrieqi u li l-pożizzjoni ta 'nies fis-sistema ta' erba 'klassi ma kinitx indikazzjoni tal-poter u l-ġid soċjali attwali tagħhom, iżda kienet tinvolvi"&amp;" biss "" gradi ta 'privileġġ ""li għalihom kienu intitolati istituzzjonalment u legalment, u għalhekk il-wieqfa ta' persuna fil-klassijiet ma kinitx garanzija tal-wieqfa tagħha, peress li kien hemm Ċiniżi sinjuri u soċjalment soċjalment waqt li kien hemm "&amp;"inqas sinjuri Mongol u semu milli kien hemm Mongolju u Semu li għex fil-faqar u kien trattat ħażin.")</f>
        <v>L-istoriku Frederick W. Mote kiteb li l-użu tat-terminu "klassijiet soċjali" għal din is-sistema kien qarrieqi u li l-pożizzjoni ta 'nies fis-sistema ta' erba 'klassi ma kinitx indikazzjoni tal-poter u l-ġid soċjali attwali tagħhom, iżda kienet tinvolvi biss " gradi ta 'privileġġ "li għalihom kienu intitolati istituzzjonalment u legalment, u għalhekk il-wieqfa ta' persuna fil-klassijiet ma kinitx garanzija tal-wieqfa tagħha, peress li kien hemm Ċiniżi sinjuri u soċjalment soċjalment waqt li kien hemm inqas sinjuri Mongol u semu milli kien hemm Mongolju u Semu li għex fil-faqar u kien trattat ħażin.</v>
      </c>
    </row>
    <row r="4517" ht="15.75" customHeight="1">
      <c r="A4517" s="2" t="s">
        <v>4517</v>
      </c>
      <c r="B4517" s="2" t="str">
        <f>IFERROR(__xludf.DUMMYFUNCTION("GOOGLETRANSLATE(A4517,""en"", ""mt"")"),"Din il-kombinazzjoni ta 'kanċellazzjonijiet u σ u π tirkeb tirriżulta fil-karattru u r-reattività ta' bond doppju ta 'dijossiġnu, u fi stat ta' art elettroniku triplet. Konfigurazzjoni ta 'elettroni b'żewġ elettroni mhux imqabbda kif misjuba fid-dijossiġn"&amp;"u (ara l-orbitali mimlija π * fid-dijagramma), orbitali li huma ta' enerġija ugwali - i.e., deġenerati - hija konfigurazzjoni msejħa stat tripletta spin. Għalhekk, l-istat tal-ground tal-O
2 molekula hija msejħa ossiġenu triplet. [B] L-ogħla enerġija, orb"&amp;"itali mimlijin parzjalment huma antibonding, u għalhekk il-mili tagħhom jiddgħajjef l-ordni tal-bond minn tlieta sa tnejn. Minħabba l-elettroni mhux imqabbla tiegħu, l-ossiġnu triplet jirreaġixxi biss bil-mod bil-biċċa l-kbira tal-molekuli organiċi, li għ"&amp;"andhom spins tal-elettroni mqabbla; Dan jipprevjeni kombustjoni spontanja.")</f>
        <v>Din il-kombinazzjoni ta 'kanċellazzjonijiet u σ u π tirkeb tirriżulta fil-karattru u r-reattività ta' bond doppju ta 'dijossiġnu, u fi stat ta' art elettroniku triplet. Konfigurazzjoni ta 'elettroni b'żewġ elettroni mhux imqabbda kif misjuba fid-dijossiġnu (ara l-orbitali mimlija π * fid-dijagramma), orbitali li huma ta' enerġija ugwali - i.e., deġenerati - hija konfigurazzjoni msejħa stat tripletta spin. Għalhekk, l-istat tal-ground tal-O
2 molekula hija msejħa ossiġenu triplet. [B] L-ogħla enerġija, orbitali mimlijin parzjalment huma antibonding, u għalhekk il-mili tagħhom jiddgħajjef l-ordni tal-bond minn tlieta sa tnejn. Minħabba l-elettroni mhux imqabbla tiegħu, l-ossiġnu triplet jirreaġixxi biss bil-mod bil-biċċa l-kbira tal-molekuli organiċi, li għandhom spins tal-elettroni mqabbla; Dan jipprevjeni kombustjoni spontanja.</v>
      </c>
    </row>
    <row r="4518" ht="15.75" customHeight="1">
      <c r="A4518" s="2" t="s">
        <v>4518</v>
      </c>
      <c r="B4518" s="2" t="str">
        <f>IFERROR(__xludf.DUMMYFUNCTION("GOOGLETRANSLATE(A4518,""en"", ""mt"")"),"Taħt liema każijiet l-individwi jistgħu jiddependu fuq il-liġi primarja fil-Qorti tal-Ġustizzja tal-Unjoni Ewropea?")</f>
        <v>Taħt liema każijiet l-individwi jistgħu jiddependu fuq il-liġi primarja fil-Qorti tal-Ġustizzja tal-Unjoni Ewropea?</v>
      </c>
    </row>
    <row r="4519" ht="15.75" customHeight="1">
      <c r="A4519" s="2" t="s">
        <v>4519</v>
      </c>
      <c r="B4519" s="2" t="str">
        <f>IFERROR(__xludf.DUMMYFUNCTION("GOOGLETRANSLATE(A4519,""en"", ""mt"")"),"DECNET hija suite ta 'protokolli tan-netwerk maħluqa minn Digital Equipment Corporation, oriġinarjament rilaxxata fl-1975 sabiex tikkonnettja żewġ minikompjuters PDP-11. Huwa evolva f'waħda mill-ewwel arkitetturi tan-netwerk peer-to-peer, u b'hekk ittrasf"&amp;"orma DEC f'powerhouse ta 'netwerking fis-snin 80. Inizjalment mibnija bi tliet saffi, aktar tard (1982) evolviet fi protokoll ta 'netwerking konformi ma' seba 'saffi OSI. Il-protokolli DECNET ġew iddisinjati kompletament minn Digital Equipment Corporation"&amp;". Madankollu, il-fażi II ta 'Decnet (u aktar tard) kienu standards miftuħa bi speċifikazzjonijiet ippubblikati, u diversi implimentazzjonijiet ġew żviluppati barra minn DEC, inkluż waħda għal Linux.")</f>
        <v>DECNET hija suite ta 'protokolli tan-netwerk maħluqa minn Digital Equipment Corporation, oriġinarjament rilaxxata fl-1975 sabiex tikkonnettja żewġ minikompjuters PDP-11. Huwa evolva f'waħda mill-ewwel arkitetturi tan-netwerk peer-to-peer, u b'hekk ittrasforma DEC f'powerhouse ta 'netwerking fis-snin 80. Inizjalment mibnija bi tliet saffi, aktar tard (1982) evolviet fi protokoll ta 'netwerking konformi ma' seba 'saffi OSI. Il-protokolli DECNET ġew iddisinjati kompletament minn Digital Equipment Corporation. Madankollu, il-fażi II ta 'Decnet (u aktar tard) kienu standards miftuħa bi speċifikazzjonijiet ippubblikati, u diversi implimentazzjonijiet ġew żviluppati barra minn DEC, inkluż waħda għal Linux.</v>
      </c>
    </row>
    <row r="4520" ht="15.75" customHeight="1">
      <c r="A4520" s="2" t="s">
        <v>4520</v>
      </c>
      <c r="B4520" s="2" t="str">
        <f>IFERROR(__xludf.DUMMYFUNCTION("GOOGLETRANSLATE(A4520,""en"", ""mt"")"),"Negozju Maġġuri")</f>
        <v>Negozju Maġġuri</v>
      </c>
    </row>
    <row r="4521" ht="15.75" customHeight="1">
      <c r="A4521" s="2" t="s">
        <v>4521</v>
      </c>
      <c r="B4521" s="2" t="str">
        <f>IFERROR(__xludf.DUMMYFUNCTION("GOOGLETRANSLATE(A4521,""en"", ""mt"")"),"Fuq liema ferrovija ntuża Salamanca?")</f>
        <v>Fuq liema ferrovija ntuża Salamanca?</v>
      </c>
    </row>
    <row r="4522" ht="15.75" customHeight="1">
      <c r="A4522" s="2" t="s">
        <v>4522</v>
      </c>
      <c r="B4522" s="2" t="str">
        <f>IFERROR(__xludf.DUMMYFUNCTION("GOOGLETRANSLATE(A4522,""en"", ""mt"")"),"Eicosanoids")</f>
        <v>Eicosanoids</v>
      </c>
    </row>
    <row r="4523" ht="15.75" customHeight="1">
      <c r="A4523" s="2" t="s">
        <v>4523</v>
      </c>
      <c r="B4523" s="2" t="str">
        <f>IFERROR(__xludf.DUMMYFUNCTION("GOOGLETRANSLATE(A4523,""en"", ""mt"")"),"Newtrofili u makrofaġi")</f>
        <v>Newtrofili u makrofaġi</v>
      </c>
    </row>
    <row r="4524" ht="15.75" customHeight="1">
      <c r="A4524" s="2" t="s">
        <v>4524</v>
      </c>
      <c r="B4524" s="2" t="str">
        <f>IFERROR(__xludf.DUMMYFUNCTION("GOOGLETRANSLATE(A4524,""en"", ""mt"")"),"L-ispiżeriji tal-isptar spiss jistgħu jinstabu fil-bini tal-isptar. L-ispiżeriji tal-isptar ġeneralment jaħżnu firxa akbar ta 'mediċini, inklużi mediċini aktar speċjalizzati, milli jkunu fattibbli fl-ambjent tal-komunità. Il-biċċa l-kbira tal-mediċini fl-"&amp;"isptar huma doża unitarja, jew doża waħda ta 'mediċina. L-ispiżjara tal-isptar u t-tekniċi tal-ispiżerija mħarrġa jikkomponu prodotti sterili għal pazjenti inkluż nutrizzjoni parenterali totali (TPN), u mediċini oħra mogħtija ġol-vina. Dan huwa proċess ku"&amp;"mpless li jirrikjedi taħriġ adegwat ta 'persunal, assigurazzjoni tal-kwalità tal-prodotti, u faċilitajiet adegwati. Bosta spiżeriji fl-isptar iddeċidew li jesternalizzaw preparazzjonijiet ta 'riskju għoli u xi funzjonijiet oħra ta' taħlit għal kumpaniji l"&amp;"i jispeċjalizzaw fit-taħlit. L-ispiża għolja tal-mediċini u t-teknoloġija relatata mal-mediċina, flimkien mal-impatt potenzjali tal-mediċini u s-servizzi tal-ispiżerija fuq ir-riżultati tal-kura tal-pazjenti u s-sigurtà tal-pazjent, jagħmluha imperattiva "&amp;"li l-ispiżeriji tal-isptar iwettqu fl-ogħla livell possibbli.")</f>
        <v>L-ispiżeriji tal-isptar spiss jistgħu jinstabu fil-bini tal-isptar. L-ispiżeriji tal-isptar ġeneralment jaħżnu firxa akbar ta 'mediċini, inklużi mediċini aktar speċjalizzati, milli jkunu fattibbli fl-ambjent tal-komunità. Il-biċċa l-kbira tal-mediċini fl-isptar huma doża unitarja, jew doża waħda ta 'mediċina. L-ispiżjara tal-isptar u t-tekniċi tal-ispiżerija mħarrġa jikkomponu prodotti sterili għal pazjenti inkluż nutrizzjoni parenterali totali (TPN), u mediċini oħra mogħtija ġol-vina. Dan huwa proċess kumpless li jirrikjedi taħriġ adegwat ta 'persunal, assigurazzjoni tal-kwalità tal-prodotti, u faċilitajiet adegwati. Bosta spiżeriji fl-isptar iddeċidew li jesternalizzaw preparazzjonijiet ta 'riskju għoli u xi funzjonijiet oħra ta' taħlit għal kumpaniji li jispeċjalizzaw fit-taħlit. L-ispiża għolja tal-mediċini u t-teknoloġija relatata mal-mediċina, flimkien mal-impatt potenzjali tal-mediċini u s-servizzi tal-ispiżerija fuq ir-riżultati tal-kura tal-pazjenti u s-sigurtà tal-pazjent, jagħmluha imperattiva li l-ispiżeriji tal-isptar iwettqu fl-ogħla livell possibbli.</v>
      </c>
    </row>
    <row r="4525" ht="15.75" customHeight="1">
      <c r="A4525" s="2" t="s">
        <v>4525</v>
      </c>
      <c r="B4525" s="2" t="str">
        <f>IFERROR(__xludf.DUMMYFUNCTION("GOOGLETRANSLATE(A4525,""en"", ""mt"")"),"X'kien ir-Rapport P-2626")</f>
        <v>X'kien ir-Rapport P-2626</v>
      </c>
    </row>
    <row r="4526" ht="15.75" customHeight="1">
      <c r="A4526" s="2" t="s">
        <v>4526</v>
      </c>
      <c r="B4526" s="2" t="str">
        <f>IFERROR(__xludf.DUMMYFUNCTION("GOOGLETRANSLATE(A4526,""en"", ""mt"")"),"F'liema forma huwa ttrasportat l-ossiġnu f'kontenituri iżgħar?")</f>
        <v>F'liema forma huwa ttrasportat l-ossiġnu f'kontenituri iżgħar?</v>
      </c>
    </row>
    <row r="4527" ht="15.75" customHeight="1">
      <c r="A4527" s="2" t="s">
        <v>4527</v>
      </c>
      <c r="B4527" s="2" t="str">
        <f>IFERROR(__xludf.DUMMYFUNCTION("GOOGLETRANSLATE(A4527,""en"", ""mt"")"),"Letteratura, Kartografija, Ġeografija, u Edukazzjoni Xjentifika")</f>
        <v>Letteratura, Kartografija, Ġeografija, u Edukazzjoni Xjentifika</v>
      </c>
    </row>
    <row r="4528" ht="15.75" customHeight="1">
      <c r="A4528" s="2" t="s">
        <v>4528</v>
      </c>
      <c r="B4528" s="2" t="str">
        <f>IFERROR(__xludf.DUMMYFUNCTION("GOOGLETRANSLATE(A4528,""en"", ""mt"")"),"X'kienet proposta waħda biex tħalli l-IPCC jirrispondi għal evidenza ġdida aktar malajr?")</f>
        <v>X'kienet proposta waħda biex tħalli l-IPCC jirrispondi għal evidenza ġdida aktar malajr?</v>
      </c>
    </row>
    <row r="4529" ht="15.75" customHeight="1">
      <c r="A4529" s="2" t="s">
        <v>4529</v>
      </c>
      <c r="B4529" s="2" t="str">
        <f>IFERROR(__xludf.DUMMYFUNCTION("GOOGLETRANSLATE(A4529,""en"", ""mt"")"),"arja dephlogisticated")</f>
        <v>arja dephlogisticated</v>
      </c>
    </row>
    <row r="4530" ht="15.75" customHeight="1">
      <c r="A4530" s="2" t="s">
        <v>4530</v>
      </c>
      <c r="B4530" s="2" t="str">
        <f>IFERROR(__xludf.DUMMYFUNCTION("GOOGLETRANSLATE(A4530,""en"", ""mt"")"),"It-teoremi tal-ġerarkija tal-ħin u l-ispazju")</f>
        <v>It-teoremi tal-ġerarkija tal-ħin u l-ispazju</v>
      </c>
    </row>
    <row r="4531" ht="15.75" customHeight="1">
      <c r="A4531" s="2" t="s">
        <v>4531</v>
      </c>
      <c r="B4531" s="2" t="str">
        <f>IFERROR(__xludf.DUMMYFUNCTION("GOOGLETRANSLATE(A4531,""en"", ""mt"")"),"ideoloġiku")</f>
        <v>ideoloġiku</v>
      </c>
    </row>
    <row r="4532" ht="15.75" customHeight="1">
      <c r="A4532" s="2" t="s">
        <v>4532</v>
      </c>
      <c r="B4532" s="2" t="str">
        <f>IFERROR(__xludf.DUMMYFUNCTION("GOOGLETRANSLATE(A4532,""en"", ""mt"")"),"F'din l-aħħar konnessjoni, l-isem jista 'jissuġġerixxi l-inferenza derogatorja ta' qima superstizzjuża; Il-fancy popolari ddeċidiet li Huguon, il-bieb tar-Re Hugo, kien haunted mill-fatat ta 'Le Roi Huguet (meqjus mill-Kattoliċi Rumani bħala Scoundrel inf"&amp;"ami) u spirti oħra, li minflok kienu fil-Purgatorju ġew lura biex jagħmlu ħsara lill-għixien bil-lejl. Kien f'dan il-post fi tours li l-prétendus réformés (""dawn allegatament"" riformati "") inġabru b'mod abitwali bil-lejl, kemm għal skopijiet politiċi, "&amp;"kif ukoll għat-talb u l-kant tas-salmi. Spjegazzjonijiet bħal dawn ġew rintraċċati għall-kontemporanja, Reguier de la Plancha (d. 1560), li fid-de l'esta de France offra l-kont li ġej dwar l-oriġini tal-isem, kif ikkwotat mill-Cape kull xahar:")</f>
        <v>F'din l-aħħar konnessjoni, l-isem jista 'jissuġġerixxi l-inferenza derogatorja ta' qima superstizzjuża; Il-fancy popolari ddeċidiet li Huguon, il-bieb tar-Re Hugo, kien haunted mill-fatat ta 'Le Roi Huguet (meqjus mill-Kattoliċi Rumani bħala Scoundrel infami) u spirti oħra, li minflok kienu fil-Purgatorju ġew lura biex jagħmlu ħsara lill-għixien bil-lejl. Kien f'dan il-post fi tours li l-prétendus réformés ("dawn allegatament" riformati ") inġabru b'mod abitwali bil-lejl, kemm għal skopijiet politiċi, kif ukoll għat-talb u l-kant tas-salmi. Spjegazzjonijiet bħal dawn ġew rintraċċati għall-kontemporanja, Reguier de la Plancha (d. 1560), li fid-de l'esta de France offra l-kont li ġej dwar l-oriġini tal-isem, kif ikkwotat mill-Cape kull xahar:</v>
      </c>
    </row>
    <row r="4533" ht="15.75" customHeight="1">
      <c r="A4533" s="2" t="s">
        <v>4533</v>
      </c>
      <c r="B4533" s="2" t="str">
        <f>IFERROR(__xludf.DUMMYFUNCTION("GOOGLETRANSLATE(A4533,""en"", ""mt"")"),"l-iktar algoritmu effiċjenti")</f>
        <v>l-iktar algoritmu effiċjenti</v>
      </c>
    </row>
    <row r="4534" ht="15.75" customHeight="1">
      <c r="A4534" s="2" t="s">
        <v>4534</v>
      </c>
      <c r="B4534" s="2" t="str">
        <f>IFERROR(__xludf.DUMMYFUNCTION("GOOGLETRANSLATE(A4534,""en"", ""mt"")"),"B'mod ġenerali, hemm tliet setturi tal-kostruzzjoni: bini, infrastruttura u industrijali. Il-kostruzzjoni tal-bini ġeneralment tkun maqsuma aktar fi residenzjali u mhux residenzjali (kummerċjali / istituzzjonali). L-infrastruttura ta 'spiss tissejjaħ inġi"&amp;"nerija tqila / awtostrada, ċivili jew tqila. Dan jinkludi xogħlijiet pubbliċi kbar, digi, pontijiet, awtostradi, ilma / drenaġġ u distribuzzjoni tal-utilità. Industrijali jinkludi raffineriji, kimika tal-proċess, ġenerazzjoni tal-enerġija, imtieħen u impj"&amp;"anti tal-manifattura. Hemm modi oħra kif tkisser l-industrija f'setturi jew swieq.")</f>
        <v>B'mod ġenerali, hemm tliet setturi tal-kostruzzjoni: bini, infrastruttura u industrijali. Il-kostruzzjoni tal-bini ġeneralment tkun maqsuma aktar fi residenzjali u mhux residenzjali (kummerċjali / istituzzjonali). L-infrastruttura ta 'spiss tissejjaħ inġinerija tqila / awtostrada, ċivili jew tqila. Dan jinkludi xogħlijiet pubbliċi kbar, digi, pontijiet, awtostradi, ilma / drenaġġ u distribuzzjoni tal-utilità. Industrijali jinkludi raffineriji, kimika tal-proċess, ġenerazzjoni tal-enerġija, imtieħen u impjanti tal-manifattura. Hemm modi oħra kif tkisser l-industrija f'setturi jew swieq.</v>
      </c>
    </row>
    <row r="4535" ht="15.75" customHeight="1">
      <c r="A4535" s="2" t="s">
        <v>4535</v>
      </c>
      <c r="B4535" s="2" t="str">
        <f>IFERROR(__xludf.DUMMYFUNCTION("GOOGLETRANSLATE(A4535,""en"", ""mt"")"),"L-IPCC kif tħejji rapporti speċjali?")</f>
        <v>L-IPCC kif tħejji rapporti speċjali?</v>
      </c>
    </row>
    <row r="4536" ht="15.75" customHeight="1">
      <c r="A4536" s="2" t="s">
        <v>4536</v>
      </c>
      <c r="B4536" s="2" t="str">
        <f>IFERROR(__xludf.DUMMYFUNCTION("GOOGLETRANSLATE(A4536,""en"", ""mt"")"),"Biegħ mediċini bir-riċetta")</f>
        <v>Biegħ mediċini bir-riċetta</v>
      </c>
    </row>
    <row r="4537" ht="15.75" customHeight="1">
      <c r="A4537" s="2" t="s">
        <v>4537</v>
      </c>
      <c r="B4537" s="2" t="str">
        <f>IFERROR(__xludf.DUMMYFUNCTION("GOOGLETRANSLATE(A4537,""en"", ""mt"")"),"Phlogiston Teorija tal-Kombustjoni u l-Korrużjoni")</f>
        <v>Phlogiston Teorija tal-Kombustjoni u l-Korrużjoni</v>
      </c>
    </row>
    <row r="4538" ht="15.75" customHeight="1">
      <c r="A4538" s="2" t="s">
        <v>4538</v>
      </c>
      <c r="B4538" s="2" t="str">
        <f>IFERROR(__xludf.DUMMYFUNCTION("GOOGLETRANSLATE(A4538,""en"", ""mt"")"),"Xi tfisser Untersee?")</f>
        <v>Xi tfisser Untersee?</v>
      </c>
    </row>
    <row r="4539" ht="15.75" customHeight="1">
      <c r="A4539" s="2" t="s">
        <v>4539</v>
      </c>
      <c r="B4539" s="2" t="str">
        <f>IFERROR(__xludf.DUMMYFUNCTION("GOOGLETRANSLATE(A4539,""en"", ""mt"")"),"ifakkru lil pajjiżu ta 'inġustizzja")</f>
        <v>ifakkru lil pajjiżu ta 'inġustizzja</v>
      </c>
    </row>
    <row r="4540" ht="15.75" customHeight="1">
      <c r="A4540" s="2" t="s">
        <v>4540</v>
      </c>
      <c r="B4540" s="2" t="str">
        <f>IFERROR(__xludf.DUMMYFUNCTION("GOOGLETRANSLATE(A4540,""en"", ""mt"")"),"In-nazzjonijiet industrijalizzati żiedu r-riservi tagħhom")</f>
        <v>In-nazzjonijiet industrijalizzati żiedu r-riservi tagħhom</v>
      </c>
    </row>
    <row r="4541" ht="15.75" customHeight="1">
      <c r="A4541" s="2" t="s">
        <v>4541</v>
      </c>
      <c r="B4541" s="2" t="str">
        <f>IFERROR(__xludf.DUMMYFUNCTION("GOOGLETRANSLATE(A4541,""en"", ""mt"")"),"Min kien stabbilixxa l-Imperu Russu għall-glorja preċedenti tiegħu qabel l-1921?")</f>
        <v>Min kien stabbilixxa l-Imperu Russu għall-glorja preċedenti tiegħu qabel l-1921?</v>
      </c>
    </row>
    <row r="4542" ht="15.75" customHeight="1">
      <c r="A4542" s="2" t="s">
        <v>4542</v>
      </c>
      <c r="B4542" s="2" t="str">
        <f>IFERROR(__xludf.DUMMYFUNCTION("GOOGLETRANSLATE(A4542,""en"", ""mt"")"),"L-Editt ta 'Nantes")</f>
        <v>L-Editt ta 'Nantes</v>
      </c>
    </row>
    <row r="4543" ht="15.75" customHeight="1">
      <c r="A4543" s="2" t="s">
        <v>4543</v>
      </c>
      <c r="B4543" s="2" t="str">
        <f>IFERROR(__xludf.DUMMYFUNCTION("GOOGLETRANSLATE(A4543,""en"", ""mt"")"),"Kompli jaduraw fit-tradizzjoni Kattolika Rumana tagħhom, komplew is-sjieda tal-propjetà tagħhom, u d-dritt li jibqgħu mhux disturbati")</f>
        <v>Kompli jaduraw fit-tradizzjoni Kattolika Rumana tagħhom, komplew is-sjieda tal-propjetà tagħhom, u d-dritt li jibqgħu mhux disturbati</v>
      </c>
    </row>
    <row r="4544" ht="15.75" customHeight="1">
      <c r="A4544" s="2" t="s">
        <v>4544</v>
      </c>
      <c r="B4544" s="2" t="str">
        <f>IFERROR(__xludf.DUMMYFUNCTION("GOOGLETRANSLATE(A4544,""en"", ""mt"")"),"Minbarra l-ilma li jirriċirkulaw, x'jagħmlu l-kondensaturi?")</f>
        <v>Minbarra l-ilma li jirriċirkulaw, x'jagħmlu l-kondensaturi?</v>
      </c>
    </row>
    <row r="4545" ht="15.75" customHeight="1">
      <c r="A4545" s="2" t="s">
        <v>4545</v>
      </c>
      <c r="B4545" s="2" t="str">
        <f>IFERROR(__xludf.DUMMYFUNCTION("GOOGLETRANSLATE(A4545,""en"", ""mt"")"),"Hemm ħjiel fir-rekords li jibqgħu ħajjin tal-Eġizzjani tal-qedem li kellhom xi għarfien dwar in-numri ewlenin: l-espansjonijiet tal-frazzjoni Eġizzjana fil-papyrus Rhind, pereżempju, għandhom forom pjuttost differenti għall-primes u għall-komposti. Madank"&amp;"ollu, l-ewwel rekords li jibqgħu ħajjin tal-istudju espliċitu tan-numri ewlenin ġejjin mill-Griegi tal-qedem. L-elementi ta 'Euclid (circa 300 QK) fihom teoremi importanti dwar il-primes, inkluża l-infinitudni tal-primes u t-teorema fundamentali tal-aritm"&amp;"etika. Euclid wera wkoll kif jinbena numru perfett minn Mersenne Prime. L-għarbiel ta 'Eratosthenes, attribwit lil Eratosthenes, huwa metodu sempliċi biex jiġi kkalkulat il-primes, għalkemm il-primes kbar misjuba llum bil-kompjuters mhumiex iġġenerati b'd"&amp;"an il-mod.")</f>
        <v>Hemm ħjiel fir-rekords li jibqgħu ħajjin tal-Eġizzjani tal-qedem li kellhom xi għarfien dwar in-numri ewlenin: l-espansjonijiet tal-frazzjoni Eġizzjana fil-papyrus Rhind, pereżempju, għandhom forom pjuttost differenti għall-primes u għall-komposti. Madankollu, l-ewwel rekords li jibqgħu ħajjin tal-istudju espliċitu tan-numri ewlenin ġejjin mill-Griegi tal-qedem. L-elementi ta 'Euclid (circa 300 QK) fihom teoremi importanti dwar il-primes, inkluża l-infinitudni tal-primes u t-teorema fundamentali tal-aritmetika. Euclid wera wkoll kif jinbena numru perfett minn Mersenne Prime. L-għarbiel ta 'Eratosthenes, attribwit lil Eratosthenes, huwa metodu sempliċi biex jiġi kkalkulat il-primes, għalkemm il-primes kbar misjuba llum bil-kompjuters mhumiex iġġenerati b'dan il-mod.</v>
      </c>
    </row>
    <row r="4546" ht="15.75" customHeight="1">
      <c r="A4546" s="2" t="s">
        <v>4546</v>
      </c>
      <c r="B4546" s="2" t="str">
        <f>IFERROR(__xludf.DUMMYFUNCTION("GOOGLETRANSLATE(A4546,""en"", ""mt"")"),"Għaliex l-ilma tar-Renu jaqa 'fil-fond fir-Rheinbrech?")</f>
        <v>Għaliex l-ilma tar-Renu jaqa 'fil-fond fir-Rheinbrech?</v>
      </c>
    </row>
    <row r="4547" ht="15.75" customHeight="1">
      <c r="A4547" s="2" t="s">
        <v>4547</v>
      </c>
      <c r="B4547" s="2" t="str">
        <f>IFERROR(__xludf.DUMMYFUNCTION("GOOGLETRANSLATE(A4547,""en"", ""mt"")"),"Il-punt ewlieni tal-Islam tal-Islam kif iseħħ mhux mal-mewt ta 'Ali")</f>
        <v>Il-punt ewlieni tal-Islam tal-Islam kif iseħħ mhux mal-mewt ta 'Ali</v>
      </c>
    </row>
    <row r="4548" ht="15.75" customHeight="1">
      <c r="A4548" s="2" t="s">
        <v>4548</v>
      </c>
      <c r="B4548" s="2" t="str">
        <f>IFERROR(__xludf.DUMMYFUNCTION("GOOGLETRANSLATE(A4548,""en"", ""mt"")"),"Telfa mgħaġġla u deċiżiva")</f>
        <v>Telfa mgħaġġla u deċiżiva</v>
      </c>
    </row>
    <row r="4549" ht="15.75" customHeight="1">
      <c r="A4549" s="2" t="s">
        <v>4549</v>
      </c>
      <c r="B4549" s="2" t="str">
        <f>IFERROR(__xludf.DUMMYFUNCTION("GOOGLETRANSLATE(A4549,""en"", ""mt"")"),"X'kienet il-popolazzjoni ta 'Varsavja fl-1901?")</f>
        <v>X'kienet il-popolazzjoni ta 'Varsavja fl-1901?</v>
      </c>
    </row>
    <row r="4550" ht="15.75" customHeight="1">
      <c r="A4550" s="2" t="s">
        <v>4550</v>
      </c>
      <c r="B4550" s="2" t="str">
        <f>IFERROR(__xludf.DUMMYFUNCTION("GOOGLETRANSLATE(A4550,""en"", ""mt"")"),"Kummissjoni v Awstrija l-qorti")</f>
        <v>Kummissjoni v Awstrija l-qorti</v>
      </c>
    </row>
    <row r="4551" ht="15.75" customHeight="1">
      <c r="A4551" s="2" t="s">
        <v>4551</v>
      </c>
      <c r="B4551" s="2" t="str">
        <f>IFERROR(__xludf.DUMMYFUNCTION("GOOGLETRANSLATE(A4551,""en"", ""mt"")"),"Id-diviżjoni tal-funzjonijiet u l-kompiti bejn l-ospiti fit-tarf tan-netwerk u l-qalba tan-netwerk.")</f>
        <v>Id-diviżjoni tal-funzjonijiet u l-kompiti bejn l-ospiti fit-tarf tan-netwerk u l-qalba tan-netwerk.</v>
      </c>
    </row>
    <row r="4552" ht="15.75" customHeight="1">
      <c r="A4552" s="2" t="s">
        <v>4552</v>
      </c>
      <c r="B4552" s="2" t="str">
        <f>IFERROR(__xludf.DUMMYFUNCTION("GOOGLETRANSLATE(A4552,""en"", ""mt"")"),"Kif kienet l-iskola kapaċi ġġib abbord l-aqwa studenti b'talent?")</f>
        <v>Kif kienet l-iskola kapaċi ġġib abbord l-aqwa studenti b'talent?</v>
      </c>
    </row>
    <row r="4553" ht="15.75" customHeight="1">
      <c r="A4553" s="2" t="s">
        <v>4553</v>
      </c>
      <c r="B4553" s="2" t="str">
        <f>IFERROR(__xludf.DUMMYFUNCTION("GOOGLETRANSLATE(A4553,""en"", ""mt"")"),"Meta miet Augustus?")</f>
        <v>Meta miet Augustus?</v>
      </c>
    </row>
    <row r="4554" ht="15.75" customHeight="1">
      <c r="A4554" s="2" t="s">
        <v>4554</v>
      </c>
      <c r="B4554" s="2" t="str">
        <f>IFERROR(__xludf.DUMMYFUNCTION("GOOGLETRANSLATE(A4554,""en"", ""mt"")"),"Il-belt hija s-sede ta 'Arċidjoċesi Kattolika Rumana (xellug tax-xellug tal-Vistula) u djoċesi (bank tal-lemin), u għandha diversi universitajiet, l-aktar l-aktar l-Akkademja tax-Xjenzi Pollakki u l-Università ta' Varsavja, żewġ djar tal-opra, teatri, muż"&amp;"ewijiet, libreriji u monumenti. Iċ-ċentru storiku tal-belt ta ’Varsavja bil-belt il-qadima pittoreska tagħha fl-1980 kien elenkat bħala sit tal-Wirt Dinji tal-UNESCO. Attrazzjonijiet arkitettoniċi ewlenin oħra jinkludu l-Pjazza tal-Kastell mal-Kastell Irj"&amp;"ali u l-kolonna emblematika tar-Re Sigismund, il-Katidral ta ’San Ġwann, il-Pjazza tas-Suq, il-Palazzi, il-Knejjes u l-Mansions kollha li juru rikkezza ta’ kulur u dettall arkitettoniku. Il-bini jirrappreżenta eżempji ta 'kważi kull stil arkitettoniku Ewr"&amp;"opew u perjodu storiku. Varsavja tipprovdi bosta eżempji ta ’arkitettura mill-perjodi Gotiċi, Rinaxximent, Barokk u Neoklasiku, u madwar kwart tal-belt hija mimlija parks lussużi u ġonna rjali.")</f>
        <v>Il-belt hija s-sede ta 'Arċidjoċesi Kattolika Rumana (xellug tax-xellug tal-Vistula) u djoċesi (bank tal-lemin), u għandha diversi universitajiet, l-aktar l-aktar l-Akkademja tax-Xjenzi Pollakki u l-Università ta' Varsavja, żewġ djar tal-opra, teatri, mużewijiet, libreriji u monumenti. Iċ-ċentru storiku tal-belt ta ’Varsavja bil-belt il-qadima pittoreska tagħha fl-1980 kien elenkat bħala sit tal-Wirt Dinji tal-UNESCO. Attrazzjonijiet arkitettoniċi ewlenin oħra jinkludu l-Pjazza tal-Kastell mal-Kastell Irjali u l-kolonna emblematika tar-Re Sigismund, il-Katidral ta ’San Ġwann, il-Pjazza tas-Suq, il-Palazzi, il-Knejjes u l-Mansions kollha li juru rikkezza ta’ kulur u dettall arkitettoniku. Il-bini jirrappreżenta eżempji ta 'kważi kull stil arkitettoniku Ewropew u perjodu storiku. Varsavja tipprovdi bosta eżempji ta ’arkitettura mill-perjodi Gotiċi, Rinaxximent, Barokk u Neoklasiku, u madwar kwart tal-belt hija mimlija parks lussużi u ġonna rjali.</v>
      </c>
    </row>
    <row r="4555" ht="15.75" customHeight="1">
      <c r="A4555" s="2" t="s">
        <v>4555</v>
      </c>
      <c r="B4555" s="2" t="str">
        <f>IFERROR(__xludf.DUMMYFUNCTION("GOOGLETRANSLATE(A4555,""en"", ""mt"")"),"1756 għall-iffirmar tat-Trattat tal-Paċi fl-1763")</f>
        <v>1756 għall-iffirmar tat-Trattat tal-Paċi fl-1763</v>
      </c>
    </row>
    <row r="4556" ht="15.75" customHeight="1">
      <c r="A4556" s="2" t="s">
        <v>4556</v>
      </c>
      <c r="B4556" s="2" t="str">
        <f>IFERROR(__xludf.DUMMYFUNCTION("GOOGLETRANSLATE(A4556,""en"", ""mt"")"),"Min beda l-fond fiduċjarju tal-IPCC?")</f>
        <v>Min beda l-fond fiduċjarju tal-IPCC?</v>
      </c>
    </row>
    <row r="4557" ht="15.75" customHeight="1">
      <c r="A4557" s="2" t="s">
        <v>4557</v>
      </c>
      <c r="B4557" s="2" t="str">
        <f>IFERROR(__xludf.DUMMYFUNCTION("GOOGLETRANSLATE(A4557,""en"", ""mt"")"),"pretendenti")</f>
        <v>pretendenti</v>
      </c>
    </row>
    <row r="4558" ht="15.75" customHeight="1">
      <c r="A4558" s="2" t="s">
        <v>4558</v>
      </c>
      <c r="B4558" s="2" t="str">
        <f>IFERROR(__xludf.DUMMYFUNCTION("GOOGLETRANSLATE(A4558,""en"", ""mt"")"),"ġlieda, ġuħ, u mrar")</f>
        <v>ġlieda, ġuħ, u mrar</v>
      </c>
    </row>
    <row r="4559" ht="15.75" customHeight="1">
      <c r="A4559" s="2" t="s">
        <v>4559</v>
      </c>
      <c r="B4559" s="2" t="str">
        <f>IFERROR(__xludf.DUMMYFUNCTION("GOOGLETRANSLATE(A4559,""en"", ""mt"")"),"Movimenti Iżlamisti bħall-Fratellanza Musulmana, ""huma magħrufa sew għall-għoti ta 'kenn, assistenza edukattiva, kliniċi mediċi b'xejn jew bi prezz baxx, assistenza ta' akkomodazzjoni lil studenti minn barra mill-belt, gruppi konsultattivi ta 'studenti, "&amp;"faċilitazzjoni ta' ċerimonji rħas taż-żwieġ tal-massa biex tevita dota li tiswa ħafna flus Talbiet, assistenza legali, faċilitajiet sportivi, u gruppi tan-nisa. "" Dan kollu jikkompara b'mod favorevoli ma 'gvernijiet inkompetenti, ineffiċjenti, jew negliċ"&amp;"i li l-impenn tagħhom għall-ġustizzja soċjali huwa limitat għar-retorika.")</f>
        <v>Movimenti Iżlamisti bħall-Fratellanza Musulmana, "huma magħrufa sew għall-għoti ta 'kenn, assistenza edukattiva, kliniċi mediċi b'xejn jew bi prezz baxx, assistenza ta' akkomodazzjoni lil studenti minn barra mill-belt, gruppi konsultattivi ta 'studenti, faċilitazzjoni ta' ċerimonji rħas taż-żwieġ tal-massa biex tevita dota li tiswa ħafna flus Talbiet, assistenza legali, faċilitajiet sportivi, u gruppi tan-nisa. " Dan kollu jikkompara b'mod favorevoli ma 'gvernijiet inkompetenti, ineffiċjenti, jew negliċi li l-impenn tagħhom għall-ġustizzja soċjali huwa limitat għar-retorika.</v>
      </c>
    </row>
    <row r="4560" ht="15.75" customHeight="1">
      <c r="A4560" s="2" t="s">
        <v>4560</v>
      </c>
      <c r="B4560" s="2" t="str">
        <f>IFERROR(__xludf.DUMMYFUNCTION("GOOGLETRANSLATE(A4560,""en"", ""mt"")"),"titla 'u taqa' skont id-domanda tas-suq")</f>
        <v>titla 'u taqa' skont id-domanda tas-suq</v>
      </c>
    </row>
    <row r="4561" ht="15.75" customHeight="1">
      <c r="A4561" s="2" t="s">
        <v>4561</v>
      </c>
      <c r="B4561" s="2" t="str">
        <f>IFERROR(__xludf.DUMMYFUNCTION("GOOGLETRANSLATE(A4561,""en"", ""mt"")"),"Meta Varsavja saret il-kapitali tar-Renju tal-Polonja?")</f>
        <v>Meta Varsavja saret il-kapitali tar-Renju tal-Polonja?</v>
      </c>
    </row>
    <row r="4562" ht="15.75" customHeight="1">
      <c r="A4562" s="2" t="s">
        <v>4562</v>
      </c>
      <c r="B4562" s="2" t="str">
        <f>IFERROR(__xludf.DUMMYFUNCTION("GOOGLETRANSLATE(A4562,""en"", ""mt"")"),"Meta l-kumpaniji tal-karozzi Amerikani ħarġu bil-karozzi sostituti domestiċi tagħhom, liema politika ntemmet?")</f>
        <v>Meta l-kumpaniji tal-karozzi Amerikani ħarġu bil-karozzi sostituti domestiċi tagħhom, liema politika ntemmet?</v>
      </c>
    </row>
    <row r="4563" ht="15.75" customHeight="1">
      <c r="A4563" s="2" t="s">
        <v>4563</v>
      </c>
      <c r="B4563" s="2" t="str">
        <f>IFERROR(__xludf.DUMMYFUNCTION("GOOGLETRANSLATE(A4563,""en"", ""mt"")"),"Fil-viċin, f'Ogród Saski (il-Ġnien Sassonu), it-Teatru tas-Sajf kien qed jopera mill-1870 sal-1939, u fil-perjodu ta 'bejn il-gwerra, il-kumpless tat-teatru inkluda wkoll Momus, l-ewwel kabaret letterarju ta' Varsavja, u l-melodram tat-teatru mużikali ta "&amp;"'Leon Schiller. It-Teatru Wojciech Bogusławski (1922-26), kien l-aħjar eżempju ta '""Teatru Monumentali Pollakk"". Minn nofs is-snin 1930, il-bini tat-teatru l-kbir kien fih l-Istitut tal-Arti Drammatiċi tal-Upati - l-ewwel Akkademja tal-Arti Dramatiċi mm"&amp;"exxija mill-istat, b'dipartiment tal-aġir u dipartiment li jidderieġi l-palk.")</f>
        <v>Fil-viċin, f'Ogród Saski (il-Ġnien Sassonu), it-Teatru tas-Sajf kien qed jopera mill-1870 sal-1939, u fil-perjodu ta 'bejn il-gwerra, il-kumpless tat-teatru inkluda wkoll Momus, l-ewwel kabaret letterarju ta' Varsavja, u l-melodram tat-teatru mużikali ta 'Leon Schiller. It-Teatru Wojciech Bogusławski (1922-26), kien l-aħjar eżempju ta '"Teatru Monumentali Pollakk". Minn nofs is-snin 1930, il-bini tat-teatru l-kbir kien fih l-Istitut tal-Arti Drammatiċi tal-Upati - l-ewwel Akkademja tal-Arti Dramatiċi mmexxija mill-istat, b'dipartiment tal-aġir u dipartiment li jidderieġi l-palk.</v>
      </c>
    </row>
    <row r="4564" ht="15.75" customHeight="1">
      <c r="A4564" s="2" t="s">
        <v>4564</v>
      </c>
      <c r="B4564" s="2" t="str">
        <f>IFERROR(__xludf.DUMMYFUNCTION("GOOGLETRANSLATE(A4564,""en"", ""mt"")"),"Xi wħud jemmnu li t-Trattat ta 'Versailles assistit fih?")</f>
        <v>Xi wħud jemmnu li t-Trattat ta 'Versailles assistit fih?</v>
      </c>
    </row>
    <row r="4565" ht="15.75" customHeight="1">
      <c r="A4565" s="2" t="s">
        <v>4565</v>
      </c>
      <c r="B4565" s="2" t="str">
        <f>IFERROR(__xludf.DUMMYFUNCTION("GOOGLETRANSLATE(A4565,""en"", ""mt"")"),"Rows moxt")</f>
        <v>Rows moxt</v>
      </c>
    </row>
    <row r="4566" ht="15.75" customHeight="1">
      <c r="A4566" s="2" t="s">
        <v>4566</v>
      </c>
      <c r="B4566" s="2" t="str">
        <f>IFERROR(__xludf.DUMMYFUNCTION("GOOGLETRANSLATE(A4566,""en"", ""mt"")"),"Dħul rilevanti aħjar")</f>
        <v>Dħul rilevanti aħjar</v>
      </c>
    </row>
    <row r="4567" ht="15.75" customHeight="1">
      <c r="A4567" s="2" t="s">
        <v>4567</v>
      </c>
      <c r="B4567" s="2" t="str">
        <f>IFERROR(__xludf.DUMMYFUNCTION("GOOGLETRANSLATE(A4567,""en"", ""mt"")"),"Ir-raba 'imperatur Yuan, Buyantu Khan (Ayurbarwada), kien imperatur kompetenti. Huwa kien l-ewwel Imperatur Yuan li jappoġġja attivament u jadotta l-kultura Ċiniża mainstream wara r-renju ta 'Kublai, għall-iskuntentizza ta' xi elite Mongolja. Huwa kien me"&amp;"ntored minn Li Meng, akkademiku Confucian. Huwa għamel ħafna riformi, inkluża l-likwidazzjoni tad-Dipartiment tal-Affarijiet tal-Istat (Ċiniż: 尚 書 省), li rriżultaw fl-eżekuzzjoni ta 'ħamsa mill-uffiċjali tal-ogħla grad. Mill-1313 l-eżamijiet imperjali tra"&amp;"dizzjonali ġew introdotti mill-ġdid għal uffiċjali prospettivi, ittestjaw l-għarfien tagħhom dwar xogħlijiet storiċi sinifikanti. Ukoll, huwa kkodifika ħafna mil-liġi, kif ukoll jippubblika jew jittraduċi numru ta 'kotba u xogħlijiet Ċiniżi.")</f>
        <v>Ir-raba 'imperatur Yuan, Buyantu Khan (Ayurbarwada), kien imperatur kompetenti. Huwa kien l-ewwel Imperatur Yuan li jappoġġja attivament u jadotta l-kultura Ċiniża mainstream wara r-renju ta 'Kublai, għall-iskuntentizza ta' xi elite Mongolja. Huwa kien mentored minn Li Meng, akkademiku Confucian. Huwa għamel ħafna riformi, inkluża l-likwidazzjoni tad-Dipartiment tal-Affarijiet tal-Istat (Ċiniż: 尚 書 省), li rriżultaw fl-eżekuzzjoni ta 'ħamsa mill-uffiċjali tal-ogħla grad. Mill-1313 l-eżamijiet imperjali tradizzjonali ġew introdotti mill-ġdid għal uffiċjali prospettivi, ittestjaw l-għarfien tagħhom dwar xogħlijiet storiċi sinifikanti. Ukoll, huwa kkodifika ħafna mil-liġi, kif ukoll jippubblika jew jittraduċi numru ta 'kotba u xogħlijiet Ċiniżi.</v>
      </c>
    </row>
    <row r="4568" ht="15.75" customHeight="1">
      <c r="A4568" s="2" t="s">
        <v>4568</v>
      </c>
      <c r="B4568" s="2" t="str">
        <f>IFERROR(__xludf.DUMMYFUNCTION("GOOGLETRANSLATE(A4568,""en"", ""mt"")"),"Min ressaq il-qorti tiegħu minn Kraków għal Varsavja fl-1596?")</f>
        <v>Min ressaq il-qorti tiegħu minn Kraków għal Varsavja fl-1596?</v>
      </c>
    </row>
    <row r="4569" ht="15.75" customHeight="1">
      <c r="A4569" s="2" t="s">
        <v>4569</v>
      </c>
      <c r="B4569" s="2" t="str">
        <f>IFERROR(__xludf.DUMMYFUNCTION("GOOGLETRANSLATE(A4569,""en"", ""mt"")"),"L-1 seklu QK")</f>
        <v>L-1 seklu QK</v>
      </c>
    </row>
    <row r="4570" ht="15.75" customHeight="1">
      <c r="A4570" s="2" t="s">
        <v>4570</v>
      </c>
      <c r="B4570" s="2" t="str">
        <f>IFERROR(__xludf.DUMMYFUNCTION("GOOGLETRANSLATE(A4570,""en"", ""mt"")"),"Evalwazzjoni tal-adegwatezza tat-terapija tal-mediċina")</f>
        <v>Evalwazzjoni tal-adegwatezza tat-terapija tal-mediċina</v>
      </c>
    </row>
    <row r="4571" ht="15.75" customHeight="1">
      <c r="A4571" s="2" t="s">
        <v>4571</v>
      </c>
      <c r="B4571" s="2" t="str">
        <f>IFERROR(__xludf.DUMMYFUNCTION("GOOGLETRANSLATE(A4571,""en"", ""mt"")"),"Liema kummissjoni ġiet iċċensurata fl-1999, u witta t-triq għall-kummissarji biex jabbużaw mill-poter tagħhom?")</f>
        <v>Liema kummissjoni ġiet iċċensurata fl-1999, u witta t-triq għall-kummissarji biex jabbużaw mill-poter tagħhom?</v>
      </c>
    </row>
    <row r="4572" ht="15.75" customHeight="1">
      <c r="A4572" s="2" t="s">
        <v>4572</v>
      </c>
      <c r="B4572" s="2" t="str">
        <f>IFERROR(__xludf.DUMMYFUNCTION("GOOGLETRANSLATE(A4572,""en"", ""mt"")"),"meqjusa bħala li ma tkunx diżubbidjenti ċivili")</f>
        <v>meqjusa bħala li ma tkunx diżubbidjenti ċivili</v>
      </c>
    </row>
    <row r="4573" ht="15.75" customHeight="1">
      <c r="A4573" s="2" t="s">
        <v>4573</v>
      </c>
      <c r="B4573" s="2" t="str">
        <f>IFERROR(__xludf.DUMMYFUNCTION("GOOGLETRANSLATE(A4573,""en"", ""mt"")"),"Immunità umoristika kontra immunità medjata miċ-ċelloli")</f>
        <v>Immunità umoristika kontra immunità medjata miċ-ċelloli</v>
      </c>
    </row>
    <row r="4574" ht="15.75" customHeight="1">
      <c r="A4574" s="2" t="s">
        <v>4574</v>
      </c>
      <c r="B4574" s="2" t="str">
        <f>IFERROR(__xludf.DUMMYFUNCTION("GOOGLETRANSLATE(A4574,""en"", ""mt"")"),"Qoxra ta 'siġar taċ-ċawsli")</f>
        <v>Qoxra ta 'siġar taċ-ċawsli</v>
      </c>
    </row>
    <row r="4575" ht="15.75" customHeight="1">
      <c r="A4575" s="2" t="s">
        <v>4575</v>
      </c>
      <c r="B4575" s="2" t="str">
        <f>IFERROR(__xludf.DUMMYFUNCTION("GOOGLETRANSLATE(A4575,""en"", ""mt"")"),"Kemm valvi użat il-magna Corliss?")</f>
        <v>Kemm valvi użat il-magna Corliss?</v>
      </c>
    </row>
    <row r="4576" ht="15.75" customHeight="1">
      <c r="A4576" s="2" t="s">
        <v>4576</v>
      </c>
      <c r="B4576" s="2" t="str">
        <f>IFERROR(__xludf.DUMMYFUNCTION("GOOGLETRANSLATE(A4576,""en"", ""mt"")"),"X'inhu eżempju ta 'karozzi li jaħdmu bil-fwar?")</f>
        <v>X'inhu eżempju ta 'karozzi li jaħdmu bil-fwar?</v>
      </c>
    </row>
    <row r="4577" ht="15.75" customHeight="1">
      <c r="A4577" s="2" t="s">
        <v>4577</v>
      </c>
      <c r="B4577" s="2" t="str">
        <f>IFERROR(__xludf.DUMMYFUNCTION("GOOGLETRANSLATE(A4577,""en"", ""mt"")"),"nofs milf")</f>
        <v>nofs milf</v>
      </c>
    </row>
    <row r="4578" ht="15.75" customHeight="1">
      <c r="A4578" s="2" t="s">
        <v>4578</v>
      </c>
      <c r="B4578" s="2" t="str">
        <f>IFERROR(__xludf.DUMMYFUNCTION("GOOGLETRANSLATE(A4578,""en"", ""mt"")"),"F'każijiet ta 'mezz fiżiku maqsum kif jiġu kkonsenjati")</f>
        <v>F'każijiet ta 'mezz fiżiku maqsum kif jiġu kkonsenjati</v>
      </c>
    </row>
    <row r="4579" ht="15.75" customHeight="1">
      <c r="A4579" s="2" t="s">
        <v>4579</v>
      </c>
      <c r="B4579" s="2" t="str">
        <f>IFERROR(__xludf.DUMMYFUNCTION("GOOGLETRANSLATE(A4579,""en"", ""mt"")"),"it-tielet")</f>
        <v>it-tielet</v>
      </c>
    </row>
    <row r="4580" ht="15.75" customHeight="1">
      <c r="A4580" s="2" t="s">
        <v>4580</v>
      </c>
      <c r="B4580" s="2" t="str">
        <f>IFERROR(__xludf.DUMMYFUNCTION("GOOGLETRANSLATE(A4580,""en"", ""mt"")"),"F'sistema ta 'sekrezzjoni tat-Tip III, il-proteini jiġu ttrasportati lejn iċ-ċellula ospitanti sabiex jagħmlu xiex?")</f>
        <v>F'sistema ta 'sekrezzjoni tat-Tip III, il-proteini jiġu ttrasportati lejn iċ-ċellula ospitanti sabiex jagħmlu xiex?</v>
      </c>
    </row>
    <row r="4581" ht="15.75" customHeight="1">
      <c r="A4581" s="2" t="s">
        <v>4581</v>
      </c>
      <c r="B4581" s="2" t="str">
        <f>IFERROR(__xludf.DUMMYFUNCTION("GOOGLETRANSLATE(A4581,""en"", ""mt"")"),"Aktar minn 100 università")</f>
        <v>Aktar minn 100 università</v>
      </c>
    </row>
    <row r="4582" ht="15.75" customHeight="1">
      <c r="A4582" s="2" t="s">
        <v>4582</v>
      </c>
      <c r="B4582" s="2" t="str">
        <f>IFERROR(__xludf.DUMMYFUNCTION("GOOGLETRANSLATE(A4582,""en"", ""mt"")"),"X'kien ir-riżultat ta 'Attakk Franċiż taċ-Ċentru tal-Kummerċ?")</f>
        <v>X'kien ir-riżultat ta 'Attakk Franċiż taċ-Ċentru tal-Kummerċ?</v>
      </c>
    </row>
    <row r="4583" ht="15.75" customHeight="1">
      <c r="A4583" s="2" t="s">
        <v>4583</v>
      </c>
      <c r="B4583" s="2" t="str">
        <f>IFERROR(__xludf.DUMMYFUNCTION("GOOGLETRANSLATE(A4583,""en"", ""mt"")"),"Liġi tal-liġi")</f>
        <v>Liġi tal-liġi</v>
      </c>
    </row>
    <row r="4584" ht="15.75" customHeight="1">
      <c r="A4584" s="2" t="s">
        <v>4584</v>
      </c>
      <c r="B4584" s="2" t="str">
        <f>IFERROR(__xludf.DUMMYFUNCTION("GOOGLETRANSLATE(A4584,""en"", ""mt"")"),"bla tagħlim")</f>
        <v>bla tagħlim</v>
      </c>
    </row>
  </sheetData>
  <printOptions/>
  <pageMargins bottom="1.0" footer="0.0" header="0.0" left="0.75" right="0.75" top="1.0"/>
  <pageSetup orientation="landscape"/>
  <drawing r:id="rId1"/>
</worksheet>
</file>