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1EBD607-49B5-49B8-B1EE-38590014166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biettivi di vendita" sheetId="1" r:id="rId1"/>
    <sheet name="Conto Economico" sheetId="2" r:id="rId2"/>
    <sheet name="Mutuo" sheetId="3" r:id="rId3"/>
    <sheet name="Costi investimento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1" l="1"/>
  <c r="C16" i="2"/>
  <c r="K7" i="1"/>
  <c r="G8" i="1"/>
  <c r="M8" i="1" s="1"/>
  <c r="H8" i="1"/>
  <c r="N8" i="1" s="1"/>
  <c r="I8" i="1"/>
  <c r="F21" i="1" s="1"/>
  <c r="F23" i="1" s="1"/>
  <c r="F26" i="1" s="1"/>
  <c r="J8" i="1"/>
  <c r="G21" i="1" s="1"/>
  <c r="G23" i="1" s="1"/>
  <c r="K8" i="1"/>
  <c r="Q8" i="1" s="1"/>
  <c r="F8" i="1"/>
  <c r="L8" i="1" s="1"/>
  <c r="K6" i="1"/>
  <c r="Q6" i="1" s="1"/>
  <c r="E5" i="1"/>
  <c r="Q5" i="1" s="1"/>
  <c r="H22" i="1" s="1"/>
  <c r="H24" i="1" s="1"/>
  <c r="B14" i="4"/>
  <c r="B9" i="4"/>
  <c r="C9" i="4" s="1"/>
  <c r="C14" i="4" s="1"/>
  <c r="C8" i="4"/>
  <c r="C7" i="4"/>
  <c r="C6" i="4"/>
  <c r="C5" i="4"/>
  <c r="C4" i="4"/>
  <c r="B11" i="3"/>
  <c r="B10" i="3"/>
  <c r="B5" i="3"/>
  <c r="G16" i="2"/>
  <c r="P8" i="1"/>
  <c r="O8" i="1"/>
  <c r="L7" i="1"/>
  <c r="P6" i="1"/>
  <c r="O6" i="1"/>
  <c r="N6" i="1"/>
  <c r="M6" i="1"/>
  <c r="L6" i="1"/>
  <c r="B9" i="2" l="1"/>
  <c r="H21" i="1"/>
  <c r="H23" i="1" s="1"/>
  <c r="H26" i="1" s="1"/>
  <c r="E21" i="1"/>
  <c r="E23" i="1" s="1"/>
  <c r="E26" i="1" s="1"/>
  <c r="D21" i="1"/>
  <c r="D23" i="1" s="1"/>
  <c r="C21" i="1"/>
  <c r="C23" i="1" s="1"/>
  <c r="M5" i="1"/>
  <c r="D22" i="1" s="1"/>
  <c r="D24" i="1" s="1"/>
  <c r="N5" i="1"/>
  <c r="E22" i="1" s="1"/>
  <c r="E24" i="1" s="1"/>
  <c r="L5" i="1"/>
  <c r="O5" i="1"/>
  <c r="F22" i="1" s="1"/>
  <c r="F24" i="1" s="1"/>
  <c r="P5" i="1"/>
  <c r="G22" i="1" s="1"/>
  <c r="G24" i="1" s="1"/>
  <c r="N7" i="1"/>
  <c r="M7" i="1"/>
  <c r="O7" i="1"/>
  <c r="E9" i="2" s="1"/>
  <c r="Q7" i="1"/>
  <c r="P7" i="1"/>
  <c r="D14" i="2"/>
  <c r="E14" i="2"/>
  <c r="C14" i="2"/>
  <c r="G14" i="2"/>
  <c r="F14" i="2"/>
  <c r="B12" i="3"/>
  <c r="L9" i="1" l="1"/>
  <c r="C22" i="1"/>
  <c r="C24" i="1" s="1"/>
  <c r="C26" i="1"/>
  <c r="C25" i="1"/>
  <c r="D26" i="1"/>
  <c r="D25" i="1"/>
  <c r="M9" i="1"/>
  <c r="C5" i="2" s="1"/>
  <c r="C9" i="2"/>
  <c r="Q9" i="1"/>
  <c r="G5" i="2" s="1"/>
  <c r="G9" i="2"/>
  <c r="P9" i="1"/>
  <c r="F5" i="2" s="1"/>
  <c r="F9" i="2"/>
  <c r="D9" i="2"/>
  <c r="B5" i="2"/>
  <c r="N9" i="1"/>
  <c r="D5" i="2" s="1"/>
  <c r="O9" i="1"/>
  <c r="E5" i="2" s="1"/>
  <c r="B15" i="3"/>
  <c r="B14" i="3"/>
  <c r="C10" i="3" s="1"/>
  <c r="G7" i="2" l="1"/>
  <c r="G11" i="2"/>
  <c r="C7" i="2"/>
  <c r="C11" i="2"/>
  <c r="F7" i="2"/>
  <c r="F11" i="2"/>
  <c r="F12" i="2" s="1"/>
  <c r="F13" i="2" s="1"/>
  <c r="F15" i="2" s="1"/>
  <c r="E7" i="2"/>
  <c r="E11" i="2"/>
  <c r="E12" i="2" s="1"/>
  <c r="E13" i="2" s="1"/>
  <c r="E15" i="2" s="1"/>
  <c r="C12" i="2"/>
  <c r="C13" i="2" s="1"/>
  <c r="C15" i="2" s="1"/>
  <c r="C17" i="2" s="1"/>
  <c r="C18" i="2" s="1"/>
  <c r="C19" i="2" s="1"/>
  <c r="G12" i="2"/>
  <c r="G13" i="2" s="1"/>
  <c r="G15" i="2" s="1"/>
  <c r="G17" i="2" s="1"/>
  <c r="G18" i="2" s="1"/>
  <c r="G19" i="2" s="1"/>
  <c r="D7" i="2"/>
  <c r="D13" i="2" s="1"/>
  <c r="D15" i="2" s="1"/>
  <c r="D11" i="2"/>
  <c r="B7" i="2"/>
  <c r="B11" i="2"/>
  <c r="B12" i="2" s="1"/>
  <c r="D12" i="2"/>
  <c r="C11" i="3"/>
  <c r="B13" i="2" l="1"/>
  <c r="B15" i="2" s="1"/>
  <c r="B17" i="2" s="1"/>
  <c r="B18" i="2" s="1"/>
  <c r="B19" i="2" s="1"/>
  <c r="D16" i="2"/>
  <c r="D17" i="2" s="1"/>
  <c r="C12" i="3"/>
  <c r="C13" i="3" l="1"/>
  <c r="B13" i="3" s="1"/>
  <c r="C15" i="3"/>
  <c r="C14" i="3"/>
  <c r="D10" i="3" s="1"/>
  <c r="D18" i="2"/>
  <c r="D19" i="2" s="1"/>
  <c r="D11" i="3" l="1"/>
  <c r="E16" i="2" l="1"/>
  <c r="E17" i="2" s="1"/>
  <c r="D12" i="3"/>
  <c r="D13" i="3" l="1"/>
  <c r="D14" i="3"/>
  <c r="E10" i="3" s="1"/>
  <c r="D15" i="3"/>
  <c r="E18" i="2"/>
  <c r="E19" i="2" s="1"/>
  <c r="E11" i="3" l="1"/>
  <c r="E12" i="3" l="1"/>
  <c r="E13" i="3" l="1"/>
  <c r="E14" i="3"/>
  <c r="F10" i="3" s="1"/>
  <c r="E15" i="3"/>
  <c r="F11" i="3" l="1"/>
  <c r="F16" i="2" l="1"/>
  <c r="F17" i="2" s="1"/>
  <c r="F12" i="3"/>
  <c r="B6" i="3"/>
  <c r="F13" i="3" l="1"/>
  <c r="F15" i="3"/>
  <c r="F14" i="3"/>
  <c r="F18" i="2"/>
  <c r="F19" i="2" s="1"/>
</calcChain>
</file>

<file path=xl/sharedStrings.xml><?xml version="1.0" encoding="utf-8"?>
<sst xmlns="http://schemas.openxmlformats.org/spreadsheetml/2006/main" count="129" uniqueCount="104">
  <si>
    <t>2. OBIETTIVI DI VENDITA - Fatturato previsto per singola tipologia di prodotto/servizio</t>
  </si>
  <si>
    <t>Prodotti/servizi</t>
  </si>
  <si>
    <t>unità di misura</t>
  </si>
  <si>
    <t>Prezzo unitario</t>
  </si>
  <si>
    <t>anno 0*</t>
  </si>
  <si>
    <t>anno 1**</t>
  </si>
  <si>
    <t>anno 2</t>
  </si>
  <si>
    <t>anno 3</t>
  </si>
  <si>
    <t>anno 4</t>
  </si>
  <si>
    <t>regime</t>
  </si>
  <si>
    <t>(a)(€)</t>
  </si>
  <si>
    <t>Quantità/servizi vendute/i</t>
  </si>
  <si>
    <t>fatturato realizzato €</t>
  </si>
  <si>
    <t>(b1)</t>
  </si>
  <si>
    <t>(b2)</t>
  </si>
  <si>
    <t>(b3)</t>
  </si>
  <si>
    <t>(b4)</t>
  </si>
  <si>
    <t>(b5)</t>
  </si>
  <si>
    <t>(b..)</t>
  </si>
  <si>
    <t>(a x b1)</t>
  </si>
  <si>
    <t>(a x b2)</t>
  </si>
  <si>
    <t>(a x b3)</t>
  </si>
  <si>
    <t>(a x b4)</t>
  </si>
  <si>
    <t>(a x b5)</t>
  </si>
  <si>
    <t>(a x b..)</t>
  </si>
  <si>
    <t>Base Application</t>
  </si>
  <si>
    <t>NR</t>
  </si>
  <si>
    <t>Gold Membership</t>
  </si>
  <si>
    <t>Totale per anno</t>
  </si>
  <si>
    <t>(*): per “Anno 0” si intende l’anno precedente l’anno di avvio del programma di investimenti</t>
  </si>
  <si>
    <t>(**): per “Anno 1” si intende l’anno in cui si prevede di avviare il programma di investimenti</t>
  </si>
  <si>
    <t>6. CONTO ECONOMICO PREVISIONALE</t>
  </si>
  <si>
    <t>Anno 0*</t>
  </si>
  <si>
    <t>Anno 1**</t>
  </si>
  <si>
    <t>Anno 2</t>
  </si>
  <si>
    <t xml:space="preserve">Anno 3 </t>
  </si>
  <si>
    <t>Anno 4</t>
  </si>
  <si>
    <t>Anno regime</t>
  </si>
  <si>
    <t>€</t>
  </si>
  <si>
    <t>Fatturato</t>
  </si>
  <si>
    <t>Altri ricavi</t>
  </si>
  <si>
    <t>A - Valore della produzione</t>
  </si>
  <si>
    <t>Consumo MP</t>
  </si>
  <si>
    <t>Servizi</t>
  </si>
  <si>
    <t>Godimento beni di terzi</t>
  </si>
  <si>
    <t>B - Totale costi di gestione</t>
  </si>
  <si>
    <t>MOL (A-B)</t>
  </si>
  <si>
    <t>(-) Ammortamenti</t>
  </si>
  <si>
    <t>Risultato Operativo</t>
  </si>
  <si>
    <t>(+/-) Gestione Finanziaria</t>
  </si>
  <si>
    <t>Risultato lordo</t>
  </si>
  <si>
    <t>(-) Imposte su reddito</t>
  </si>
  <si>
    <t>Risultato netto</t>
  </si>
  <si>
    <t xml:space="preserve">(*): per “Anno 0” si intende l’anno antecedente l’avvio del programma di investimenti </t>
  </si>
  <si>
    <t xml:space="preserve">IPOTESI MUTUO </t>
  </si>
  <si>
    <t>Importo mutuo</t>
  </si>
  <si>
    <t>Tasso interesse</t>
  </si>
  <si>
    <t>Numero anni</t>
  </si>
  <si>
    <t>Importo rata costante</t>
  </si>
  <si>
    <t>Totale interessi</t>
  </si>
  <si>
    <t>Anno 1</t>
  </si>
  <si>
    <t>Anno 3</t>
  </si>
  <si>
    <t>Anno a regime</t>
  </si>
  <si>
    <t>Debito iniziale</t>
  </si>
  <si>
    <t>Quota interessi rata</t>
  </si>
  <si>
    <t>Quota capitale rata</t>
  </si>
  <si>
    <t>Totale rata annua</t>
  </si>
  <si>
    <t>Debito residuo</t>
  </si>
  <si>
    <t>Debito estinto</t>
  </si>
  <si>
    <t>Costi di investimento</t>
  </si>
  <si>
    <t>Importo imponibile</t>
  </si>
  <si>
    <t>Ammortamento</t>
  </si>
  <si>
    <t>Arredi</t>
  </si>
  <si>
    <t>Attrezzature</t>
  </si>
  <si>
    <t>Programmi informatici ammortizzabili</t>
  </si>
  <si>
    <t>Servizi per le tecnologie dell’informazione e della comunicazione, big data e altri contenuti digitali ammortizzabili</t>
  </si>
  <si>
    <t>Brevetti, licenze, marchi</t>
  </si>
  <si>
    <t>Spese di avviamento</t>
  </si>
  <si>
    <t>materie prime</t>
  </si>
  <si>
    <t>materie sussidiarie</t>
  </si>
  <si>
    <t>materiali di consumo</t>
  </si>
  <si>
    <t>merci varie</t>
  </si>
  <si>
    <t>TOTALE</t>
  </si>
  <si>
    <t>solo il 40 percento degli utenti sarà attivo mesnilmente</t>
  </si>
  <si>
    <t>pubblicita cpc sost per click 0,5€ ogni 1000 visual</t>
  </si>
  <si>
    <t>60% utenti attivi aprono l'app di media due volte al giorno e se di media sull'app ci stai 15/20 minuti al giorno ti appariranno 4 pubblicità</t>
  </si>
  <si>
    <t>Gold+ Membership</t>
  </si>
  <si>
    <t>Bonus Sessions 45min</t>
  </si>
  <si>
    <t>GOLD+ REVISIONE + DETTAGLIATA OGNI 4 GIORNI 10/15 MINUTI 19 ORE ALL'ANNO QUINDI 14€ L'ORA DI PAGAMENTO PER QUESTO LAVORO</t>
  </si>
  <si>
    <t>dai lavori in background che possono essere fatti in ogni momento della giornata in</t>
  </si>
  <si>
    <t>"smart working" anche se all'utente arrivano alla stessa ora ogni tot giorni</t>
  </si>
  <si>
    <t>Bonus session sbloccabile solo dalla gold plus che da un guadagno di 36€ l'ora allo psicologo vanno 28,8€ l'ora</t>
  </si>
  <si>
    <t>REVISIONE GOLD DA PARTE DI UN PSICOLOGO OGNI 6 GIORNI PER UNA MEDIA DI 10 MINUTI AD UTENTE QUINDI 10 ORE TOTALI ALLANNO DI MEDIA DI REVISIONE PER 12 EURO</t>
  </si>
  <si>
    <t>budget per ore</t>
  </si>
  <si>
    <t>abbonamenti wifi e server per videochiamate e host app 1000€di media</t>
  </si>
  <si>
    <t xml:space="preserve">lo psicologo guadagna il 95% del guadagno fornito dalle bonus session e il 95% </t>
  </si>
  <si>
    <t xml:space="preserve">ore annue totali </t>
  </si>
  <si>
    <t>ore mensili</t>
  </si>
  <si>
    <t>budget mensile</t>
  </si>
  <si>
    <t>n psicologi full time</t>
  </si>
  <si>
    <t>n psicologi part time</t>
  </si>
  <si>
    <t>bonus produttività</t>
  </si>
  <si>
    <t xml:space="preserve">anche dei bonus ogni tot psycological session e ogni tot good feedback </t>
  </si>
  <si>
    <t>che sono il 10% del guadagno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</si>
</sst>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* #,##0.00_-;\-* #,##0.00_-;_-* \-??_-;_-@_-"/>
    <numFmt numFmtId="165" formatCode="#,##0.00_ ;\-#,##0.00\ "/>
    <numFmt numFmtId="166" formatCode="&quot;€ &quot;#,##0;[Red]&quot;-€ &quot;#,##0"/>
    <numFmt numFmtId="167" formatCode="_-* #,##0_-;\-* #,##0_-;_-* \-??_-;_-@_-"/>
    <numFmt numFmtId="168" formatCode="#,##0.00&quot; €&quot;"/>
    <numFmt numFmtId="169" formatCode="&quot;€ &quot;#,##0.00"/>
    <numFmt numFmtId="170" formatCode="#,##0.00\ &quot;€&quot;"/>
  </numFmts>
  <fonts count="23" x14ac:knownFonts="1">
    <font>
      <sz val="11"/>
      <color theme="1"/>
      <name val="Calibri"/>
      <family val="2"/>
      <charset val="1"/>
    </font>
    <font>
      <sz val="10"/>
      <name val="Arial"/>
    </font>
    <font>
      <b/>
      <sz val="10"/>
      <color theme="1"/>
      <name val="Verdana"/>
      <family val="2"/>
      <charset val="1"/>
    </font>
    <font>
      <sz val="10"/>
      <color theme="1"/>
      <name val="Calibri"/>
      <family val="2"/>
      <charset val="1"/>
    </font>
    <font>
      <sz val="10"/>
      <color rgb="FF000000"/>
      <name val="Verdana"/>
      <family val="2"/>
      <charset val="1"/>
    </font>
    <font>
      <sz val="10"/>
      <color theme="1"/>
      <name val="Verdana"/>
      <family val="2"/>
      <charset val="1"/>
    </font>
    <font>
      <i/>
      <sz val="10"/>
      <color theme="1"/>
      <name val="Verdana"/>
      <family val="2"/>
      <charset val="1"/>
    </font>
    <font>
      <i/>
      <sz val="10"/>
      <color rgb="FF000000"/>
      <name val="Verdana"/>
      <family val="2"/>
      <charset val="1"/>
    </font>
    <font>
      <b/>
      <sz val="12"/>
      <color theme="1"/>
      <name val="Calibri Light"/>
      <family val="2"/>
      <charset val="1"/>
    </font>
    <font>
      <sz val="10"/>
      <color theme="1"/>
      <name val="Calibri Light"/>
      <family val="2"/>
      <charset val="1"/>
    </font>
    <font>
      <b/>
      <sz val="10"/>
      <color theme="1"/>
      <name val="Calibri Light"/>
      <family val="2"/>
      <charset val="1"/>
    </font>
    <font>
      <sz val="10"/>
      <color theme="1"/>
      <name val="Calibri Light"/>
      <family val="2"/>
    </font>
    <font>
      <i/>
      <sz val="8"/>
      <color theme="1"/>
      <name val="Verdana"/>
      <family val="2"/>
      <charset val="1"/>
    </font>
    <font>
      <b/>
      <sz val="16"/>
      <color theme="1"/>
      <name val="Calibri Light"/>
      <family val="2"/>
      <charset val="1"/>
    </font>
    <font>
      <sz val="11"/>
      <color theme="1"/>
      <name val="Calibri Light"/>
      <family val="2"/>
      <charset val="1"/>
    </font>
    <font>
      <sz val="12"/>
      <color theme="1"/>
      <name val="Calibri Light"/>
      <family val="2"/>
      <charset val="1"/>
    </font>
    <font>
      <b/>
      <sz val="8"/>
      <color theme="1"/>
      <name val="Calibri Light"/>
      <family val="2"/>
      <charset val="1"/>
    </font>
    <font>
      <sz val="11"/>
      <color rgb="FF000099"/>
      <name val="Calibri Light"/>
      <family val="2"/>
      <charset val="1"/>
    </font>
    <font>
      <b/>
      <sz val="11"/>
      <color rgb="FF000099"/>
      <name val="Calibri Light"/>
      <family val="2"/>
      <charset val="1"/>
    </font>
    <font>
      <b/>
      <sz val="11"/>
      <color theme="1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sz val="10"/>
      <color rgb="FF000000"/>
      <name val="Calibri Light"/>
      <family val="2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D4ECBA"/>
        <bgColor rgb="FFFFF2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medium">
        <color rgb="FF333399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medium">
        <color rgb="FF333399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164" fontId="22" fillId="0" borderId="0" applyBorder="0" applyProtection="0"/>
    <xf numFmtId="44" fontId="1" fillId="0" borderId="0" applyBorder="0" applyAlignment="0" applyProtection="0"/>
    <xf numFmtId="164" fontId="22" fillId="0" borderId="0" applyBorder="0" applyProtection="0"/>
  </cellStyleXfs>
  <cellXfs count="70">
    <xf numFmtId="0" fontId="0" fillId="0" borderId="0" xfId="0"/>
    <xf numFmtId="0" fontId="3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5" fillId="3" borderId="7" xfId="0" applyFont="1" applyFill="1" applyBorder="1" applyAlignment="1" applyProtection="1">
      <alignment vertical="center" wrapText="1"/>
      <protection locked="0"/>
    </xf>
    <xf numFmtId="165" fontId="5" fillId="3" borderId="7" xfId="1" applyNumberFormat="1" applyFont="1" applyFill="1" applyBorder="1" applyAlignment="1" applyProtection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10" fillId="4" borderId="10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165" fontId="9" fillId="0" borderId="10" xfId="1" applyNumberFormat="1" applyFont="1" applyBorder="1" applyAlignment="1" applyProtection="1">
      <alignment horizontal="center" vertical="center" wrapText="1"/>
    </xf>
    <xf numFmtId="165" fontId="10" fillId="4" borderId="10" xfId="1" applyNumberFormat="1" applyFont="1" applyFill="1" applyBorder="1" applyAlignment="1" applyProtection="1">
      <alignment horizontal="center" vertical="center" wrapText="1"/>
    </xf>
    <xf numFmtId="165" fontId="9" fillId="0" borderId="10" xfId="1" applyNumberFormat="1" applyFont="1" applyBorder="1" applyAlignment="1" applyProtection="1">
      <alignment horizontal="center" vertical="center" wrapText="1"/>
      <protection locked="0"/>
    </xf>
    <xf numFmtId="165" fontId="11" fillId="0" borderId="10" xfId="1" applyNumberFormat="1" applyFont="1" applyBorder="1" applyAlignment="1" applyProtection="1">
      <alignment horizontal="center" vertical="center" wrapText="1"/>
      <protection locked="0"/>
    </xf>
    <xf numFmtId="165" fontId="9" fillId="0" borderId="10" xfId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13" fillId="0" borderId="11" xfId="0" applyFont="1" applyBorder="1" applyAlignment="1">
      <alignment horizontal="left"/>
    </xf>
    <xf numFmtId="0" fontId="14" fillId="0" borderId="0" xfId="0" applyFont="1"/>
    <xf numFmtId="0" fontId="15" fillId="0" borderId="11" xfId="0" applyFont="1" applyBorder="1"/>
    <xf numFmtId="166" fontId="8" fillId="3" borderId="12" xfId="0" applyNumberFormat="1" applyFont="1" applyFill="1" applyBorder="1" applyAlignment="1">
      <alignment horizontal="right"/>
    </xf>
    <xf numFmtId="0" fontId="15" fillId="0" borderId="13" xfId="0" applyFont="1" applyBorder="1"/>
    <xf numFmtId="10" fontId="8" fillId="3" borderId="14" xfId="0" applyNumberFormat="1" applyFont="1" applyFill="1" applyBorder="1" applyAlignment="1">
      <alignment horizontal="right"/>
    </xf>
    <xf numFmtId="0" fontId="8" fillId="3" borderId="14" xfId="0" applyFont="1" applyFill="1" applyBorder="1" applyAlignment="1">
      <alignment horizontal="right"/>
    </xf>
    <xf numFmtId="166" fontId="8" fillId="3" borderId="14" xfId="0" applyNumberFormat="1" applyFont="1" applyFill="1" applyBorder="1" applyAlignment="1">
      <alignment horizontal="right"/>
    </xf>
    <xf numFmtId="0" fontId="15" fillId="0" borderId="15" xfId="0" applyFont="1" applyBorder="1"/>
    <xf numFmtId="166" fontId="8" fillId="3" borderId="16" xfId="0" applyNumberFormat="1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0" fontId="17" fillId="0" borderId="10" xfId="0" applyFont="1" applyBorder="1"/>
    <xf numFmtId="0" fontId="18" fillId="0" borderId="10" xfId="0" applyFont="1" applyBorder="1" applyAlignment="1">
      <alignment horizontal="center"/>
    </xf>
    <xf numFmtId="0" fontId="14" fillId="0" borderId="17" xfId="0" applyFont="1" applyBorder="1"/>
    <xf numFmtId="0" fontId="19" fillId="0" borderId="18" xfId="0" applyFont="1" applyBorder="1" applyAlignment="1">
      <alignment horizontal="center"/>
    </xf>
    <xf numFmtId="0" fontId="14" fillId="0" borderId="13" xfId="0" applyFont="1" applyBorder="1"/>
    <xf numFmtId="167" fontId="14" fillId="0" borderId="10" xfId="3" applyNumberFormat="1" applyFont="1" applyBorder="1" applyAlignment="1" applyProtection="1"/>
    <xf numFmtId="0" fontId="14" fillId="0" borderId="15" xfId="0" applyFont="1" applyBorder="1"/>
    <xf numFmtId="167" fontId="14" fillId="0" borderId="19" xfId="0" applyNumberFormat="1" applyFont="1" applyBorder="1"/>
    <xf numFmtId="0" fontId="8" fillId="4" borderId="0" xfId="0" applyFont="1" applyFill="1" applyAlignment="1">
      <alignment horizontal="center"/>
    </xf>
    <xf numFmtId="0" fontId="21" fillId="4" borderId="1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168" fontId="21" fillId="0" borderId="10" xfId="0" applyNumberFormat="1" applyFont="1" applyBorder="1" applyAlignment="1" applyProtection="1">
      <alignment horizontal="right" vertical="center" wrapText="1"/>
      <protection locked="0"/>
    </xf>
    <xf numFmtId="169" fontId="0" fillId="0" borderId="10" xfId="0" applyNumberFormat="1" applyBorder="1"/>
    <xf numFmtId="0" fontId="21" fillId="0" borderId="10" xfId="0" applyFont="1" applyBorder="1" applyAlignment="1">
      <alignment horizontal="right" vertical="center" wrapText="1"/>
    </xf>
    <xf numFmtId="0" fontId="0" fillId="0" borderId="10" xfId="0" applyBorder="1"/>
    <xf numFmtId="0" fontId="21" fillId="0" borderId="10" xfId="0" applyFont="1" applyBorder="1" applyAlignment="1">
      <alignment horizontal="right" wrapText="1"/>
    </xf>
    <xf numFmtId="0" fontId="20" fillId="4" borderId="10" xfId="0" applyFont="1" applyFill="1" applyBorder="1" applyAlignment="1" applyProtection="1">
      <alignment horizontal="right" vertical="center" wrapText="1"/>
      <protection locked="0"/>
    </xf>
    <xf numFmtId="168" fontId="20" fillId="4" borderId="10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170" fontId="5" fillId="3" borderId="7" xfId="0" applyNumberFormat="1" applyFont="1" applyFill="1" applyBorder="1" applyAlignment="1" applyProtection="1">
      <alignment vertical="center" wrapText="1"/>
      <protection locked="0"/>
    </xf>
    <xf numFmtId="0" fontId="4" fillId="2" borderId="10" xfId="0" applyFont="1" applyFill="1" applyBorder="1" applyAlignment="1">
      <alignment horizontal="center" vertical="center" wrapText="1"/>
    </xf>
    <xf numFmtId="0" fontId="0" fillId="5" borderId="10" xfId="0" applyFill="1" applyBorder="1"/>
    <xf numFmtId="44" fontId="1" fillId="0" borderId="10" xfId="2" applyBorder="1" applyAlignment="1" applyProtection="1">
      <alignment horizontal="center" vertical="center" wrapText="1"/>
      <protection locked="0"/>
    </xf>
    <xf numFmtId="1" fontId="0" fillId="0" borderId="10" xfId="0" applyNumberFormat="1" applyBorder="1"/>
    <xf numFmtId="44" fontId="1" fillId="0" borderId="10" xfId="2" applyBorder="1"/>
    <xf numFmtId="0" fontId="6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 applyProtection="1">
      <alignment vertical="center" wrapText="1"/>
      <protection locked="0"/>
    </xf>
    <xf numFmtId="0" fontId="5" fillId="3" borderId="20" xfId="0" applyFont="1" applyFill="1" applyBorder="1" applyAlignment="1" applyProtection="1">
      <alignment vertical="center" wrapText="1"/>
      <protection locked="0"/>
    </xf>
    <xf numFmtId="0" fontId="5" fillId="3" borderId="4" xfId="0" applyFont="1" applyFill="1" applyBorder="1" applyAlignment="1" applyProtection="1">
      <alignment vertical="center" wrapText="1"/>
      <protection locked="0"/>
    </xf>
    <xf numFmtId="0" fontId="2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vertical="center"/>
    </xf>
    <xf numFmtId="0" fontId="20" fillId="4" borderId="10" xfId="0" applyFont="1" applyFill="1" applyBorder="1" applyAlignment="1">
      <alignment horizontal="center" vertical="center" wrapText="1"/>
    </xf>
  </cellXfs>
  <cellStyles count="4">
    <cellStyle name="Migliaia" xfId="1" builtinId="3"/>
    <cellStyle name="Migliaia 3" xfId="3" xr:uid="{00000000-0005-0000-0000-000006000000}"/>
    <cellStyle name="Normale" xfId="0" builtinId="0"/>
    <cellStyle name="Valuta" xfId="2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CB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="117" zoomScaleNormal="117" workbookViewId="0">
      <selection activeCell="E26" sqref="E26"/>
    </sheetView>
  </sheetViews>
  <sheetFormatPr defaultColWidth="8.7109375" defaultRowHeight="15" x14ac:dyDescent="0.25"/>
  <cols>
    <col min="1" max="1" width="7.5703125" customWidth="1"/>
    <col min="2" max="2" width="19.140625" customWidth="1"/>
    <col min="3" max="3" width="15" customWidth="1"/>
    <col min="4" max="4" width="15.140625" bestFit="1" customWidth="1"/>
    <col min="5" max="5" width="12.28515625" bestFit="1" customWidth="1"/>
    <col min="6" max="6" width="12.5703125" customWidth="1"/>
    <col min="7" max="7" width="12.28515625" customWidth="1"/>
    <col min="8" max="8" width="13.42578125" bestFit="1" customWidth="1"/>
    <col min="12" max="12" width="11.7109375" customWidth="1"/>
    <col min="13" max="13" width="12.140625" customWidth="1"/>
    <col min="14" max="14" width="17.85546875" customWidth="1"/>
    <col min="15" max="15" width="15.28515625" customWidth="1"/>
    <col min="16" max="16" width="17.28515625" customWidth="1"/>
    <col min="17" max="17" width="16.5703125" customWidth="1"/>
  </cols>
  <sheetData>
    <row r="1" spans="1:17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ht="25.5" customHeight="1" thickBot="1" x14ac:dyDescent="0.3">
      <c r="A2" s="65" t="s">
        <v>1</v>
      </c>
      <c r="B2" s="65"/>
      <c r="C2" s="65"/>
      <c r="D2" s="65" t="s">
        <v>2</v>
      </c>
      <c r="E2" s="2" t="s">
        <v>3</v>
      </c>
      <c r="F2" s="3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4</v>
      </c>
      <c r="M2" s="4" t="s">
        <v>5</v>
      </c>
      <c r="N2" s="4" t="s">
        <v>6</v>
      </c>
      <c r="O2" s="4" t="s">
        <v>7</v>
      </c>
      <c r="P2" s="4" t="s">
        <v>8</v>
      </c>
      <c r="Q2" s="4" t="s">
        <v>9</v>
      </c>
    </row>
    <row r="3" spans="1:17" ht="15" customHeight="1" x14ac:dyDescent="0.25">
      <c r="A3" s="65"/>
      <c r="B3" s="65"/>
      <c r="C3" s="65"/>
      <c r="D3" s="65"/>
      <c r="E3" s="5" t="s">
        <v>10</v>
      </c>
      <c r="F3" s="66" t="s">
        <v>11</v>
      </c>
      <c r="G3" s="66"/>
      <c r="H3" s="66"/>
      <c r="I3" s="66"/>
      <c r="J3" s="66"/>
      <c r="K3" s="66"/>
      <c r="L3" s="6"/>
      <c r="M3" s="65" t="s">
        <v>12</v>
      </c>
      <c r="N3" s="65"/>
      <c r="O3" s="65"/>
      <c r="P3" s="65"/>
      <c r="Q3" s="65"/>
    </row>
    <row r="4" spans="1:17" x14ac:dyDescent="0.25">
      <c r="A4" s="65"/>
      <c r="B4" s="65"/>
      <c r="C4" s="65"/>
      <c r="D4" s="65"/>
      <c r="E4" s="7"/>
      <c r="F4" s="8" t="s">
        <v>13</v>
      </c>
      <c r="G4" s="8" t="s">
        <v>14</v>
      </c>
      <c r="H4" s="8" t="s">
        <v>15</v>
      </c>
      <c r="I4" s="8" t="s">
        <v>16</v>
      </c>
      <c r="J4" s="8" t="s">
        <v>17</v>
      </c>
      <c r="K4" s="8" t="s">
        <v>18</v>
      </c>
      <c r="L4" s="8" t="s">
        <v>19</v>
      </c>
      <c r="M4" s="8" t="s">
        <v>20</v>
      </c>
      <c r="N4" s="8" t="s">
        <v>21</v>
      </c>
      <c r="O4" s="8" t="s">
        <v>22</v>
      </c>
      <c r="P4" s="8" t="s">
        <v>23</v>
      </c>
      <c r="Q4" s="8" t="s">
        <v>24</v>
      </c>
    </row>
    <row r="5" spans="1:17" ht="14.25" customHeight="1" x14ac:dyDescent="0.25">
      <c r="A5" s="9">
        <v>1</v>
      </c>
      <c r="B5" s="61" t="s">
        <v>25</v>
      </c>
      <c r="C5" s="61"/>
      <c r="D5" s="10" t="s">
        <v>26</v>
      </c>
      <c r="E5" s="53">
        <f>0.6*300*2*4/1000*0.5</f>
        <v>0.72</v>
      </c>
      <c r="F5" s="10">
        <v>1000</v>
      </c>
      <c r="G5" s="10">
        <v>1500</v>
      </c>
      <c r="H5" s="10">
        <v>3000</v>
      </c>
      <c r="I5" s="10">
        <v>6000</v>
      </c>
      <c r="J5" s="10">
        <v>10000</v>
      </c>
      <c r="K5" s="10">
        <v>12000</v>
      </c>
      <c r="L5" s="11">
        <f>SUM(F5*$E$5)</f>
        <v>720</v>
      </c>
      <c r="M5" s="11">
        <f>SUM(G5*E5)</f>
        <v>1080</v>
      </c>
      <c r="N5" s="11">
        <f>SUM(H5*$E$5)</f>
        <v>2160</v>
      </c>
      <c r="O5" s="11">
        <f>SUM(I5*$E$5)</f>
        <v>4320</v>
      </c>
      <c r="P5" s="11">
        <f>SUM(J5*$E$5)</f>
        <v>7200</v>
      </c>
      <c r="Q5" s="11">
        <f>SUM(K5*$E$5)</f>
        <v>8640</v>
      </c>
    </row>
    <row r="6" spans="1:17" ht="14.25" customHeight="1" x14ac:dyDescent="0.25">
      <c r="A6" s="9">
        <v>2</v>
      </c>
      <c r="B6" s="62" t="s">
        <v>27</v>
      </c>
      <c r="C6" s="63"/>
      <c r="D6" s="10" t="s">
        <v>26</v>
      </c>
      <c r="E6" s="53">
        <v>120</v>
      </c>
      <c r="F6" s="10">
        <v>20</v>
      </c>
      <c r="G6" s="10">
        <v>100</v>
      </c>
      <c r="H6" s="10">
        <v>200</v>
      </c>
      <c r="I6" s="10">
        <v>450</v>
      </c>
      <c r="J6" s="10">
        <v>600</v>
      </c>
      <c r="K6" s="10">
        <f>K5*0.1</f>
        <v>1200</v>
      </c>
      <c r="L6" s="11">
        <f t="shared" ref="L6:Q8" si="0">(+$E6*F6)</f>
        <v>2400</v>
      </c>
      <c r="M6" s="11">
        <f t="shared" si="0"/>
        <v>12000</v>
      </c>
      <c r="N6" s="11">
        <f t="shared" si="0"/>
        <v>24000</v>
      </c>
      <c r="O6" s="11">
        <f t="shared" si="0"/>
        <v>54000</v>
      </c>
      <c r="P6" s="11">
        <f t="shared" si="0"/>
        <v>72000</v>
      </c>
      <c r="Q6" s="11">
        <f t="shared" si="0"/>
        <v>144000</v>
      </c>
    </row>
    <row r="7" spans="1:17" ht="15" customHeight="1" x14ac:dyDescent="0.25">
      <c r="A7" s="9">
        <v>3</v>
      </c>
      <c r="B7" s="62" t="s">
        <v>86</v>
      </c>
      <c r="C7" s="63"/>
      <c r="D7" s="10" t="s">
        <v>26</v>
      </c>
      <c r="E7" s="53">
        <v>280</v>
      </c>
      <c r="F7" s="10">
        <v>5</v>
      </c>
      <c r="G7" s="10">
        <v>15</v>
      </c>
      <c r="H7" s="10">
        <v>20</v>
      </c>
      <c r="I7" s="10">
        <v>30</v>
      </c>
      <c r="J7" s="10">
        <v>60</v>
      </c>
      <c r="K7" s="10">
        <f>K5*0.02</f>
        <v>240</v>
      </c>
      <c r="L7" s="11">
        <f t="shared" si="0"/>
        <v>1400</v>
      </c>
      <c r="M7" s="11">
        <f t="shared" si="0"/>
        <v>4200</v>
      </c>
      <c r="N7" s="11">
        <f t="shared" si="0"/>
        <v>5600</v>
      </c>
      <c r="O7" s="11">
        <f t="shared" si="0"/>
        <v>8400</v>
      </c>
      <c r="P7" s="11">
        <f t="shared" si="0"/>
        <v>16800</v>
      </c>
      <c r="Q7" s="11">
        <f t="shared" si="0"/>
        <v>67200</v>
      </c>
    </row>
    <row r="8" spans="1:17" ht="14.25" customHeight="1" x14ac:dyDescent="0.25">
      <c r="A8" s="9">
        <v>4</v>
      </c>
      <c r="B8" s="61" t="s">
        <v>87</v>
      </c>
      <c r="C8" s="61"/>
      <c r="D8" s="10" t="s">
        <v>26</v>
      </c>
      <c r="E8" s="53">
        <v>27</v>
      </c>
      <c r="F8" s="10">
        <f>F7*12*2</f>
        <v>120</v>
      </c>
      <c r="G8" s="10">
        <f t="shared" ref="G8:K8" si="1">G7*12*2</f>
        <v>360</v>
      </c>
      <c r="H8" s="10">
        <f t="shared" si="1"/>
        <v>480</v>
      </c>
      <c r="I8" s="10">
        <f t="shared" si="1"/>
        <v>720</v>
      </c>
      <c r="J8" s="10">
        <f t="shared" si="1"/>
        <v>1440</v>
      </c>
      <c r="K8" s="10">
        <f t="shared" si="1"/>
        <v>5760</v>
      </c>
      <c r="L8" s="11">
        <f t="shared" si="0"/>
        <v>3240</v>
      </c>
      <c r="M8" s="11">
        <f t="shared" si="0"/>
        <v>9720</v>
      </c>
      <c r="N8" s="11">
        <f t="shared" si="0"/>
        <v>12960</v>
      </c>
      <c r="O8" s="11">
        <f t="shared" si="0"/>
        <v>19440</v>
      </c>
      <c r="P8" s="11">
        <f t="shared" si="0"/>
        <v>38880</v>
      </c>
      <c r="Q8" s="11">
        <f t="shared" si="0"/>
        <v>155520</v>
      </c>
    </row>
    <row r="9" spans="1:17" ht="14.25" customHeight="1" x14ac:dyDescent="0.25">
      <c r="A9" s="59"/>
      <c r="B9" s="59"/>
      <c r="C9" s="60" t="s">
        <v>28</v>
      </c>
      <c r="D9" s="60"/>
      <c r="E9" s="60"/>
      <c r="F9" s="60"/>
      <c r="G9" s="60"/>
      <c r="H9" s="60"/>
      <c r="I9" s="60"/>
      <c r="J9" s="60"/>
      <c r="K9" s="60"/>
      <c r="L9" s="11">
        <f t="shared" ref="L9:Q9" si="2">SUM(L5:L8)</f>
        <v>7760</v>
      </c>
      <c r="M9" s="11">
        <f t="shared" si="2"/>
        <v>27000</v>
      </c>
      <c r="N9" s="11">
        <f t="shared" si="2"/>
        <v>44720</v>
      </c>
      <c r="O9" s="11">
        <f t="shared" si="2"/>
        <v>86160</v>
      </c>
      <c r="P9" s="11">
        <f t="shared" si="2"/>
        <v>134880</v>
      </c>
      <c r="Q9" s="11">
        <f t="shared" si="2"/>
        <v>375360</v>
      </c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2" t="s">
        <v>84</v>
      </c>
      <c r="N11" s="52"/>
      <c r="O11" s="52"/>
      <c r="P11" s="1"/>
      <c r="Q11" s="1"/>
    </row>
    <row r="12" spans="1:17" x14ac:dyDescent="0.25">
      <c r="A12" s="1"/>
      <c r="B12" s="1" t="s">
        <v>29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52" t="s">
        <v>83</v>
      </c>
      <c r="N12" s="52"/>
      <c r="O12" s="52"/>
      <c r="P12" s="1"/>
      <c r="Q12" s="1"/>
    </row>
    <row r="13" spans="1:17" x14ac:dyDescent="0.25">
      <c r="A13" s="1"/>
      <c r="B13" s="1" t="s">
        <v>30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52" t="s">
        <v>85</v>
      </c>
      <c r="N13" s="52"/>
      <c r="O13" s="52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2"/>
      <c r="N14" s="52"/>
      <c r="O14" s="52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 t="s">
        <v>92</v>
      </c>
      <c r="I15" s="1"/>
      <c r="J15" s="1"/>
      <c r="K15" s="1"/>
      <c r="L15" s="1"/>
      <c r="M15" s="52"/>
      <c r="N15" s="52"/>
      <c r="O15" s="52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 t="s">
        <v>88</v>
      </c>
      <c r="I16" s="1"/>
      <c r="J16" s="1"/>
      <c r="K16" s="1"/>
      <c r="L16" s="1"/>
      <c r="M16" s="1"/>
      <c r="N16" s="1"/>
      <c r="O16" s="1"/>
      <c r="P16" s="1"/>
      <c r="Q16" s="1"/>
    </row>
    <row r="17" spans="1:8" x14ac:dyDescent="0.25">
      <c r="A17" s="1"/>
      <c r="B17" s="1"/>
      <c r="C17" s="1"/>
      <c r="D17" s="1"/>
      <c r="E17" s="1"/>
      <c r="F17" s="1"/>
      <c r="G17" s="1"/>
      <c r="H17" t="s">
        <v>91</v>
      </c>
    </row>
    <row r="18" spans="1:8" ht="1.5" customHeight="1" x14ac:dyDescent="0.25"/>
    <row r="19" spans="1:8" hidden="1" x14ac:dyDescent="0.25"/>
    <row r="20" spans="1:8" x14ac:dyDescent="0.25">
      <c r="B20" s="48"/>
      <c r="C20" s="54" t="s">
        <v>4</v>
      </c>
      <c r="D20" s="54" t="s">
        <v>5</v>
      </c>
      <c r="E20" s="54" t="s">
        <v>6</v>
      </c>
      <c r="F20" s="54" t="s">
        <v>7</v>
      </c>
      <c r="G20" s="54" t="s">
        <v>8</v>
      </c>
      <c r="H20" s="54" t="s">
        <v>9</v>
      </c>
    </row>
    <row r="21" spans="1:8" x14ac:dyDescent="0.25">
      <c r="B21" s="55" t="s">
        <v>96</v>
      </c>
      <c r="C21" s="55">
        <f t="shared" ref="C21:H21" si="3">F6*10+F7*19+F8*0.75</f>
        <v>385</v>
      </c>
      <c r="D21" s="55">
        <f t="shared" si="3"/>
        <v>1555</v>
      </c>
      <c r="E21" s="55">
        <f t="shared" si="3"/>
        <v>2740</v>
      </c>
      <c r="F21" s="55">
        <f t="shared" si="3"/>
        <v>5610</v>
      </c>
      <c r="G21" s="55">
        <f t="shared" si="3"/>
        <v>8220</v>
      </c>
      <c r="H21" s="55">
        <f t="shared" si="3"/>
        <v>20880</v>
      </c>
    </row>
    <row r="22" spans="1:8" x14ac:dyDescent="0.25">
      <c r="B22" s="55" t="s">
        <v>93</v>
      </c>
      <c r="C22" s="56">
        <f>4750+L5*0.1</f>
        <v>4822</v>
      </c>
      <c r="D22" s="56">
        <f>18570+M5*0.1</f>
        <v>18678</v>
      </c>
      <c r="E22" s="56">
        <f>31960+N5*0.1</f>
        <v>32176</v>
      </c>
      <c r="F22" s="56">
        <f>64140+O5*0.1</f>
        <v>64572</v>
      </c>
      <c r="G22" s="56">
        <f>95880+P5*0.1</f>
        <v>96600</v>
      </c>
      <c r="H22" s="56">
        <f>253920+Q5*0.1</f>
        <v>254784</v>
      </c>
    </row>
    <row r="23" spans="1:8" x14ac:dyDescent="0.25">
      <c r="B23" s="55" t="s">
        <v>97</v>
      </c>
      <c r="C23" s="57">
        <f t="shared" ref="C23:H24" si="4">C21/12</f>
        <v>32.083333333333336</v>
      </c>
      <c r="D23" s="57">
        <f t="shared" si="4"/>
        <v>129.58333333333334</v>
      </c>
      <c r="E23" s="57">
        <f t="shared" si="4"/>
        <v>228.33333333333334</v>
      </c>
      <c r="F23" s="57">
        <f t="shared" si="4"/>
        <v>467.5</v>
      </c>
      <c r="G23" s="57">
        <f t="shared" si="4"/>
        <v>685</v>
      </c>
      <c r="H23" s="57">
        <f t="shared" si="4"/>
        <v>1740</v>
      </c>
    </row>
    <row r="24" spans="1:8" x14ac:dyDescent="0.25">
      <c r="B24" s="55" t="s">
        <v>98</v>
      </c>
      <c r="C24" s="58">
        <f t="shared" si="4"/>
        <v>401.83333333333331</v>
      </c>
      <c r="D24" s="58">
        <f t="shared" si="4"/>
        <v>1556.5</v>
      </c>
      <c r="E24" s="58">
        <f t="shared" si="4"/>
        <v>2681.3333333333335</v>
      </c>
      <c r="F24" s="58">
        <f t="shared" si="4"/>
        <v>5381</v>
      </c>
      <c r="G24" s="58">
        <f t="shared" si="4"/>
        <v>8050</v>
      </c>
      <c r="H24" s="58">
        <f t="shared" si="4"/>
        <v>21232</v>
      </c>
    </row>
    <row r="25" spans="1:8" x14ac:dyDescent="0.25">
      <c r="B25" s="55" t="s">
        <v>100</v>
      </c>
      <c r="C25" s="48">
        <f>IF((C23/20)&lt;8,(1),(0))</f>
        <v>1</v>
      </c>
      <c r="D25" s="48">
        <f t="shared" ref="D25" si="5">IF((D23/20)&lt;8,(1),(0))</f>
        <v>1</v>
      </c>
      <c r="E25" s="48">
        <v>1</v>
      </c>
      <c r="F25" s="48">
        <v>0</v>
      </c>
      <c r="G25" s="48">
        <v>1</v>
      </c>
      <c r="H25" s="48">
        <v>0</v>
      </c>
    </row>
    <row r="26" spans="1:8" x14ac:dyDescent="0.25">
      <c r="B26" s="55" t="s">
        <v>99</v>
      </c>
      <c r="C26" s="48">
        <f>IF((C23/20)&gt;8,(C23/20/8),(0))</f>
        <v>0</v>
      </c>
      <c r="D26" s="48">
        <f t="shared" ref="D26:H26" si="6">IF((D23/20)&gt;8,(D23/20/8),(0))</f>
        <v>0</v>
      </c>
      <c r="E26" s="57">
        <f t="shared" si="6"/>
        <v>1.4270833333333335</v>
      </c>
      <c r="F26" s="57">
        <f t="shared" si="6"/>
        <v>2.921875</v>
      </c>
      <c r="G26" s="57">
        <f t="shared" si="6"/>
        <v>4.28125</v>
      </c>
      <c r="H26" s="57">
        <f t="shared" si="6"/>
        <v>10.875</v>
      </c>
    </row>
  </sheetData>
  <mergeCells count="11">
    <mergeCell ref="A1:Q1"/>
    <mergeCell ref="A2:C4"/>
    <mergeCell ref="D2:D4"/>
    <mergeCell ref="F3:K3"/>
    <mergeCell ref="M3:Q3"/>
    <mergeCell ref="A9:B9"/>
    <mergeCell ref="C9:K9"/>
    <mergeCell ref="B5:C5"/>
    <mergeCell ref="B6:C6"/>
    <mergeCell ref="B7:C7"/>
    <mergeCell ref="B8:C8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opLeftCell="A4" zoomScale="130" zoomScaleNormal="130" workbookViewId="0">
      <selection activeCell="G19" sqref="G19"/>
    </sheetView>
  </sheetViews>
  <sheetFormatPr defaultColWidth="8.7109375" defaultRowHeight="15" x14ac:dyDescent="0.25"/>
  <cols>
    <col min="1" max="1" width="39.42578125" customWidth="1"/>
    <col min="2" max="2" width="11.5703125" customWidth="1"/>
    <col min="3" max="3" width="12.85546875" customWidth="1"/>
    <col min="4" max="4" width="11.7109375" customWidth="1"/>
    <col min="5" max="6" width="11.42578125" customWidth="1"/>
    <col min="7" max="7" width="17.85546875" customWidth="1"/>
  </cols>
  <sheetData>
    <row r="1" spans="1:10" ht="15.75" x14ac:dyDescent="0.25">
      <c r="A1" s="67" t="s">
        <v>31</v>
      </c>
      <c r="B1" s="67"/>
      <c r="C1" s="67"/>
      <c r="D1" s="67"/>
      <c r="E1" s="67"/>
      <c r="F1" s="67"/>
      <c r="G1" s="67"/>
    </row>
    <row r="2" spans="1:10" x14ac:dyDescent="0.25">
      <c r="A2" s="68"/>
      <c r="B2" s="12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3" t="s">
        <v>37</v>
      </c>
    </row>
    <row r="3" spans="1:10" x14ac:dyDescent="0.25">
      <c r="A3" s="68"/>
      <c r="B3" s="12"/>
      <c r="C3" s="13"/>
      <c r="D3" s="13"/>
      <c r="E3" s="13"/>
      <c r="F3" s="13"/>
      <c r="G3" s="13"/>
    </row>
    <row r="4" spans="1:10" x14ac:dyDescent="0.25">
      <c r="A4" s="68"/>
      <c r="B4" s="14" t="s">
        <v>38</v>
      </c>
      <c r="C4" s="15" t="s">
        <v>38</v>
      </c>
      <c r="D4" s="15" t="s">
        <v>38</v>
      </c>
      <c r="E4" s="15" t="s">
        <v>38</v>
      </c>
      <c r="F4" s="15" t="s">
        <v>38</v>
      </c>
      <c r="G4" s="15" t="s">
        <v>38</v>
      </c>
    </row>
    <row r="5" spans="1:10" x14ac:dyDescent="0.25">
      <c r="A5" s="16" t="s">
        <v>39</v>
      </c>
      <c r="B5" s="17">
        <f>'Obiettivi di vendita'!L9</f>
        <v>7760</v>
      </c>
      <c r="C5" s="17">
        <f>'Obiettivi di vendita'!M9</f>
        <v>27000</v>
      </c>
      <c r="D5" s="17">
        <f>'Obiettivi di vendita'!N9</f>
        <v>44720</v>
      </c>
      <c r="E5" s="17">
        <f>'Obiettivi di vendita'!O9</f>
        <v>86160</v>
      </c>
      <c r="F5" s="17">
        <f>'Obiettivi di vendita'!P9</f>
        <v>134880</v>
      </c>
      <c r="G5" s="17">
        <f>'Obiettivi di vendita'!Q9</f>
        <v>375360</v>
      </c>
    </row>
    <row r="6" spans="1:10" x14ac:dyDescent="0.25">
      <c r="A6" s="16" t="s">
        <v>40</v>
      </c>
      <c r="B6" s="17"/>
      <c r="C6" s="17"/>
      <c r="D6" s="17"/>
      <c r="E6" s="17"/>
      <c r="F6" s="17"/>
      <c r="G6" s="17"/>
    </row>
    <row r="7" spans="1:10" x14ac:dyDescent="0.25">
      <c r="A7" s="13" t="s">
        <v>41</v>
      </c>
      <c r="B7" s="18">
        <f t="shared" ref="B7:G7" si="0">SUM(B5:B5)</f>
        <v>7760</v>
      </c>
      <c r="C7" s="18">
        <f t="shared" si="0"/>
        <v>27000</v>
      </c>
      <c r="D7" s="18">
        <f t="shared" si="0"/>
        <v>44720</v>
      </c>
      <c r="E7" s="18">
        <f t="shared" si="0"/>
        <v>86160</v>
      </c>
      <c r="F7" s="18">
        <f t="shared" si="0"/>
        <v>134880</v>
      </c>
      <c r="G7" s="18">
        <f t="shared" si="0"/>
        <v>375360</v>
      </c>
    </row>
    <row r="8" spans="1:10" x14ac:dyDescent="0.25">
      <c r="A8" s="16" t="s">
        <v>42</v>
      </c>
      <c r="B8" s="19">
        <v>1000</v>
      </c>
      <c r="C8" s="19">
        <v>1000</v>
      </c>
      <c r="D8" s="19">
        <v>1000</v>
      </c>
      <c r="E8" s="19">
        <v>2000</v>
      </c>
      <c r="F8" s="19">
        <v>3000</v>
      </c>
      <c r="G8" s="19">
        <v>5000</v>
      </c>
      <c r="J8" t="s">
        <v>95</v>
      </c>
    </row>
    <row r="9" spans="1:10" x14ac:dyDescent="0.25">
      <c r="A9" s="16" t="s">
        <v>43</v>
      </c>
      <c r="B9" s="20">
        <f>('Obiettivi di vendita'!L6+'Obiettivi di vendita'!L7)*0.9+'Obiettivi di vendita'!L7*0.95</f>
        <v>4750</v>
      </c>
      <c r="C9" s="20">
        <f>('Obiettivi di vendita'!M6+'Obiettivi di vendita'!M7)*0.9+'Obiettivi di vendita'!M7*0.95</f>
        <v>18570</v>
      </c>
      <c r="D9" s="20">
        <f>('Obiettivi di vendita'!N6+'Obiettivi di vendita'!N7)*0.9+'Obiettivi di vendita'!N7*0.95</f>
        <v>31960</v>
      </c>
      <c r="E9" s="20">
        <f>('Obiettivi di vendita'!O6+'Obiettivi di vendita'!O7)*0.9+'Obiettivi di vendita'!O7*0.95</f>
        <v>64140</v>
      </c>
      <c r="F9" s="20">
        <f>('Obiettivi di vendita'!P6+'Obiettivi di vendita'!P7)*0.9+'Obiettivi di vendita'!P7*0.95</f>
        <v>95880</v>
      </c>
      <c r="G9" s="20">
        <f>('Obiettivi di vendita'!Q6+'Obiettivi di vendita'!Q7)*0.9+'Obiettivi di vendita'!Q7*0.95</f>
        <v>253920</v>
      </c>
      <c r="J9" t="s">
        <v>89</v>
      </c>
    </row>
    <row r="10" spans="1:10" x14ac:dyDescent="0.25">
      <c r="A10" s="16" t="s">
        <v>44</v>
      </c>
      <c r="B10" s="19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J10" t="s">
        <v>90</v>
      </c>
    </row>
    <row r="11" spans="1:10" x14ac:dyDescent="0.25">
      <c r="A11" s="16" t="s">
        <v>101</v>
      </c>
      <c r="B11" s="19">
        <f>B5*0.1</f>
        <v>776</v>
      </c>
      <c r="C11" s="19">
        <f t="shared" ref="C11:G11" si="1">C5*0.1</f>
        <v>2700</v>
      </c>
      <c r="D11" s="19">
        <f t="shared" si="1"/>
        <v>4472</v>
      </c>
      <c r="E11" s="19">
        <f t="shared" si="1"/>
        <v>8616</v>
      </c>
      <c r="F11" s="19">
        <f t="shared" si="1"/>
        <v>13488</v>
      </c>
      <c r="G11" s="19">
        <f t="shared" si="1"/>
        <v>37536</v>
      </c>
      <c r="J11" t="s">
        <v>102</v>
      </c>
    </row>
    <row r="12" spans="1:10" x14ac:dyDescent="0.25">
      <c r="A12" s="13" t="s">
        <v>45</v>
      </c>
      <c r="B12" s="18">
        <f t="shared" ref="B12:G12" si="2">SUM(B8:B11)</f>
        <v>6526</v>
      </c>
      <c r="C12" s="18">
        <f t="shared" si="2"/>
        <v>22270</v>
      </c>
      <c r="D12" s="18">
        <f t="shared" si="2"/>
        <v>37432</v>
      </c>
      <c r="E12" s="18">
        <f t="shared" si="2"/>
        <v>74756</v>
      </c>
      <c r="F12" s="18">
        <f t="shared" si="2"/>
        <v>112368</v>
      </c>
      <c r="G12" s="18">
        <f t="shared" si="2"/>
        <v>296456</v>
      </c>
      <c r="J12" t="s">
        <v>103</v>
      </c>
    </row>
    <row r="13" spans="1:10" x14ac:dyDescent="0.25">
      <c r="A13" s="13" t="s">
        <v>46</v>
      </c>
      <c r="B13" s="18">
        <f t="shared" ref="B13:G13" si="3">B7-B12</f>
        <v>1234</v>
      </c>
      <c r="C13" s="18">
        <f t="shared" si="3"/>
        <v>4730</v>
      </c>
      <c r="D13" s="18">
        <f t="shared" si="3"/>
        <v>7288</v>
      </c>
      <c r="E13" s="18">
        <f t="shared" si="3"/>
        <v>11404</v>
      </c>
      <c r="F13" s="18">
        <f t="shared" si="3"/>
        <v>22512</v>
      </c>
      <c r="G13" s="18">
        <f t="shared" si="3"/>
        <v>78904</v>
      </c>
      <c r="J13" t="s">
        <v>94</v>
      </c>
    </row>
    <row r="14" spans="1:10" x14ac:dyDescent="0.25">
      <c r="A14" s="16" t="s">
        <v>47</v>
      </c>
      <c r="B14" s="19"/>
      <c r="C14" s="21">
        <f>'Costi investimento'!C14</f>
        <v>3500</v>
      </c>
      <c r="D14" s="21">
        <f>'Costi investimento'!C14</f>
        <v>3500</v>
      </c>
      <c r="E14" s="21">
        <f>'Costi investimento'!C14</f>
        <v>3500</v>
      </c>
      <c r="F14" s="21">
        <f>'Costi investimento'!C14</f>
        <v>3500</v>
      </c>
      <c r="G14" s="21">
        <f>'Costi investimento'!C14</f>
        <v>3500</v>
      </c>
    </row>
    <row r="15" spans="1:10" x14ac:dyDescent="0.25">
      <c r="A15" s="13" t="s">
        <v>48</v>
      </c>
      <c r="B15" s="18">
        <f t="shared" ref="B15:G15" si="4">B13-B14</f>
        <v>1234</v>
      </c>
      <c r="C15" s="18">
        <f t="shared" si="4"/>
        <v>1230</v>
      </c>
      <c r="D15" s="18">
        <f t="shared" si="4"/>
        <v>3788</v>
      </c>
      <c r="E15" s="18">
        <f t="shared" si="4"/>
        <v>7904</v>
      </c>
      <c r="F15" s="18">
        <f t="shared" si="4"/>
        <v>19012</v>
      </c>
      <c r="G15" s="18">
        <f t="shared" si="4"/>
        <v>75404</v>
      </c>
    </row>
    <row r="16" spans="1:10" x14ac:dyDescent="0.25">
      <c r="A16" s="16" t="s">
        <v>49</v>
      </c>
      <c r="B16" s="19"/>
      <c r="C16" s="21">
        <f>Mutuo!B11</f>
        <v>2000</v>
      </c>
      <c r="D16" s="21">
        <f>Mutuo!C11</f>
        <v>1638.0504037434639</v>
      </c>
      <c r="E16" s="21">
        <f>Mutuo!D11</f>
        <v>1258.0033276741008</v>
      </c>
      <c r="F16" s="21">
        <f>Mutuo!F11</f>
        <v>439.95199643479674</v>
      </c>
      <c r="G16" s="21">
        <f>Mutuo!G11</f>
        <v>0</v>
      </c>
    </row>
    <row r="17" spans="1:7" x14ac:dyDescent="0.25">
      <c r="A17" s="13" t="s">
        <v>50</v>
      </c>
      <c r="B17" s="18">
        <f t="shared" ref="B17:G17" si="5">B15-B16</f>
        <v>1234</v>
      </c>
      <c r="C17" s="18">
        <f t="shared" si="5"/>
        <v>-770</v>
      </c>
      <c r="D17" s="18">
        <f t="shared" si="5"/>
        <v>2149.9495962565361</v>
      </c>
      <c r="E17" s="18">
        <f t="shared" si="5"/>
        <v>6645.9966723258995</v>
      </c>
      <c r="F17" s="18">
        <f t="shared" si="5"/>
        <v>18572.048003565204</v>
      </c>
      <c r="G17" s="18">
        <f t="shared" si="5"/>
        <v>75404</v>
      </c>
    </row>
    <row r="18" spans="1:7" x14ac:dyDescent="0.25">
      <c r="A18" s="16" t="s">
        <v>51</v>
      </c>
      <c r="B18" s="19">
        <f t="shared" ref="B18:G18" si="6">SUM(B17*0.3)</f>
        <v>370.2</v>
      </c>
      <c r="C18" s="19">
        <f t="shared" si="6"/>
        <v>-231</v>
      </c>
      <c r="D18" s="19">
        <f t="shared" si="6"/>
        <v>644.98487887696081</v>
      </c>
      <c r="E18" s="19">
        <f t="shared" si="6"/>
        <v>1993.7990016977697</v>
      </c>
      <c r="F18" s="19">
        <f t="shared" si="6"/>
        <v>5571.6144010695607</v>
      </c>
      <c r="G18" s="19">
        <f t="shared" si="6"/>
        <v>22621.200000000001</v>
      </c>
    </row>
    <row r="19" spans="1:7" x14ac:dyDescent="0.25">
      <c r="A19" s="13" t="s">
        <v>52</v>
      </c>
      <c r="B19" s="18">
        <f t="shared" ref="B19:G19" si="7">B17-B18</f>
        <v>863.8</v>
      </c>
      <c r="C19" s="18">
        <f t="shared" si="7"/>
        <v>-539</v>
      </c>
      <c r="D19" s="18">
        <f t="shared" si="7"/>
        <v>1504.9647173795752</v>
      </c>
      <c r="E19" s="18">
        <f t="shared" si="7"/>
        <v>4652.1976706281293</v>
      </c>
      <c r="F19" s="18">
        <f t="shared" si="7"/>
        <v>13000.433602495643</v>
      </c>
      <c r="G19" s="18">
        <f t="shared" si="7"/>
        <v>52782.8</v>
      </c>
    </row>
    <row r="20" spans="1:7" x14ac:dyDescent="0.25">
      <c r="A20" s="22" t="s">
        <v>53</v>
      </c>
    </row>
    <row r="21" spans="1:7" x14ac:dyDescent="0.25">
      <c r="A21" s="22" t="s">
        <v>30</v>
      </c>
    </row>
  </sheetData>
  <mergeCells count="2">
    <mergeCell ref="A1:G1"/>
    <mergeCell ref="A2:A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zoomScale="148" zoomScaleNormal="148" workbookViewId="0">
      <selection activeCell="J16" sqref="J16"/>
    </sheetView>
  </sheetViews>
  <sheetFormatPr defaultColWidth="8.7109375" defaultRowHeight="15" x14ac:dyDescent="0.25"/>
  <cols>
    <col min="1" max="1" width="29.28515625" customWidth="1"/>
    <col min="2" max="2" width="15.7109375" customWidth="1"/>
    <col min="4" max="5" width="11.42578125" customWidth="1"/>
    <col min="6" max="6" width="16" customWidth="1"/>
  </cols>
  <sheetData>
    <row r="1" spans="1:6" ht="21" x14ac:dyDescent="0.35">
      <c r="A1" s="23" t="s">
        <v>54</v>
      </c>
      <c r="B1" s="24"/>
      <c r="C1" s="24"/>
      <c r="D1" s="24"/>
      <c r="E1" s="24"/>
      <c r="F1" s="24"/>
    </row>
    <row r="2" spans="1:6" ht="15.75" x14ac:dyDescent="0.25">
      <c r="A2" s="25" t="s">
        <v>55</v>
      </c>
      <c r="B2" s="26">
        <v>40000</v>
      </c>
      <c r="C2" s="24"/>
      <c r="D2" s="24"/>
      <c r="E2" s="24"/>
      <c r="F2" s="24"/>
    </row>
    <row r="3" spans="1:6" ht="15.75" x14ac:dyDescent="0.25">
      <c r="A3" s="27" t="s">
        <v>56</v>
      </c>
      <c r="B3" s="28">
        <v>0.05</v>
      </c>
      <c r="C3" s="24"/>
      <c r="D3" s="24"/>
      <c r="E3" s="24"/>
      <c r="F3" s="24"/>
    </row>
    <row r="4" spans="1:6" ht="15.75" x14ac:dyDescent="0.25">
      <c r="A4" s="27" t="s">
        <v>57</v>
      </c>
      <c r="B4" s="29">
        <v>5</v>
      </c>
      <c r="C4" s="24"/>
      <c r="D4" s="24"/>
      <c r="E4" s="24"/>
      <c r="F4" s="24"/>
    </row>
    <row r="5" spans="1:6" ht="15.75" x14ac:dyDescent="0.25">
      <c r="A5" s="27" t="s">
        <v>58</v>
      </c>
      <c r="B5" s="30">
        <f>PMT(B3,B4,-B2)</f>
        <v>9238.9919251307256</v>
      </c>
      <c r="C5" s="24"/>
      <c r="D5" s="24"/>
      <c r="E5" s="24"/>
      <c r="F5" s="24"/>
    </row>
    <row r="6" spans="1:6" ht="15.75" x14ac:dyDescent="0.25">
      <c r="A6" s="31" t="s">
        <v>59</v>
      </c>
      <c r="B6" s="32">
        <f>SUM(B11:L11)</f>
        <v>6194.9596256536306</v>
      </c>
      <c r="C6" s="24"/>
      <c r="D6" s="24"/>
      <c r="E6" s="24"/>
      <c r="F6" s="24"/>
    </row>
    <row r="7" spans="1:6" x14ac:dyDescent="0.25">
      <c r="A7" s="24"/>
      <c r="B7" s="33"/>
      <c r="C7" s="33"/>
      <c r="D7" s="33"/>
      <c r="E7" s="33"/>
      <c r="F7" s="33"/>
    </row>
    <row r="8" spans="1:6" x14ac:dyDescent="0.25">
      <c r="A8" s="34"/>
      <c r="B8" s="35"/>
      <c r="C8" s="35"/>
      <c r="D8" s="35"/>
      <c r="E8" s="35"/>
      <c r="F8" s="35"/>
    </row>
    <row r="9" spans="1:6" x14ac:dyDescent="0.25">
      <c r="A9" s="36"/>
      <c r="B9" s="37" t="s">
        <v>60</v>
      </c>
      <c r="C9" s="37" t="s">
        <v>34</v>
      </c>
      <c r="D9" s="37" t="s">
        <v>61</v>
      </c>
      <c r="E9" s="37" t="s">
        <v>36</v>
      </c>
      <c r="F9" s="37" t="s">
        <v>62</v>
      </c>
    </row>
    <row r="10" spans="1:6" x14ac:dyDescent="0.25">
      <c r="A10" s="38" t="s">
        <v>63</v>
      </c>
      <c r="B10" s="39">
        <f>+B2</f>
        <v>40000</v>
      </c>
      <c r="C10" s="39">
        <f>+B14</f>
        <v>32761.008074869274</v>
      </c>
      <c r="D10" s="39">
        <f>+C14</f>
        <v>25160.066553482015</v>
      </c>
      <c r="E10" s="39">
        <f>+D14</f>
        <v>17179.07795602539</v>
      </c>
      <c r="F10" s="39">
        <f>+E14</f>
        <v>8799.0399286959346</v>
      </c>
    </row>
    <row r="11" spans="1:6" x14ac:dyDescent="0.25">
      <c r="A11" s="38" t="s">
        <v>64</v>
      </c>
      <c r="B11" s="39">
        <f>+B10*$B3</f>
        <v>2000</v>
      </c>
      <c r="C11" s="39">
        <f>+C10*$B3</f>
        <v>1638.0504037434639</v>
      </c>
      <c r="D11" s="39">
        <f>+D10*$B3</f>
        <v>1258.0033276741008</v>
      </c>
      <c r="E11" s="39">
        <f>+E10*$B3</f>
        <v>858.95389780126959</v>
      </c>
      <c r="F11" s="39">
        <f>+F10*$B3</f>
        <v>439.95199643479674</v>
      </c>
    </row>
    <row r="12" spans="1:6" x14ac:dyDescent="0.25">
      <c r="A12" s="38" t="s">
        <v>65</v>
      </c>
      <c r="B12" s="39">
        <f>+$B5-B11</f>
        <v>7238.9919251307256</v>
      </c>
      <c r="C12" s="39">
        <f>+$B5-C11</f>
        <v>7600.9415213872617</v>
      </c>
      <c r="D12" s="39">
        <f>+$B5-D11</f>
        <v>7980.988597456625</v>
      </c>
      <c r="E12" s="39">
        <f>+$B5-E11</f>
        <v>8380.0380273294559</v>
      </c>
      <c r="F12" s="39">
        <f>+$B5-F11</f>
        <v>8799.0399286959291</v>
      </c>
    </row>
    <row r="13" spans="1:6" x14ac:dyDescent="0.25">
      <c r="A13" s="38" t="s">
        <v>66</v>
      </c>
      <c r="B13" s="39">
        <f>+C13</f>
        <v>9238.9919251307256</v>
      </c>
      <c r="C13" s="39">
        <f>+C12+C11</f>
        <v>9238.9919251307256</v>
      </c>
      <c r="D13" s="39">
        <f>+D12+D11</f>
        <v>9238.9919251307256</v>
      </c>
      <c r="E13" s="39">
        <f>+E12+E11</f>
        <v>9238.9919251307256</v>
      </c>
      <c r="F13" s="39">
        <f>+F12+F11</f>
        <v>9238.9919251307256</v>
      </c>
    </row>
    <row r="14" spans="1:6" x14ac:dyDescent="0.25">
      <c r="A14" s="38" t="s">
        <v>67</v>
      </c>
      <c r="B14" s="39">
        <f>+B10-B12</f>
        <v>32761.008074869274</v>
      </c>
      <c r="C14" s="39">
        <f>+C10-C12</f>
        <v>25160.066553482015</v>
      </c>
      <c r="D14" s="39">
        <f>+D10-D12</f>
        <v>17179.07795602539</v>
      </c>
      <c r="E14" s="39">
        <f>+E10-E12</f>
        <v>8799.0399286959346</v>
      </c>
      <c r="F14" s="39">
        <f>+F10-F12</f>
        <v>0</v>
      </c>
    </row>
    <row r="15" spans="1:6" x14ac:dyDescent="0.25">
      <c r="A15" s="40" t="s">
        <v>68</v>
      </c>
      <c r="B15" s="41">
        <f>+B12</f>
        <v>7238.9919251307256</v>
      </c>
      <c r="C15" s="41">
        <f>+B15+C12</f>
        <v>14839.933446517987</v>
      </c>
      <c r="D15" s="41">
        <f>+C15+D12</f>
        <v>22820.922043974613</v>
      </c>
      <c r="E15" s="41">
        <f>+D15+E12</f>
        <v>31200.960071304071</v>
      </c>
      <c r="F15" s="41">
        <f>+E15+F12</f>
        <v>40000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zoomScaleNormal="100" workbookViewId="0">
      <selection activeCell="C9" sqref="C9"/>
    </sheetView>
  </sheetViews>
  <sheetFormatPr defaultColWidth="8.7109375" defaultRowHeight="15" x14ac:dyDescent="0.25"/>
  <cols>
    <col min="1" max="1" width="58" customWidth="1"/>
    <col min="2" max="2" width="25.28515625" customWidth="1"/>
    <col min="3" max="3" width="23.42578125" customWidth="1"/>
  </cols>
  <sheetData>
    <row r="1" spans="1:3" ht="15.75" x14ac:dyDescent="0.25">
      <c r="A1" s="42"/>
      <c r="B1" s="42"/>
    </row>
    <row r="2" spans="1:3" ht="14.25" customHeight="1" x14ac:dyDescent="0.25">
      <c r="A2" s="69" t="s">
        <v>69</v>
      </c>
      <c r="B2" s="43" t="s">
        <v>70</v>
      </c>
      <c r="C2" s="43" t="s">
        <v>71</v>
      </c>
    </row>
    <row r="3" spans="1:3" x14ac:dyDescent="0.25">
      <c r="A3" s="69"/>
      <c r="B3" s="43" t="s">
        <v>38</v>
      </c>
      <c r="C3" s="43" t="s">
        <v>38</v>
      </c>
    </row>
    <row r="4" spans="1:3" x14ac:dyDescent="0.25">
      <c r="A4" s="44" t="s">
        <v>72</v>
      </c>
      <c r="B4" s="45"/>
      <c r="C4" s="46">
        <f>B4*10%</f>
        <v>0</v>
      </c>
    </row>
    <row r="5" spans="1:3" x14ac:dyDescent="0.25">
      <c r="A5" s="44" t="s">
        <v>73</v>
      </c>
      <c r="B5" s="45"/>
      <c r="C5" s="46">
        <f>B5*10%</f>
        <v>0</v>
      </c>
    </row>
    <row r="6" spans="1:3" x14ac:dyDescent="0.25">
      <c r="A6" s="44" t="s">
        <v>74</v>
      </c>
      <c r="B6" s="45">
        <v>10000</v>
      </c>
      <c r="C6" s="46">
        <f>B6*10%</f>
        <v>1000</v>
      </c>
    </row>
    <row r="7" spans="1:3" ht="25.5" x14ac:dyDescent="0.25">
      <c r="A7" s="44" t="s">
        <v>75</v>
      </c>
      <c r="B7" s="45">
        <v>20000</v>
      </c>
      <c r="C7" s="46">
        <f>B7*10%</f>
        <v>2000</v>
      </c>
    </row>
    <row r="8" spans="1:3" x14ac:dyDescent="0.25">
      <c r="A8" s="44" t="s">
        <v>76</v>
      </c>
      <c r="B8" s="45">
        <v>5000</v>
      </c>
      <c r="C8" s="46">
        <f>B8*10%</f>
        <v>500</v>
      </c>
    </row>
    <row r="9" spans="1:3" x14ac:dyDescent="0.25">
      <c r="A9" s="44" t="s">
        <v>77</v>
      </c>
      <c r="B9" s="45">
        <f>SUM(B10:B13)</f>
        <v>0</v>
      </c>
      <c r="C9" s="46">
        <f>B9*20%</f>
        <v>0</v>
      </c>
    </row>
    <row r="10" spans="1:3" x14ac:dyDescent="0.25">
      <c r="A10" s="47" t="s">
        <v>78</v>
      </c>
      <c r="B10" s="45"/>
      <c r="C10" s="48"/>
    </row>
    <row r="11" spans="1:3" x14ac:dyDescent="0.25">
      <c r="A11" s="49" t="s">
        <v>79</v>
      </c>
      <c r="B11" s="45"/>
      <c r="C11" s="48"/>
    </row>
    <row r="12" spans="1:3" x14ac:dyDescent="0.25">
      <c r="A12" s="49" t="s">
        <v>80</v>
      </c>
      <c r="B12" s="45"/>
      <c r="C12" s="48"/>
    </row>
    <row r="13" spans="1:3" x14ac:dyDescent="0.25">
      <c r="A13" s="49" t="s">
        <v>81</v>
      </c>
      <c r="B13" s="45"/>
      <c r="C13" s="48"/>
    </row>
    <row r="14" spans="1:3" x14ac:dyDescent="0.25">
      <c r="A14" s="50" t="s">
        <v>82</v>
      </c>
      <c r="B14" s="51">
        <f>SUM(B4:B9)</f>
        <v>35000</v>
      </c>
      <c r="C14" s="51">
        <f>SUM(C4:C9)</f>
        <v>3500</v>
      </c>
    </row>
  </sheetData>
  <mergeCells count="1">
    <mergeCell ref="A2:A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Obiettivi di vendita</vt:lpstr>
      <vt:lpstr>Conto Economico</vt:lpstr>
      <vt:lpstr>Mutuo</vt:lpstr>
      <vt:lpstr>Costi investimento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Anna</dc:creator>
  <dc:description/>
  <cp:lastModifiedBy>Studente</cp:lastModifiedBy>
  <cp:revision>1</cp:revision>
  <dcterms:created xsi:type="dcterms:W3CDTF">2015-06-05T18:19:34Z</dcterms:created>
  <dcterms:modified xsi:type="dcterms:W3CDTF">2024-05-22T13:15:44Z</dcterms:modified>
  <dc:language>it-IT</dc:language>
</cp:coreProperties>
</file>