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BaseSeries" sheetId="2" r:id="rId2"/>
    <sheet name="GTM_Monthly" sheetId="3" r:id="rId3"/>
    <sheet name="Annual" sheetId="4" r:id="rId4"/>
    <sheet name="CashFlow" sheetId="5" r:id="rId5"/>
    <sheet name="Sensitivity" sheetId="6" r:id="rId6"/>
    <sheet name="Charts" sheetId="7" r:id="rId7"/>
  </sheets>
  <definedNames>
    <definedName name="ARPA">Control!$B$9</definedName>
    <definedName name="CapexShare">Control!$B$11</definedName>
    <definedName name="CapEXy">Control!$B$26:$F$26</definedName>
    <definedName name="ChurnAnn">Control!$B$13</definedName>
    <definedName name="COGSdevY">Control!$B$32:$F$32</definedName>
    <definedName name="D2P">Control!$B$6</definedName>
    <definedName name="DevicePrice">Control!$B$12</definedName>
    <definedName name="DevicesPerDeal">Control!$B$8</definedName>
    <definedName name="DIO">Control!$C$35</definedName>
    <definedName name="DPO">Control!$D$35</definedName>
    <definedName name="DSO">Control!$B$35</definedName>
    <definedName name="ECO3D_KPI">LAMBDA(lead_mult, conv_mult, arpa_mult, cogs_delta, capex_share, opex_mult, LET(months, SEQUENCE(60), years, CEILING(months/12,1), base_leads, BaseSeries!$B$2:$B$61, conv_chain, L2D*D2P*P2Deal, deals, base_leads*lead_mult*conv_chain*conv_mult, accounts, SCAN(0, deals, LAMBDA(prev, d, prev*(1-(1-ChurnAnn)^(1/12))+d)), devices, deals*DevicesPerDeal, rev_rec_m, accounts*(ARPA*arpa_mult/12)/1e6, rev_capex_m, devices*capex_share*DevicePrice/1e6, revenue_m, rev_rec_m+rev_capex_m, cogs_rec_m, (1-GMrec)*rev_rec_m, cogs_hw_m, devices*(INDEX(COGSdevY, years)+cogs_delta)/1e6*capex_share, cogs_m, cogs_rec_m+cogs_hw_m, y5mask, --(years=5), y5_rev, SUM(revenue_m*y5mask), y5_gm, SUM((revenue_m-cogs_m)*y5mask), y5_ebitda, y5_gm - INDEX(OPEXy,5)*opex_mult, HSTACK(y5_rev, y5_ebitda)))</definedName>
    <definedName name="EquityIny">Control!$B$29:$F$29</definedName>
    <definedName name="GMrec">Control!$B$10</definedName>
    <definedName name="L2D">Control!$B$5</definedName>
    <definedName name="LeadMult">Control!$B$4</definedName>
    <definedName name="LeadsQoQGrowth">Control!$B$14</definedName>
    <definedName name="OPEXy">Control!$B$23:$F$23</definedName>
    <definedName name="P2Deal">Control!$B$7</definedName>
  </definedName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<sst xmlns="http://schemas.openxmlformats.org/spreadsheetml/2006/main" count="130" uniqueCount="94">
  <si>
    <t>Eco 3D – Control Panel (editabile)</t>
  </si>
  <si>
    <t>Parametro</t>
  </si>
  <si>
    <t>Valore</t>
  </si>
  <si>
    <t>Note</t>
  </si>
  <si>
    <t>Lead multiplier</t>
  </si>
  <si>
    <t>Moltiplicatore leads totali (0.6–1.6)</t>
  </si>
  <si>
    <t>L2D (Lead→Demo)</t>
  </si>
  <si>
    <t>Tasso conversione</t>
  </si>
  <si>
    <t>D2P (Demo→Pilot)</t>
  </si>
  <si>
    <t>P2Deal (Pilot→Deal)</t>
  </si>
  <si>
    <t>Devices per deal</t>
  </si>
  <si>
    <t>Media ponderata pacchetti</t>
  </si>
  <si>
    <t>ARPA (€/account/anno)</t>
  </si>
  <si>
    <t>Ricavo annuo ricorrente</t>
  </si>
  <si>
    <t>GM% ricorrente</t>
  </si>
  <si>
    <t>Margine lordo ricorrente</t>
  </si>
  <si>
    <t>CapEx share</t>
  </si>
  <si>
    <t>Quota ricavi allocata a device</t>
  </si>
  <si>
    <t>Prezzo device (€/unità)</t>
  </si>
  <si>
    <t>Prezzo per quota CapEx</t>
  </si>
  <si>
    <t>Churn annuo</t>
  </si>
  <si>
    <t>Abbandono annuo</t>
  </si>
  <si>
    <t>Growth QoQ leads post-Q8</t>
  </si>
  <si>
    <t>Crescita leads trimestrale&gt;Q8</t>
  </si>
  <si>
    <t>Leads per trimestre (Q1..Q8)</t>
  </si>
  <si>
    <t>Q1</t>
  </si>
  <si>
    <t>Q2</t>
  </si>
  <si>
    <t>Q3</t>
  </si>
  <si>
    <t>Q4</t>
  </si>
  <si>
    <t>Q5</t>
  </si>
  <si>
    <t>Q6</t>
  </si>
  <si>
    <t>Q7</t>
  </si>
  <si>
    <t>Q8</t>
  </si>
  <si>
    <t>OPEX (M€) Y1..Y5</t>
  </si>
  <si>
    <t>Y1</t>
  </si>
  <si>
    <t>Y2</t>
  </si>
  <si>
    <t>Y3</t>
  </si>
  <si>
    <t>Y4</t>
  </si>
  <si>
    <t>Y5</t>
  </si>
  <si>
    <t>CapEx (M€) Y1..Y5</t>
  </si>
  <si>
    <t>Equity-in (M€) Y1..Y5</t>
  </si>
  <si>
    <t>COGS device (€/u) Y1..Y5</t>
  </si>
  <si>
    <t>DSO/DIO/DPO (giorni)</t>
  </si>
  <si>
    <t>DSO</t>
  </si>
  <si>
    <t>DIO</t>
  </si>
  <si>
    <t>DPO</t>
  </si>
  <si>
    <t>Note:</t>
  </si>
  <si>
    <t>Modifica la colonna B; il modello si ricalcola.</t>
  </si>
  <si>
    <t>Mese</t>
  </si>
  <si>
    <t>Leads base/mese</t>
  </si>
  <si>
    <t>Quarter</t>
  </si>
  <si>
    <t>Leads/m</t>
  </si>
  <si>
    <t>Deals/m</t>
  </si>
  <si>
    <t>Accounts attivi</t>
  </si>
  <si>
    <t>Devices venduti/m</t>
  </si>
  <si>
    <t>Devices attivi</t>
  </si>
  <si>
    <t>Ricavi ricorrenti (M€/m)</t>
  </si>
  <si>
    <t>Ricavi CapEx (M€/m)</t>
  </si>
  <si>
    <t>Ricavi totali (M€/m)</t>
  </si>
  <si>
    <t>COGS (M€/m)</t>
  </si>
  <si>
    <t>Margine lordo (M€/m)</t>
  </si>
  <si>
    <t>Anno</t>
  </si>
  <si>
    <t>Ricavi ricorrenti (M€)</t>
  </si>
  <si>
    <t>Ricavi CapEx (M€)</t>
  </si>
  <si>
    <t>Ricavi totali (M€)</t>
  </si>
  <si>
    <t>COGS (M€)</t>
  </si>
  <si>
    <t>Margine lordo (M€)</t>
  </si>
  <si>
    <t>GM%</t>
  </si>
  <si>
    <t>OPEX (M€)</t>
  </si>
  <si>
    <t>EBITDA (M€)</t>
  </si>
  <si>
    <t>ARR (M€)</t>
  </si>
  <si>
    <t>Depr (M€)</t>
  </si>
  <si>
    <t>EBIT (M€)</t>
  </si>
  <si>
    <t>Imposte (M€)</t>
  </si>
  <si>
    <t>AR (M€)</t>
  </si>
  <si>
    <t>Inventario (M€)</t>
  </si>
  <si>
    <t>AP (M€)</t>
  </si>
  <si>
    <t>ΔNWC (M€)</t>
  </si>
  <si>
    <t>CFO (M€)</t>
  </si>
  <si>
    <t>CFI (M€)</t>
  </si>
  <si>
    <t>CFF (M€)</t>
  </si>
  <si>
    <t>ΔCassa (M€)</t>
  </si>
  <si>
    <t>Cassa iniziale (M€)</t>
  </si>
  <si>
    <t>Cassa finale (M€)</t>
  </si>
  <si>
    <t>One‑way sensitivity (LAMBDA/MAP) – edit 'Control' per aggiornare.</t>
  </si>
  <si>
    <t>Valori</t>
  </si>
  <si>
    <t>Y5 Ricavi (M€)</t>
  </si>
  <si>
    <t>Y5 EBITDA (M€)</t>
  </si>
  <si>
    <t>ARPA ×</t>
  </si>
  <si>
    <t>Leads ×</t>
  </si>
  <si>
    <t>Conversioni ×</t>
  </si>
  <si>
    <t>COGS device Δ€</t>
  </si>
  <si>
    <t>OPEX ×</t>
  </si>
  <si>
    <t>Ricavi (M€)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</si>
</sst>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Ricavi (M€)</c:v>
          </c:tx>
          <c:marker>
            <c:symbol val="none"/>
          </c:marker>
          <c:cat>
            <c:strRef>
              <c:f>Charts!$A$2:$A$6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Charts!$B$2:$B$6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EBITDA (M€)</c:v>
          </c:tx>
          <c:cat>
            <c:strRef>
              <c:f>Charts!$A$2:$A$6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Charts!$C$2:$C$6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Cassa finale (M€)</c:v>
          </c:tx>
          <c:marker>
            <c:symbol val="none"/>
          </c:marker>
          <c:cat>
            <c:strRef>
              <c:f>Charts!$A$2:$A$6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Charts!$D$2:$D$6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9</xdr:col>
      <xdr:colOff>457200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25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9</xdr:col>
      <xdr:colOff>457200</xdr:colOff>
      <xdr:row>41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5" spans="1:3">
      <c r="A5" t="s">
        <v>4</v>
      </c>
      <c r="B5">
        <v>1</v>
      </c>
      <c r="C5" t="s">
        <v>5</v>
      </c>
    </row>
    <row r="6" spans="1:3">
      <c r="A6" t="s">
        <v>6</v>
      </c>
      <c r="B6">
        <v>0.2</v>
      </c>
      <c r="C6" t="s">
        <v>7</v>
      </c>
    </row>
    <row r="7" spans="1:3">
      <c r="A7" t="s">
        <v>8</v>
      </c>
      <c r="B7">
        <v>0.5</v>
      </c>
      <c r="C7" t="s">
        <v>7</v>
      </c>
    </row>
    <row r="8" spans="1:3">
      <c r="A8" t="s">
        <v>9</v>
      </c>
      <c r="B8">
        <v>0.6</v>
      </c>
      <c r="C8" t="s">
        <v>7</v>
      </c>
    </row>
    <row r="9" spans="1:3">
      <c r="A9" t="s">
        <v>10</v>
      </c>
      <c r="B9">
        <v>1.2</v>
      </c>
      <c r="C9" t="s">
        <v>11</v>
      </c>
    </row>
    <row r="10" spans="1:3">
      <c r="A10" t="s">
        <v>12</v>
      </c>
      <c r="B10">
        <v>14600</v>
      </c>
      <c r="C10" t="s">
        <v>13</v>
      </c>
    </row>
    <row r="11" spans="1:3">
      <c r="A11" t="s">
        <v>14</v>
      </c>
      <c r="B11">
        <v>0.8</v>
      </c>
      <c r="C11" t="s">
        <v>15</v>
      </c>
    </row>
    <row r="12" spans="1:3">
      <c r="A12" t="s">
        <v>16</v>
      </c>
      <c r="B12">
        <v>0.3</v>
      </c>
      <c r="C12" t="s">
        <v>17</v>
      </c>
    </row>
    <row r="13" spans="1:3">
      <c r="A13" t="s">
        <v>18</v>
      </c>
      <c r="B13">
        <v>26000</v>
      </c>
      <c r="C13" t="s">
        <v>19</v>
      </c>
    </row>
    <row r="14" spans="1:3">
      <c r="A14" t="s">
        <v>20</v>
      </c>
      <c r="B14">
        <v>0.08</v>
      </c>
      <c r="C14" t="s">
        <v>21</v>
      </c>
    </row>
    <row r="15" spans="1:3">
      <c r="A15" t="s">
        <v>22</v>
      </c>
      <c r="B15">
        <v>0.12</v>
      </c>
      <c r="C15" t="s">
        <v>23</v>
      </c>
    </row>
    <row r="17" spans="1:8">
      <c r="A17" s="2" t="s">
        <v>24</v>
      </c>
    </row>
    <row r="18" spans="1:8">
      <c r="A18" s="2" t="s">
        <v>25</v>
      </c>
      <c r="B18" s="2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</row>
    <row r="19" spans="1:8">
      <c r="A19">
        <v>120</v>
      </c>
      <c r="B19">
        <v>150</v>
      </c>
      <c r="C19">
        <v>180</v>
      </c>
      <c r="D19">
        <v>220</v>
      </c>
      <c r="E19">
        <v>260</v>
      </c>
      <c r="F19">
        <v>300</v>
      </c>
      <c r="G19">
        <v>350</v>
      </c>
      <c r="H19">
        <v>400</v>
      </c>
    </row>
    <row r="22" spans="1:8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38</v>
      </c>
    </row>
    <row r="23" spans="1:8">
      <c r="B23">
        <v>1.8</v>
      </c>
      <c r="C23">
        <v>2.5</v>
      </c>
      <c r="D23">
        <v>3.5</v>
      </c>
      <c r="E23">
        <v>4.5</v>
      </c>
      <c r="F23">
        <v>5.5</v>
      </c>
    </row>
    <row r="25" spans="1:8">
      <c r="A25" s="2" t="s">
        <v>39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38</v>
      </c>
    </row>
    <row r="26" spans="1:8">
      <c r="B26">
        <v>0.3</v>
      </c>
      <c r="C26">
        <v>0.5</v>
      </c>
      <c r="D26">
        <v>0.6</v>
      </c>
      <c r="E26">
        <v>0.7</v>
      </c>
      <c r="F26">
        <v>0.8</v>
      </c>
    </row>
    <row r="28" spans="1:8">
      <c r="A28" s="2" t="s">
        <v>40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38</v>
      </c>
    </row>
    <row r="29" spans="1:8">
      <c r="B29">
        <v>0.4</v>
      </c>
      <c r="C29">
        <v>1.3</v>
      </c>
      <c r="D29">
        <v>0</v>
      </c>
      <c r="E29">
        <v>4</v>
      </c>
      <c r="F29">
        <v>0</v>
      </c>
    </row>
    <row r="31" spans="1:8">
      <c r="A31" s="2" t="s">
        <v>41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38</v>
      </c>
    </row>
    <row r="32" spans="1:8">
      <c r="B32">
        <v>12000</v>
      </c>
      <c r="C32">
        <v>11800</v>
      </c>
      <c r="D32">
        <v>11200</v>
      </c>
      <c r="E32">
        <v>10500</v>
      </c>
      <c r="F32">
        <v>10000</v>
      </c>
    </row>
    <row r="34" spans="1:4">
      <c r="A34" s="2" t="s">
        <v>42</v>
      </c>
      <c r="B34" s="2" t="s">
        <v>43</v>
      </c>
      <c r="C34" s="2" t="s">
        <v>44</v>
      </c>
      <c r="D34" s="2" t="s">
        <v>45</v>
      </c>
    </row>
    <row r="35" spans="1:4">
      <c r="B35">
        <v>60</v>
      </c>
      <c r="C35">
        <v>60</v>
      </c>
      <c r="D35">
        <v>45</v>
      </c>
    </row>
    <row r="37" spans="1:4">
      <c r="A37" s="2" t="s">
        <v>46</v>
      </c>
    </row>
    <row r="38" spans="1:4">
      <c r="A38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3" width="20.7109375" customWidth="1"/>
  </cols>
  <sheetData>
    <row r="1" spans="1:3">
      <c r="A1" s="2" t="s">
        <v>48</v>
      </c>
      <c r="B1" s="2" t="s">
        <v>49</v>
      </c>
      <c r="C1" s="2" t="s">
        <v>50</v>
      </c>
    </row>
    <row r="2" spans="1:3">
      <c r="A2">
        <v>1</v>
      </c>
      <c r="B2">
        <f>(=IF(C2&lt;=8, INDEX(Control!$A$19:$H$19, 1, C2), INDEX(Control!$A$19:$H$19, 1, 8) * (1+LeadsQoQGrowth)^(C2-8)))/3</f>
        <v>0</v>
      </c>
      <c r="C2">
        <f>CEILING(A2/3,1)</f>
        <v>0</v>
      </c>
    </row>
    <row r="3" spans="1:3">
      <c r="A3">
        <v>2</v>
      </c>
      <c r="B3">
        <f>(=IF(C3&lt;=8, INDEX(Control!$A$19:$H$19, 1, C3), INDEX(Control!$A$19:$H$19, 1, 8) * (1+LeadsQoQGrowth)^(C3-8)))/3</f>
        <v>0</v>
      </c>
      <c r="C3">
        <f>CEILING(A3/3,1)</f>
        <v>0</v>
      </c>
    </row>
    <row r="4" spans="1:3">
      <c r="A4">
        <v>3</v>
      </c>
      <c r="B4">
        <f>(=IF(C4&lt;=8, INDEX(Control!$A$19:$H$19, 1, C4), INDEX(Control!$A$19:$H$19, 1, 8) * (1+LeadsQoQGrowth)^(C4-8)))/3</f>
        <v>0</v>
      </c>
      <c r="C4">
        <f>CEILING(A4/3,1)</f>
        <v>0</v>
      </c>
    </row>
    <row r="5" spans="1:3">
      <c r="A5">
        <v>4</v>
      </c>
      <c r="B5">
        <f>(=IF(C5&lt;=8, INDEX(Control!$A$19:$H$19, 1, C5), INDEX(Control!$A$19:$H$19, 1, 8) * (1+LeadsQoQGrowth)^(C5-8)))/3</f>
        <v>0</v>
      </c>
      <c r="C5">
        <f>CEILING(A5/3,1)</f>
        <v>0</v>
      </c>
    </row>
    <row r="6" spans="1:3">
      <c r="A6">
        <v>5</v>
      </c>
      <c r="B6">
        <f>(=IF(C6&lt;=8, INDEX(Control!$A$19:$H$19, 1, C6), INDEX(Control!$A$19:$H$19, 1, 8) * (1+LeadsQoQGrowth)^(C6-8)))/3</f>
        <v>0</v>
      </c>
      <c r="C6">
        <f>CEILING(A6/3,1)</f>
        <v>0</v>
      </c>
    </row>
    <row r="7" spans="1:3">
      <c r="A7">
        <v>6</v>
      </c>
      <c r="B7">
        <f>(=IF(C7&lt;=8, INDEX(Control!$A$19:$H$19, 1, C7), INDEX(Control!$A$19:$H$19, 1, 8) * (1+LeadsQoQGrowth)^(C7-8)))/3</f>
        <v>0</v>
      </c>
      <c r="C7">
        <f>CEILING(A7/3,1)</f>
        <v>0</v>
      </c>
    </row>
    <row r="8" spans="1:3">
      <c r="A8">
        <v>7</v>
      </c>
      <c r="B8">
        <f>(=IF(C8&lt;=8, INDEX(Control!$A$19:$H$19, 1, C8), INDEX(Control!$A$19:$H$19, 1, 8) * (1+LeadsQoQGrowth)^(C8-8)))/3</f>
        <v>0</v>
      </c>
      <c r="C8">
        <f>CEILING(A8/3,1)</f>
        <v>0</v>
      </c>
    </row>
    <row r="9" spans="1:3">
      <c r="A9">
        <v>8</v>
      </c>
      <c r="B9">
        <f>(=IF(C9&lt;=8, INDEX(Control!$A$19:$H$19, 1, C9), INDEX(Control!$A$19:$H$19, 1, 8) * (1+LeadsQoQGrowth)^(C9-8)))/3</f>
        <v>0</v>
      </c>
      <c r="C9">
        <f>CEILING(A9/3,1)</f>
        <v>0</v>
      </c>
    </row>
    <row r="10" spans="1:3">
      <c r="A10">
        <v>9</v>
      </c>
      <c r="B10">
        <f>(=IF(C10&lt;=8, INDEX(Control!$A$19:$H$19, 1, C10), INDEX(Control!$A$19:$H$19, 1, 8) * (1+LeadsQoQGrowth)^(C10-8)))/3</f>
        <v>0</v>
      </c>
      <c r="C10">
        <f>CEILING(A10/3,1)</f>
        <v>0</v>
      </c>
    </row>
    <row r="11" spans="1:3">
      <c r="A11">
        <v>10</v>
      </c>
      <c r="B11">
        <f>(=IF(C11&lt;=8, INDEX(Control!$A$19:$H$19, 1, C11), INDEX(Control!$A$19:$H$19, 1, 8) * (1+LeadsQoQGrowth)^(C11-8)))/3</f>
        <v>0</v>
      </c>
      <c r="C11">
        <f>CEILING(A11/3,1)</f>
        <v>0</v>
      </c>
    </row>
    <row r="12" spans="1:3">
      <c r="A12">
        <v>11</v>
      </c>
      <c r="B12">
        <f>(=IF(C12&lt;=8, INDEX(Control!$A$19:$H$19, 1, C12), INDEX(Control!$A$19:$H$19, 1, 8) * (1+LeadsQoQGrowth)^(C12-8)))/3</f>
        <v>0</v>
      </c>
      <c r="C12">
        <f>CEILING(A12/3,1)</f>
        <v>0</v>
      </c>
    </row>
    <row r="13" spans="1:3">
      <c r="A13">
        <v>12</v>
      </c>
      <c r="B13">
        <f>(=IF(C13&lt;=8, INDEX(Control!$A$19:$H$19, 1, C13), INDEX(Control!$A$19:$H$19, 1, 8) * (1+LeadsQoQGrowth)^(C13-8)))/3</f>
        <v>0</v>
      </c>
      <c r="C13">
        <f>CEILING(A13/3,1)</f>
        <v>0</v>
      </c>
    </row>
    <row r="14" spans="1:3">
      <c r="A14">
        <v>13</v>
      </c>
      <c r="B14">
        <f>(=IF(C14&lt;=8, INDEX(Control!$A$19:$H$19, 1, C14), INDEX(Control!$A$19:$H$19, 1, 8) * (1+LeadsQoQGrowth)^(C14-8)))/3</f>
        <v>0</v>
      </c>
      <c r="C14">
        <f>CEILING(A14/3,1)</f>
        <v>0</v>
      </c>
    </row>
    <row r="15" spans="1:3">
      <c r="A15">
        <v>14</v>
      </c>
      <c r="B15">
        <f>(=IF(C15&lt;=8, INDEX(Control!$A$19:$H$19, 1, C15), INDEX(Control!$A$19:$H$19, 1, 8) * (1+LeadsQoQGrowth)^(C15-8)))/3</f>
        <v>0</v>
      </c>
      <c r="C15">
        <f>CEILING(A15/3,1)</f>
        <v>0</v>
      </c>
    </row>
    <row r="16" spans="1:3">
      <c r="A16">
        <v>15</v>
      </c>
      <c r="B16">
        <f>(=IF(C16&lt;=8, INDEX(Control!$A$19:$H$19, 1, C16), INDEX(Control!$A$19:$H$19, 1, 8) * (1+LeadsQoQGrowth)^(C16-8)))/3</f>
        <v>0</v>
      </c>
      <c r="C16">
        <f>CEILING(A16/3,1)</f>
        <v>0</v>
      </c>
    </row>
    <row r="17" spans="1:3">
      <c r="A17">
        <v>16</v>
      </c>
      <c r="B17">
        <f>(=IF(C17&lt;=8, INDEX(Control!$A$19:$H$19, 1, C17), INDEX(Control!$A$19:$H$19, 1, 8) * (1+LeadsQoQGrowth)^(C17-8)))/3</f>
        <v>0</v>
      </c>
      <c r="C17">
        <f>CEILING(A17/3,1)</f>
        <v>0</v>
      </c>
    </row>
    <row r="18" spans="1:3">
      <c r="A18">
        <v>17</v>
      </c>
      <c r="B18">
        <f>(=IF(C18&lt;=8, INDEX(Control!$A$19:$H$19, 1, C18), INDEX(Control!$A$19:$H$19, 1, 8) * (1+LeadsQoQGrowth)^(C18-8)))/3</f>
        <v>0</v>
      </c>
      <c r="C18">
        <f>CEILING(A18/3,1)</f>
        <v>0</v>
      </c>
    </row>
    <row r="19" spans="1:3">
      <c r="A19">
        <v>18</v>
      </c>
      <c r="B19">
        <f>(=IF(C19&lt;=8, INDEX(Control!$A$19:$H$19, 1, C19), INDEX(Control!$A$19:$H$19, 1, 8) * (1+LeadsQoQGrowth)^(C19-8)))/3</f>
        <v>0</v>
      </c>
      <c r="C19">
        <f>CEILING(A19/3,1)</f>
        <v>0</v>
      </c>
    </row>
    <row r="20" spans="1:3">
      <c r="A20">
        <v>19</v>
      </c>
      <c r="B20">
        <f>(=IF(C20&lt;=8, INDEX(Control!$A$19:$H$19, 1, C20), INDEX(Control!$A$19:$H$19, 1, 8) * (1+LeadsQoQGrowth)^(C20-8)))/3</f>
        <v>0</v>
      </c>
      <c r="C20">
        <f>CEILING(A20/3,1)</f>
        <v>0</v>
      </c>
    </row>
    <row r="21" spans="1:3">
      <c r="A21">
        <v>20</v>
      </c>
      <c r="B21">
        <f>(=IF(C21&lt;=8, INDEX(Control!$A$19:$H$19, 1, C21), INDEX(Control!$A$19:$H$19, 1, 8) * (1+LeadsQoQGrowth)^(C21-8)))/3</f>
        <v>0</v>
      </c>
      <c r="C21">
        <f>CEILING(A21/3,1)</f>
        <v>0</v>
      </c>
    </row>
    <row r="22" spans="1:3">
      <c r="A22">
        <v>21</v>
      </c>
      <c r="B22">
        <f>(=IF(C22&lt;=8, INDEX(Control!$A$19:$H$19, 1, C22), INDEX(Control!$A$19:$H$19, 1, 8) * (1+LeadsQoQGrowth)^(C22-8)))/3</f>
        <v>0</v>
      </c>
      <c r="C22">
        <f>CEILING(A22/3,1)</f>
        <v>0</v>
      </c>
    </row>
    <row r="23" spans="1:3">
      <c r="A23">
        <v>22</v>
      </c>
      <c r="B23">
        <f>(=IF(C23&lt;=8, INDEX(Control!$A$19:$H$19, 1, C23), INDEX(Control!$A$19:$H$19, 1, 8) * (1+LeadsQoQGrowth)^(C23-8)))/3</f>
        <v>0</v>
      </c>
      <c r="C23">
        <f>CEILING(A23/3,1)</f>
        <v>0</v>
      </c>
    </row>
    <row r="24" spans="1:3">
      <c r="A24">
        <v>23</v>
      </c>
      <c r="B24">
        <f>(=IF(C24&lt;=8, INDEX(Control!$A$19:$H$19, 1, C24), INDEX(Control!$A$19:$H$19, 1, 8) * (1+LeadsQoQGrowth)^(C24-8)))/3</f>
        <v>0</v>
      </c>
      <c r="C24">
        <f>CEILING(A24/3,1)</f>
        <v>0</v>
      </c>
    </row>
    <row r="25" spans="1:3">
      <c r="A25">
        <v>24</v>
      </c>
      <c r="B25">
        <f>(=IF(C25&lt;=8, INDEX(Control!$A$19:$H$19, 1, C25), INDEX(Control!$A$19:$H$19, 1, 8) * (1+LeadsQoQGrowth)^(C25-8)))/3</f>
        <v>0</v>
      </c>
      <c r="C25">
        <f>CEILING(A25/3,1)</f>
        <v>0</v>
      </c>
    </row>
    <row r="26" spans="1:3">
      <c r="A26">
        <v>25</v>
      </c>
      <c r="B26">
        <f>(=IF(C26&lt;=8, INDEX(Control!$A$19:$H$19, 1, C26), INDEX(Control!$A$19:$H$19, 1, 8) * (1+LeadsQoQGrowth)^(C26-8)))/3</f>
        <v>0</v>
      </c>
      <c r="C26">
        <f>CEILING(A26/3,1)</f>
        <v>0</v>
      </c>
    </row>
    <row r="27" spans="1:3">
      <c r="A27">
        <v>26</v>
      </c>
      <c r="B27">
        <f>(=IF(C27&lt;=8, INDEX(Control!$A$19:$H$19, 1, C27), INDEX(Control!$A$19:$H$19, 1, 8) * (1+LeadsQoQGrowth)^(C27-8)))/3</f>
        <v>0</v>
      </c>
      <c r="C27">
        <f>CEILING(A27/3,1)</f>
        <v>0</v>
      </c>
    </row>
    <row r="28" spans="1:3">
      <c r="A28">
        <v>27</v>
      </c>
      <c r="B28">
        <f>(=IF(C28&lt;=8, INDEX(Control!$A$19:$H$19, 1, C28), INDEX(Control!$A$19:$H$19, 1, 8) * (1+LeadsQoQGrowth)^(C28-8)))/3</f>
        <v>0</v>
      </c>
      <c r="C28">
        <f>CEILING(A28/3,1)</f>
        <v>0</v>
      </c>
    </row>
    <row r="29" spans="1:3">
      <c r="A29">
        <v>28</v>
      </c>
      <c r="B29">
        <f>(=IF(C29&lt;=8, INDEX(Control!$A$19:$H$19, 1, C29), INDEX(Control!$A$19:$H$19, 1, 8) * (1+LeadsQoQGrowth)^(C29-8)))/3</f>
        <v>0</v>
      </c>
      <c r="C29">
        <f>CEILING(A29/3,1)</f>
        <v>0</v>
      </c>
    </row>
    <row r="30" spans="1:3">
      <c r="A30">
        <v>29</v>
      </c>
      <c r="B30">
        <f>(=IF(C30&lt;=8, INDEX(Control!$A$19:$H$19, 1, C30), INDEX(Control!$A$19:$H$19, 1, 8) * (1+LeadsQoQGrowth)^(C30-8)))/3</f>
        <v>0</v>
      </c>
      <c r="C30">
        <f>CEILING(A30/3,1)</f>
        <v>0</v>
      </c>
    </row>
    <row r="31" spans="1:3">
      <c r="A31">
        <v>30</v>
      </c>
      <c r="B31">
        <f>(=IF(C31&lt;=8, INDEX(Control!$A$19:$H$19, 1, C31), INDEX(Control!$A$19:$H$19, 1, 8) * (1+LeadsQoQGrowth)^(C31-8)))/3</f>
        <v>0</v>
      </c>
      <c r="C31">
        <f>CEILING(A31/3,1)</f>
        <v>0</v>
      </c>
    </row>
    <row r="32" spans="1:3">
      <c r="A32">
        <v>31</v>
      </c>
      <c r="B32">
        <f>(=IF(C32&lt;=8, INDEX(Control!$A$19:$H$19, 1, C32), INDEX(Control!$A$19:$H$19, 1, 8) * (1+LeadsQoQGrowth)^(C32-8)))/3</f>
        <v>0</v>
      </c>
      <c r="C32">
        <f>CEILING(A32/3,1)</f>
        <v>0</v>
      </c>
    </row>
    <row r="33" spans="1:3">
      <c r="A33">
        <v>32</v>
      </c>
      <c r="B33">
        <f>(=IF(C33&lt;=8, INDEX(Control!$A$19:$H$19, 1, C33), INDEX(Control!$A$19:$H$19, 1, 8) * (1+LeadsQoQGrowth)^(C33-8)))/3</f>
        <v>0</v>
      </c>
      <c r="C33">
        <f>CEILING(A33/3,1)</f>
        <v>0</v>
      </c>
    </row>
    <row r="34" spans="1:3">
      <c r="A34">
        <v>33</v>
      </c>
      <c r="B34">
        <f>(=IF(C34&lt;=8, INDEX(Control!$A$19:$H$19, 1, C34), INDEX(Control!$A$19:$H$19, 1, 8) * (1+LeadsQoQGrowth)^(C34-8)))/3</f>
        <v>0</v>
      </c>
      <c r="C34">
        <f>CEILING(A34/3,1)</f>
        <v>0</v>
      </c>
    </row>
    <row r="35" spans="1:3">
      <c r="A35">
        <v>34</v>
      </c>
      <c r="B35">
        <f>(=IF(C35&lt;=8, INDEX(Control!$A$19:$H$19, 1, C35), INDEX(Control!$A$19:$H$19, 1, 8) * (1+LeadsQoQGrowth)^(C35-8)))/3</f>
        <v>0</v>
      </c>
      <c r="C35">
        <f>CEILING(A35/3,1)</f>
        <v>0</v>
      </c>
    </row>
    <row r="36" spans="1:3">
      <c r="A36">
        <v>35</v>
      </c>
      <c r="B36">
        <f>(=IF(C36&lt;=8, INDEX(Control!$A$19:$H$19, 1, C36), INDEX(Control!$A$19:$H$19, 1, 8) * (1+LeadsQoQGrowth)^(C36-8)))/3</f>
        <v>0</v>
      </c>
      <c r="C36">
        <f>CEILING(A36/3,1)</f>
        <v>0</v>
      </c>
    </row>
    <row r="37" spans="1:3">
      <c r="A37">
        <v>36</v>
      </c>
      <c r="B37">
        <f>(=IF(C37&lt;=8, INDEX(Control!$A$19:$H$19, 1, C37), INDEX(Control!$A$19:$H$19, 1, 8) * (1+LeadsQoQGrowth)^(C37-8)))/3</f>
        <v>0</v>
      </c>
      <c r="C37">
        <f>CEILING(A37/3,1)</f>
        <v>0</v>
      </c>
    </row>
    <row r="38" spans="1:3">
      <c r="A38">
        <v>37</v>
      </c>
      <c r="B38">
        <f>(=IF(C38&lt;=8, INDEX(Control!$A$19:$H$19, 1, C38), INDEX(Control!$A$19:$H$19, 1, 8) * (1+LeadsQoQGrowth)^(C38-8)))/3</f>
        <v>0</v>
      </c>
      <c r="C38">
        <f>CEILING(A38/3,1)</f>
        <v>0</v>
      </c>
    </row>
    <row r="39" spans="1:3">
      <c r="A39">
        <v>38</v>
      </c>
      <c r="B39">
        <f>(=IF(C39&lt;=8, INDEX(Control!$A$19:$H$19, 1, C39), INDEX(Control!$A$19:$H$19, 1, 8) * (1+LeadsQoQGrowth)^(C39-8)))/3</f>
        <v>0</v>
      </c>
      <c r="C39">
        <f>CEILING(A39/3,1)</f>
        <v>0</v>
      </c>
    </row>
    <row r="40" spans="1:3">
      <c r="A40">
        <v>39</v>
      </c>
      <c r="B40">
        <f>(=IF(C40&lt;=8, INDEX(Control!$A$19:$H$19, 1, C40), INDEX(Control!$A$19:$H$19, 1, 8) * (1+LeadsQoQGrowth)^(C40-8)))/3</f>
        <v>0</v>
      </c>
      <c r="C40">
        <f>CEILING(A40/3,1)</f>
        <v>0</v>
      </c>
    </row>
    <row r="41" spans="1:3">
      <c r="A41">
        <v>40</v>
      </c>
      <c r="B41">
        <f>(=IF(C41&lt;=8, INDEX(Control!$A$19:$H$19, 1, C41), INDEX(Control!$A$19:$H$19, 1, 8) * (1+LeadsQoQGrowth)^(C41-8)))/3</f>
        <v>0</v>
      </c>
      <c r="C41">
        <f>CEILING(A41/3,1)</f>
        <v>0</v>
      </c>
    </row>
    <row r="42" spans="1:3">
      <c r="A42">
        <v>41</v>
      </c>
      <c r="B42">
        <f>(=IF(C42&lt;=8, INDEX(Control!$A$19:$H$19, 1, C42), INDEX(Control!$A$19:$H$19, 1, 8) * (1+LeadsQoQGrowth)^(C42-8)))/3</f>
        <v>0</v>
      </c>
      <c r="C42">
        <f>CEILING(A42/3,1)</f>
        <v>0</v>
      </c>
    </row>
    <row r="43" spans="1:3">
      <c r="A43">
        <v>42</v>
      </c>
      <c r="B43">
        <f>(=IF(C43&lt;=8, INDEX(Control!$A$19:$H$19, 1, C43), INDEX(Control!$A$19:$H$19, 1, 8) * (1+LeadsQoQGrowth)^(C43-8)))/3</f>
        <v>0</v>
      </c>
      <c r="C43">
        <f>CEILING(A43/3,1)</f>
        <v>0</v>
      </c>
    </row>
    <row r="44" spans="1:3">
      <c r="A44">
        <v>43</v>
      </c>
      <c r="B44">
        <f>(=IF(C44&lt;=8, INDEX(Control!$A$19:$H$19, 1, C44), INDEX(Control!$A$19:$H$19, 1, 8) * (1+LeadsQoQGrowth)^(C44-8)))/3</f>
        <v>0</v>
      </c>
      <c r="C44">
        <f>CEILING(A44/3,1)</f>
        <v>0</v>
      </c>
    </row>
    <row r="45" spans="1:3">
      <c r="A45">
        <v>44</v>
      </c>
      <c r="B45">
        <f>(=IF(C45&lt;=8, INDEX(Control!$A$19:$H$19, 1, C45), INDEX(Control!$A$19:$H$19, 1, 8) * (1+LeadsQoQGrowth)^(C45-8)))/3</f>
        <v>0</v>
      </c>
      <c r="C45">
        <f>CEILING(A45/3,1)</f>
        <v>0</v>
      </c>
    </row>
    <row r="46" spans="1:3">
      <c r="A46">
        <v>45</v>
      </c>
      <c r="B46">
        <f>(=IF(C46&lt;=8, INDEX(Control!$A$19:$H$19, 1, C46), INDEX(Control!$A$19:$H$19, 1, 8) * (1+LeadsQoQGrowth)^(C46-8)))/3</f>
        <v>0</v>
      </c>
      <c r="C46">
        <f>CEILING(A46/3,1)</f>
        <v>0</v>
      </c>
    </row>
    <row r="47" spans="1:3">
      <c r="A47">
        <v>46</v>
      </c>
      <c r="B47">
        <f>(=IF(C47&lt;=8, INDEX(Control!$A$19:$H$19, 1, C47), INDEX(Control!$A$19:$H$19, 1, 8) * (1+LeadsQoQGrowth)^(C47-8)))/3</f>
        <v>0</v>
      </c>
      <c r="C47">
        <f>CEILING(A47/3,1)</f>
        <v>0</v>
      </c>
    </row>
    <row r="48" spans="1:3">
      <c r="A48">
        <v>47</v>
      </c>
      <c r="B48">
        <f>(=IF(C48&lt;=8, INDEX(Control!$A$19:$H$19, 1, C48), INDEX(Control!$A$19:$H$19, 1, 8) * (1+LeadsQoQGrowth)^(C48-8)))/3</f>
        <v>0</v>
      </c>
      <c r="C48">
        <f>CEILING(A48/3,1)</f>
        <v>0</v>
      </c>
    </row>
    <row r="49" spans="1:3">
      <c r="A49">
        <v>48</v>
      </c>
      <c r="B49">
        <f>(=IF(C49&lt;=8, INDEX(Control!$A$19:$H$19, 1, C49), INDEX(Control!$A$19:$H$19, 1, 8) * (1+LeadsQoQGrowth)^(C49-8)))/3</f>
        <v>0</v>
      </c>
      <c r="C49">
        <f>CEILING(A49/3,1)</f>
        <v>0</v>
      </c>
    </row>
    <row r="50" spans="1:3">
      <c r="A50">
        <v>49</v>
      </c>
      <c r="B50">
        <f>(=IF(C50&lt;=8, INDEX(Control!$A$19:$H$19, 1, C50), INDEX(Control!$A$19:$H$19, 1, 8) * (1+LeadsQoQGrowth)^(C50-8)))/3</f>
        <v>0</v>
      </c>
      <c r="C50">
        <f>CEILING(A50/3,1)</f>
        <v>0</v>
      </c>
    </row>
    <row r="51" spans="1:3">
      <c r="A51">
        <v>50</v>
      </c>
      <c r="B51">
        <f>(=IF(C51&lt;=8, INDEX(Control!$A$19:$H$19, 1, C51), INDEX(Control!$A$19:$H$19, 1, 8) * (1+LeadsQoQGrowth)^(C51-8)))/3</f>
        <v>0</v>
      </c>
      <c r="C51">
        <f>CEILING(A51/3,1)</f>
        <v>0</v>
      </c>
    </row>
    <row r="52" spans="1:3">
      <c r="A52">
        <v>51</v>
      </c>
      <c r="B52">
        <f>(=IF(C52&lt;=8, INDEX(Control!$A$19:$H$19, 1, C52), INDEX(Control!$A$19:$H$19, 1, 8) * (1+LeadsQoQGrowth)^(C52-8)))/3</f>
        <v>0</v>
      </c>
      <c r="C52">
        <f>CEILING(A52/3,1)</f>
        <v>0</v>
      </c>
    </row>
    <row r="53" spans="1:3">
      <c r="A53">
        <v>52</v>
      </c>
      <c r="B53">
        <f>(=IF(C53&lt;=8, INDEX(Control!$A$19:$H$19, 1, C53), INDEX(Control!$A$19:$H$19, 1, 8) * (1+LeadsQoQGrowth)^(C53-8)))/3</f>
        <v>0</v>
      </c>
      <c r="C53">
        <f>CEILING(A53/3,1)</f>
        <v>0</v>
      </c>
    </row>
    <row r="54" spans="1:3">
      <c r="A54">
        <v>53</v>
      </c>
      <c r="B54">
        <f>(=IF(C54&lt;=8, INDEX(Control!$A$19:$H$19, 1, C54), INDEX(Control!$A$19:$H$19, 1, 8) * (1+LeadsQoQGrowth)^(C54-8)))/3</f>
        <v>0</v>
      </c>
      <c r="C54">
        <f>CEILING(A54/3,1)</f>
        <v>0</v>
      </c>
    </row>
    <row r="55" spans="1:3">
      <c r="A55">
        <v>54</v>
      </c>
      <c r="B55">
        <f>(=IF(C55&lt;=8, INDEX(Control!$A$19:$H$19, 1, C55), INDEX(Control!$A$19:$H$19, 1, 8) * (1+LeadsQoQGrowth)^(C55-8)))/3</f>
        <v>0</v>
      </c>
      <c r="C55">
        <f>CEILING(A55/3,1)</f>
        <v>0</v>
      </c>
    </row>
    <row r="56" spans="1:3">
      <c r="A56">
        <v>55</v>
      </c>
      <c r="B56">
        <f>(=IF(C56&lt;=8, INDEX(Control!$A$19:$H$19, 1, C56), INDEX(Control!$A$19:$H$19, 1, 8) * (1+LeadsQoQGrowth)^(C56-8)))/3</f>
        <v>0</v>
      </c>
      <c r="C56">
        <f>CEILING(A56/3,1)</f>
        <v>0</v>
      </c>
    </row>
    <row r="57" spans="1:3">
      <c r="A57">
        <v>56</v>
      </c>
      <c r="B57">
        <f>(=IF(C57&lt;=8, INDEX(Control!$A$19:$H$19, 1, C57), INDEX(Control!$A$19:$H$19, 1, 8) * (1+LeadsQoQGrowth)^(C57-8)))/3</f>
        <v>0</v>
      </c>
      <c r="C57">
        <f>CEILING(A57/3,1)</f>
        <v>0</v>
      </c>
    </row>
    <row r="58" spans="1:3">
      <c r="A58">
        <v>57</v>
      </c>
      <c r="B58">
        <f>(=IF(C58&lt;=8, INDEX(Control!$A$19:$H$19, 1, C58), INDEX(Control!$A$19:$H$19, 1, 8) * (1+LeadsQoQGrowth)^(C58-8)))/3</f>
        <v>0</v>
      </c>
      <c r="C58">
        <f>CEILING(A58/3,1)</f>
        <v>0</v>
      </c>
    </row>
    <row r="59" spans="1:3">
      <c r="A59">
        <v>58</v>
      </c>
      <c r="B59">
        <f>(=IF(C59&lt;=8, INDEX(Control!$A$19:$H$19, 1, C59), INDEX(Control!$A$19:$H$19, 1, 8) * (1+LeadsQoQGrowth)^(C59-8)))/3</f>
        <v>0</v>
      </c>
      <c r="C59">
        <f>CEILING(A59/3,1)</f>
        <v>0</v>
      </c>
    </row>
    <row r="60" spans="1:3">
      <c r="A60">
        <v>59</v>
      </c>
      <c r="B60">
        <f>(=IF(C60&lt;=8, INDEX(Control!$A$19:$H$19, 1, C60), INDEX(Control!$A$19:$H$19, 1, 8) * (1+LeadsQoQGrowth)^(C60-8)))/3</f>
        <v>0</v>
      </c>
      <c r="C60">
        <f>CEILING(A60/3,1)</f>
        <v>0</v>
      </c>
    </row>
    <row r="61" spans="1:3">
      <c r="A61">
        <v>60</v>
      </c>
      <c r="B61">
        <f>(=IF(C61&lt;=8, INDEX(Control!$A$19:$H$19, 1, C61), INDEX(Control!$A$19:$H$19, 1, 8) * (1+LeadsQoQGrowth)^(C61-8)))/3</f>
        <v>0</v>
      </c>
      <c r="C61">
        <f>CEILING(A61/3,1)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2" t="s">
        <v>48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</row>
    <row r="2" spans="1:12">
      <c r="A2">
        <v>1</v>
      </c>
      <c r="B2">
        <f>BaseSeries!$B2*LeadMult</f>
        <v>0</v>
      </c>
      <c r="C2">
        <f>B2*(L2D*D2P*P2Deal)</f>
        <v>0</v>
      </c>
      <c r="D2">
        <f>C2</f>
        <v>0</v>
      </c>
      <c r="E2">
        <f>C2*DevicesPerDeal</f>
        <v>0</v>
      </c>
      <c r="F2">
        <f>E2</f>
        <v>0</v>
      </c>
      <c r="G2">
        <f>D2*(ARPA/12)/1e6</f>
        <v>0</v>
      </c>
      <c r="H2">
        <f>E2*CapexShare*DevicePrice/1e6</f>
        <v>0</v>
      </c>
      <c r="I2">
        <f>G2+H2</f>
        <v>0</v>
      </c>
      <c r="J2">
        <f>(1-GMrec)*G2 + E2*(INDEX(COGSdevY, CEILING(A2/12,1))/1e6)*CapexShare</f>
        <v>0</v>
      </c>
      <c r="K2">
        <f>I2-J2</f>
        <v>0</v>
      </c>
      <c r="L2">
        <f>CEILING(A2/12,1)</f>
        <v>0</v>
      </c>
    </row>
    <row r="3" spans="1:12">
      <c r="A3">
        <v>2</v>
      </c>
      <c r="B3">
        <f>BaseSeries!$B3*LeadMult</f>
        <v>0</v>
      </c>
      <c r="C3">
        <f>B3*(L2D*D2P*P2Deal)</f>
        <v>0</v>
      </c>
      <c r="D3">
        <f>D2*(1-(1-ChurnAnn)^(1/12))+C3</f>
        <v>0</v>
      </c>
      <c r="E3">
        <f>C3*DevicesPerDeal</f>
        <v>0</v>
      </c>
      <c r="F3">
        <f>F2+E3</f>
        <v>0</v>
      </c>
      <c r="G3">
        <f>D3*(ARPA/12)/1e6</f>
        <v>0</v>
      </c>
      <c r="H3">
        <f>E3*CapexShare*DevicePrice/1e6</f>
        <v>0</v>
      </c>
      <c r="I3">
        <f>G3+H3</f>
        <v>0</v>
      </c>
      <c r="J3">
        <f>(1-GMrec)*G3 + E3*(INDEX(COGSdevY, CEILING(A3/12,1))/1e6)*CapexShare</f>
        <v>0</v>
      </c>
      <c r="K3">
        <f>I3-J3</f>
        <v>0</v>
      </c>
      <c r="L3">
        <f>CEILING(A3/12,1)</f>
        <v>0</v>
      </c>
    </row>
    <row r="4" spans="1:12">
      <c r="A4">
        <v>3</v>
      </c>
      <c r="B4">
        <f>BaseSeries!$B4*LeadMult</f>
        <v>0</v>
      </c>
      <c r="C4">
        <f>B4*(L2D*D2P*P2Deal)</f>
        <v>0</v>
      </c>
      <c r="D4">
        <f>D3*(1-(1-ChurnAnn)^(1/12))+C4</f>
        <v>0</v>
      </c>
      <c r="E4">
        <f>C4*DevicesPerDeal</f>
        <v>0</v>
      </c>
      <c r="F4">
        <f>F3+E4</f>
        <v>0</v>
      </c>
      <c r="G4">
        <f>D4*(ARPA/12)/1e6</f>
        <v>0</v>
      </c>
      <c r="H4">
        <f>E4*CapexShare*DevicePrice/1e6</f>
        <v>0</v>
      </c>
      <c r="I4">
        <f>G4+H4</f>
        <v>0</v>
      </c>
      <c r="J4">
        <f>(1-GMrec)*G4 + E4*(INDEX(COGSdevY, CEILING(A4/12,1))/1e6)*CapexShare</f>
        <v>0</v>
      </c>
      <c r="K4">
        <f>I4-J4</f>
        <v>0</v>
      </c>
      <c r="L4">
        <f>CEILING(A4/12,1)</f>
        <v>0</v>
      </c>
    </row>
    <row r="5" spans="1:12">
      <c r="A5">
        <v>4</v>
      </c>
      <c r="B5">
        <f>BaseSeries!$B5*LeadMult</f>
        <v>0</v>
      </c>
      <c r="C5">
        <f>B5*(L2D*D2P*P2Deal)</f>
        <v>0</v>
      </c>
      <c r="D5">
        <f>D4*(1-(1-ChurnAnn)^(1/12))+C5</f>
        <v>0</v>
      </c>
      <c r="E5">
        <f>C5*DevicesPerDeal</f>
        <v>0</v>
      </c>
      <c r="F5">
        <f>F4+E5</f>
        <v>0</v>
      </c>
      <c r="G5">
        <f>D5*(ARPA/12)/1e6</f>
        <v>0</v>
      </c>
      <c r="H5">
        <f>E5*CapexShare*DevicePrice/1e6</f>
        <v>0</v>
      </c>
      <c r="I5">
        <f>G5+H5</f>
        <v>0</v>
      </c>
      <c r="J5">
        <f>(1-GMrec)*G5 + E5*(INDEX(COGSdevY, CEILING(A5/12,1))/1e6)*CapexShare</f>
        <v>0</v>
      </c>
      <c r="K5">
        <f>I5-J5</f>
        <v>0</v>
      </c>
      <c r="L5">
        <f>CEILING(A5/12,1)</f>
        <v>0</v>
      </c>
    </row>
    <row r="6" spans="1:12">
      <c r="A6">
        <v>5</v>
      </c>
      <c r="B6">
        <f>BaseSeries!$B6*LeadMult</f>
        <v>0</v>
      </c>
      <c r="C6">
        <f>B6*(L2D*D2P*P2Deal)</f>
        <v>0</v>
      </c>
      <c r="D6">
        <f>D5*(1-(1-ChurnAnn)^(1/12))+C6</f>
        <v>0</v>
      </c>
      <c r="E6">
        <f>C6*DevicesPerDeal</f>
        <v>0</v>
      </c>
      <c r="F6">
        <f>F5+E6</f>
        <v>0</v>
      </c>
      <c r="G6">
        <f>D6*(ARPA/12)/1e6</f>
        <v>0</v>
      </c>
      <c r="H6">
        <f>E6*CapexShare*DevicePrice/1e6</f>
        <v>0</v>
      </c>
      <c r="I6">
        <f>G6+H6</f>
        <v>0</v>
      </c>
      <c r="J6">
        <f>(1-GMrec)*G6 + E6*(INDEX(COGSdevY, CEILING(A6/12,1))/1e6)*CapexShare</f>
        <v>0</v>
      </c>
      <c r="K6">
        <f>I6-J6</f>
        <v>0</v>
      </c>
      <c r="L6">
        <f>CEILING(A6/12,1)</f>
        <v>0</v>
      </c>
    </row>
    <row r="7" spans="1:12">
      <c r="A7">
        <v>6</v>
      </c>
      <c r="B7">
        <f>BaseSeries!$B7*LeadMult</f>
        <v>0</v>
      </c>
      <c r="C7">
        <f>B7*(L2D*D2P*P2Deal)</f>
        <v>0</v>
      </c>
      <c r="D7">
        <f>D6*(1-(1-ChurnAnn)^(1/12))+C7</f>
        <v>0</v>
      </c>
      <c r="E7">
        <f>C7*DevicesPerDeal</f>
        <v>0</v>
      </c>
      <c r="F7">
        <f>F6+E7</f>
        <v>0</v>
      </c>
      <c r="G7">
        <f>D7*(ARPA/12)/1e6</f>
        <v>0</v>
      </c>
      <c r="H7">
        <f>E7*CapexShare*DevicePrice/1e6</f>
        <v>0</v>
      </c>
      <c r="I7">
        <f>G7+H7</f>
        <v>0</v>
      </c>
      <c r="J7">
        <f>(1-GMrec)*G7 + E7*(INDEX(COGSdevY, CEILING(A7/12,1))/1e6)*CapexShare</f>
        <v>0</v>
      </c>
      <c r="K7">
        <f>I7-J7</f>
        <v>0</v>
      </c>
      <c r="L7">
        <f>CEILING(A7/12,1)</f>
        <v>0</v>
      </c>
    </row>
    <row r="8" spans="1:12">
      <c r="A8">
        <v>7</v>
      </c>
      <c r="B8">
        <f>BaseSeries!$B8*LeadMult</f>
        <v>0</v>
      </c>
      <c r="C8">
        <f>B8*(L2D*D2P*P2Deal)</f>
        <v>0</v>
      </c>
      <c r="D8">
        <f>D7*(1-(1-ChurnAnn)^(1/12))+C8</f>
        <v>0</v>
      </c>
      <c r="E8">
        <f>C8*DevicesPerDeal</f>
        <v>0</v>
      </c>
      <c r="F8">
        <f>F7+E8</f>
        <v>0</v>
      </c>
      <c r="G8">
        <f>D8*(ARPA/12)/1e6</f>
        <v>0</v>
      </c>
      <c r="H8">
        <f>E8*CapexShare*DevicePrice/1e6</f>
        <v>0</v>
      </c>
      <c r="I8">
        <f>G8+H8</f>
        <v>0</v>
      </c>
      <c r="J8">
        <f>(1-GMrec)*G8 + E8*(INDEX(COGSdevY, CEILING(A8/12,1))/1e6)*CapexShare</f>
        <v>0</v>
      </c>
      <c r="K8">
        <f>I8-J8</f>
        <v>0</v>
      </c>
      <c r="L8">
        <f>CEILING(A8/12,1)</f>
        <v>0</v>
      </c>
    </row>
    <row r="9" spans="1:12">
      <c r="A9">
        <v>8</v>
      </c>
      <c r="B9">
        <f>BaseSeries!$B9*LeadMult</f>
        <v>0</v>
      </c>
      <c r="C9">
        <f>B9*(L2D*D2P*P2Deal)</f>
        <v>0</v>
      </c>
      <c r="D9">
        <f>D8*(1-(1-ChurnAnn)^(1/12))+C9</f>
        <v>0</v>
      </c>
      <c r="E9">
        <f>C9*DevicesPerDeal</f>
        <v>0</v>
      </c>
      <c r="F9">
        <f>F8+E9</f>
        <v>0</v>
      </c>
      <c r="G9">
        <f>D9*(ARPA/12)/1e6</f>
        <v>0</v>
      </c>
      <c r="H9">
        <f>E9*CapexShare*DevicePrice/1e6</f>
        <v>0</v>
      </c>
      <c r="I9">
        <f>G9+H9</f>
        <v>0</v>
      </c>
      <c r="J9">
        <f>(1-GMrec)*G9 + E9*(INDEX(COGSdevY, CEILING(A9/12,1))/1e6)*CapexShare</f>
        <v>0</v>
      </c>
      <c r="K9">
        <f>I9-J9</f>
        <v>0</v>
      </c>
      <c r="L9">
        <f>CEILING(A9/12,1)</f>
        <v>0</v>
      </c>
    </row>
    <row r="10" spans="1:12">
      <c r="A10">
        <v>9</v>
      </c>
      <c r="B10">
        <f>BaseSeries!$B10*LeadMult</f>
        <v>0</v>
      </c>
      <c r="C10">
        <f>B10*(L2D*D2P*P2Deal)</f>
        <v>0</v>
      </c>
      <c r="D10">
        <f>D9*(1-(1-ChurnAnn)^(1/12))+C10</f>
        <v>0</v>
      </c>
      <c r="E10">
        <f>C10*DevicesPerDeal</f>
        <v>0</v>
      </c>
      <c r="F10">
        <f>F9+E10</f>
        <v>0</v>
      </c>
      <c r="G10">
        <f>D10*(ARPA/12)/1e6</f>
        <v>0</v>
      </c>
      <c r="H10">
        <f>E10*CapexShare*DevicePrice/1e6</f>
        <v>0</v>
      </c>
      <c r="I10">
        <f>G10+H10</f>
        <v>0</v>
      </c>
      <c r="J10">
        <f>(1-GMrec)*G10 + E10*(INDEX(COGSdevY, CEILING(A10/12,1))/1e6)*CapexShare</f>
        <v>0</v>
      </c>
      <c r="K10">
        <f>I10-J10</f>
        <v>0</v>
      </c>
      <c r="L10">
        <f>CEILING(A10/12,1)</f>
        <v>0</v>
      </c>
    </row>
    <row r="11" spans="1:12">
      <c r="A11">
        <v>10</v>
      </c>
      <c r="B11">
        <f>BaseSeries!$B11*LeadMult</f>
        <v>0</v>
      </c>
      <c r="C11">
        <f>B11*(L2D*D2P*P2Deal)</f>
        <v>0</v>
      </c>
      <c r="D11">
        <f>D10*(1-(1-ChurnAnn)^(1/12))+C11</f>
        <v>0</v>
      </c>
      <c r="E11">
        <f>C11*DevicesPerDeal</f>
        <v>0</v>
      </c>
      <c r="F11">
        <f>F10+E11</f>
        <v>0</v>
      </c>
      <c r="G11">
        <f>D11*(ARPA/12)/1e6</f>
        <v>0</v>
      </c>
      <c r="H11">
        <f>E11*CapexShare*DevicePrice/1e6</f>
        <v>0</v>
      </c>
      <c r="I11">
        <f>G11+H11</f>
        <v>0</v>
      </c>
      <c r="J11">
        <f>(1-GMrec)*G11 + E11*(INDEX(COGSdevY, CEILING(A11/12,1))/1e6)*CapexShare</f>
        <v>0</v>
      </c>
      <c r="K11">
        <f>I11-J11</f>
        <v>0</v>
      </c>
      <c r="L11">
        <f>CEILING(A11/12,1)</f>
        <v>0</v>
      </c>
    </row>
    <row r="12" spans="1:12">
      <c r="A12">
        <v>11</v>
      </c>
      <c r="B12">
        <f>BaseSeries!$B12*LeadMult</f>
        <v>0</v>
      </c>
      <c r="C12">
        <f>B12*(L2D*D2P*P2Deal)</f>
        <v>0</v>
      </c>
      <c r="D12">
        <f>D11*(1-(1-ChurnAnn)^(1/12))+C12</f>
        <v>0</v>
      </c>
      <c r="E12">
        <f>C12*DevicesPerDeal</f>
        <v>0</v>
      </c>
      <c r="F12">
        <f>F11+E12</f>
        <v>0</v>
      </c>
      <c r="G12">
        <f>D12*(ARPA/12)/1e6</f>
        <v>0</v>
      </c>
      <c r="H12">
        <f>E12*CapexShare*DevicePrice/1e6</f>
        <v>0</v>
      </c>
      <c r="I12">
        <f>G12+H12</f>
        <v>0</v>
      </c>
      <c r="J12">
        <f>(1-GMrec)*G12 + E12*(INDEX(COGSdevY, CEILING(A12/12,1))/1e6)*CapexShare</f>
        <v>0</v>
      </c>
      <c r="K12">
        <f>I12-J12</f>
        <v>0</v>
      </c>
      <c r="L12">
        <f>CEILING(A12/12,1)</f>
        <v>0</v>
      </c>
    </row>
    <row r="13" spans="1:12">
      <c r="A13">
        <v>12</v>
      </c>
      <c r="B13">
        <f>BaseSeries!$B13*LeadMult</f>
        <v>0</v>
      </c>
      <c r="C13">
        <f>B13*(L2D*D2P*P2Deal)</f>
        <v>0</v>
      </c>
      <c r="D13">
        <f>D12*(1-(1-ChurnAnn)^(1/12))+C13</f>
        <v>0</v>
      </c>
      <c r="E13">
        <f>C13*DevicesPerDeal</f>
        <v>0</v>
      </c>
      <c r="F13">
        <f>F12+E13</f>
        <v>0</v>
      </c>
      <c r="G13">
        <f>D13*(ARPA/12)/1e6</f>
        <v>0</v>
      </c>
      <c r="H13">
        <f>E13*CapexShare*DevicePrice/1e6</f>
        <v>0</v>
      </c>
      <c r="I13">
        <f>G13+H13</f>
        <v>0</v>
      </c>
      <c r="J13">
        <f>(1-GMrec)*G13 + E13*(INDEX(COGSdevY, CEILING(A13/12,1))/1e6)*CapexShare</f>
        <v>0</v>
      </c>
      <c r="K13">
        <f>I13-J13</f>
        <v>0</v>
      </c>
      <c r="L13">
        <f>CEILING(A13/12,1)</f>
        <v>0</v>
      </c>
    </row>
    <row r="14" spans="1:12">
      <c r="A14">
        <v>13</v>
      </c>
      <c r="B14">
        <f>BaseSeries!$B14*LeadMult</f>
        <v>0</v>
      </c>
      <c r="C14">
        <f>B14*(L2D*D2P*P2Deal)</f>
        <v>0</v>
      </c>
      <c r="D14">
        <f>D13*(1-(1-ChurnAnn)^(1/12))+C14</f>
        <v>0</v>
      </c>
      <c r="E14">
        <f>C14*DevicesPerDeal</f>
        <v>0</v>
      </c>
      <c r="F14">
        <f>F13+E14</f>
        <v>0</v>
      </c>
      <c r="G14">
        <f>D14*(ARPA/12)/1e6</f>
        <v>0</v>
      </c>
      <c r="H14">
        <f>E14*CapexShare*DevicePrice/1e6</f>
        <v>0</v>
      </c>
      <c r="I14">
        <f>G14+H14</f>
        <v>0</v>
      </c>
      <c r="J14">
        <f>(1-GMrec)*G14 + E14*(INDEX(COGSdevY, CEILING(A14/12,1))/1e6)*CapexShare</f>
        <v>0</v>
      </c>
      <c r="K14">
        <f>I14-J14</f>
        <v>0</v>
      </c>
      <c r="L14">
        <f>CEILING(A14/12,1)</f>
        <v>0</v>
      </c>
    </row>
    <row r="15" spans="1:12">
      <c r="A15">
        <v>14</v>
      </c>
      <c r="B15">
        <f>BaseSeries!$B15*LeadMult</f>
        <v>0</v>
      </c>
      <c r="C15">
        <f>B15*(L2D*D2P*P2Deal)</f>
        <v>0</v>
      </c>
      <c r="D15">
        <f>D14*(1-(1-ChurnAnn)^(1/12))+C15</f>
        <v>0</v>
      </c>
      <c r="E15">
        <f>C15*DevicesPerDeal</f>
        <v>0</v>
      </c>
      <c r="F15">
        <f>F14+E15</f>
        <v>0</v>
      </c>
      <c r="G15">
        <f>D15*(ARPA/12)/1e6</f>
        <v>0</v>
      </c>
      <c r="H15">
        <f>E15*CapexShare*DevicePrice/1e6</f>
        <v>0</v>
      </c>
      <c r="I15">
        <f>G15+H15</f>
        <v>0</v>
      </c>
      <c r="J15">
        <f>(1-GMrec)*G15 + E15*(INDEX(COGSdevY, CEILING(A15/12,1))/1e6)*CapexShare</f>
        <v>0</v>
      </c>
      <c r="K15">
        <f>I15-J15</f>
        <v>0</v>
      </c>
      <c r="L15">
        <f>CEILING(A15/12,1)</f>
        <v>0</v>
      </c>
    </row>
    <row r="16" spans="1:12">
      <c r="A16">
        <v>15</v>
      </c>
      <c r="B16">
        <f>BaseSeries!$B16*LeadMult</f>
        <v>0</v>
      </c>
      <c r="C16">
        <f>B16*(L2D*D2P*P2Deal)</f>
        <v>0</v>
      </c>
      <c r="D16">
        <f>D15*(1-(1-ChurnAnn)^(1/12))+C16</f>
        <v>0</v>
      </c>
      <c r="E16">
        <f>C16*DevicesPerDeal</f>
        <v>0</v>
      </c>
      <c r="F16">
        <f>F15+E16</f>
        <v>0</v>
      </c>
      <c r="G16">
        <f>D16*(ARPA/12)/1e6</f>
        <v>0</v>
      </c>
      <c r="H16">
        <f>E16*CapexShare*DevicePrice/1e6</f>
        <v>0</v>
      </c>
      <c r="I16">
        <f>G16+H16</f>
        <v>0</v>
      </c>
      <c r="J16">
        <f>(1-GMrec)*G16 + E16*(INDEX(COGSdevY, CEILING(A16/12,1))/1e6)*CapexShare</f>
        <v>0</v>
      </c>
      <c r="K16">
        <f>I16-J16</f>
        <v>0</v>
      </c>
      <c r="L16">
        <f>CEILING(A16/12,1)</f>
        <v>0</v>
      </c>
    </row>
    <row r="17" spans="1:12">
      <c r="A17">
        <v>16</v>
      </c>
      <c r="B17">
        <f>BaseSeries!$B17*LeadMult</f>
        <v>0</v>
      </c>
      <c r="C17">
        <f>B17*(L2D*D2P*P2Deal)</f>
        <v>0</v>
      </c>
      <c r="D17">
        <f>D16*(1-(1-ChurnAnn)^(1/12))+C17</f>
        <v>0</v>
      </c>
      <c r="E17">
        <f>C17*DevicesPerDeal</f>
        <v>0</v>
      </c>
      <c r="F17">
        <f>F16+E17</f>
        <v>0</v>
      </c>
      <c r="G17">
        <f>D17*(ARPA/12)/1e6</f>
        <v>0</v>
      </c>
      <c r="H17">
        <f>E17*CapexShare*DevicePrice/1e6</f>
        <v>0</v>
      </c>
      <c r="I17">
        <f>G17+H17</f>
        <v>0</v>
      </c>
      <c r="J17">
        <f>(1-GMrec)*G17 + E17*(INDEX(COGSdevY, CEILING(A17/12,1))/1e6)*CapexShare</f>
        <v>0</v>
      </c>
      <c r="K17">
        <f>I17-J17</f>
        <v>0</v>
      </c>
      <c r="L17">
        <f>CEILING(A17/12,1)</f>
        <v>0</v>
      </c>
    </row>
    <row r="18" spans="1:12">
      <c r="A18">
        <v>17</v>
      </c>
      <c r="B18">
        <f>BaseSeries!$B18*LeadMult</f>
        <v>0</v>
      </c>
      <c r="C18">
        <f>B18*(L2D*D2P*P2Deal)</f>
        <v>0</v>
      </c>
      <c r="D18">
        <f>D17*(1-(1-ChurnAnn)^(1/12))+C18</f>
        <v>0</v>
      </c>
      <c r="E18">
        <f>C18*DevicesPerDeal</f>
        <v>0</v>
      </c>
      <c r="F18">
        <f>F17+E18</f>
        <v>0</v>
      </c>
      <c r="G18">
        <f>D18*(ARPA/12)/1e6</f>
        <v>0</v>
      </c>
      <c r="H18">
        <f>E18*CapexShare*DevicePrice/1e6</f>
        <v>0</v>
      </c>
      <c r="I18">
        <f>G18+H18</f>
        <v>0</v>
      </c>
      <c r="J18">
        <f>(1-GMrec)*G18 + E18*(INDEX(COGSdevY, CEILING(A18/12,1))/1e6)*CapexShare</f>
        <v>0</v>
      </c>
      <c r="K18">
        <f>I18-J18</f>
        <v>0</v>
      </c>
      <c r="L18">
        <f>CEILING(A18/12,1)</f>
        <v>0</v>
      </c>
    </row>
    <row r="19" spans="1:12">
      <c r="A19">
        <v>18</v>
      </c>
      <c r="B19">
        <f>BaseSeries!$B19*LeadMult</f>
        <v>0</v>
      </c>
      <c r="C19">
        <f>B19*(L2D*D2P*P2Deal)</f>
        <v>0</v>
      </c>
      <c r="D19">
        <f>D18*(1-(1-ChurnAnn)^(1/12))+C19</f>
        <v>0</v>
      </c>
      <c r="E19">
        <f>C19*DevicesPerDeal</f>
        <v>0</v>
      </c>
      <c r="F19">
        <f>F18+E19</f>
        <v>0</v>
      </c>
      <c r="G19">
        <f>D19*(ARPA/12)/1e6</f>
        <v>0</v>
      </c>
      <c r="H19">
        <f>E19*CapexShare*DevicePrice/1e6</f>
        <v>0</v>
      </c>
      <c r="I19">
        <f>G19+H19</f>
        <v>0</v>
      </c>
      <c r="J19">
        <f>(1-GMrec)*G19 + E19*(INDEX(COGSdevY, CEILING(A19/12,1))/1e6)*CapexShare</f>
        <v>0</v>
      </c>
      <c r="K19">
        <f>I19-J19</f>
        <v>0</v>
      </c>
      <c r="L19">
        <f>CEILING(A19/12,1)</f>
        <v>0</v>
      </c>
    </row>
    <row r="20" spans="1:12">
      <c r="A20">
        <v>19</v>
      </c>
      <c r="B20">
        <f>BaseSeries!$B20*LeadMult</f>
        <v>0</v>
      </c>
      <c r="C20">
        <f>B20*(L2D*D2P*P2Deal)</f>
        <v>0</v>
      </c>
      <c r="D20">
        <f>D19*(1-(1-ChurnAnn)^(1/12))+C20</f>
        <v>0</v>
      </c>
      <c r="E20">
        <f>C20*DevicesPerDeal</f>
        <v>0</v>
      </c>
      <c r="F20">
        <f>F19+E20</f>
        <v>0</v>
      </c>
      <c r="G20">
        <f>D20*(ARPA/12)/1e6</f>
        <v>0</v>
      </c>
      <c r="H20">
        <f>E20*CapexShare*DevicePrice/1e6</f>
        <v>0</v>
      </c>
      <c r="I20">
        <f>G20+H20</f>
        <v>0</v>
      </c>
      <c r="J20">
        <f>(1-GMrec)*G20 + E20*(INDEX(COGSdevY, CEILING(A20/12,1))/1e6)*CapexShare</f>
        <v>0</v>
      </c>
      <c r="K20">
        <f>I20-J20</f>
        <v>0</v>
      </c>
      <c r="L20">
        <f>CEILING(A20/12,1)</f>
        <v>0</v>
      </c>
    </row>
    <row r="21" spans="1:12">
      <c r="A21">
        <v>20</v>
      </c>
      <c r="B21">
        <f>BaseSeries!$B21*LeadMult</f>
        <v>0</v>
      </c>
      <c r="C21">
        <f>B21*(L2D*D2P*P2Deal)</f>
        <v>0</v>
      </c>
      <c r="D21">
        <f>D20*(1-(1-ChurnAnn)^(1/12))+C21</f>
        <v>0</v>
      </c>
      <c r="E21">
        <f>C21*DevicesPerDeal</f>
        <v>0</v>
      </c>
      <c r="F21">
        <f>F20+E21</f>
        <v>0</v>
      </c>
      <c r="G21">
        <f>D21*(ARPA/12)/1e6</f>
        <v>0</v>
      </c>
      <c r="H21">
        <f>E21*CapexShare*DevicePrice/1e6</f>
        <v>0</v>
      </c>
      <c r="I21">
        <f>G21+H21</f>
        <v>0</v>
      </c>
      <c r="J21">
        <f>(1-GMrec)*G21 + E21*(INDEX(COGSdevY, CEILING(A21/12,1))/1e6)*CapexShare</f>
        <v>0</v>
      </c>
      <c r="K21">
        <f>I21-J21</f>
        <v>0</v>
      </c>
      <c r="L21">
        <f>CEILING(A21/12,1)</f>
        <v>0</v>
      </c>
    </row>
    <row r="22" spans="1:12">
      <c r="A22">
        <v>21</v>
      </c>
      <c r="B22">
        <f>BaseSeries!$B22*LeadMult</f>
        <v>0</v>
      </c>
      <c r="C22">
        <f>B22*(L2D*D2P*P2Deal)</f>
        <v>0</v>
      </c>
      <c r="D22">
        <f>D21*(1-(1-ChurnAnn)^(1/12))+C22</f>
        <v>0</v>
      </c>
      <c r="E22">
        <f>C22*DevicesPerDeal</f>
        <v>0</v>
      </c>
      <c r="F22">
        <f>F21+E22</f>
        <v>0</v>
      </c>
      <c r="G22">
        <f>D22*(ARPA/12)/1e6</f>
        <v>0</v>
      </c>
      <c r="H22">
        <f>E22*CapexShare*DevicePrice/1e6</f>
        <v>0</v>
      </c>
      <c r="I22">
        <f>G22+H22</f>
        <v>0</v>
      </c>
      <c r="J22">
        <f>(1-GMrec)*G22 + E22*(INDEX(COGSdevY, CEILING(A22/12,1))/1e6)*CapexShare</f>
        <v>0</v>
      </c>
      <c r="K22">
        <f>I22-J22</f>
        <v>0</v>
      </c>
      <c r="L22">
        <f>CEILING(A22/12,1)</f>
        <v>0</v>
      </c>
    </row>
    <row r="23" spans="1:12">
      <c r="A23">
        <v>22</v>
      </c>
      <c r="B23">
        <f>BaseSeries!$B23*LeadMult</f>
        <v>0</v>
      </c>
      <c r="C23">
        <f>B23*(L2D*D2P*P2Deal)</f>
        <v>0</v>
      </c>
      <c r="D23">
        <f>D22*(1-(1-ChurnAnn)^(1/12))+C23</f>
        <v>0</v>
      </c>
      <c r="E23">
        <f>C23*DevicesPerDeal</f>
        <v>0</v>
      </c>
      <c r="F23">
        <f>F22+E23</f>
        <v>0</v>
      </c>
      <c r="G23">
        <f>D23*(ARPA/12)/1e6</f>
        <v>0</v>
      </c>
      <c r="H23">
        <f>E23*CapexShare*DevicePrice/1e6</f>
        <v>0</v>
      </c>
      <c r="I23">
        <f>G23+H23</f>
        <v>0</v>
      </c>
      <c r="J23">
        <f>(1-GMrec)*G23 + E23*(INDEX(COGSdevY, CEILING(A23/12,1))/1e6)*CapexShare</f>
        <v>0</v>
      </c>
      <c r="K23">
        <f>I23-J23</f>
        <v>0</v>
      </c>
      <c r="L23">
        <f>CEILING(A23/12,1)</f>
        <v>0</v>
      </c>
    </row>
    <row r="24" spans="1:12">
      <c r="A24">
        <v>23</v>
      </c>
      <c r="B24">
        <f>BaseSeries!$B24*LeadMult</f>
        <v>0</v>
      </c>
      <c r="C24">
        <f>B24*(L2D*D2P*P2Deal)</f>
        <v>0</v>
      </c>
      <c r="D24">
        <f>D23*(1-(1-ChurnAnn)^(1/12))+C24</f>
        <v>0</v>
      </c>
      <c r="E24">
        <f>C24*DevicesPerDeal</f>
        <v>0</v>
      </c>
      <c r="F24">
        <f>F23+E24</f>
        <v>0</v>
      </c>
      <c r="G24">
        <f>D24*(ARPA/12)/1e6</f>
        <v>0</v>
      </c>
      <c r="H24">
        <f>E24*CapexShare*DevicePrice/1e6</f>
        <v>0</v>
      </c>
      <c r="I24">
        <f>G24+H24</f>
        <v>0</v>
      </c>
      <c r="J24">
        <f>(1-GMrec)*G24 + E24*(INDEX(COGSdevY, CEILING(A24/12,1))/1e6)*CapexShare</f>
        <v>0</v>
      </c>
      <c r="K24">
        <f>I24-J24</f>
        <v>0</v>
      </c>
      <c r="L24">
        <f>CEILING(A24/12,1)</f>
        <v>0</v>
      </c>
    </row>
    <row r="25" spans="1:12">
      <c r="A25">
        <v>24</v>
      </c>
      <c r="B25">
        <f>BaseSeries!$B25*LeadMult</f>
        <v>0</v>
      </c>
      <c r="C25">
        <f>B25*(L2D*D2P*P2Deal)</f>
        <v>0</v>
      </c>
      <c r="D25">
        <f>D24*(1-(1-ChurnAnn)^(1/12))+C25</f>
        <v>0</v>
      </c>
      <c r="E25">
        <f>C25*DevicesPerDeal</f>
        <v>0</v>
      </c>
      <c r="F25">
        <f>F24+E25</f>
        <v>0</v>
      </c>
      <c r="G25">
        <f>D25*(ARPA/12)/1e6</f>
        <v>0</v>
      </c>
      <c r="H25">
        <f>E25*CapexShare*DevicePrice/1e6</f>
        <v>0</v>
      </c>
      <c r="I25">
        <f>G25+H25</f>
        <v>0</v>
      </c>
      <c r="J25">
        <f>(1-GMrec)*G25 + E25*(INDEX(COGSdevY, CEILING(A25/12,1))/1e6)*CapexShare</f>
        <v>0</v>
      </c>
      <c r="K25">
        <f>I25-J25</f>
        <v>0</v>
      </c>
      <c r="L25">
        <f>CEILING(A25/12,1)</f>
        <v>0</v>
      </c>
    </row>
    <row r="26" spans="1:12">
      <c r="A26">
        <v>25</v>
      </c>
      <c r="B26">
        <f>BaseSeries!$B26*LeadMult</f>
        <v>0</v>
      </c>
      <c r="C26">
        <f>B26*(L2D*D2P*P2Deal)</f>
        <v>0</v>
      </c>
      <c r="D26">
        <f>D25*(1-(1-ChurnAnn)^(1/12))+C26</f>
        <v>0</v>
      </c>
      <c r="E26">
        <f>C26*DevicesPerDeal</f>
        <v>0</v>
      </c>
      <c r="F26">
        <f>F25+E26</f>
        <v>0</v>
      </c>
      <c r="G26">
        <f>D26*(ARPA/12)/1e6</f>
        <v>0</v>
      </c>
      <c r="H26">
        <f>E26*CapexShare*DevicePrice/1e6</f>
        <v>0</v>
      </c>
      <c r="I26">
        <f>G26+H26</f>
        <v>0</v>
      </c>
      <c r="J26">
        <f>(1-GMrec)*G26 + E26*(INDEX(COGSdevY, CEILING(A26/12,1))/1e6)*CapexShare</f>
        <v>0</v>
      </c>
      <c r="K26">
        <f>I26-J26</f>
        <v>0</v>
      </c>
      <c r="L26">
        <f>CEILING(A26/12,1)</f>
        <v>0</v>
      </c>
    </row>
    <row r="27" spans="1:12">
      <c r="A27">
        <v>26</v>
      </c>
      <c r="B27">
        <f>BaseSeries!$B27*LeadMult</f>
        <v>0</v>
      </c>
      <c r="C27">
        <f>B27*(L2D*D2P*P2Deal)</f>
        <v>0</v>
      </c>
      <c r="D27">
        <f>D26*(1-(1-ChurnAnn)^(1/12))+C27</f>
        <v>0</v>
      </c>
      <c r="E27">
        <f>C27*DevicesPerDeal</f>
        <v>0</v>
      </c>
      <c r="F27">
        <f>F26+E27</f>
        <v>0</v>
      </c>
      <c r="G27">
        <f>D27*(ARPA/12)/1e6</f>
        <v>0</v>
      </c>
      <c r="H27">
        <f>E27*CapexShare*DevicePrice/1e6</f>
        <v>0</v>
      </c>
      <c r="I27">
        <f>G27+H27</f>
        <v>0</v>
      </c>
      <c r="J27">
        <f>(1-GMrec)*G27 + E27*(INDEX(COGSdevY, CEILING(A27/12,1))/1e6)*CapexShare</f>
        <v>0</v>
      </c>
      <c r="K27">
        <f>I27-J27</f>
        <v>0</v>
      </c>
      <c r="L27">
        <f>CEILING(A27/12,1)</f>
        <v>0</v>
      </c>
    </row>
    <row r="28" spans="1:12">
      <c r="A28">
        <v>27</v>
      </c>
      <c r="B28">
        <f>BaseSeries!$B28*LeadMult</f>
        <v>0</v>
      </c>
      <c r="C28">
        <f>B28*(L2D*D2P*P2Deal)</f>
        <v>0</v>
      </c>
      <c r="D28">
        <f>D27*(1-(1-ChurnAnn)^(1/12))+C28</f>
        <v>0</v>
      </c>
      <c r="E28">
        <f>C28*DevicesPerDeal</f>
        <v>0</v>
      </c>
      <c r="F28">
        <f>F27+E28</f>
        <v>0</v>
      </c>
      <c r="G28">
        <f>D28*(ARPA/12)/1e6</f>
        <v>0</v>
      </c>
      <c r="H28">
        <f>E28*CapexShare*DevicePrice/1e6</f>
        <v>0</v>
      </c>
      <c r="I28">
        <f>G28+H28</f>
        <v>0</v>
      </c>
      <c r="J28">
        <f>(1-GMrec)*G28 + E28*(INDEX(COGSdevY, CEILING(A28/12,1))/1e6)*CapexShare</f>
        <v>0</v>
      </c>
      <c r="K28">
        <f>I28-J28</f>
        <v>0</v>
      </c>
      <c r="L28">
        <f>CEILING(A28/12,1)</f>
        <v>0</v>
      </c>
    </row>
    <row r="29" spans="1:12">
      <c r="A29">
        <v>28</v>
      </c>
      <c r="B29">
        <f>BaseSeries!$B29*LeadMult</f>
        <v>0</v>
      </c>
      <c r="C29">
        <f>B29*(L2D*D2P*P2Deal)</f>
        <v>0</v>
      </c>
      <c r="D29">
        <f>D28*(1-(1-ChurnAnn)^(1/12))+C29</f>
        <v>0</v>
      </c>
      <c r="E29">
        <f>C29*DevicesPerDeal</f>
        <v>0</v>
      </c>
      <c r="F29">
        <f>F28+E29</f>
        <v>0</v>
      </c>
      <c r="G29">
        <f>D29*(ARPA/12)/1e6</f>
        <v>0</v>
      </c>
      <c r="H29">
        <f>E29*CapexShare*DevicePrice/1e6</f>
        <v>0</v>
      </c>
      <c r="I29">
        <f>G29+H29</f>
        <v>0</v>
      </c>
      <c r="J29">
        <f>(1-GMrec)*G29 + E29*(INDEX(COGSdevY, CEILING(A29/12,1))/1e6)*CapexShare</f>
        <v>0</v>
      </c>
      <c r="K29">
        <f>I29-J29</f>
        <v>0</v>
      </c>
      <c r="L29">
        <f>CEILING(A29/12,1)</f>
        <v>0</v>
      </c>
    </row>
    <row r="30" spans="1:12">
      <c r="A30">
        <v>29</v>
      </c>
      <c r="B30">
        <f>BaseSeries!$B30*LeadMult</f>
        <v>0</v>
      </c>
      <c r="C30">
        <f>B30*(L2D*D2P*P2Deal)</f>
        <v>0</v>
      </c>
      <c r="D30">
        <f>D29*(1-(1-ChurnAnn)^(1/12))+C30</f>
        <v>0</v>
      </c>
      <c r="E30">
        <f>C30*DevicesPerDeal</f>
        <v>0</v>
      </c>
      <c r="F30">
        <f>F29+E30</f>
        <v>0</v>
      </c>
      <c r="G30">
        <f>D30*(ARPA/12)/1e6</f>
        <v>0</v>
      </c>
      <c r="H30">
        <f>E30*CapexShare*DevicePrice/1e6</f>
        <v>0</v>
      </c>
      <c r="I30">
        <f>G30+H30</f>
        <v>0</v>
      </c>
      <c r="J30">
        <f>(1-GMrec)*G30 + E30*(INDEX(COGSdevY, CEILING(A30/12,1))/1e6)*CapexShare</f>
        <v>0</v>
      </c>
      <c r="K30">
        <f>I30-J30</f>
        <v>0</v>
      </c>
      <c r="L30">
        <f>CEILING(A30/12,1)</f>
        <v>0</v>
      </c>
    </row>
    <row r="31" spans="1:12">
      <c r="A31">
        <v>30</v>
      </c>
      <c r="B31">
        <f>BaseSeries!$B31*LeadMult</f>
        <v>0</v>
      </c>
      <c r="C31">
        <f>B31*(L2D*D2P*P2Deal)</f>
        <v>0</v>
      </c>
      <c r="D31">
        <f>D30*(1-(1-ChurnAnn)^(1/12))+C31</f>
        <v>0</v>
      </c>
      <c r="E31">
        <f>C31*DevicesPerDeal</f>
        <v>0</v>
      </c>
      <c r="F31">
        <f>F30+E31</f>
        <v>0</v>
      </c>
      <c r="G31">
        <f>D31*(ARPA/12)/1e6</f>
        <v>0</v>
      </c>
      <c r="H31">
        <f>E31*CapexShare*DevicePrice/1e6</f>
        <v>0</v>
      </c>
      <c r="I31">
        <f>G31+H31</f>
        <v>0</v>
      </c>
      <c r="J31">
        <f>(1-GMrec)*G31 + E31*(INDEX(COGSdevY, CEILING(A31/12,1))/1e6)*CapexShare</f>
        <v>0</v>
      </c>
      <c r="K31">
        <f>I31-J31</f>
        <v>0</v>
      </c>
      <c r="L31">
        <f>CEILING(A31/12,1)</f>
        <v>0</v>
      </c>
    </row>
    <row r="32" spans="1:12">
      <c r="A32">
        <v>31</v>
      </c>
      <c r="B32">
        <f>BaseSeries!$B32*LeadMult</f>
        <v>0</v>
      </c>
      <c r="C32">
        <f>B32*(L2D*D2P*P2Deal)</f>
        <v>0</v>
      </c>
      <c r="D32">
        <f>D31*(1-(1-ChurnAnn)^(1/12))+C32</f>
        <v>0</v>
      </c>
      <c r="E32">
        <f>C32*DevicesPerDeal</f>
        <v>0</v>
      </c>
      <c r="F32">
        <f>F31+E32</f>
        <v>0</v>
      </c>
      <c r="G32">
        <f>D32*(ARPA/12)/1e6</f>
        <v>0</v>
      </c>
      <c r="H32">
        <f>E32*CapexShare*DevicePrice/1e6</f>
        <v>0</v>
      </c>
      <c r="I32">
        <f>G32+H32</f>
        <v>0</v>
      </c>
      <c r="J32">
        <f>(1-GMrec)*G32 + E32*(INDEX(COGSdevY, CEILING(A32/12,1))/1e6)*CapexShare</f>
        <v>0</v>
      </c>
      <c r="K32">
        <f>I32-J32</f>
        <v>0</v>
      </c>
      <c r="L32">
        <f>CEILING(A32/12,1)</f>
        <v>0</v>
      </c>
    </row>
    <row r="33" spans="1:12">
      <c r="A33">
        <v>32</v>
      </c>
      <c r="B33">
        <f>BaseSeries!$B33*LeadMult</f>
        <v>0</v>
      </c>
      <c r="C33">
        <f>B33*(L2D*D2P*P2Deal)</f>
        <v>0</v>
      </c>
      <c r="D33">
        <f>D32*(1-(1-ChurnAnn)^(1/12))+C33</f>
        <v>0</v>
      </c>
      <c r="E33">
        <f>C33*DevicesPerDeal</f>
        <v>0</v>
      </c>
      <c r="F33">
        <f>F32+E33</f>
        <v>0</v>
      </c>
      <c r="G33">
        <f>D33*(ARPA/12)/1e6</f>
        <v>0</v>
      </c>
      <c r="H33">
        <f>E33*CapexShare*DevicePrice/1e6</f>
        <v>0</v>
      </c>
      <c r="I33">
        <f>G33+H33</f>
        <v>0</v>
      </c>
      <c r="J33">
        <f>(1-GMrec)*G33 + E33*(INDEX(COGSdevY, CEILING(A33/12,1))/1e6)*CapexShare</f>
        <v>0</v>
      </c>
      <c r="K33">
        <f>I33-J33</f>
        <v>0</v>
      </c>
      <c r="L33">
        <f>CEILING(A33/12,1)</f>
        <v>0</v>
      </c>
    </row>
    <row r="34" spans="1:12">
      <c r="A34">
        <v>33</v>
      </c>
      <c r="B34">
        <f>BaseSeries!$B34*LeadMult</f>
        <v>0</v>
      </c>
      <c r="C34">
        <f>B34*(L2D*D2P*P2Deal)</f>
        <v>0</v>
      </c>
      <c r="D34">
        <f>D33*(1-(1-ChurnAnn)^(1/12))+C34</f>
        <v>0</v>
      </c>
      <c r="E34">
        <f>C34*DevicesPerDeal</f>
        <v>0</v>
      </c>
      <c r="F34">
        <f>F33+E34</f>
        <v>0</v>
      </c>
      <c r="G34">
        <f>D34*(ARPA/12)/1e6</f>
        <v>0</v>
      </c>
      <c r="H34">
        <f>E34*CapexShare*DevicePrice/1e6</f>
        <v>0</v>
      </c>
      <c r="I34">
        <f>G34+H34</f>
        <v>0</v>
      </c>
      <c r="J34">
        <f>(1-GMrec)*G34 + E34*(INDEX(COGSdevY, CEILING(A34/12,1))/1e6)*CapexShare</f>
        <v>0</v>
      </c>
      <c r="K34">
        <f>I34-J34</f>
        <v>0</v>
      </c>
      <c r="L34">
        <f>CEILING(A34/12,1)</f>
        <v>0</v>
      </c>
    </row>
    <row r="35" spans="1:12">
      <c r="A35">
        <v>34</v>
      </c>
      <c r="B35">
        <f>BaseSeries!$B35*LeadMult</f>
        <v>0</v>
      </c>
      <c r="C35">
        <f>B35*(L2D*D2P*P2Deal)</f>
        <v>0</v>
      </c>
      <c r="D35">
        <f>D34*(1-(1-ChurnAnn)^(1/12))+C35</f>
        <v>0</v>
      </c>
      <c r="E35">
        <f>C35*DevicesPerDeal</f>
        <v>0</v>
      </c>
      <c r="F35">
        <f>F34+E35</f>
        <v>0</v>
      </c>
      <c r="G35">
        <f>D35*(ARPA/12)/1e6</f>
        <v>0</v>
      </c>
      <c r="H35">
        <f>E35*CapexShare*DevicePrice/1e6</f>
        <v>0</v>
      </c>
      <c r="I35">
        <f>G35+H35</f>
        <v>0</v>
      </c>
      <c r="J35">
        <f>(1-GMrec)*G35 + E35*(INDEX(COGSdevY, CEILING(A35/12,1))/1e6)*CapexShare</f>
        <v>0</v>
      </c>
      <c r="K35">
        <f>I35-J35</f>
        <v>0</v>
      </c>
      <c r="L35">
        <f>CEILING(A35/12,1)</f>
        <v>0</v>
      </c>
    </row>
    <row r="36" spans="1:12">
      <c r="A36">
        <v>35</v>
      </c>
      <c r="B36">
        <f>BaseSeries!$B36*LeadMult</f>
        <v>0</v>
      </c>
      <c r="C36">
        <f>B36*(L2D*D2P*P2Deal)</f>
        <v>0</v>
      </c>
      <c r="D36">
        <f>D35*(1-(1-ChurnAnn)^(1/12))+C36</f>
        <v>0</v>
      </c>
      <c r="E36">
        <f>C36*DevicesPerDeal</f>
        <v>0</v>
      </c>
      <c r="F36">
        <f>F35+E36</f>
        <v>0</v>
      </c>
      <c r="G36">
        <f>D36*(ARPA/12)/1e6</f>
        <v>0</v>
      </c>
      <c r="H36">
        <f>E36*CapexShare*DevicePrice/1e6</f>
        <v>0</v>
      </c>
      <c r="I36">
        <f>G36+H36</f>
        <v>0</v>
      </c>
      <c r="J36">
        <f>(1-GMrec)*G36 + E36*(INDEX(COGSdevY, CEILING(A36/12,1))/1e6)*CapexShare</f>
        <v>0</v>
      </c>
      <c r="K36">
        <f>I36-J36</f>
        <v>0</v>
      </c>
      <c r="L36">
        <f>CEILING(A36/12,1)</f>
        <v>0</v>
      </c>
    </row>
    <row r="37" spans="1:12">
      <c r="A37">
        <v>36</v>
      </c>
      <c r="B37">
        <f>BaseSeries!$B37*LeadMult</f>
        <v>0</v>
      </c>
      <c r="C37">
        <f>B37*(L2D*D2P*P2Deal)</f>
        <v>0</v>
      </c>
      <c r="D37">
        <f>D36*(1-(1-ChurnAnn)^(1/12))+C37</f>
        <v>0</v>
      </c>
      <c r="E37">
        <f>C37*DevicesPerDeal</f>
        <v>0</v>
      </c>
      <c r="F37">
        <f>F36+E37</f>
        <v>0</v>
      </c>
      <c r="G37">
        <f>D37*(ARPA/12)/1e6</f>
        <v>0</v>
      </c>
      <c r="H37">
        <f>E37*CapexShare*DevicePrice/1e6</f>
        <v>0</v>
      </c>
      <c r="I37">
        <f>G37+H37</f>
        <v>0</v>
      </c>
      <c r="J37">
        <f>(1-GMrec)*G37 + E37*(INDEX(COGSdevY, CEILING(A37/12,1))/1e6)*CapexShare</f>
        <v>0</v>
      </c>
      <c r="K37">
        <f>I37-J37</f>
        <v>0</v>
      </c>
      <c r="L37">
        <f>CEILING(A37/12,1)</f>
        <v>0</v>
      </c>
    </row>
    <row r="38" spans="1:12">
      <c r="A38">
        <v>37</v>
      </c>
      <c r="B38">
        <f>BaseSeries!$B38*LeadMult</f>
        <v>0</v>
      </c>
      <c r="C38">
        <f>B38*(L2D*D2P*P2Deal)</f>
        <v>0</v>
      </c>
      <c r="D38">
        <f>D37*(1-(1-ChurnAnn)^(1/12))+C38</f>
        <v>0</v>
      </c>
      <c r="E38">
        <f>C38*DevicesPerDeal</f>
        <v>0</v>
      </c>
      <c r="F38">
        <f>F37+E38</f>
        <v>0</v>
      </c>
      <c r="G38">
        <f>D38*(ARPA/12)/1e6</f>
        <v>0</v>
      </c>
      <c r="H38">
        <f>E38*CapexShare*DevicePrice/1e6</f>
        <v>0</v>
      </c>
      <c r="I38">
        <f>G38+H38</f>
        <v>0</v>
      </c>
      <c r="J38">
        <f>(1-GMrec)*G38 + E38*(INDEX(COGSdevY, CEILING(A38/12,1))/1e6)*CapexShare</f>
        <v>0</v>
      </c>
      <c r="K38">
        <f>I38-J38</f>
        <v>0</v>
      </c>
      <c r="L38">
        <f>CEILING(A38/12,1)</f>
        <v>0</v>
      </c>
    </row>
    <row r="39" spans="1:12">
      <c r="A39">
        <v>38</v>
      </c>
      <c r="B39">
        <f>BaseSeries!$B39*LeadMult</f>
        <v>0</v>
      </c>
      <c r="C39">
        <f>B39*(L2D*D2P*P2Deal)</f>
        <v>0</v>
      </c>
      <c r="D39">
        <f>D38*(1-(1-ChurnAnn)^(1/12))+C39</f>
        <v>0</v>
      </c>
      <c r="E39">
        <f>C39*DevicesPerDeal</f>
        <v>0</v>
      </c>
      <c r="F39">
        <f>F38+E39</f>
        <v>0</v>
      </c>
      <c r="G39">
        <f>D39*(ARPA/12)/1e6</f>
        <v>0</v>
      </c>
      <c r="H39">
        <f>E39*CapexShare*DevicePrice/1e6</f>
        <v>0</v>
      </c>
      <c r="I39">
        <f>G39+H39</f>
        <v>0</v>
      </c>
      <c r="J39">
        <f>(1-GMrec)*G39 + E39*(INDEX(COGSdevY, CEILING(A39/12,1))/1e6)*CapexShare</f>
        <v>0</v>
      </c>
      <c r="K39">
        <f>I39-J39</f>
        <v>0</v>
      </c>
      <c r="L39">
        <f>CEILING(A39/12,1)</f>
        <v>0</v>
      </c>
    </row>
    <row r="40" spans="1:12">
      <c r="A40">
        <v>39</v>
      </c>
      <c r="B40">
        <f>BaseSeries!$B40*LeadMult</f>
        <v>0</v>
      </c>
      <c r="C40">
        <f>B40*(L2D*D2P*P2Deal)</f>
        <v>0</v>
      </c>
      <c r="D40">
        <f>D39*(1-(1-ChurnAnn)^(1/12))+C40</f>
        <v>0</v>
      </c>
      <c r="E40">
        <f>C40*DevicesPerDeal</f>
        <v>0</v>
      </c>
      <c r="F40">
        <f>F39+E40</f>
        <v>0</v>
      </c>
      <c r="G40">
        <f>D40*(ARPA/12)/1e6</f>
        <v>0</v>
      </c>
      <c r="H40">
        <f>E40*CapexShare*DevicePrice/1e6</f>
        <v>0</v>
      </c>
      <c r="I40">
        <f>G40+H40</f>
        <v>0</v>
      </c>
      <c r="J40">
        <f>(1-GMrec)*G40 + E40*(INDEX(COGSdevY, CEILING(A40/12,1))/1e6)*CapexShare</f>
        <v>0</v>
      </c>
      <c r="K40">
        <f>I40-J40</f>
        <v>0</v>
      </c>
      <c r="L40">
        <f>CEILING(A40/12,1)</f>
        <v>0</v>
      </c>
    </row>
    <row r="41" spans="1:12">
      <c r="A41">
        <v>40</v>
      </c>
      <c r="B41">
        <f>BaseSeries!$B41*LeadMult</f>
        <v>0</v>
      </c>
      <c r="C41">
        <f>B41*(L2D*D2P*P2Deal)</f>
        <v>0</v>
      </c>
      <c r="D41">
        <f>D40*(1-(1-ChurnAnn)^(1/12))+C41</f>
        <v>0</v>
      </c>
      <c r="E41">
        <f>C41*DevicesPerDeal</f>
        <v>0</v>
      </c>
      <c r="F41">
        <f>F40+E41</f>
        <v>0</v>
      </c>
      <c r="G41">
        <f>D41*(ARPA/12)/1e6</f>
        <v>0</v>
      </c>
      <c r="H41">
        <f>E41*CapexShare*DevicePrice/1e6</f>
        <v>0</v>
      </c>
      <c r="I41">
        <f>G41+H41</f>
        <v>0</v>
      </c>
      <c r="J41">
        <f>(1-GMrec)*G41 + E41*(INDEX(COGSdevY, CEILING(A41/12,1))/1e6)*CapexShare</f>
        <v>0</v>
      </c>
      <c r="K41">
        <f>I41-J41</f>
        <v>0</v>
      </c>
      <c r="L41">
        <f>CEILING(A41/12,1)</f>
        <v>0</v>
      </c>
    </row>
    <row r="42" spans="1:12">
      <c r="A42">
        <v>41</v>
      </c>
      <c r="B42">
        <f>BaseSeries!$B42*LeadMult</f>
        <v>0</v>
      </c>
      <c r="C42">
        <f>B42*(L2D*D2P*P2Deal)</f>
        <v>0</v>
      </c>
      <c r="D42">
        <f>D41*(1-(1-ChurnAnn)^(1/12))+C42</f>
        <v>0</v>
      </c>
      <c r="E42">
        <f>C42*DevicesPerDeal</f>
        <v>0</v>
      </c>
      <c r="F42">
        <f>F41+E42</f>
        <v>0</v>
      </c>
      <c r="G42">
        <f>D42*(ARPA/12)/1e6</f>
        <v>0</v>
      </c>
      <c r="H42">
        <f>E42*CapexShare*DevicePrice/1e6</f>
        <v>0</v>
      </c>
      <c r="I42">
        <f>G42+H42</f>
        <v>0</v>
      </c>
      <c r="J42">
        <f>(1-GMrec)*G42 + E42*(INDEX(COGSdevY, CEILING(A42/12,1))/1e6)*CapexShare</f>
        <v>0</v>
      </c>
      <c r="K42">
        <f>I42-J42</f>
        <v>0</v>
      </c>
      <c r="L42">
        <f>CEILING(A42/12,1)</f>
        <v>0</v>
      </c>
    </row>
    <row r="43" spans="1:12">
      <c r="A43">
        <v>42</v>
      </c>
      <c r="B43">
        <f>BaseSeries!$B43*LeadMult</f>
        <v>0</v>
      </c>
      <c r="C43">
        <f>B43*(L2D*D2P*P2Deal)</f>
        <v>0</v>
      </c>
      <c r="D43">
        <f>D42*(1-(1-ChurnAnn)^(1/12))+C43</f>
        <v>0</v>
      </c>
      <c r="E43">
        <f>C43*DevicesPerDeal</f>
        <v>0</v>
      </c>
      <c r="F43">
        <f>F42+E43</f>
        <v>0</v>
      </c>
      <c r="G43">
        <f>D43*(ARPA/12)/1e6</f>
        <v>0</v>
      </c>
      <c r="H43">
        <f>E43*CapexShare*DevicePrice/1e6</f>
        <v>0</v>
      </c>
      <c r="I43">
        <f>G43+H43</f>
        <v>0</v>
      </c>
      <c r="J43">
        <f>(1-GMrec)*G43 + E43*(INDEX(COGSdevY, CEILING(A43/12,1))/1e6)*CapexShare</f>
        <v>0</v>
      </c>
      <c r="K43">
        <f>I43-J43</f>
        <v>0</v>
      </c>
      <c r="L43">
        <f>CEILING(A43/12,1)</f>
        <v>0</v>
      </c>
    </row>
    <row r="44" spans="1:12">
      <c r="A44">
        <v>43</v>
      </c>
      <c r="B44">
        <f>BaseSeries!$B44*LeadMult</f>
        <v>0</v>
      </c>
      <c r="C44">
        <f>B44*(L2D*D2P*P2Deal)</f>
        <v>0</v>
      </c>
      <c r="D44">
        <f>D43*(1-(1-ChurnAnn)^(1/12))+C44</f>
        <v>0</v>
      </c>
      <c r="E44">
        <f>C44*DevicesPerDeal</f>
        <v>0</v>
      </c>
      <c r="F44">
        <f>F43+E44</f>
        <v>0</v>
      </c>
      <c r="G44">
        <f>D44*(ARPA/12)/1e6</f>
        <v>0</v>
      </c>
      <c r="H44">
        <f>E44*CapexShare*DevicePrice/1e6</f>
        <v>0</v>
      </c>
      <c r="I44">
        <f>G44+H44</f>
        <v>0</v>
      </c>
      <c r="J44">
        <f>(1-GMrec)*G44 + E44*(INDEX(COGSdevY, CEILING(A44/12,1))/1e6)*CapexShare</f>
        <v>0</v>
      </c>
      <c r="K44">
        <f>I44-J44</f>
        <v>0</v>
      </c>
      <c r="L44">
        <f>CEILING(A44/12,1)</f>
        <v>0</v>
      </c>
    </row>
    <row r="45" spans="1:12">
      <c r="A45">
        <v>44</v>
      </c>
      <c r="B45">
        <f>BaseSeries!$B45*LeadMult</f>
        <v>0</v>
      </c>
      <c r="C45">
        <f>B45*(L2D*D2P*P2Deal)</f>
        <v>0</v>
      </c>
      <c r="D45">
        <f>D44*(1-(1-ChurnAnn)^(1/12))+C45</f>
        <v>0</v>
      </c>
      <c r="E45">
        <f>C45*DevicesPerDeal</f>
        <v>0</v>
      </c>
      <c r="F45">
        <f>F44+E45</f>
        <v>0</v>
      </c>
      <c r="G45">
        <f>D45*(ARPA/12)/1e6</f>
        <v>0</v>
      </c>
      <c r="H45">
        <f>E45*CapexShare*DevicePrice/1e6</f>
        <v>0</v>
      </c>
      <c r="I45">
        <f>G45+H45</f>
        <v>0</v>
      </c>
      <c r="J45">
        <f>(1-GMrec)*G45 + E45*(INDEX(COGSdevY, CEILING(A45/12,1))/1e6)*CapexShare</f>
        <v>0</v>
      </c>
      <c r="K45">
        <f>I45-J45</f>
        <v>0</v>
      </c>
      <c r="L45">
        <f>CEILING(A45/12,1)</f>
        <v>0</v>
      </c>
    </row>
    <row r="46" spans="1:12">
      <c r="A46">
        <v>45</v>
      </c>
      <c r="B46">
        <f>BaseSeries!$B46*LeadMult</f>
        <v>0</v>
      </c>
      <c r="C46">
        <f>B46*(L2D*D2P*P2Deal)</f>
        <v>0</v>
      </c>
      <c r="D46">
        <f>D45*(1-(1-ChurnAnn)^(1/12))+C46</f>
        <v>0</v>
      </c>
      <c r="E46">
        <f>C46*DevicesPerDeal</f>
        <v>0</v>
      </c>
      <c r="F46">
        <f>F45+E46</f>
        <v>0</v>
      </c>
      <c r="G46">
        <f>D46*(ARPA/12)/1e6</f>
        <v>0</v>
      </c>
      <c r="H46">
        <f>E46*CapexShare*DevicePrice/1e6</f>
        <v>0</v>
      </c>
      <c r="I46">
        <f>G46+H46</f>
        <v>0</v>
      </c>
      <c r="J46">
        <f>(1-GMrec)*G46 + E46*(INDEX(COGSdevY, CEILING(A46/12,1))/1e6)*CapexShare</f>
        <v>0</v>
      </c>
      <c r="K46">
        <f>I46-J46</f>
        <v>0</v>
      </c>
      <c r="L46">
        <f>CEILING(A46/12,1)</f>
        <v>0</v>
      </c>
    </row>
    <row r="47" spans="1:12">
      <c r="A47">
        <v>46</v>
      </c>
      <c r="B47">
        <f>BaseSeries!$B47*LeadMult</f>
        <v>0</v>
      </c>
      <c r="C47">
        <f>B47*(L2D*D2P*P2Deal)</f>
        <v>0</v>
      </c>
      <c r="D47">
        <f>D46*(1-(1-ChurnAnn)^(1/12))+C47</f>
        <v>0</v>
      </c>
      <c r="E47">
        <f>C47*DevicesPerDeal</f>
        <v>0</v>
      </c>
      <c r="F47">
        <f>F46+E47</f>
        <v>0</v>
      </c>
      <c r="G47">
        <f>D47*(ARPA/12)/1e6</f>
        <v>0</v>
      </c>
      <c r="H47">
        <f>E47*CapexShare*DevicePrice/1e6</f>
        <v>0</v>
      </c>
      <c r="I47">
        <f>G47+H47</f>
        <v>0</v>
      </c>
      <c r="J47">
        <f>(1-GMrec)*G47 + E47*(INDEX(COGSdevY, CEILING(A47/12,1))/1e6)*CapexShare</f>
        <v>0</v>
      </c>
      <c r="K47">
        <f>I47-J47</f>
        <v>0</v>
      </c>
      <c r="L47">
        <f>CEILING(A47/12,1)</f>
        <v>0</v>
      </c>
    </row>
    <row r="48" spans="1:12">
      <c r="A48">
        <v>47</v>
      </c>
      <c r="B48">
        <f>BaseSeries!$B48*LeadMult</f>
        <v>0</v>
      </c>
      <c r="C48">
        <f>B48*(L2D*D2P*P2Deal)</f>
        <v>0</v>
      </c>
      <c r="D48">
        <f>D47*(1-(1-ChurnAnn)^(1/12))+C48</f>
        <v>0</v>
      </c>
      <c r="E48">
        <f>C48*DevicesPerDeal</f>
        <v>0</v>
      </c>
      <c r="F48">
        <f>F47+E48</f>
        <v>0</v>
      </c>
      <c r="G48">
        <f>D48*(ARPA/12)/1e6</f>
        <v>0</v>
      </c>
      <c r="H48">
        <f>E48*CapexShare*DevicePrice/1e6</f>
        <v>0</v>
      </c>
      <c r="I48">
        <f>G48+H48</f>
        <v>0</v>
      </c>
      <c r="J48">
        <f>(1-GMrec)*G48 + E48*(INDEX(COGSdevY, CEILING(A48/12,1))/1e6)*CapexShare</f>
        <v>0</v>
      </c>
      <c r="K48">
        <f>I48-J48</f>
        <v>0</v>
      </c>
      <c r="L48">
        <f>CEILING(A48/12,1)</f>
        <v>0</v>
      </c>
    </row>
    <row r="49" spans="1:12">
      <c r="A49">
        <v>48</v>
      </c>
      <c r="B49">
        <f>BaseSeries!$B49*LeadMult</f>
        <v>0</v>
      </c>
      <c r="C49">
        <f>B49*(L2D*D2P*P2Deal)</f>
        <v>0</v>
      </c>
      <c r="D49">
        <f>D48*(1-(1-ChurnAnn)^(1/12))+C49</f>
        <v>0</v>
      </c>
      <c r="E49">
        <f>C49*DevicesPerDeal</f>
        <v>0</v>
      </c>
      <c r="F49">
        <f>F48+E49</f>
        <v>0</v>
      </c>
      <c r="G49">
        <f>D49*(ARPA/12)/1e6</f>
        <v>0</v>
      </c>
      <c r="H49">
        <f>E49*CapexShare*DevicePrice/1e6</f>
        <v>0</v>
      </c>
      <c r="I49">
        <f>G49+H49</f>
        <v>0</v>
      </c>
      <c r="J49">
        <f>(1-GMrec)*G49 + E49*(INDEX(COGSdevY, CEILING(A49/12,1))/1e6)*CapexShare</f>
        <v>0</v>
      </c>
      <c r="K49">
        <f>I49-J49</f>
        <v>0</v>
      </c>
      <c r="L49">
        <f>CEILING(A49/12,1)</f>
        <v>0</v>
      </c>
    </row>
    <row r="50" spans="1:12">
      <c r="A50">
        <v>49</v>
      </c>
      <c r="B50">
        <f>BaseSeries!$B50*LeadMult</f>
        <v>0</v>
      </c>
      <c r="C50">
        <f>B50*(L2D*D2P*P2Deal)</f>
        <v>0</v>
      </c>
      <c r="D50">
        <f>D49*(1-(1-ChurnAnn)^(1/12))+C50</f>
        <v>0</v>
      </c>
      <c r="E50">
        <f>C50*DevicesPerDeal</f>
        <v>0</v>
      </c>
      <c r="F50">
        <f>F49+E50</f>
        <v>0</v>
      </c>
      <c r="G50">
        <f>D50*(ARPA/12)/1e6</f>
        <v>0</v>
      </c>
      <c r="H50">
        <f>E50*CapexShare*DevicePrice/1e6</f>
        <v>0</v>
      </c>
      <c r="I50">
        <f>G50+H50</f>
        <v>0</v>
      </c>
      <c r="J50">
        <f>(1-GMrec)*G50 + E50*(INDEX(COGSdevY, CEILING(A50/12,1))/1e6)*CapexShare</f>
        <v>0</v>
      </c>
      <c r="K50">
        <f>I50-J50</f>
        <v>0</v>
      </c>
      <c r="L50">
        <f>CEILING(A50/12,1)</f>
        <v>0</v>
      </c>
    </row>
    <row r="51" spans="1:12">
      <c r="A51">
        <v>50</v>
      </c>
      <c r="B51">
        <f>BaseSeries!$B51*LeadMult</f>
        <v>0</v>
      </c>
      <c r="C51">
        <f>B51*(L2D*D2P*P2Deal)</f>
        <v>0</v>
      </c>
      <c r="D51">
        <f>D50*(1-(1-ChurnAnn)^(1/12))+C51</f>
        <v>0</v>
      </c>
      <c r="E51">
        <f>C51*DevicesPerDeal</f>
        <v>0</v>
      </c>
      <c r="F51">
        <f>F50+E51</f>
        <v>0</v>
      </c>
      <c r="G51">
        <f>D51*(ARPA/12)/1e6</f>
        <v>0</v>
      </c>
      <c r="H51">
        <f>E51*CapexShare*DevicePrice/1e6</f>
        <v>0</v>
      </c>
      <c r="I51">
        <f>G51+H51</f>
        <v>0</v>
      </c>
      <c r="J51">
        <f>(1-GMrec)*G51 + E51*(INDEX(COGSdevY, CEILING(A51/12,1))/1e6)*CapexShare</f>
        <v>0</v>
      </c>
      <c r="K51">
        <f>I51-J51</f>
        <v>0</v>
      </c>
      <c r="L51">
        <f>CEILING(A51/12,1)</f>
        <v>0</v>
      </c>
    </row>
    <row r="52" spans="1:12">
      <c r="A52">
        <v>51</v>
      </c>
      <c r="B52">
        <f>BaseSeries!$B52*LeadMult</f>
        <v>0</v>
      </c>
      <c r="C52">
        <f>B52*(L2D*D2P*P2Deal)</f>
        <v>0</v>
      </c>
      <c r="D52">
        <f>D51*(1-(1-ChurnAnn)^(1/12))+C52</f>
        <v>0</v>
      </c>
      <c r="E52">
        <f>C52*DevicesPerDeal</f>
        <v>0</v>
      </c>
      <c r="F52">
        <f>F51+E52</f>
        <v>0</v>
      </c>
      <c r="G52">
        <f>D52*(ARPA/12)/1e6</f>
        <v>0</v>
      </c>
      <c r="H52">
        <f>E52*CapexShare*DevicePrice/1e6</f>
        <v>0</v>
      </c>
      <c r="I52">
        <f>G52+H52</f>
        <v>0</v>
      </c>
      <c r="J52">
        <f>(1-GMrec)*G52 + E52*(INDEX(COGSdevY, CEILING(A52/12,1))/1e6)*CapexShare</f>
        <v>0</v>
      </c>
      <c r="K52">
        <f>I52-J52</f>
        <v>0</v>
      </c>
      <c r="L52">
        <f>CEILING(A52/12,1)</f>
        <v>0</v>
      </c>
    </row>
    <row r="53" spans="1:12">
      <c r="A53">
        <v>52</v>
      </c>
      <c r="B53">
        <f>BaseSeries!$B53*LeadMult</f>
        <v>0</v>
      </c>
      <c r="C53">
        <f>B53*(L2D*D2P*P2Deal)</f>
        <v>0</v>
      </c>
      <c r="D53">
        <f>D52*(1-(1-ChurnAnn)^(1/12))+C53</f>
        <v>0</v>
      </c>
      <c r="E53">
        <f>C53*DevicesPerDeal</f>
        <v>0</v>
      </c>
      <c r="F53">
        <f>F52+E53</f>
        <v>0</v>
      </c>
      <c r="G53">
        <f>D53*(ARPA/12)/1e6</f>
        <v>0</v>
      </c>
      <c r="H53">
        <f>E53*CapexShare*DevicePrice/1e6</f>
        <v>0</v>
      </c>
      <c r="I53">
        <f>G53+H53</f>
        <v>0</v>
      </c>
      <c r="J53">
        <f>(1-GMrec)*G53 + E53*(INDEX(COGSdevY, CEILING(A53/12,1))/1e6)*CapexShare</f>
        <v>0</v>
      </c>
      <c r="K53">
        <f>I53-J53</f>
        <v>0</v>
      </c>
      <c r="L53">
        <f>CEILING(A53/12,1)</f>
        <v>0</v>
      </c>
    </row>
    <row r="54" spans="1:12">
      <c r="A54">
        <v>53</v>
      </c>
      <c r="B54">
        <f>BaseSeries!$B54*LeadMult</f>
        <v>0</v>
      </c>
      <c r="C54">
        <f>B54*(L2D*D2P*P2Deal)</f>
        <v>0</v>
      </c>
      <c r="D54">
        <f>D53*(1-(1-ChurnAnn)^(1/12))+C54</f>
        <v>0</v>
      </c>
      <c r="E54">
        <f>C54*DevicesPerDeal</f>
        <v>0</v>
      </c>
      <c r="F54">
        <f>F53+E54</f>
        <v>0</v>
      </c>
      <c r="G54">
        <f>D54*(ARPA/12)/1e6</f>
        <v>0</v>
      </c>
      <c r="H54">
        <f>E54*CapexShare*DevicePrice/1e6</f>
        <v>0</v>
      </c>
      <c r="I54">
        <f>G54+H54</f>
        <v>0</v>
      </c>
      <c r="J54">
        <f>(1-GMrec)*G54 + E54*(INDEX(COGSdevY, CEILING(A54/12,1))/1e6)*CapexShare</f>
        <v>0</v>
      </c>
      <c r="K54">
        <f>I54-J54</f>
        <v>0</v>
      </c>
      <c r="L54">
        <f>CEILING(A54/12,1)</f>
        <v>0</v>
      </c>
    </row>
    <row r="55" spans="1:12">
      <c r="A55">
        <v>54</v>
      </c>
      <c r="B55">
        <f>BaseSeries!$B55*LeadMult</f>
        <v>0</v>
      </c>
      <c r="C55">
        <f>B55*(L2D*D2P*P2Deal)</f>
        <v>0</v>
      </c>
      <c r="D55">
        <f>D54*(1-(1-ChurnAnn)^(1/12))+C55</f>
        <v>0</v>
      </c>
      <c r="E55">
        <f>C55*DevicesPerDeal</f>
        <v>0</v>
      </c>
      <c r="F55">
        <f>F54+E55</f>
        <v>0</v>
      </c>
      <c r="G55">
        <f>D55*(ARPA/12)/1e6</f>
        <v>0</v>
      </c>
      <c r="H55">
        <f>E55*CapexShare*DevicePrice/1e6</f>
        <v>0</v>
      </c>
      <c r="I55">
        <f>G55+H55</f>
        <v>0</v>
      </c>
      <c r="J55">
        <f>(1-GMrec)*G55 + E55*(INDEX(COGSdevY, CEILING(A55/12,1))/1e6)*CapexShare</f>
        <v>0</v>
      </c>
      <c r="K55">
        <f>I55-J55</f>
        <v>0</v>
      </c>
      <c r="L55">
        <f>CEILING(A55/12,1)</f>
        <v>0</v>
      </c>
    </row>
    <row r="56" spans="1:12">
      <c r="A56">
        <v>55</v>
      </c>
      <c r="B56">
        <f>BaseSeries!$B56*LeadMult</f>
        <v>0</v>
      </c>
      <c r="C56">
        <f>B56*(L2D*D2P*P2Deal)</f>
        <v>0</v>
      </c>
      <c r="D56">
        <f>D55*(1-(1-ChurnAnn)^(1/12))+C56</f>
        <v>0</v>
      </c>
      <c r="E56">
        <f>C56*DevicesPerDeal</f>
        <v>0</v>
      </c>
      <c r="F56">
        <f>F55+E56</f>
        <v>0</v>
      </c>
      <c r="G56">
        <f>D56*(ARPA/12)/1e6</f>
        <v>0</v>
      </c>
      <c r="H56">
        <f>E56*CapexShare*DevicePrice/1e6</f>
        <v>0</v>
      </c>
      <c r="I56">
        <f>G56+H56</f>
        <v>0</v>
      </c>
      <c r="J56">
        <f>(1-GMrec)*G56 + E56*(INDEX(COGSdevY, CEILING(A56/12,1))/1e6)*CapexShare</f>
        <v>0</v>
      </c>
      <c r="K56">
        <f>I56-J56</f>
        <v>0</v>
      </c>
      <c r="L56">
        <f>CEILING(A56/12,1)</f>
        <v>0</v>
      </c>
    </row>
    <row r="57" spans="1:12">
      <c r="A57">
        <v>56</v>
      </c>
      <c r="B57">
        <f>BaseSeries!$B57*LeadMult</f>
        <v>0</v>
      </c>
      <c r="C57">
        <f>B57*(L2D*D2P*P2Deal)</f>
        <v>0</v>
      </c>
      <c r="D57">
        <f>D56*(1-(1-ChurnAnn)^(1/12))+C57</f>
        <v>0</v>
      </c>
      <c r="E57">
        <f>C57*DevicesPerDeal</f>
        <v>0</v>
      </c>
      <c r="F57">
        <f>F56+E57</f>
        <v>0</v>
      </c>
      <c r="G57">
        <f>D57*(ARPA/12)/1e6</f>
        <v>0</v>
      </c>
      <c r="H57">
        <f>E57*CapexShare*DevicePrice/1e6</f>
        <v>0</v>
      </c>
      <c r="I57">
        <f>G57+H57</f>
        <v>0</v>
      </c>
      <c r="J57">
        <f>(1-GMrec)*G57 + E57*(INDEX(COGSdevY, CEILING(A57/12,1))/1e6)*CapexShare</f>
        <v>0</v>
      </c>
      <c r="K57">
        <f>I57-J57</f>
        <v>0</v>
      </c>
      <c r="L57">
        <f>CEILING(A57/12,1)</f>
        <v>0</v>
      </c>
    </row>
    <row r="58" spans="1:12">
      <c r="A58">
        <v>57</v>
      </c>
      <c r="B58">
        <f>BaseSeries!$B58*LeadMult</f>
        <v>0</v>
      </c>
      <c r="C58">
        <f>B58*(L2D*D2P*P2Deal)</f>
        <v>0</v>
      </c>
      <c r="D58">
        <f>D57*(1-(1-ChurnAnn)^(1/12))+C58</f>
        <v>0</v>
      </c>
      <c r="E58">
        <f>C58*DevicesPerDeal</f>
        <v>0</v>
      </c>
      <c r="F58">
        <f>F57+E58</f>
        <v>0</v>
      </c>
      <c r="G58">
        <f>D58*(ARPA/12)/1e6</f>
        <v>0</v>
      </c>
      <c r="H58">
        <f>E58*CapexShare*DevicePrice/1e6</f>
        <v>0</v>
      </c>
      <c r="I58">
        <f>G58+H58</f>
        <v>0</v>
      </c>
      <c r="J58">
        <f>(1-GMrec)*G58 + E58*(INDEX(COGSdevY, CEILING(A58/12,1))/1e6)*CapexShare</f>
        <v>0</v>
      </c>
      <c r="K58">
        <f>I58-J58</f>
        <v>0</v>
      </c>
      <c r="L58">
        <f>CEILING(A58/12,1)</f>
        <v>0</v>
      </c>
    </row>
    <row r="59" spans="1:12">
      <c r="A59">
        <v>58</v>
      </c>
      <c r="B59">
        <f>BaseSeries!$B59*LeadMult</f>
        <v>0</v>
      </c>
      <c r="C59">
        <f>B59*(L2D*D2P*P2Deal)</f>
        <v>0</v>
      </c>
      <c r="D59">
        <f>D58*(1-(1-ChurnAnn)^(1/12))+C59</f>
        <v>0</v>
      </c>
      <c r="E59">
        <f>C59*DevicesPerDeal</f>
        <v>0</v>
      </c>
      <c r="F59">
        <f>F58+E59</f>
        <v>0</v>
      </c>
      <c r="G59">
        <f>D59*(ARPA/12)/1e6</f>
        <v>0</v>
      </c>
      <c r="H59">
        <f>E59*CapexShare*DevicePrice/1e6</f>
        <v>0</v>
      </c>
      <c r="I59">
        <f>G59+H59</f>
        <v>0</v>
      </c>
      <c r="J59">
        <f>(1-GMrec)*G59 + E59*(INDEX(COGSdevY, CEILING(A59/12,1))/1e6)*CapexShare</f>
        <v>0</v>
      </c>
      <c r="K59">
        <f>I59-J59</f>
        <v>0</v>
      </c>
      <c r="L59">
        <f>CEILING(A59/12,1)</f>
        <v>0</v>
      </c>
    </row>
    <row r="60" spans="1:12">
      <c r="A60">
        <v>59</v>
      </c>
      <c r="B60">
        <f>BaseSeries!$B60*LeadMult</f>
        <v>0</v>
      </c>
      <c r="C60">
        <f>B60*(L2D*D2P*P2Deal)</f>
        <v>0</v>
      </c>
      <c r="D60">
        <f>D59*(1-(1-ChurnAnn)^(1/12))+C60</f>
        <v>0</v>
      </c>
      <c r="E60">
        <f>C60*DevicesPerDeal</f>
        <v>0</v>
      </c>
      <c r="F60">
        <f>F59+E60</f>
        <v>0</v>
      </c>
      <c r="G60">
        <f>D60*(ARPA/12)/1e6</f>
        <v>0</v>
      </c>
      <c r="H60">
        <f>E60*CapexShare*DevicePrice/1e6</f>
        <v>0</v>
      </c>
      <c r="I60">
        <f>G60+H60</f>
        <v>0</v>
      </c>
      <c r="J60">
        <f>(1-GMrec)*G60 + E60*(INDEX(COGSdevY, CEILING(A60/12,1))/1e6)*CapexShare</f>
        <v>0</v>
      </c>
      <c r="K60">
        <f>I60-J60</f>
        <v>0</v>
      </c>
      <c r="L60">
        <f>CEILING(A60/12,1)</f>
        <v>0</v>
      </c>
    </row>
    <row r="61" spans="1:12">
      <c r="A61">
        <v>60</v>
      </c>
      <c r="B61">
        <f>BaseSeries!$B61*LeadMult</f>
        <v>0</v>
      </c>
      <c r="C61">
        <f>B61*(L2D*D2P*P2Deal)</f>
        <v>0</v>
      </c>
      <c r="D61">
        <f>D60*(1-(1-ChurnAnn)^(1/12))+C61</f>
        <v>0</v>
      </c>
      <c r="E61">
        <f>C61*DevicesPerDeal</f>
        <v>0</v>
      </c>
      <c r="F61">
        <f>F60+E61</f>
        <v>0</v>
      </c>
      <c r="G61">
        <f>D61*(ARPA/12)/1e6</f>
        <v>0</v>
      </c>
      <c r="H61">
        <f>E61*CapexShare*DevicePrice/1e6</f>
        <v>0</v>
      </c>
      <c r="I61">
        <f>G61+H61</f>
        <v>0</v>
      </c>
      <c r="J61">
        <f>(1-GMrec)*G61 + E61*(INDEX(COGSdevY, CEILING(A61/12,1))/1e6)*CapexShare</f>
        <v>0</v>
      </c>
      <c r="K61">
        <f>I61-J61</f>
        <v>0</v>
      </c>
      <c r="L61">
        <f>CEILING(A61/12,1)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0" width="22.7109375" customWidth="1"/>
  </cols>
  <sheetData>
    <row r="1" spans="1:10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</row>
    <row r="2" spans="1:10">
      <c r="A2" t="s">
        <v>34</v>
      </c>
      <c r="B2">
        <f>SUMIFS(GTM_Monthly!$G:$G, GTM_Monthly!$L:$L, 1)</f>
        <v>0</v>
      </c>
      <c r="C2">
        <f>SUMIFS(GTM_Monthly!$H:$H, GTM_Monthly!$L:$L, 1)</f>
        <v>0</v>
      </c>
      <c r="D2">
        <f>SUMIFS(GTM_Monthly!$I:$I, GTM_Monthly!$L:$L, 1)</f>
        <v>0</v>
      </c>
      <c r="E2">
        <f>SUMIFS(GTM_Monthly!$J:$J, GTM_Monthly!$L:$L, 1)</f>
        <v>0</v>
      </c>
      <c r="F2">
        <f>SUMIFS(GTM_Monthly!$K:$K, GTM_Monthly!$L:$L, 1)</f>
        <v>0</v>
      </c>
      <c r="G2">
        <f>IFERROR(F2/D2,0)</f>
        <v>0</v>
      </c>
      <c r="H2">
        <f>INDEX(OPEXy, 1)</f>
        <v>0</v>
      </c>
      <c r="I2">
        <f>F2-H2</f>
        <v>0</v>
      </c>
      <c r="J2">
        <f>INDEX(GTM_Monthly!$D:$D, 1*12)*ARPA/1e6</f>
        <v>0</v>
      </c>
    </row>
    <row r="3" spans="1:10">
      <c r="A3" t="s">
        <v>35</v>
      </c>
      <c r="B3">
        <f>SUMIFS(GTM_Monthly!$G:$G, GTM_Monthly!$L:$L, 2)</f>
        <v>0</v>
      </c>
      <c r="C3">
        <f>SUMIFS(GTM_Monthly!$H:$H, GTM_Monthly!$L:$L, 2)</f>
        <v>0</v>
      </c>
      <c r="D3">
        <f>SUMIFS(GTM_Monthly!$I:$I, GTM_Monthly!$L:$L, 2)</f>
        <v>0</v>
      </c>
      <c r="E3">
        <f>SUMIFS(GTM_Monthly!$J:$J, GTM_Monthly!$L:$L, 2)</f>
        <v>0</v>
      </c>
      <c r="F3">
        <f>SUMIFS(GTM_Monthly!$K:$K, GTM_Monthly!$L:$L, 2)</f>
        <v>0</v>
      </c>
      <c r="G3">
        <f>IFERROR(F3/D3,0)</f>
        <v>0</v>
      </c>
      <c r="H3">
        <f>INDEX(OPEXy, 2)</f>
        <v>0</v>
      </c>
      <c r="I3">
        <f>F3-H3</f>
        <v>0</v>
      </c>
      <c r="J3">
        <f>INDEX(GTM_Monthly!$D:$D, 2*12)*ARPA/1e6</f>
        <v>0</v>
      </c>
    </row>
    <row r="4" spans="1:10">
      <c r="A4" t="s">
        <v>36</v>
      </c>
      <c r="B4">
        <f>SUMIFS(GTM_Monthly!$G:$G, GTM_Monthly!$L:$L, 3)</f>
        <v>0</v>
      </c>
      <c r="C4">
        <f>SUMIFS(GTM_Monthly!$H:$H, GTM_Monthly!$L:$L, 3)</f>
        <v>0</v>
      </c>
      <c r="D4">
        <f>SUMIFS(GTM_Monthly!$I:$I, GTM_Monthly!$L:$L, 3)</f>
        <v>0</v>
      </c>
      <c r="E4">
        <f>SUMIFS(GTM_Monthly!$J:$J, GTM_Monthly!$L:$L, 3)</f>
        <v>0</v>
      </c>
      <c r="F4">
        <f>SUMIFS(GTM_Monthly!$K:$K, GTM_Monthly!$L:$L, 3)</f>
        <v>0</v>
      </c>
      <c r="G4">
        <f>IFERROR(F4/D4,0)</f>
        <v>0</v>
      </c>
      <c r="H4">
        <f>INDEX(OPEXy, 3)</f>
        <v>0</v>
      </c>
      <c r="I4">
        <f>F4-H4</f>
        <v>0</v>
      </c>
      <c r="J4">
        <f>INDEX(GTM_Monthly!$D:$D, 3*12)*ARPA/1e6</f>
        <v>0</v>
      </c>
    </row>
    <row r="5" spans="1:10">
      <c r="A5" t="s">
        <v>37</v>
      </c>
      <c r="B5">
        <f>SUMIFS(GTM_Monthly!$G:$G, GTM_Monthly!$L:$L, 4)</f>
        <v>0</v>
      </c>
      <c r="C5">
        <f>SUMIFS(GTM_Monthly!$H:$H, GTM_Monthly!$L:$L, 4)</f>
        <v>0</v>
      </c>
      <c r="D5">
        <f>SUMIFS(GTM_Monthly!$I:$I, GTM_Monthly!$L:$L, 4)</f>
        <v>0</v>
      </c>
      <c r="E5">
        <f>SUMIFS(GTM_Monthly!$J:$J, GTM_Monthly!$L:$L, 4)</f>
        <v>0</v>
      </c>
      <c r="F5">
        <f>SUMIFS(GTM_Monthly!$K:$K, GTM_Monthly!$L:$L, 4)</f>
        <v>0</v>
      </c>
      <c r="G5">
        <f>IFERROR(F5/D5,0)</f>
        <v>0</v>
      </c>
      <c r="H5">
        <f>INDEX(OPEXy, 4)</f>
        <v>0</v>
      </c>
      <c r="I5">
        <f>F5-H5</f>
        <v>0</v>
      </c>
      <c r="J5">
        <f>INDEX(GTM_Monthly!$D:$D, 4*12)*ARPA/1e6</f>
        <v>0</v>
      </c>
    </row>
    <row r="6" spans="1:10">
      <c r="A6" t="s">
        <v>38</v>
      </c>
      <c r="B6">
        <f>SUMIFS(GTM_Monthly!$G:$G, GTM_Monthly!$L:$L, 5)</f>
        <v>0</v>
      </c>
      <c r="C6">
        <f>SUMIFS(GTM_Monthly!$H:$H, GTM_Monthly!$L:$L, 5)</f>
        <v>0</v>
      </c>
      <c r="D6">
        <f>SUMIFS(GTM_Monthly!$I:$I, GTM_Monthly!$L:$L, 5)</f>
        <v>0</v>
      </c>
      <c r="E6">
        <f>SUMIFS(GTM_Monthly!$J:$J, GTM_Monthly!$L:$L, 5)</f>
        <v>0</v>
      </c>
      <c r="F6">
        <f>SUMIFS(GTM_Monthly!$K:$K, GTM_Monthly!$L:$L, 5)</f>
        <v>0</v>
      </c>
      <c r="G6">
        <f>IFERROR(F6/D6,0)</f>
        <v>0</v>
      </c>
      <c r="H6">
        <f>INDEX(OPEXy, 5)</f>
        <v>0</v>
      </c>
      <c r="I6">
        <f>F6-H6</f>
        <v>0</v>
      </c>
      <c r="J6">
        <f>INDEX(GTM_Monthly!$D:$D, 5*12)*ARPA/1e6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20.7109375" customWidth="1"/>
  </cols>
  <sheetData>
    <row r="1" spans="1:15">
      <c r="A1" s="2" t="s">
        <v>61</v>
      </c>
      <c r="B1" s="2" t="s">
        <v>69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</row>
    <row r="2" spans="1:15">
      <c r="B2">
        <f>Annual!I2</f>
        <v>0</v>
      </c>
      <c r="C2">
        <f>INDEX(CapEXy,1)/3</f>
        <v>0</v>
      </c>
      <c r="D2">
        <f>B2-C2</f>
        <v>0</v>
      </c>
      <c r="E2">
        <f>IF(D2&gt;0, D2*0.24, 0)</f>
        <v>0</v>
      </c>
      <c r="F2">
        <f>Annual!D2 * DSO / 365</f>
        <v>0</v>
      </c>
      <c r="G2">
        <f>Annual!E2 * DIO / 365</f>
        <v>0</v>
      </c>
      <c r="H2">
        <f>Annual!E2 * DPO / 365</f>
        <v>0</v>
      </c>
      <c r="I2">
        <f>(F2+G2-H2)</f>
        <v>0</v>
      </c>
      <c r="J2">
        <f>B2+C2-E2-I2</f>
        <v>0</v>
      </c>
      <c r="K2">
        <f>-INDEX(CapEXy,1)</f>
        <v>0</v>
      </c>
      <c r="L2">
        <f>INDEX(EquityIny,1)</f>
        <v>0</v>
      </c>
      <c r="M2">
        <f>J2+K2+L2</f>
        <v>0</v>
      </c>
      <c r="N2">
        <v>0.3</v>
      </c>
      <c r="O2">
        <f>N2+M2</f>
        <v>0</v>
      </c>
    </row>
    <row r="3" spans="1:15">
      <c r="B3">
        <f>Annual!I3</f>
        <v>0</v>
      </c>
      <c r="C3">
        <f>INDEX(CapEXy,1)/3+INDEX(CapEXy,2)/3</f>
        <v>0</v>
      </c>
      <c r="D3">
        <f>B3-C3</f>
        <v>0</v>
      </c>
      <c r="E3">
        <f>IF(D3&gt;0, D3*0.24, 0)</f>
        <v>0</v>
      </c>
      <c r="F3">
        <f>Annual!D3 * DSO / 365</f>
        <v>0</v>
      </c>
      <c r="G3">
        <f>Annual!E3 * DIO / 365</f>
        <v>0</v>
      </c>
      <c r="H3">
        <f>Annual!E3 * DPO / 365</f>
        <v>0</v>
      </c>
      <c r="I3">
        <f>(F3+G3-H3) - (F2+G2-H2)</f>
        <v>0</v>
      </c>
      <c r="J3">
        <f>B3+C3-E3-I3</f>
        <v>0</v>
      </c>
      <c r="K3">
        <f>-INDEX(CapEXy,2)</f>
        <v>0</v>
      </c>
      <c r="L3">
        <f>INDEX(EquityIny,2)</f>
        <v>0</v>
      </c>
      <c r="M3">
        <f>J3+K3+L3</f>
        <v>0</v>
      </c>
      <c r="N3">
        <f>O2</f>
        <v>0</v>
      </c>
      <c r="O3">
        <f>N3+M3</f>
        <v>0</v>
      </c>
    </row>
    <row r="4" spans="1:15">
      <c r="B4">
        <f>Annual!I4</f>
        <v>0</v>
      </c>
      <c r="C4">
        <f>INDEX(CapEXy,1)/3+INDEX(CapEXy,2)/3+INDEX(CapEXy,3)/3</f>
        <v>0</v>
      </c>
      <c r="D4">
        <f>B4-C4</f>
        <v>0</v>
      </c>
      <c r="E4">
        <f>IF(D4&gt;0, D4*0.24, 0)</f>
        <v>0</v>
      </c>
      <c r="F4">
        <f>Annual!D4 * DSO / 365</f>
        <v>0</v>
      </c>
      <c r="G4">
        <f>Annual!E4 * DIO / 365</f>
        <v>0</v>
      </c>
      <c r="H4">
        <f>Annual!E4 * DPO / 365</f>
        <v>0</v>
      </c>
      <c r="I4">
        <f>(F4+G4-H4) - (F3+G3-H3)</f>
        <v>0</v>
      </c>
      <c r="J4">
        <f>B4+C4-E4-I4</f>
        <v>0</v>
      </c>
      <c r="K4">
        <f>-INDEX(CapEXy,3)</f>
        <v>0</v>
      </c>
      <c r="L4">
        <f>INDEX(EquityIny,3)</f>
        <v>0</v>
      </c>
      <c r="M4">
        <f>J4+K4+L4</f>
        <v>0</v>
      </c>
      <c r="N4">
        <f>O3</f>
        <v>0</v>
      </c>
      <c r="O4">
        <f>N4+M4</f>
        <v>0</v>
      </c>
    </row>
    <row r="5" spans="1:15">
      <c r="B5">
        <f>Annual!I5</f>
        <v>0</v>
      </c>
      <c r="C5">
        <f>INDEX(CapEXy,2)/3+INDEX(CapEXy,3)/3+INDEX(CapEXy,4)/3</f>
        <v>0</v>
      </c>
      <c r="D5">
        <f>B5-C5</f>
        <v>0</v>
      </c>
      <c r="E5">
        <f>IF(D5&gt;0, D5*0.24, 0)</f>
        <v>0</v>
      </c>
      <c r="F5">
        <f>Annual!D5 * DSO / 365</f>
        <v>0</v>
      </c>
      <c r="G5">
        <f>Annual!E5 * DIO / 365</f>
        <v>0</v>
      </c>
      <c r="H5">
        <f>Annual!E5 * DPO / 365</f>
        <v>0</v>
      </c>
      <c r="I5">
        <f>(F5+G5-H5) - (F4+G4-H4)</f>
        <v>0</v>
      </c>
      <c r="J5">
        <f>B5+C5-E5-I5</f>
        <v>0</v>
      </c>
      <c r="K5">
        <f>-INDEX(CapEXy,4)</f>
        <v>0</v>
      </c>
      <c r="L5">
        <f>INDEX(EquityIny,4)</f>
        <v>0</v>
      </c>
      <c r="M5">
        <f>J5+K5+L5</f>
        <v>0</v>
      </c>
      <c r="N5">
        <f>O4</f>
        <v>0</v>
      </c>
      <c r="O5">
        <f>N5+M5</f>
        <v>0</v>
      </c>
    </row>
    <row r="6" spans="1:15">
      <c r="B6">
        <f>Annual!I6</f>
        <v>0</v>
      </c>
      <c r="C6">
        <f>INDEX(CapEXy,3)/3+INDEX(CapEXy,4)/3+INDEX(CapEXy,5)/3</f>
        <v>0</v>
      </c>
      <c r="D6">
        <f>B6-C6</f>
        <v>0</v>
      </c>
      <c r="E6">
        <f>IF(D6&gt;0, D6*0.24, 0)</f>
        <v>0</v>
      </c>
      <c r="F6">
        <f>Annual!D6 * DSO / 365</f>
        <v>0</v>
      </c>
      <c r="G6">
        <f>Annual!E6 * DIO / 365</f>
        <v>0</v>
      </c>
      <c r="H6">
        <f>Annual!E6 * DPO / 365</f>
        <v>0</v>
      </c>
      <c r="I6">
        <f>(F6+G6-H6) - (F5+G5-H5)</f>
        <v>0</v>
      </c>
      <c r="J6">
        <f>B6+C6-E6-I6</f>
        <v>0</v>
      </c>
      <c r="K6">
        <f>-INDEX(CapEXy,5)</f>
        <v>0</v>
      </c>
      <c r="L6">
        <f>INDEX(EquityIny,5)</f>
        <v>0</v>
      </c>
      <c r="M6">
        <f>J6+K6+L6</f>
        <v>0</v>
      </c>
      <c r="N6">
        <f>O5</f>
        <v>0</v>
      </c>
      <c r="O6">
        <f>N6+M6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4" width="24.7109375" customWidth="1"/>
  </cols>
  <sheetData>
    <row r="1" spans="1:6">
      <c r="A1" s="1" t="s">
        <v>84</v>
      </c>
    </row>
    <row r="3" spans="1:6">
      <c r="A3" s="2" t="s">
        <v>1</v>
      </c>
      <c r="B3" s="2" t="s">
        <v>85</v>
      </c>
      <c r="C3" s="2" t="s">
        <v>86</v>
      </c>
      <c r="D3" s="2" t="s">
        <v>87</v>
      </c>
    </row>
    <row r="5" spans="1:6">
      <c r="A5" t="s">
        <v>88</v>
      </c>
      <c r="B5">
        <v>0.8</v>
      </c>
      <c r="C5" cm="1">
        <f t="array" ref="C5:D5">_xlfn.MAP(B5:F5, _xlfn.LAMBDA(x, ECO3D_KPI(LeadMult, 1, x, 0, CapexShare, 1)))</f>
        <v>0</v>
      </c>
      <c r="D5">
        <v>0</v>
      </c>
      <c r="E5">
        <v>1.1</v>
      </c>
      <c r="F5">
        <v>1.2</v>
      </c>
    </row>
    <row r="6" spans="1:6">
      <c r="A6" t="s">
        <v>89</v>
      </c>
      <c r="B6">
        <v>0.85</v>
      </c>
      <c r="C6" cm="1">
        <f t="array" ref="C6:D6">_xlfn.MAP(B6:D6, _xlfn.LAMBDA(x, ECO3D_KPI(x, 1, 1, 0, CapexShare, 1)))</f>
        <v>0</v>
      </c>
      <c r="D6">
        <v>0</v>
      </c>
    </row>
    <row r="7" spans="1:6">
      <c r="A7" t="s">
        <v>90</v>
      </c>
      <c r="B7">
        <v>0.8</v>
      </c>
      <c r="C7" cm="1">
        <f t="array" ref="C7:D7">_xlfn.MAP(B7:D7, _xlfn.LAMBDA(x, ECO3D_KPI(LeadMult, x, 1, 0, CapexShare, 1)))</f>
        <v>0</v>
      </c>
      <c r="D7">
        <v>0</v>
      </c>
    </row>
    <row r="8" spans="1:6">
      <c r="A8" t="s">
        <v>91</v>
      </c>
      <c r="B8">
        <v>-2000</v>
      </c>
      <c r="C8" cm="1">
        <f t="array" ref="C8:D8">_xlfn.MAP(B8:D8, _xlfn.LAMBDA(x, ECO3D_KPI(LeadMult, 1, 1, x, CapexShare, 1)))</f>
        <v>0</v>
      </c>
      <c r="D8">
        <v>0</v>
      </c>
    </row>
    <row r="9" spans="1:6">
      <c r="A9" t="s">
        <v>16</v>
      </c>
      <c r="B9">
        <v>0.2</v>
      </c>
      <c r="C9" cm="1">
        <f t="array" ref="C9:D9">_xlfn.MAP(B9:D9, _xlfn.LAMBDA(x, ECO3D_KPI(LeadMult, 1, 1, 0, x, 1)))</f>
        <v>0</v>
      </c>
      <c r="D9">
        <v>0</v>
      </c>
    </row>
    <row r="10" spans="1:6">
      <c r="A10" t="s">
        <v>92</v>
      </c>
      <c r="B10">
        <v>0.9</v>
      </c>
      <c r="C10" cm="1">
        <f t="array" ref="C10:D10">_xlfn.MAP(B10:E10, _xlfn.LAMBDA(x, ECO3D_KPI(LeadMult, 1, 1, 0, CapexShare, x)))</f>
        <v>0</v>
      </c>
      <c r="D10">
        <v>0</v>
      </c>
      <c r="E10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2" t="s">
        <v>61</v>
      </c>
      <c r="B1" s="2" t="s">
        <v>93</v>
      </c>
      <c r="C1" s="2" t="s">
        <v>69</v>
      </c>
      <c r="D1" s="2" t="s">
        <v>83</v>
      </c>
    </row>
    <row r="2" spans="1:4">
      <c r="A2" t="s">
        <v>34</v>
      </c>
      <c r="B2">
        <f>Annual!D2</f>
        <v>0</v>
      </c>
      <c r="C2">
        <f>Annual!I2</f>
        <v>0</v>
      </c>
      <c r="D2">
        <f>CashFlow!O2</f>
        <v>0</v>
      </c>
    </row>
    <row r="3" spans="1:4">
      <c r="A3" t="s">
        <v>35</v>
      </c>
      <c r="B3">
        <f>Annual!D3</f>
        <v>0</v>
      </c>
      <c r="C3">
        <f>Annual!I3</f>
        <v>0</v>
      </c>
      <c r="D3">
        <f>CashFlow!O3</f>
        <v>0</v>
      </c>
    </row>
    <row r="4" spans="1:4">
      <c r="A4" t="s">
        <v>36</v>
      </c>
      <c r="B4">
        <f>Annual!D4</f>
        <v>0</v>
      </c>
      <c r="C4">
        <f>Annual!I4</f>
        <v>0</v>
      </c>
      <c r="D4">
        <f>CashFlow!O4</f>
        <v>0</v>
      </c>
    </row>
    <row r="5" spans="1:4">
      <c r="A5" t="s">
        <v>37</v>
      </c>
      <c r="B5">
        <f>Annual!D5</f>
        <v>0</v>
      </c>
      <c r="C5">
        <f>Annual!I5</f>
        <v>0</v>
      </c>
      <c r="D5">
        <f>CashFlow!O5</f>
        <v>0</v>
      </c>
    </row>
    <row r="6" spans="1:4">
      <c r="A6" t="s">
        <v>38</v>
      </c>
      <c r="B6">
        <f>Annual!D6</f>
        <v>0</v>
      </c>
      <c r="C6">
        <f>Annual!I6</f>
        <v>0</v>
      </c>
      <c r="D6">
        <f>CashFlow!O6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Control</vt:lpstr>
      <vt:lpstr>BaseSeries</vt:lpstr>
      <vt:lpstr>GTM_Monthly</vt:lpstr>
      <vt:lpstr>Annual</vt:lpstr>
      <vt:lpstr>CashFlow</vt:lpstr>
      <vt:lpstr>Sensitivity</vt:lpstr>
      <vt:lpstr>Charts</vt:lpstr>
      <vt:lpstr>ARPA</vt:lpstr>
      <vt:lpstr>CapexShare</vt:lpstr>
      <vt:lpstr>CapEXy</vt:lpstr>
      <vt:lpstr>ChurnAnn</vt:lpstr>
      <vt:lpstr>COGSdevY</vt:lpstr>
      <vt:lpstr>D2P</vt:lpstr>
      <vt:lpstr>DevicePrice</vt:lpstr>
      <vt:lpstr>DevicesPerDeal</vt:lpstr>
      <vt:lpstr>DIO</vt:lpstr>
      <vt:lpstr>DPO</vt:lpstr>
      <vt:lpstr>DSO</vt:lpstr>
      <vt:lpstr>ECO3D_KPI</vt:lpstr>
      <vt:lpstr>EquityIny</vt:lpstr>
      <vt:lpstr>GMrec</vt:lpstr>
      <vt:lpstr>L2D</vt:lpstr>
      <vt:lpstr>LeadMult</vt:lpstr>
      <vt:lpstr>LeadsQoQGrowth</vt:lpstr>
      <vt:lpstr>OPEXy</vt:lpstr>
      <vt:lpstr>P2Deal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2025-09-14T16:04:08Z</dcterms:created>
  <dcterms:modified xsi:type="dcterms:W3CDTF">2025-09-14T16:04:08Z</dcterms:modified>
</cp:coreProperties>
</file>