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0a2a1cac5adf40/Desktop/ASK GROUP/OB GROVE CONTROL/2025/03 MARCH/"/>
    </mc:Choice>
  </mc:AlternateContent>
  <xr:revisionPtr revIDLastSave="0" documentId="8_{98F49A87-C441-4405-8945-B6168C1CE347}" xr6:coauthVersionLast="47" xr6:coauthVersionMax="47" xr10:uidLastSave="{00000000-0000-0000-0000-000000000000}"/>
  <bookViews>
    <workbookView xWindow="-120" yWindow="-120" windowWidth="29040" windowHeight="15720" xr2:uid="{6639B0EE-F35D-498B-9AE8-7EE8397B1AC6}"/>
  </bookViews>
  <sheets>
    <sheet name="Stock Usage 08 - 22 MAR" sheetId="1" r:id="rId1"/>
  </sheets>
  <externalReferences>
    <externalReference r:id="rId2"/>
  </externalReferences>
  <definedNames>
    <definedName name="USG_RPT">[1]!Table26[#Data]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9" i="1" l="1"/>
  <c r="J419" i="1"/>
  <c r="I419" i="1"/>
  <c r="H419" i="1"/>
  <c r="G419" i="1"/>
  <c r="F419" i="1"/>
  <c r="E419" i="1"/>
  <c r="AL418" i="1"/>
  <c r="AC418" i="1"/>
  <c r="AB418" i="1"/>
  <c r="Z418" i="1"/>
  <c r="X418" i="1"/>
  <c r="P418" i="1"/>
  <c r="Q418" i="1" s="1"/>
  <c r="R418" i="1" s="1"/>
  <c r="S418" i="1" s="1"/>
  <c r="O418" i="1"/>
  <c r="N418" i="1"/>
  <c r="K418" i="1"/>
  <c r="AD418" i="1" s="1"/>
  <c r="AL417" i="1"/>
  <c r="AC417" i="1"/>
  <c r="AB417" i="1"/>
  <c r="Z417" i="1"/>
  <c r="X417" i="1"/>
  <c r="P417" i="1"/>
  <c r="Q417" i="1" s="1"/>
  <c r="R417" i="1" s="1"/>
  <c r="S417" i="1" s="1"/>
  <c r="O417" i="1"/>
  <c r="N417" i="1"/>
  <c r="K417" i="1"/>
  <c r="U417" i="1" s="1"/>
  <c r="AL416" i="1"/>
  <c r="AC416" i="1"/>
  <c r="AB416" i="1"/>
  <c r="Z416" i="1"/>
  <c r="X416" i="1"/>
  <c r="P416" i="1"/>
  <c r="Q416" i="1" s="1"/>
  <c r="R416" i="1" s="1"/>
  <c r="S416" i="1" s="1"/>
  <c r="O416" i="1"/>
  <c r="N416" i="1"/>
  <c r="K416" i="1"/>
  <c r="AD416" i="1" s="1"/>
  <c r="AL415" i="1"/>
  <c r="AC415" i="1"/>
  <c r="AB415" i="1"/>
  <c r="Z415" i="1"/>
  <c r="X415" i="1"/>
  <c r="Q415" i="1"/>
  <c r="R415" i="1" s="1"/>
  <c r="S415" i="1" s="1"/>
  <c r="P415" i="1"/>
  <c r="O415" i="1"/>
  <c r="N415" i="1"/>
  <c r="K415" i="1"/>
  <c r="AL414" i="1"/>
  <c r="AC414" i="1"/>
  <c r="AB414" i="1"/>
  <c r="Z414" i="1"/>
  <c r="X414" i="1"/>
  <c r="P414" i="1"/>
  <c r="Q414" i="1" s="1"/>
  <c r="O414" i="1"/>
  <c r="N414" i="1"/>
  <c r="K414" i="1"/>
  <c r="AD414" i="1" s="1"/>
  <c r="AL413" i="1"/>
  <c r="AC413" i="1"/>
  <c r="AB413" i="1"/>
  <c r="Z413" i="1"/>
  <c r="X413" i="1"/>
  <c r="P413" i="1"/>
  <c r="Q413" i="1" s="1"/>
  <c r="R413" i="1" s="1"/>
  <c r="S413" i="1" s="1"/>
  <c r="O413" i="1"/>
  <c r="N413" i="1"/>
  <c r="K413" i="1"/>
  <c r="U413" i="1" s="1"/>
  <c r="AL412" i="1"/>
  <c r="AC412" i="1"/>
  <c r="AB412" i="1"/>
  <c r="Z412" i="1"/>
  <c r="X412" i="1"/>
  <c r="P412" i="1"/>
  <c r="Q412" i="1" s="1"/>
  <c r="R412" i="1" s="1"/>
  <c r="S412" i="1" s="1"/>
  <c r="O412" i="1"/>
  <c r="N412" i="1"/>
  <c r="K412" i="1"/>
  <c r="AL411" i="1"/>
  <c r="AC411" i="1"/>
  <c r="AB411" i="1"/>
  <c r="Z411" i="1"/>
  <c r="X411" i="1"/>
  <c r="Q411" i="1"/>
  <c r="R411" i="1" s="1"/>
  <c r="S411" i="1" s="1"/>
  <c r="P411" i="1"/>
  <c r="O411" i="1"/>
  <c r="N411" i="1"/>
  <c r="K411" i="1"/>
  <c r="AL410" i="1"/>
  <c r="AC410" i="1"/>
  <c r="AB410" i="1"/>
  <c r="Z410" i="1"/>
  <c r="X410" i="1"/>
  <c r="P410" i="1"/>
  <c r="Q410" i="1" s="1"/>
  <c r="O410" i="1"/>
  <c r="N410" i="1"/>
  <c r="K410" i="1"/>
  <c r="AD410" i="1" s="1"/>
  <c r="AL409" i="1"/>
  <c r="AC409" i="1"/>
  <c r="AB409" i="1"/>
  <c r="Z409" i="1"/>
  <c r="X409" i="1"/>
  <c r="P409" i="1"/>
  <c r="Q409" i="1" s="1"/>
  <c r="O409" i="1"/>
  <c r="N409" i="1"/>
  <c r="K409" i="1"/>
  <c r="AL408" i="1"/>
  <c r="AC408" i="1"/>
  <c r="AB408" i="1"/>
  <c r="Z408" i="1"/>
  <c r="X408" i="1"/>
  <c r="P408" i="1"/>
  <c r="Q408" i="1" s="1"/>
  <c r="R408" i="1" s="1"/>
  <c r="S408" i="1" s="1"/>
  <c r="O408" i="1"/>
  <c r="N408" i="1"/>
  <c r="K408" i="1"/>
  <c r="AL407" i="1"/>
  <c r="AC407" i="1"/>
  <c r="AB407" i="1"/>
  <c r="Z407" i="1"/>
  <c r="X407" i="1"/>
  <c r="Q407" i="1"/>
  <c r="R407" i="1" s="1"/>
  <c r="S407" i="1" s="1"/>
  <c r="P407" i="1"/>
  <c r="O407" i="1"/>
  <c r="N407" i="1"/>
  <c r="K407" i="1"/>
  <c r="AL406" i="1"/>
  <c r="AG406" i="1"/>
  <c r="AC406" i="1"/>
  <c r="AB406" i="1"/>
  <c r="Z406" i="1"/>
  <c r="AE406" i="1" s="1"/>
  <c r="X406" i="1"/>
  <c r="U406" i="1"/>
  <c r="T406" i="1" s="1"/>
  <c r="P406" i="1"/>
  <c r="Q406" i="1" s="1"/>
  <c r="O406" i="1"/>
  <c r="N406" i="1"/>
  <c r="K406" i="1"/>
  <c r="AD406" i="1" s="1"/>
  <c r="AL405" i="1"/>
  <c r="AC405" i="1"/>
  <c r="AB405" i="1"/>
  <c r="Z405" i="1"/>
  <c r="X405" i="1"/>
  <c r="P405" i="1"/>
  <c r="Q405" i="1" s="1"/>
  <c r="O405" i="1"/>
  <c r="N405" i="1"/>
  <c r="K405" i="1"/>
  <c r="AL404" i="1"/>
  <c r="AC404" i="1"/>
  <c r="AB404" i="1"/>
  <c r="Z404" i="1"/>
  <c r="X404" i="1"/>
  <c r="P404" i="1"/>
  <c r="Q404" i="1" s="1"/>
  <c r="R404" i="1" s="1"/>
  <c r="S404" i="1" s="1"/>
  <c r="O404" i="1"/>
  <c r="N404" i="1"/>
  <c r="K404" i="1"/>
  <c r="AL403" i="1"/>
  <c r="AC403" i="1"/>
  <c r="AB403" i="1"/>
  <c r="Z403" i="1"/>
  <c r="X403" i="1"/>
  <c r="Q403" i="1"/>
  <c r="R403" i="1" s="1"/>
  <c r="S403" i="1" s="1"/>
  <c r="P403" i="1"/>
  <c r="O403" i="1"/>
  <c r="N403" i="1"/>
  <c r="K403" i="1"/>
  <c r="AL402" i="1"/>
  <c r="AC402" i="1"/>
  <c r="AB402" i="1"/>
  <c r="Z402" i="1"/>
  <c r="X402" i="1"/>
  <c r="U402" i="1"/>
  <c r="P402" i="1"/>
  <c r="Q402" i="1" s="1"/>
  <c r="O402" i="1"/>
  <c r="N402" i="1"/>
  <c r="K402" i="1"/>
  <c r="AD402" i="1" s="1"/>
  <c r="AL401" i="1"/>
  <c r="AC401" i="1"/>
  <c r="AB401" i="1"/>
  <c r="Z401" i="1"/>
  <c r="X401" i="1"/>
  <c r="P401" i="1"/>
  <c r="Q401" i="1" s="1"/>
  <c r="R401" i="1" s="1"/>
  <c r="S401" i="1" s="1"/>
  <c r="O401" i="1"/>
  <c r="N401" i="1"/>
  <c r="K401" i="1"/>
  <c r="AL400" i="1"/>
  <c r="AC400" i="1"/>
  <c r="AB400" i="1"/>
  <c r="Z400" i="1"/>
  <c r="X400" i="1"/>
  <c r="P400" i="1"/>
  <c r="Q400" i="1" s="1"/>
  <c r="O400" i="1"/>
  <c r="N400" i="1"/>
  <c r="K400" i="1"/>
  <c r="AL399" i="1"/>
  <c r="AC399" i="1"/>
  <c r="AB399" i="1"/>
  <c r="Z399" i="1"/>
  <c r="X399" i="1"/>
  <c r="P399" i="1"/>
  <c r="Q399" i="1" s="1"/>
  <c r="R399" i="1" s="1"/>
  <c r="S399" i="1" s="1"/>
  <c r="O399" i="1"/>
  <c r="N399" i="1"/>
  <c r="K399" i="1"/>
  <c r="AL398" i="1"/>
  <c r="AC398" i="1"/>
  <c r="AB398" i="1"/>
  <c r="Z398" i="1"/>
  <c r="X398" i="1"/>
  <c r="P398" i="1"/>
  <c r="Q398" i="1" s="1"/>
  <c r="R398" i="1" s="1"/>
  <c r="S398" i="1" s="1"/>
  <c r="O398" i="1"/>
  <c r="N398" i="1"/>
  <c r="K398" i="1"/>
  <c r="U398" i="1" s="1"/>
  <c r="AL397" i="1"/>
  <c r="AC397" i="1"/>
  <c r="AB397" i="1"/>
  <c r="Z397" i="1"/>
  <c r="X397" i="1"/>
  <c r="P397" i="1"/>
  <c r="Q397" i="1" s="1"/>
  <c r="R397" i="1" s="1"/>
  <c r="S397" i="1" s="1"/>
  <c r="O397" i="1"/>
  <c r="N397" i="1"/>
  <c r="K397" i="1"/>
  <c r="AL396" i="1"/>
  <c r="AC396" i="1"/>
  <c r="AB396" i="1"/>
  <c r="Z396" i="1"/>
  <c r="X396" i="1"/>
  <c r="P396" i="1"/>
  <c r="Q396" i="1" s="1"/>
  <c r="R396" i="1" s="1"/>
  <c r="S396" i="1" s="1"/>
  <c r="O396" i="1"/>
  <c r="N396" i="1"/>
  <c r="K396" i="1"/>
  <c r="AL395" i="1"/>
  <c r="AC395" i="1"/>
  <c r="AB395" i="1"/>
  <c r="Z395" i="1"/>
  <c r="X395" i="1"/>
  <c r="P395" i="1"/>
  <c r="Q395" i="1" s="1"/>
  <c r="R395" i="1" s="1"/>
  <c r="S395" i="1" s="1"/>
  <c r="O395" i="1"/>
  <c r="N395" i="1"/>
  <c r="K395" i="1"/>
  <c r="AL394" i="1"/>
  <c r="AC394" i="1"/>
  <c r="AB394" i="1"/>
  <c r="Z394" i="1"/>
  <c r="X394" i="1"/>
  <c r="P394" i="1"/>
  <c r="Q394" i="1" s="1"/>
  <c r="R394" i="1" s="1"/>
  <c r="S394" i="1" s="1"/>
  <c r="O394" i="1"/>
  <c r="N394" i="1"/>
  <c r="K394" i="1"/>
  <c r="U394" i="1" s="1"/>
  <c r="T394" i="1" s="1"/>
  <c r="AL393" i="1"/>
  <c r="AC393" i="1"/>
  <c r="AB393" i="1"/>
  <c r="Z393" i="1"/>
  <c r="X393" i="1"/>
  <c r="P393" i="1"/>
  <c r="Q393" i="1" s="1"/>
  <c r="R393" i="1" s="1"/>
  <c r="S393" i="1" s="1"/>
  <c r="O393" i="1"/>
  <c r="N393" i="1"/>
  <c r="K393" i="1"/>
  <c r="AL392" i="1"/>
  <c r="AC392" i="1"/>
  <c r="AB392" i="1"/>
  <c r="Z392" i="1"/>
  <c r="X392" i="1"/>
  <c r="P392" i="1"/>
  <c r="Q392" i="1" s="1"/>
  <c r="R392" i="1" s="1"/>
  <c r="S392" i="1" s="1"/>
  <c r="O392" i="1"/>
  <c r="N392" i="1"/>
  <c r="K392" i="1"/>
  <c r="AL391" i="1"/>
  <c r="AF391" i="1"/>
  <c r="AC391" i="1"/>
  <c r="AB391" i="1"/>
  <c r="Z391" i="1"/>
  <c r="X391" i="1"/>
  <c r="U391" i="1"/>
  <c r="T391" i="1"/>
  <c r="P391" i="1"/>
  <c r="Q391" i="1" s="1"/>
  <c r="R391" i="1" s="1"/>
  <c r="S391" i="1" s="1"/>
  <c r="O391" i="1"/>
  <c r="N391" i="1"/>
  <c r="K391" i="1"/>
  <c r="AL390" i="1"/>
  <c r="AC390" i="1"/>
  <c r="AB390" i="1"/>
  <c r="Z390" i="1"/>
  <c r="X390" i="1"/>
  <c r="P390" i="1"/>
  <c r="Q390" i="1" s="1"/>
  <c r="R390" i="1" s="1"/>
  <c r="S390" i="1" s="1"/>
  <c r="O390" i="1"/>
  <c r="N390" i="1"/>
  <c r="K390" i="1"/>
  <c r="AL389" i="1"/>
  <c r="AC389" i="1"/>
  <c r="AB389" i="1"/>
  <c r="Z389" i="1"/>
  <c r="X389" i="1"/>
  <c r="P389" i="1"/>
  <c r="Q389" i="1" s="1"/>
  <c r="R389" i="1" s="1"/>
  <c r="S389" i="1" s="1"/>
  <c r="O389" i="1"/>
  <c r="N389" i="1"/>
  <c r="K389" i="1"/>
  <c r="AL388" i="1"/>
  <c r="AE388" i="1"/>
  <c r="AC388" i="1"/>
  <c r="AB388" i="1"/>
  <c r="Z388" i="1"/>
  <c r="X388" i="1"/>
  <c r="Q388" i="1"/>
  <c r="R388" i="1" s="1"/>
  <c r="S388" i="1" s="1"/>
  <c r="P388" i="1"/>
  <c r="O388" i="1"/>
  <c r="N388" i="1"/>
  <c r="K388" i="1"/>
  <c r="AD388" i="1" s="1"/>
  <c r="AL387" i="1"/>
  <c r="AC387" i="1"/>
  <c r="AB387" i="1"/>
  <c r="Z387" i="1"/>
  <c r="X387" i="1"/>
  <c r="Q387" i="1"/>
  <c r="R387" i="1" s="1"/>
  <c r="S387" i="1" s="1"/>
  <c r="P387" i="1"/>
  <c r="O387" i="1"/>
  <c r="N387" i="1"/>
  <c r="K387" i="1"/>
  <c r="AD387" i="1" s="1"/>
  <c r="AE387" i="1" s="1"/>
  <c r="AL386" i="1"/>
  <c r="AC386" i="1"/>
  <c r="AB386" i="1"/>
  <c r="Z386" i="1"/>
  <c r="X386" i="1"/>
  <c r="S386" i="1"/>
  <c r="P386" i="1"/>
  <c r="Q386" i="1" s="1"/>
  <c r="R386" i="1" s="1"/>
  <c r="O386" i="1"/>
  <c r="N386" i="1"/>
  <c r="K386" i="1"/>
  <c r="AL385" i="1"/>
  <c r="AC385" i="1"/>
  <c r="AB385" i="1"/>
  <c r="Z385" i="1"/>
  <c r="X385" i="1"/>
  <c r="P385" i="1"/>
  <c r="Q385" i="1" s="1"/>
  <c r="R385" i="1" s="1"/>
  <c r="S385" i="1" s="1"/>
  <c r="O385" i="1"/>
  <c r="N385" i="1"/>
  <c r="K385" i="1"/>
  <c r="AL384" i="1"/>
  <c r="AE384" i="1"/>
  <c r="AC384" i="1"/>
  <c r="AB384" i="1"/>
  <c r="Z384" i="1"/>
  <c r="X384" i="1"/>
  <c r="Q384" i="1"/>
  <c r="R384" i="1" s="1"/>
  <c r="S384" i="1" s="1"/>
  <c r="P384" i="1"/>
  <c r="O384" i="1"/>
  <c r="N384" i="1"/>
  <c r="K384" i="1"/>
  <c r="AD384" i="1" s="1"/>
  <c r="AL383" i="1"/>
  <c r="AF383" i="1"/>
  <c r="AC383" i="1"/>
  <c r="AB383" i="1"/>
  <c r="Z383" i="1"/>
  <c r="X383" i="1"/>
  <c r="U383" i="1"/>
  <c r="Q383" i="1"/>
  <c r="P383" i="1"/>
  <c r="O383" i="1"/>
  <c r="N383" i="1"/>
  <c r="K383" i="1"/>
  <c r="AD383" i="1" s="1"/>
  <c r="AE383" i="1" s="1"/>
  <c r="AL382" i="1"/>
  <c r="AC382" i="1"/>
  <c r="AB382" i="1"/>
  <c r="Z382" i="1"/>
  <c r="X382" i="1"/>
  <c r="P382" i="1"/>
  <c r="Q382" i="1" s="1"/>
  <c r="R382" i="1" s="1"/>
  <c r="S382" i="1" s="1"/>
  <c r="O382" i="1"/>
  <c r="N382" i="1"/>
  <c r="K382" i="1"/>
  <c r="AL381" i="1"/>
  <c r="AC381" i="1"/>
  <c r="AB381" i="1"/>
  <c r="Z381" i="1"/>
  <c r="X381" i="1"/>
  <c r="P381" i="1"/>
  <c r="Q381" i="1" s="1"/>
  <c r="R381" i="1" s="1"/>
  <c r="S381" i="1" s="1"/>
  <c r="O381" i="1"/>
  <c r="N381" i="1"/>
  <c r="K381" i="1"/>
  <c r="AL380" i="1"/>
  <c r="AC380" i="1"/>
  <c r="AB380" i="1"/>
  <c r="Z380" i="1"/>
  <c r="X380" i="1"/>
  <c r="Q380" i="1"/>
  <c r="P380" i="1"/>
  <c r="O380" i="1"/>
  <c r="N380" i="1"/>
  <c r="K380" i="1"/>
  <c r="AD380" i="1" s="1"/>
  <c r="AE380" i="1" s="1"/>
  <c r="AL379" i="1"/>
  <c r="AC379" i="1"/>
  <c r="AB379" i="1"/>
  <c r="Z379" i="1"/>
  <c r="X379" i="1"/>
  <c r="U379" i="1"/>
  <c r="AF379" i="1" s="1"/>
  <c r="Q379" i="1"/>
  <c r="R379" i="1" s="1"/>
  <c r="S379" i="1" s="1"/>
  <c r="P379" i="1"/>
  <c r="O379" i="1"/>
  <c r="N379" i="1"/>
  <c r="K379" i="1"/>
  <c r="AD379" i="1" s="1"/>
  <c r="AE379" i="1" s="1"/>
  <c r="AL378" i="1"/>
  <c r="AC378" i="1"/>
  <c r="AB378" i="1"/>
  <c r="Z378" i="1"/>
  <c r="X378" i="1"/>
  <c r="P378" i="1"/>
  <c r="O378" i="1"/>
  <c r="N378" i="1"/>
  <c r="Q378" i="1" s="1"/>
  <c r="R378" i="1" s="1"/>
  <c r="S378" i="1" s="1"/>
  <c r="K378" i="1"/>
  <c r="AL377" i="1"/>
  <c r="AG377" i="1"/>
  <c r="AF377" i="1"/>
  <c r="AD377" i="1"/>
  <c r="AC377" i="1"/>
  <c r="AB377" i="1"/>
  <c r="Z377" i="1"/>
  <c r="X377" i="1"/>
  <c r="R377" i="1"/>
  <c r="S377" i="1" s="1"/>
  <c r="P377" i="1"/>
  <c r="O377" i="1"/>
  <c r="Q377" i="1" s="1"/>
  <c r="N377" i="1"/>
  <c r="K377" i="1"/>
  <c r="U377" i="1" s="1"/>
  <c r="AL376" i="1"/>
  <c r="AC376" i="1"/>
  <c r="AB376" i="1"/>
  <c r="Z376" i="1"/>
  <c r="X376" i="1"/>
  <c r="P376" i="1"/>
  <c r="O376" i="1"/>
  <c r="N376" i="1"/>
  <c r="K376" i="1"/>
  <c r="AD376" i="1" s="1"/>
  <c r="AE376" i="1" s="1"/>
  <c r="AL375" i="1"/>
  <c r="AC375" i="1"/>
  <c r="AB375" i="1"/>
  <c r="Z375" i="1"/>
  <c r="X375" i="1"/>
  <c r="P375" i="1"/>
  <c r="O375" i="1"/>
  <c r="Q375" i="1" s="1"/>
  <c r="R375" i="1" s="1"/>
  <c r="S375" i="1" s="1"/>
  <c r="N375" i="1"/>
  <c r="K375" i="1"/>
  <c r="U375" i="1" s="1"/>
  <c r="AH375" i="1" s="1"/>
  <c r="AL374" i="1"/>
  <c r="AC374" i="1"/>
  <c r="AB374" i="1"/>
  <c r="Z374" i="1"/>
  <c r="X374" i="1"/>
  <c r="P374" i="1"/>
  <c r="O374" i="1"/>
  <c r="N374" i="1"/>
  <c r="K374" i="1"/>
  <c r="AD374" i="1" s="1"/>
  <c r="AE374" i="1" s="1"/>
  <c r="AL373" i="1"/>
  <c r="AC373" i="1"/>
  <c r="AB373" i="1"/>
  <c r="Z373" i="1"/>
  <c r="X373" i="1"/>
  <c r="P373" i="1"/>
  <c r="O373" i="1"/>
  <c r="N373" i="1"/>
  <c r="Q373" i="1" s="1"/>
  <c r="R373" i="1" s="1"/>
  <c r="S373" i="1" s="1"/>
  <c r="K373" i="1"/>
  <c r="AL372" i="1"/>
  <c r="AH372" i="1"/>
  <c r="AC372" i="1"/>
  <c r="AD372" i="1" s="1"/>
  <c r="AE372" i="1" s="1"/>
  <c r="AB372" i="1"/>
  <c r="Z372" i="1"/>
  <c r="X372" i="1"/>
  <c r="Y372" i="1" s="1"/>
  <c r="U372" i="1"/>
  <c r="S372" i="1"/>
  <c r="Q372" i="1"/>
  <c r="R372" i="1" s="1"/>
  <c r="P372" i="1"/>
  <c r="O372" i="1"/>
  <c r="N372" i="1"/>
  <c r="K372" i="1"/>
  <c r="AL371" i="1"/>
  <c r="AC371" i="1"/>
  <c r="AB371" i="1"/>
  <c r="Z371" i="1"/>
  <c r="AE371" i="1" s="1"/>
  <c r="X371" i="1"/>
  <c r="P371" i="1"/>
  <c r="O371" i="1"/>
  <c r="Q371" i="1" s="1"/>
  <c r="R371" i="1" s="1"/>
  <c r="S371" i="1" s="1"/>
  <c r="N371" i="1"/>
  <c r="K371" i="1"/>
  <c r="AD371" i="1" s="1"/>
  <c r="AL370" i="1"/>
  <c r="AG370" i="1"/>
  <c r="AF370" i="1"/>
  <c r="AC370" i="1"/>
  <c r="AD370" i="1" s="1"/>
  <c r="AE370" i="1" s="1"/>
  <c r="AB370" i="1"/>
  <c r="Z370" i="1"/>
  <c r="X370" i="1"/>
  <c r="U370" i="1"/>
  <c r="Y370" i="1" s="1"/>
  <c r="P370" i="1"/>
  <c r="Q370" i="1" s="1"/>
  <c r="R370" i="1" s="1"/>
  <c r="S370" i="1" s="1"/>
  <c r="O370" i="1"/>
  <c r="N370" i="1"/>
  <c r="K370" i="1"/>
  <c r="AL369" i="1"/>
  <c r="AC369" i="1"/>
  <c r="AB369" i="1"/>
  <c r="Z369" i="1"/>
  <c r="X369" i="1"/>
  <c r="R369" i="1"/>
  <c r="S369" i="1" s="1"/>
  <c r="Q369" i="1"/>
  <c r="P369" i="1"/>
  <c r="O369" i="1"/>
  <c r="N369" i="1"/>
  <c r="K369" i="1"/>
  <c r="AL368" i="1"/>
  <c r="AG368" i="1"/>
  <c r="AD368" i="1"/>
  <c r="AE368" i="1" s="1"/>
  <c r="AC368" i="1"/>
  <c r="AB368" i="1"/>
  <c r="Z368" i="1"/>
  <c r="X368" i="1"/>
  <c r="U368" i="1"/>
  <c r="P368" i="1"/>
  <c r="O368" i="1"/>
  <c r="N368" i="1"/>
  <c r="Q368" i="1" s="1"/>
  <c r="R368" i="1" s="1"/>
  <c r="S368" i="1" s="1"/>
  <c r="K368" i="1"/>
  <c r="AL367" i="1"/>
  <c r="AE367" i="1"/>
  <c r="AC367" i="1"/>
  <c r="AB367" i="1"/>
  <c r="Z367" i="1"/>
  <c r="X367" i="1"/>
  <c r="Q367" i="1"/>
  <c r="R367" i="1" s="1"/>
  <c r="S367" i="1" s="1"/>
  <c r="P367" i="1"/>
  <c r="O367" i="1"/>
  <c r="N367" i="1"/>
  <c r="K367" i="1"/>
  <c r="AD367" i="1" s="1"/>
  <c r="AL366" i="1"/>
  <c r="AD366" i="1"/>
  <c r="AE366" i="1" s="1"/>
  <c r="AC366" i="1"/>
  <c r="AB366" i="1"/>
  <c r="Z366" i="1"/>
  <c r="X366" i="1"/>
  <c r="U366" i="1"/>
  <c r="P366" i="1"/>
  <c r="O366" i="1"/>
  <c r="N366" i="1"/>
  <c r="Q366" i="1" s="1"/>
  <c r="R366" i="1" s="1"/>
  <c r="S366" i="1" s="1"/>
  <c r="K366" i="1"/>
  <c r="AL365" i="1"/>
  <c r="AC365" i="1"/>
  <c r="AB365" i="1"/>
  <c r="Z365" i="1"/>
  <c r="AE365" i="1" s="1"/>
  <c r="X365" i="1"/>
  <c r="Q365" i="1"/>
  <c r="R365" i="1" s="1"/>
  <c r="S365" i="1" s="1"/>
  <c r="P365" i="1"/>
  <c r="O365" i="1"/>
  <c r="N365" i="1"/>
  <c r="K365" i="1"/>
  <c r="AD365" i="1" s="1"/>
  <c r="AL364" i="1"/>
  <c r="AD364" i="1"/>
  <c r="AE364" i="1" s="1"/>
  <c r="AC364" i="1"/>
  <c r="AB364" i="1"/>
  <c r="Z364" i="1"/>
  <c r="X364" i="1"/>
  <c r="U364" i="1"/>
  <c r="Y364" i="1" s="1"/>
  <c r="P364" i="1"/>
  <c r="O364" i="1"/>
  <c r="N364" i="1"/>
  <c r="Q364" i="1" s="1"/>
  <c r="R364" i="1" s="1"/>
  <c r="S364" i="1" s="1"/>
  <c r="K364" i="1"/>
  <c r="AL363" i="1"/>
  <c r="AC363" i="1"/>
  <c r="AB363" i="1"/>
  <c r="Z363" i="1"/>
  <c r="X363" i="1"/>
  <c r="Q363" i="1"/>
  <c r="R363" i="1" s="1"/>
  <c r="S363" i="1" s="1"/>
  <c r="P363" i="1"/>
  <c r="O363" i="1"/>
  <c r="N363" i="1"/>
  <c r="K363" i="1"/>
  <c r="AD363" i="1" s="1"/>
  <c r="AE363" i="1" s="1"/>
  <c r="AL362" i="1"/>
  <c r="AG362" i="1"/>
  <c r="AF362" i="1"/>
  <c r="AC362" i="1"/>
  <c r="AD362" i="1" s="1"/>
  <c r="AE362" i="1" s="1"/>
  <c r="AB362" i="1"/>
  <c r="Z362" i="1"/>
  <c r="Y362" i="1"/>
  <c r="X362" i="1"/>
  <c r="U362" i="1"/>
  <c r="P362" i="1"/>
  <c r="O362" i="1"/>
  <c r="N362" i="1"/>
  <c r="Q362" i="1" s="1"/>
  <c r="R362" i="1" s="1"/>
  <c r="S362" i="1" s="1"/>
  <c r="K362" i="1"/>
  <c r="AL361" i="1"/>
  <c r="AC361" i="1"/>
  <c r="AB361" i="1"/>
  <c r="Z361" i="1"/>
  <c r="X361" i="1"/>
  <c r="P361" i="1"/>
  <c r="O361" i="1"/>
  <c r="Q361" i="1" s="1"/>
  <c r="R361" i="1" s="1"/>
  <c r="S361" i="1" s="1"/>
  <c r="N361" i="1"/>
  <c r="K361" i="1"/>
  <c r="AD361" i="1" s="1"/>
  <c r="AE361" i="1" s="1"/>
  <c r="AL360" i="1"/>
  <c r="AF360" i="1"/>
  <c r="AD360" i="1"/>
  <c r="AE360" i="1" s="1"/>
  <c r="AC360" i="1"/>
  <c r="AB360" i="1"/>
  <c r="Z360" i="1"/>
  <c r="X360" i="1"/>
  <c r="U360" i="1"/>
  <c r="Q360" i="1"/>
  <c r="R360" i="1" s="1"/>
  <c r="S360" i="1" s="1"/>
  <c r="P360" i="1"/>
  <c r="O360" i="1"/>
  <c r="N360" i="1"/>
  <c r="K360" i="1"/>
  <c r="AL359" i="1"/>
  <c r="AC359" i="1"/>
  <c r="AB359" i="1"/>
  <c r="Z359" i="1"/>
  <c r="X359" i="1"/>
  <c r="P359" i="1"/>
  <c r="O359" i="1"/>
  <c r="Q359" i="1" s="1"/>
  <c r="R359" i="1" s="1"/>
  <c r="S359" i="1" s="1"/>
  <c r="N359" i="1"/>
  <c r="K359" i="1"/>
  <c r="AL358" i="1"/>
  <c r="AG358" i="1"/>
  <c r="AF358" i="1"/>
  <c r="AC358" i="1"/>
  <c r="AD358" i="1" s="1"/>
  <c r="AB358" i="1"/>
  <c r="Z358" i="1"/>
  <c r="Y358" i="1"/>
  <c r="X358" i="1"/>
  <c r="U358" i="1"/>
  <c r="P358" i="1"/>
  <c r="O358" i="1"/>
  <c r="N358" i="1"/>
  <c r="Q358" i="1" s="1"/>
  <c r="R358" i="1" s="1"/>
  <c r="S358" i="1" s="1"/>
  <c r="K358" i="1"/>
  <c r="AL357" i="1"/>
  <c r="AC357" i="1"/>
  <c r="AB357" i="1"/>
  <c r="Z357" i="1"/>
  <c r="X357" i="1"/>
  <c r="R357" i="1"/>
  <c r="S357" i="1" s="1"/>
  <c r="Q357" i="1"/>
  <c r="P357" i="1"/>
  <c r="O357" i="1"/>
  <c r="N357" i="1"/>
  <c r="K357" i="1"/>
  <c r="AL356" i="1"/>
  <c r="AG356" i="1"/>
  <c r="AC356" i="1"/>
  <c r="AD356" i="1" s="1"/>
  <c r="AB356" i="1"/>
  <c r="Z356" i="1"/>
  <c r="X356" i="1"/>
  <c r="Y356" i="1" s="1"/>
  <c r="U356" i="1"/>
  <c r="S356" i="1"/>
  <c r="Q356" i="1"/>
  <c r="R356" i="1" s="1"/>
  <c r="P356" i="1"/>
  <c r="O356" i="1"/>
  <c r="N356" i="1"/>
  <c r="K356" i="1"/>
  <c r="AL355" i="1"/>
  <c r="AC355" i="1"/>
  <c r="AB355" i="1"/>
  <c r="Z355" i="1"/>
  <c r="AE355" i="1" s="1"/>
  <c r="X355" i="1"/>
  <c r="P355" i="1"/>
  <c r="O355" i="1"/>
  <c r="Q355" i="1" s="1"/>
  <c r="R355" i="1" s="1"/>
  <c r="S355" i="1" s="1"/>
  <c r="N355" i="1"/>
  <c r="K355" i="1"/>
  <c r="AD355" i="1" s="1"/>
  <c r="AL354" i="1"/>
  <c r="AC354" i="1"/>
  <c r="AB354" i="1"/>
  <c r="Z354" i="1"/>
  <c r="X354" i="1"/>
  <c r="U354" i="1"/>
  <c r="P354" i="1"/>
  <c r="O354" i="1"/>
  <c r="N354" i="1"/>
  <c r="Q354" i="1" s="1"/>
  <c r="K354" i="1"/>
  <c r="AD354" i="1" s="1"/>
  <c r="AL353" i="1"/>
  <c r="AE353" i="1"/>
  <c r="AC353" i="1"/>
  <c r="AB353" i="1"/>
  <c r="Z353" i="1"/>
  <c r="X353" i="1"/>
  <c r="Q353" i="1"/>
  <c r="R353" i="1" s="1"/>
  <c r="S353" i="1" s="1"/>
  <c r="P353" i="1"/>
  <c r="O353" i="1"/>
  <c r="N353" i="1"/>
  <c r="K353" i="1"/>
  <c r="AD353" i="1" s="1"/>
  <c r="AL352" i="1"/>
  <c r="AC352" i="1"/>
  <c r="AB352" i="1"/>
  <c r="Z352" i="1"/>
  <c r="X352" i="1"/>
  <c r="S352" i="1"/>
  <c r="P352" i="1"/>
  <c r="O352" i="1"/>
  <c r="N352" i="1"/>
  <c r="Q352" i="1" s="1"/>
  <c r="R352" i="1" s="1"/>
  <c r="K352" i="1"/>
  <c r="AD352" i="1" s="1"/>
  <c r="AL351" i="1"/>
  <c r="AC351" i="1"/>
  <c r="AB351" i="1"/>
  <c r="Z351" i="1"/>
  <c r="X351" i="1"/>
  <c r="Q351" i="1"/>
  <c r="P351" i="1"/>
  <c r="O351" i="1"/>
  <c r="N351" i="1"/>
  <c r="K351" i="1"/>
  <c r="AD351" i="1" s="1"/>
  <c r="AE351" i="1" s="1"/>
  <c r="AL350" i="1"/>
  <c r="AC350" i="1"/>
  <c r="AB350" i="1"/>
  <c r="Z350" i="1"/>
  <c r="X350" i="1"/>
  <c r="P350" i="1"/>
  <c r="O350" i="1"/>
  <c r="N350" i="1"/>
  <c r="K350" i="1"/>
  <c r="AD350" i="1" s="1"/>
  <c r="AL349" i="1"/>
  <c r="AC349" i="1"/>
  <c r="AB349" i="1"/>
  <c r="Z349" i="1"/>
  <c r="X349" i="1"/>
  <c r="R349" i="1"/>
  <c r="S349" i="1" s="1"/>
  <c r="P349" i="1"/>
  <c r="O349" i="1"/>
  <c r="Q349" i="1" s="1"/>
  <c r="N349" i="1"/>
  <c r="K349" i="1"/>
  <c r="AL348" i="1"/>
  <c r="AC348" i="1"/>
  <c r="AB348" i="1"/>
  <c r="Z348" i="1"/>
  <c r="X348" i="1"/>
  <c r="P348" i="1"/>
  <c r="O348" i="1"/>
  <c r="N348" i="1"/>
  <c r="Q348" i="1" s="1"/>
  <c r="R348" i="1" s="1"/>
  <c r="S348" i="1" s="1"/>
  <c r="K348" i="1"/>
  <c r="AD348" i="1" s="1"/>
  <c r="AL347" i="1"/>
  <c r="AC347" i="1"/>
  <c r="AB347" i="1"/>
  <c r="Z347" i="1"/>
  <c r="AE347" i="1" s="1"/>
  <c r="X347" i="1"/>
  <c r="P347" i="1"/>
  <c r="O347" i="1"/>
  <c r="Q347" i="1" s="1"/>
  <c r="R347" i="1" s="1"/>
  <c r="S347" i="1" s="1"/>
  <c r="N347" i="1"/>
  <c r="K347" i="1"/>
  <c r="AD347" i="1" s="1"/>
  <c r="AL346" i="1"/>
  <c r="AC346" i="1"/>
  <c r="AB346" i="1"/>
  <c r="Z346" i="1"/>
  <c r="X346" i="1"/>
  <c r="P346" i="1"/>
  <c r="O346" i="1"/>
  <c r="N346" i="1"/>
  <c r="Q346" i="1" s="1"/>
  <c r="K346" i="1"/>
  <c r="AL345" i="1"/>
  <c r="AE345" i="1"/>
  <c r="AC345" i="1"/>
  <c r="AB345" i="1"/>
  <c r="Z345" i="1"/>
  <c r="X345" i="1"/>
  <c r="Q345" i="1"/>
  <c r="R345" i="1" s="1"/>
  <c r="S345" i="1" s="1"/>
  <c r="P345" i="1"/>
  <c r="O345" i="1"/>
  <c r="N345" i="1"/>
  <c r="K345" i="1"/>
  <c r="AD345" i="1" s="1"/>
  <c r="AL344" i="1"/>
  <c r="AC344" i="1"/>
  <c r="AB344" i="1"/>
  <c r="Z344" i="1"/>
  <c r="X344" i="1"/>
  <c r="U344" i="1"/>
  <c r="AF344" i="1" s="1"/>
  <c r="P344" i="1"/>
  <c r="O344" i="1"/>
  <c r="N344" i="1"/>
  <c r="Q344" i="1" s="1"/>
  <c r="R344" i="1" s="1"/>
  <c r="S344" i="1" s="1"/>
  <c r="K344" i="1"/>
  <c r="AD344" i="1" s="1"/>
  <c r="AL343" i="1"/>
  <c r="AC343" i="1"/>
  <c r="AB343" i="1"/>
  <c r="Z343" i="1"/>
  <c r="X343" i="1"/>
  <c r="Q343" i="1"/>
  <c r="R343" i="1" s="1"/>
  <c r="S343" i="1" s="1"/>
  <c r="P343" i="1"/>
  <c r="O343" i="1"/>
  <c r="N343" i="1"/>
  <c r="K343" i="1"/>
  <c r="AD343" i="1" s="1"/>
  <c r="AE343" i="1" s="1"/>
  <c r="AL342" i="1"/>
  <c r="AC342" i="1"/>
  <c r="AB342" i="1"/>
  <c r="Z342" i="1"/>
  <c r="X342" i="1"/>
  <c r="P342" i="1"/>
  <c r="O342" i="1"/>
  <c r="N342" i="1"/>
  <c r="Q342" i="1" s="1"/>
  <c r="R342" i="1" s="1"/>
  <c r="S342" i="1" s="1"/>
  <c r="K342" i="1"/>
  <c r="AL341" i="1"/>
  <c r="AC341" i="1"/>
  <c r="AB341" i="1"/>
  <c r="Z341" i="1"/>
  <c r="X341" i="1"/>
  <c r="R341" i="1"/>
  <c r="S341" i="1" s="1"/>
  <c r="Q341" i="1"/>
  <c r="P341" i="1"/>
  <c r="O341" i="1"/>
  <c r="N341" i="1"/>
  <c r="K341" i="1"/>
  <c r="AL340" i="1"/>
  <c r="AC340" i="1"/>
  <c r="AB340" i="1"/>
  <c r="Z340" i="1"/>
  <c r="X340" i="1"/>
  <c r="P340" i="1"/>
  <c r="O340" i="1"/>
  <c r="N340" i="1"/>
  <c r="K340" i="1"/>
  <c r="AD340" i="1" s="1"/>
  <c r="AL339" i="1"/>
  <c r="AD339" i="1"/>
  <c r="AC339" i="1"/>
  <c r="AB339" i="1"/>
  <c r="Z339" i="1"/>
  <c r="X339" i="1"/>
  <c r="Q339" i="1"/>
  <c r="R339" i="1" s="1"/>
  <c r="S339" i="1" s="1"/>
  <c r="P339" i="1"/>
  <c r="O339" i="1"/>
  <c r="N339" i="1"/>
  <c r="K339" i="1"/>
  <c r="U339" i="1" s="1"/>
  <c r="AL338" i="1"/>
  <c r="AD338" i="1"/>
  <c r="AC338" i="1"/>
  <c r="AB338" i="1"/>
  <c r="Z338" i="1"/>
  <c r="Y338" i="1"/>
  <c r="X338" i="1"/>
  <c r="U338" i="1"/>
  <c r="T338" i="1"/>
  <c r="R338" i="1"/>
  <c r="S338" i="1" s="1"/>
  <c r="P338" i="1"/>
  <c r="Q338" i="1" s="1"/>
  <c r="O338" i="1"/>
  <c r="N338" i="1"/>
  <c r="K338" i="1"/>
  <c r="AL337" i="1"/>
  <c r="AC337" i="1"/>
  <c r="AB337" i="1"/>
  <c r="Z337" i="1"/>
  <c r="AE337" i="1" s="1"/>
  <c r="X337" i="1"/>
  <c r="Q337" i="1"/>
  <c r="R337" i="1" s="1"/>
  <c r="S337" i="1" s="1"/>
  <c r="P337" i="1"/>
  <c r="O337" i="1"/>
  <c r="N337" i="1"/>
  <c r="K337" i="1"/>
  <c r="AD337" i="1" s="1"/>
  <c r="AL336" i="1"/>
  <c r="AC336" i="1"/>
  <c r="AB336" i="1"/>
  <c r="Z336" i="1"/>
  <c r="X336" i="1"/>
  <c r="P336" i="1"/>
  <c r="O336" i="1"/>
  <c r="N336" i="1"/>
  <c r="Q336" i="1" s="1"/>
  <c r="R336" i="1" s="1"/>
  <c r="S336" i="1" s="1"/>
  <c r="K336" i="1"/>
  <c r="AL335" i="1"/>
  <c r="AC335" i="1"/>
  <c r="AB335" i="1"/>
  <c r="Z335" i="1"/>
  <c r="X335" i="1"/>
  <c r="P335" i="1"/>
  <c r="O335" i="1"/>
  <c r="N335" i="1"/>
  <c r="K335" i="1"/>
  <c r="AL334" i="1"/>
  <c r="AC334" i="1"/>
  <c r="AB334" i="1"/>
  <c r="Z334" i="1"/>
  <c r="X334" i="1"/>
  <c r="R334" i="1"/>
  <c r="S334" i="1" s="1"/>
  <c r="Q334" i="1"/>
  <c r="P334" i="1"/>
  <c r="O334" i="1"/>
  <c r="N334" i="1"/>
  <c r="K334" i="1"/>
  <c r="AD334" i="1" s="1"/>
  <c r="AL333" i="1"/>
  <c r="AC333" i="1"/>
  <c r="AB333" i="1"/>
  <c r="Z333" i="1"/>
  <c r="AE333" i="1" s="1"/>
  <c r="X333" i="1"/>
  <c r="P333" i="1"/>
  <c r="O333" i="1"/>
  <c r="Q333" i="1" s="1"/>
  <c r="R333" i="1" s="1"/>
  <c r="S333" i="1" s="1"/>
  <c r="N333" i="1"/>
  <c r="K333" i="1"/>
  <c r="AD333" i="1" s="1"/>
  <c r="AL332" i="1"/>
  <c r="AC332" i="1"/>
  <c r="AB332" i="1"/>
  <c r="Z332" i="1"/>
  <c r="AE332" i="1" s="1"/>
  <c r="X332" i="1"/>
  <c r="P332" i="1"/>
  <c r="O332" i="1"/>
  <c r="N332" i="1"/>
  <c r="Q332" i="1" s="1"/>
  <c r="R332" i="1" s="1"/>
  <c r="S332" i="1" s="1"/>
  <c r="K332" i="1"/>
  <c r="AD332" i="1" s="1"/>
  <c r="AL331" i="1"/>
  <c r="AD331" i="1"/>
  <c r="AE331" i="1" s="1"/>
  <c r="AC331" i="1"/>
  <c r="AB331" i="1"/>
  <c r="Z331" i="1"/>
  <c r="U331" i="1" s="1"/>
  <c r="X331" i="1"/>
  <c r="P331" i="1"/>
  <c r="O331" i="1"/>
  <c r="N331" i="1"/>
  <c r="K331" i="1"/>
  <c r="AL330" i="1"/>
  <c r="AC330" i="1"/>
  <c r="AB330" i="1"/>
  <c r="Z330" i="1"/>
  <c r="X330" i="1"/>
  <c r="R330" i="1"/>
  <c r="S330" i="1" s="1"/>
  <c r="P330" i="1"/>
  <c r="O330" i="1"/>
  <c r="N330" i="1"/>
  <c r="Q330" i="1" s="1"/>
  <c r="K330" i="1"/>
  <c r="AD330" i="1" s="1"/>
  <c r="AL329" i="1"/>
  <c r="AD329" i="1"/>
  <c r="AE329" i="1" s="1"/>
  <c r="AC329" i="1"/>
  <c r="AB329" i="1"/>
  <c r="Z329" i="1"/>
  <c r="X329" i="1"/>
  <c r="P329" i="1"/>
  <c r="O329" i="1"/>
  <c r="N329" i="1"/>
  <c r="Q329" i="1" s="1"/>
  <c r="R329" i="1" s="1"/>
  <c r="S329" i="1" s="1"/>
  <c r="K329" i="1"/>
  <c r="U329" i="1" s="1"/>
  <c r="AL328" i="1"/>
  <c r="AC328" i="1"/>
  <c r="AB328" i="1"/>
  <c r="Z328" i="1"/>
  <c r="X328" i="1"/>
  <c r="P328" i="1"/>
  <c r="O328" i="1"/>
  <c r="N328" i="1"/>
  <c r="Q328" i="1" s="1"/>
  <c r="R328" i="1" s="1"/>
  <c r="S328" i="1" s="1"/>
  <c r="K328" i="1"/>
  <c r="AL327" i="1"/>
  <c r="AF327" i="1"/>
  <c r="AD327" i="1"/>
  <c r="AE327" i="1" s="1"/>
  <c r="AC327" i="1"/>
  <c r="AB327" i="1"/>
  <c r="Z327" i="1"/>
  <c r="X327" i="1"/>
  <c r="P327" i="1"/>
  <c r="O327" i="1"/>
  <c r="N327" i="1"/>
  <c r="Q327" i="1" s="1"/>
  <c r="R327" i="1" s="1"/>
  <c r="S327" i="1" s="1"/>
  <c r="K327" i="1"/>
  <c r="U327" i="1" s="1"/>
  <c r="AL326" i="1"/>
  <c r="AC326" i="1"/>
  <c r="AB326" i="1"/>
  <c r="Z326" i="1"/>
  <c r="X326" i="1"/>
  <c r="R326" i="1"/>
  <c r="S326" i="1" s="1"/>
  <c r="P326" i="1"/>
  <c r="O326" i="1"/>
  <c r="Q326" i="1" s="1"/>
  <c r="N326" i="1"/>
  <c r="K326" i="1"/>
  <c r="AL325" i="1"/>
  <c r="AF325" i="1"/>
  <c r="AD325" i="1"/>
  <c r="AE325" i="1" s="1"/>
  <c r="AC325" i="1"/>
  <c r="AB325" i="1"/>
  <c r="Z325" i="1"/>
  <c r="X325" i="1"/>
  <c r="S325" i="1"/>
  <c r="P325" i="1"/>
  <c r="O325" i="1"/>
  <c r="N325" i="1"/>
  <c r="Q325" i="1" s="1"/>
  <c r="R325" i="1" s="1"/>
  <c r="K325" i="1"/>
  <c r="U325" i="1" s="1"/>
  <c r="AL324" i="1"/>
  <c r="AC324" i="1"/>
  <c r="AB324" i="1"/>
  <c r="Z324" i="1"/>
  <c r="X324" i="1"/>
  <c r="P324" i="1"/>
  <c r="O324" i="1"/>
  <c r="Q324" i="1" s="1"/>
  <c r="R324" i="1" s="1"/>
  <c r="S324" i="1" s="1"/>
  <c r="N324" i="1"/>
  <c r="K324" i="1"/>
  <c r="AL323" i="1"/>
  <c r="AF323" i="1"/>
  <c r="AC323" i="1"/>
  <c r="AB323" i="1"/>
  <c r="Z323" i="1"/>
  <c r="X323" i="1"/>
  <c r="P323" i="1"/>
  <c r="O323" i="1"/>
  <c r="N323" i="1"/>
  <c r="Q323" i="1" s="1"/>
  <c r="K323" i="1"/>
  <c r="U323" i="1" s="1"/>
  <c r="AL322" i="1"/>
  <c r="AC322" i="1"/>
  <c r="AB322" i="1"/>
  <c r="Z322" i="1"/>
  <c r="X322" i="1"/>
  <c r="P322" i="1"/>
  <c r="O322" i="1"/>
  <c r="Q322" i="1" s="1"/>
  <c r="R322" i="1" s="1"/>
  <c r="S322" i="1" s="1"/>
  <c r="N322" i="1"/>
  <c r="K322" i="1"/>
  <c r="AL321" i="1"/>
  <c r="AF321" i="1"/>
  <c r="AC321" i="1"/>
  <c r="AB321" i="1"/>
  <c r="Z321" i="1"/>
  <c r="X321" i="1"/>
  <c r="P321" i="1"/>
  <c r="O321" i="1"/>
  <c r="N321" i="1"/>
  <c r="Q321" i="1" s="1"/>
  <c r="K321" i="1"/>
  <c r="U321" i="1" s="1"/>
  <c r="AL320" i="1"/>
  <c r="AC320" i="1"/>
  <c r="AB320" i="1"/>
  <c r="Z320" i="1"/>
  <c r="X320" i="1"/>
  <c r="P320" i="1"/>
  <c r="O320" i="1"/>
  <c r="Q320" i="1" s="1"/>
  <c r="R320" i="1" s="1"/>
  <c r="S320" i="1" s="1"/>
  <c r="N320" i="1"/>
  <c r="K320" i="1"/>
  <c r="AL319" i="1"/>
  <c r="AC319" i="1"/>
  <c r="AB319" i="1"/>
  <c r="Z319" i="1"/>
  <c r="X319" i="1"/>
  <c r="P319" i="1"/>
  <c r="O319" i="1"/>
  <c r="N319" i="1"/>
  <c r="Q319" i="1" s="1"/>
  <c r="K319" i="1"/>
  <c r="U319" i="1" s="1"/>
  <c r="AF319" i="1" s="1"/>
  <c r="AL318" i="1"/>
  <c r="AC318" i="1"/>
  <c r="AB318" i="1"/>
  <c r="Z318" i="1"/>
  <c r="X318" i="1"/>
  <c r="P318" i="1"/>
  <c r="O318" i="1"/>
  <c r="Q318" i="1" s="1"/>
  <c r="R318" i="1" s="1"/>
  <c r="S318" i="1" s="1"/>
  <c r="N318" i="1"/>
  <c r="K318" i="1"/>
  <c r="AL317" i="1"/>
  <c r="AC317" i="1"/>
  <c r="AB317" i="1"/>
  <c r="Z317" i="1"/>
  <c r="X317" i="1"/>
  <c r="P317" i="1"/>
  <c r="O317" i="1"/>
  <c r="N317" i="1"/>
  <c r="Q317" i="1" s="1"/>
  <c r="K317" i="1"/>
  <c r="U317" i="1" s="1"/>
  <c r="AF317" i="1" s="1"/>
  <c r="AL316" i="1"/>
  <c r="AC316" i="1"/>
  <c r="AB316" i="1"/>
  <c r="Z316" i="1"/>
  <c r="X316" i="1"/>
  <c r="P316" i="1"/>
  <c r="O316" i="1"/>
  <c r="Q316" i="1" s="1"/>
  <c r="R316" i="1" s="1"/>
  <c r="S316" i="1" s="1"/>
  <c r="N316" i="1"/>
  <c r="K316" i="1"/>
  <c r="AL315" i="1"/>
  <c r="AC315" i="1"/>
  <c r="AB315" i="1"/>
  <c r="Z315" i="1"/>
  <c r="X315" i="1"/>
  <c r="P315" i="1"/>
  <c r="O315" i="1"/>
  <c r="N315" i="1"/>
  <c r="Q315" i="1" s="1"/>
  <c r="K315" i="1"/>
  <c r="U315" i="1" s="1"/>
  <c r="AF315" i="1" s="1"/>
  <c r="AL314" i="1"/>
  <c r="AC314" i="1"/>
  <c r="AB314" i="1"/>
  <c r="Z314" i="1"/>
  <c r="X314" i="1"/>
  <c r="P314" i="1"/>
  <c r="O314" i="1"/>
  <c r="Q314" i="1" s="1"/>
  <c r="R314" i="1" s="1"/>
  <c r="S314" i="1" s="1"/>
  <c r="N314" i="1"/>
  <c r="K314" i="1"/>
  <c r="AL313" i="1"/>
  <c r="AC313" i="1"/>
  <c r="AB313" i="1"/>
  <c r="Z313" i="1"/>
  <c r="X313" i="1"/>
  <c r="P313" i="1"/>
  <c r="O313" i="1"/>
  <c r="N313" i="1"/>
  <c r="Q313" i="1" s="1"/>
  <c r="K313" i="1"/>
  <c r="AL312" i="1"/>
  <c r="AC312" i="1"/>
  <c r="AB312" i="1"/>
  <c r="Z312" i="1"/>
  <c r="X312" i="1"/>
  <c r="R312" i="1"/>
  <c r="S312" i="1" s="1"/>
  <c r="P312" i="1"/>
  <c r="Q312" i="1" s="1"/>
  <c r="O312" i="1"/>
  <c r="N312" i="1"/>
  <c r="K312" i="1"/>
  <c r="AL311" i="1"/>
  <c r="AC311" i="1"/>
  <c r="AB311" i="1"/>
  <c r="Z311" i="1"/>
  <c r="X311" i="1"/>
  <c r="P311" i="1"/>
  <c r="O311" i="1"/>
  <c r="N311" i="1"/>
  <c r="K311" i="1"/>
  <c r="AL310" i="1"/>
  <c r="AC310" i="1"/>
  <c r="AB310" i="1"/>
  <c r="Z310" i="1"/>
  <c r="X310" i="1"/>
  <c r="P310" i="1"/>
  <c r="O310" i="1"/>
  <c r="Q310" i="1" s="1"/>
  <c r="R310" i="1" s="1"/>
  <c r="S310" i="1" s="1"/>
  <c r="N310" i="1"/>
  <c r="K310" i="1"/>
  <c r="AL309" i="1"/>
  <c r="AC309" i="1"/>
  <c r="AB309" i="1"/>
  <c r="Z309" i="1"/>
  <c r="X309" i="1"/>
  <c r="P309" i="1"/>
  <c r="O309" i="1"/>
  <c r="N309" i="1"/>
  <c r="K309" i="1"/>
  <c r="AL308" i="1"/>
  <c r="AC308" i="1"/>
  <c r="AB308" i="1"/>
  <c r="Z308" i="1"/>
  <c r="X308" i="1"/>
  <c r="R308" i="1"/>
  <c r="S308" i="1" s="1"/>
  <c r="P308" i="1"/>
  <c r="O308" i="1"/>
  <c r="N308" i="1"/>
  <c r="Q308" i="1" s="1"/>
  <c r="K308" i="1"/>
  <c r="AL307" i="1"/>
  <c r="AF307" i="1"/>
  <c r="AD307" i="1"/>
  <c r="AE307" i="1" s="1"/>
  <c r="AC307" i="1"/>
  <c r="AB307" i="1"/>
  <c r="Z307" i="1"/>
  <c r="X307" i="1"/>
  <c r="T307" i="1"/>
  <c r="P307" i="1"/>
  <c r="O307" i="1"/>
  <c r="N307" i="1"/>
  <c r="K307" i="1"/>
  <c r="U307" i="1" s="1"/>
  <c r="AL306" i="1"/>
  <c r="AC306" i="1"/>
  <c r="AB306" i="1"/>
  <c r="Z306" i="1"/>
  <c r="X306" i="1"/>
  <c r="P306" i="1"/>
  <c r="O306" i="1"/>
  <c r="N306" i="1"/>
  <c r="Q306" i="1" s="1"/>
  <c r="R306" i="1" s="1"/>
  <c r="S306" i="1" s="1"/>
  <c r="K306" i="1"/>
  <c r="AL305" i="1"/>
  <c r="AF305" i="1"/>
  <c r="AD305" i="1"/>
  <c r="AE305" i="1" s="1"/>
  <c r="AC305" i="1"/>
  <c r="AB305" i="1"/>
  <c r="Z305" i="1"/>
  <c r="X305" i="1"/>
  <c r="P305" i="1"/>
  <c r="O305" i="1"/>
  <c r="N305" i="1"/>
  <c r="K305" i="1"/>
  <c r="U305" i="1" s="1"/>
  <c r="AL304" i="1"/>
  <c r="AC304" i="1"/>
  <c r="AB304" i="1"/>
  <c r="Z304" i="1"/>
  <c r="X304" i="1"/>
  <c r="R304" i="1"/>
  <c r="S304" i="1" s="1"/>
  <c r="P304" i="1"/>
  <c r="O304" i="1"/>
  <c r="N304" i="1"/>
  <c r="Q304" i="1" s="1"/>
  <c r="K304" i="1"/>
  <c r="AL303" i="1"/>
  <c r="AF303" i="1"/>
  <c r="AD303" i="1"/>
  <c r="AE303" i="1" s="1"/>
  <c r="AC303" i="1"/>
  <c r="AB303" i="1"/>
  <c r="Z303" i="1"/>
  <c r="X303" i="1"/>
  <c r="T303" i="1"/>
  <c r="P303" i="1"/>
  <c r="O303" i="1"/>
  <c r="N303" i="1"/>
  <c r="K303" i="1"/>
  <c r="U303" i="1" s="1"/>
  <c r="AL302" i="1"/>
  <c r="AC302" i="1"/>
  <c r="AB302" i="1"/>
  <c r="Z302" i="1"/>
  <c r="X302" i="1"/>
  <c r="P302" i="1"/>
  <c r="O302" i="1"/>
  <c r="N302" i="1"/>
  <c r="Q302" i="1" s="1"/>
  <c r="R302" i="1" s="1"/>
  <c r="S302" i="1" s="1"/>
  <c r="K302" i="1"/>
  <c r="AL301" i="1"/>
  <c r="AF301" i="1"/>
  <c r="AD301" i="1"/>
  <c r="AE301" i="1" s="1"/>
  <c r="AC301" i="1"/>
  <c r="AB301" i="1"/>
  <c r="Z301" i="1"/>
  <c r="X301" i="1"/>
  <c r="P301" i="1"/>
  <c r="O301" i="1"/>
  <c r="N301" i="1"/>
  <c r="K301" i="1"/>
  <c r="U301" i="1" s="1"/>
  <c r="AL300" i="1"/>
  <c r="AC300" i="1"/>
  <c r="AB300" i="1"/>
  <c r="Z300" i="1"/>
  <c r="X300" i="1"/>
  <c r="R300" i="1"/>
  <c r="S300" i="1" s="1"/>
  <c r="P300" i="1"/>
  <c r="O300" i="1"/>
  <c r="N300" i="1"/>
  <c r="Q300" i="1" s="1"/>
  <c r="K300" i="1"/>
  <c r="AL299" i="1"/>
  <c r="AF299" i="1"/>
  <c r="AD299" i="1"/>
  <c r="AE299" i="1" s="1"/>
  <c r="AC299" i="1"/>
  <c r="AB299" i="1"/>
  <c r="Z299" i="1"/>
  <c r="X299" i="1"/>
  <c r="T299" i="1"/>
  <c r="P299" i="1"/>
  <c r="O299" i="1"/>
  <c r="N299" i="1"/>
  <c r="K299" i="1"/>
  <c r="U299" i="1" s="1"/>
  <c r="AL298" i="1"/>
  <c r="AC298" i="1"/>
  <c r="AB298" i="1"/>
  <c r="Z298" i="1"/>
  <c r="X298" i="1"/>
  <c r="P298" i="1"/>
  <c r="O298" i="1"/>
  <c r="N298" i="1"/>
  <c r="Q298" i="1" s="1"/>
  <c r="R298" i="1" s="1"/>
  <c r="S298" i="1" s="1"/>
  <c r="K298" i="1"/>
  <c r="AL297" i="1"/>
  <c r="AF297" i="1"/>
  <c r="AD297" i="1"/>
  <c r="AE297" i="1" s="1"/>
  <c r="AC297" i="1"/>
  <c r="AB297" i="1"/>
  <c r="Z297" i="1"/>
  <c r="X297" i="1"/>
  <c r="P297" i="1"/>
  <c r="O297" i="1"/>
  <c r="N297" i="1"/>
  <c r="K297" i="1"/>
  <c r="U297" i="1" s="1"/>
  <c r="AL296" i="1"/>
  <c r="AC296" i="1"/>
  <c r="AB296" i="1"/>
  <c r="Z296" i="1"/>
  <c r="X296" i="1"/>
  <c r="R296" i="1"/>
  <c r="S296" i="1" s="1"/>
  <c r="P296" i="1"/>
  <c r="O296" i="1"/>
  <c r="N296" i="1"/>
  <c r="Q296" i="1" s="1"/>
  <c r="K296" i="1"/>
  <c r="AL295" i="1"/>
  <c r="AF295" i="1"/>
  <c r="AD295" i="1"/>
  <c r="AE295" i="1" s="1"/>
  <c r="AC295" i="1"/>
  <c r="AB295" i="1"/>
  <c r="Z295" i="1"/>
  <c r="X295" i="1"/>
  <c r="T295" i="1"/>
  <c r="P295" i="1"/>
  <c r="O295" i="1"/>
  <c r="N295" i="1"/>
  <c r="K295" i="1"/>
  <c r="U295" i="1" s="1"/>
  <c r="AL294" i="1"/>
  <c r="AC294" i="1"/>
  <c r="AB294" i="1"/>
  <c r="Z294" i="1"/>
  <c r="X294" i="1"/>
  <c r="P294" i="1"/>
  <c r="O294" i="1"/>
  <c r="N294" i="1"/>
  <c r="Q294" i="1" s="1"/>
  <c r="R294" i="1" s="1"/>
  <c r="S294" i="1" s="1"/>
  <c r="K294" i="1"/>
  <c r="AL293" i="1"/>
  <c r="AF293" i="1"/>
  <c r="AD293" i="1"/>
  <c r="AE293" i="1" s="1"/>
  <c r="AC293" i="1"/>
  <c r="AB293" i="1"/>
  <c r="Z293" i="1"/>
  <c r="X293" i="1"/>
  <c r="P293" i="1"/>
  <c r="O293" i="1"/>
  <c r="N293" i="1"/>
  <c r="K293" i="1"/>
  <c r="U293" i="1" s="1"/>
  <c r="AL292" i="1"/>
  <c r="AC292" i="1"/>
  <c r="AB292" i="1"/>
  <c r="Z292" i="1"/>
  <c r="X292" i="1"/>
  <c r="R292" i="1"/>
  <c r="S292" i="1" s="1"/>
  <c r="P292" i="1"/>
  <c r="O292" i="1"/>
  <c r="N292" i="1"/>
  <c r="Q292" i="1" s="1"/>
  <c r="K292" i="1"/>
  <c r="AL291" i="1"/>
  <c r="AF291" i="1"/>
  <c r="AE291" i="1"/>
  <c r="AD291" i="1"/>
  <c r="AC291" i="1"/>
  <c r="AB291" i="1"/>
  <c r="T291" i="1" s="1"/>
  <c r="Z291" i="1"/>
  <c r="X291" i="1"/>
  <c r="P291" i="1"/>
  <c r="O291" i="1"/>
  <c r="N291" i="1"/>
  <c r="Q291" i="1" s="1"/>
  <c r="R291" i="1" s="1"/>
  <c r="S291" i="1" s="1"/>
  <c r="K291" i="1"/>
  <c r="U291" i="1" s="1"/>
  <c r="AL290" i="1"/>
  <c r="AC290" i="1"/>
  <c r="AB290" i="1"/>
  <c r="Z290" i="1"/>
  <c r="X290" i="1"/>
  <c r="P290" i="1"/>
  <c r="O290" i="1"/>
  <c r="N290" i="1"/>
  <c r="K290" i="1"/>
  <c r="AL289" i="1"/>
  <c r="AC289" i="1"/>
  <c r="AB289" i="1"/>
  <c r="Z289" i="1"/>
  <c r="X289" i="1"/>
  <c r="P289" i="1"/>
  <c r="O289" i="1"/>
  <c r="N289" i="1"/>
  <c r="K289" i="1"/>
  <c r="AL288" i="1"/>
  <c r="AC288" i="1"/>
  <c r="AB288" i="1"/>
  <c r="Z288" i="1"/>
  <c r="X288" i="1"/>
  <c r="P288" i="1"/>
  <c r="O288" i="1"/>
  <c r="N288" i="1"/>
  <c r="Q288" i="1" s="1"/>
  <c r="R288" i="1" s="1"/>
  <c r="S288" i="1" s="1"/>
  <c r="K288" i="1"/>
  <c r="AL287" i="1"/>
  <c r="AF287" i="1"/>
  <c r="AD287" i="1"/>
  <c r="AE287" i="1" s="1"/>
  <c r="AC287" i="1"/>
  <c r="AB287" i="1"/>
  <c r="Z287" i="1"/>
  <c r="X287" i="1"/>
  <c r="P287" i="1"/>
  <c r="O287" i="1"/>
  <c r="N287" i="1"/>
  <c r="K287" i="1"/>
  <c r="U287" i="1" s="1"/>
  <c r="T287" i="1" s="1"/>
  <c r="AL286" i="1"/>
  <c r="AC286" i="1"/>
  <c r="AB286" i="1"/>
  <c r="Z286" i="1"/>
  <c r="X286" i="1"/>
  <c r="P286" i="1"/>
  <c r="O286" i="1"/>
  <c r="N286" i="1"/>
  <c r="K286" i="1"/>
  <c r="AL285" i="1"/>
  <c r="AF285" i="1"/>
  <c r="AE285" i="1"/>
  <c r="AD285" i="1"/>
  <c r="AC285" i="1"/>
  <c r="AB285" i="1"/>
  <c r="Z285" i="1"/>
  <c r="X285" i="1"/>
  <c r="T285" i="1"/>
  <c r="P285" i="1"/>
  <c r="O285" i="1"/>
  <c r="N285" i="1"/>
  <c r="K285" i="1"/>
  <c r="U285" i="1" s="1"/>
  <c r="AL284" i="1"/>
  <c r="AC284" i="1"/>
  <c r="AB284" i="1"/>
  <c r="Z284" i="1"/>
  <c r="X284" i="1"/>
  <c r="P284" i="1"/>
  <c r="O284" i="1"/>
  <c r="N284" i="1"/>
  <c r="K284" i="1"/>
  <c r="AL283" i="1"/>
  <c r="AF283" i="1"/>
  <c r="AE283" i="1"/>
  <c r="AD283" i="1"/>
  <c r="AC283" i="1"/>
  <c r="AB283" i="1"/>
  <c r="T283" i="1" s="1"/>
  <c r="Z283" i="1"/>
  <c r="X283" i="1"/>
  <c r="P283" i="1"/>
  <c r="O283" i="1"/>
  <c r="N283" i="1"/>
  <c r="Q283" i="1" s="1"/>
  <c r="R283" i="1" s="1"/>
  <c r="S283" i="1" s="1"/>
  <c r="K283" i="1"/>
  <c r="U283" i="1" s="1"/>
  <c r="AL282" i="1"/>
  <c r="AC282" i="1"/>
  <c r="AB282" i="1"/>
  <c r="Z282" i="1"/>
  <c r="X282" i="1"/>
  <c r="P282" i="1"/>
  <c r="O282" i="1"/>
  <c r="N282" i="1"/>
  <c r="K282" i="1"/>
  <c r="AL281" i="1"/>
  <c r="AF281" i="1"/>
  <c r="AC281" i="1"/>
  <c r="AB281" i="1"/>
  <c r="Z281" i="1"/>
  <c r="Y281" i="1"/>
  <c r="X281" i="1"/>
  <c r="P281" i="1"/>
  <c r="O281" i="1"/>
  <c r="N281" i="1"/>
  <c r="K281" i="1"/>
  <c r="U281" i="1" s="1"/>
  <c r="AH281" i="1" s="1"/>
  <c r="AL280" i="1"/>
  <c r="AC280" i="1"/>
  <c r="AB280" i="1"/>
  <c r="Z280" i="1"/>
  <c r="X280" i="1"/>
  <c r="P280" i="1"/>
  <c r="Q280" i="1" s="1"/>
  <c r="O280" i="1"/>
  <c r="N280" i="1"/>
  <c r="K280" i="1"/>
  <c r="AD280" i="1" s="1"/>
  <c r="AL279" i="1"/>
  <c r="AF279" i="1"/>
  <c r="AC279" i="1"/>
  <c r="AB279" i="1"/>
  <c r="Z279" i="1"/>
  <c r="Y279" i="1"/>
  <c r="X279" i="1"/>
  <c r="Q279" i="1"/>
  <c r="R279" i="1" s="1"/>
  <c r="S279" i="1" s="1"/>
  <c r="P279" i="1"/>
  <c r="O279" i="1"/>
  <c r="N279" i="1"/>
  <c r="K279" i="1"/>
  <c r="U279" i="1" s="1"/>
  <c r="AH279" i="1" s="1"/>
  <c r="AL278" i="1"/>
  <c r="AC278" i="1"/>
  <c r="AB278" i="1"/>
  <c r="Z278" i="1"/>
  <c r="X278" i="1"/>
  <c r="U278" i="1"/>
  <c r="P278" i="1"/>
  <c r="Q278" i="1" s="1"/>
  <c r="O278" i="1"/>
  <c r="N278" i="1"/>
  <c r="K278" i="1"/>
  <c r="AL277" i="1"/>
  <c r="AC277" i="1"/>
  <c r="AB277" i="1"/>
  <c r="Z277" i="1"/>
  <c r="X277" i="1"/>
  <c r="Q277" i="1"/>
  <c r="R277" i="1" s="1"/>
  <c r="S277" i="1" s="1"/>
  <c r="P277" i="1"/>
  <c r="O277" i="1"/>
  <c r="N277" i="1"/>
  <c r="K277" i="1"/>
  <c r="U277" i="1" s="1"/>
  <c r="AH277" i="1" s="1"/>
  <c r="AL276" i="1"/>
  <c r="AC276" i="1"/>
  <c r="AB276" i="1"/>
  <c r="Z276" i="1"/>
  <c r="X276" i="1"/>
  <c r="U276" i="1"/>
  <c r="P276" i="1"/>
  <c r="Q276" i="1" s="1"/>
  <c r="O276" i="1"/>
  <c r="N276" i="1"/>
  <c r="K276" i="1"/>
  <c r="AD276" i="1" s="1"/>
  <c r="AL275" i="1"/>
  <c r="AC275" i="1"/>
  <c r="AB275" i="1"/>
  <c r="Z275" i="1"/>
  <c r="X275" i="1"/>
  <c r="Q275" i="1"/>
  <c r="R275" i="1" s="1"/>
  <c r="S275" i="1" s="1"/>
  <c r="P275" i="1"/>
  <c r="O275" i="1"/>
  <c r="N275" i="1"/>
  <c r="K275" i="1"/>
  <c r="U275" i="1" s="1"/>
  <c r="AH275" i="1" s="1"/>
  <c r="AL274" i="1"/>
  <c r="AC274" i="1"/>
  <c r="AB274" i="1"/>
  <c r="Z274" i="1"/>
  <c r="X274" i="1"/>
  <c r="U274" i="1"/>
  <c r="P274" i="1"/>
  <c r="Q274" i="1" s="1"/>
  <c r="O274" i="1"/>
  <c r="N274" i="1"/>
  <c r="K274" i="1"/>
  <c r="AD274" i="1" s="1"/>
  <c r="AL273" i="1"/>
  <c r="AG273" i="1"/>
  <c r="AI273" i="1" s="1"/>
  <c r="AJ273" i="1" s="1"/>
  <c r="AC273" i="1"/>
  <c r="AB273" i="1"/>
  <c r="Z273" i="1"/>
  <c r="X273" i="1"/>
  <c r="Y273" i="1" s="1"/>
  <c r="Q273" i="1"/>
  <c r="R273" i="1" s="1"/>
  <c r="S273" i="1" s="1"/>
  <c r="P273" i="1"/>
  <c r="O273" i="1"/>
  <c r="N273" i="1"/>
  <c r="K273" i="1"/>
  <c r="U273" i="1" s="1"/>
  <c r="AH273" i="1" s="1"/>
  <c r="AL272" i="1"/>
  <c r="AC272" i="1"/>
  <c r="AB272" i="1"/>
  <c r="Z272" i="1"/>
  <c r="AE272" i="1" s="1"/>
  <c r="X272" i="1"/>
  <c r="P272" i="1"/>
  <c r="Q272" i="1" s="1"/>
  <c r="R272" i="1" s="1"/>
  <c r="S272" i="1" s="1"/>
  <c r="O272" i="1"/>
  <c r="N272" i="1"/>
  <c r="K272" i="1"/>
  <c r="AD272" i="1" s="1"/>
  <c r="AL271" i="1"/>
  <c r="AC271" i="1"/>
  <c r="AB271" i="1"/>
  <c r="Z271" i="1"/>
  <c r="X271" i="1"/>
  <c r="P271" i="1"/>
  <c r="O271" i="1"/>
  <c r="N271" i="1"/>
  <c r="Q271" i="1" s="1"/>
  <c r="R271" i="1" s="1"/>
  <c r="S271" i="1" s="1"/>
  <c r="K271" i="1"/>
  <c r="AD271" i="1" s="1"/>
  <c r="AE271" i="1" s="1"/>
  <c r="AL270" i="1"/>
  <c r="AD270" i="1"/>
  <c r="AC270" i="1"/>
  <c r="AB270" i="1"/>
  <c r="Z270" i="1"/>
  <c r="X270" i="1"/>
  <c r="P270" i="1"/>
  <c r="Q270" i="1" s="1"/>
  <c r="R270" i="1" s="1"/>
  <c r="S270" i="1" s="1"/>
  <c r="O270" i="1"/>
  <c r="N270" i="1"/>
  <c r="K270" i="1"/>
  <c r="AL269" i="1"/>
  <c r="AC269" i="1"/>
  <c r="AB269" i="1"/>
  <c r="Z269" i="1"/>
  <c r="X269" i="1"/>
  <c r="Q269" i="1"/>
  <c r="R269" i="1" s="1"/>
  <c r="S269" i="1" s="1"/>
  <c r="P269" i="1"/>
  <c r="O269" i="1"/>
  <c r="N269" i="1"/>
  <c r="K269" i="1"/>
  <c r="AL268" i="1"/>
  <c r="AG268" i="1"/>
  <c r="AF268" i="1"/>
  <c r="AE268" i="1"/>
  <c r="AC268" i="1"/>
  <c r="AB268" i="1"/>
  <c r="Z268" i="1"/>
  <c r="X268" i="1"/>
  <c r="Y268" i="1" s="1"/>
  <c r="U268" i="1"/>
  <c r="P268" i="1"/>
  <c r="O268" i="1"/>
  <c r="N268" i="1"/>
  <c r="K268" i="1"/>
  <c r="AD268" i="1" s="1"/>
  <c r="AL267" i="1"/>
  <c r="AC267" i="1"/>
  <c r="AB267" i="1"/>
  <c r="Z267" i="1"/>
  <c r="X267" i="1"/>
  <c r="Q267" i="1"/>
  <c r="R267" i="1" s="1"/>
  <c r="S267" i="1" s="1"/>
  <c r="P267" i="1"/>
  <c r="O267" i="1"/>
  <c r="N267" i="1"/>
  <c r="K267" i="1"/>
  <c r="AL266" i="1"/>
  <c r="AG266" i="1"/>
  <c r="AF266" i="1"/>
  <c r="AE266" i="1"/>
  <c r="AC266" i="1"/>
  <c r="AB266" i="1"/>
  <c r="Z266" i="1"/>
  <c r="Y266" i="1"/>
  <c r="X266" i="1"/>
  <c r="U266" i="1"/>
  <c r="Q266" i="1"/>
  <c r="R266" i="1" s="1"/>
  <c r="S266" i="1" s="1"/>
  <c r="P266" i="1"/>
  <c r="O266" i="1"/>
  <c r="N266" i="1"/>
  <c r="K266" i="1"/>
  <c r="AD266" i="1" s="1"/>
  <c r="AL265" i="1"/>
  <c r="AC265" i="1"/>
  <c r="AB265" i="1"/>
  <c r="Z265" i="1"/>
  <c r="X265" i="1"/>
  <c r="U265" i="1"/>
  <c r="Q265" i="1"/>
  <c r="P265" i="1"/>
  <c r="O265" i="1"/>
  <c r="N265" i="1"/>
  <c r="K265" i="1"/>
  <c r="AD265" i="1" s="1"/>
  <c r="AE265" i="1" s="1"/>
  <c r="AL264" i="1"/>
  <c r="AG264" i="1"/>
  <c r="AF264" i="1"/>
  <c r="AC264" i="1"/>
  <c r="AB264" i="1"/>
  <c r="Z264" i="1"/>
  <c r="Y264" i="1"/>
  <c r="X264" i="1"/>
  <c r="U264" i="1"/>
  <c r="Q264" i="1"/>
  <c r="R264" i="1" s="1"/>
  <c r="S264" i="1" s="1"/>
  <c r="P264" i="1"/>
  <c r="O264" i="1"/>
  <c r="N264" i="1"/>
  <c r="K264" i="1"/>
  <c r="AD264" i="1" s="1"/>
  <c r="AE264" i="1" s="1"/>
  <c r="AL263" i="1"/>
  <c r="AC263" i="1"/>
  <c r="AB263" i="1"/>
  <c r="Z263" i="1"/>
  <c r="X263" i="1"/>
  <c r="S263" i="1"/>
  <c r="Q263" i="1"/>
  <c r="R263" i="1" s="1"/>
  <c r="P263" i="1"/>
  <c r="O263" i="1"/>
  <c r="N263" i="1"/>
  <c r="K263" i="1"/>
  <c r="AL262" i="1"/>
  <c r="AG262" i="1"/>
  <c r="AF262" i="1"/>
  <c r="AE262" i="1"/>
  <c r="AC262" i="1"/>
  <c r="AB262" i="1"/>
  <c r="Z262" i="1"/>
  <c r="X262" i="1"/>
  <c r="Y262" i="1" s="1"/>
  <c r="U262" i="1"/>
  <c r="Q262" i="1"/>
  <c r="R262" i="1" s="1"/>
  <c r="S262" i="1" s="1"/>
  <c r="P262" i="1"/>
  <c r="O262" i="1"/>
  <c r="N262" i="1"/>
  <c r="K262" i="1"/>
  <c r="AD262" i="1" s="1"/>
  <c r="AL261" i="1"/>
  <c r="AC261" i="1"/>
  <c r="AB261" i="1"/>
  <c r="Z261" i="1"/>
  <c r="X261" i="1"/>
  <c r="P261" i="1"/>
  <c r="Q261" i="1" s="1"/>
  <c r="O261" i="1"/>
  <c r="N261" i="1"/>
  <c r="K261" i="1"/>
  <c r="AD261" i="1" s="1"/>
  <c r="AE261" i="1" s="1"/>
  <c r="AL260" i="1"/>
  <c r="AC260" i="1"/>
  <c r="AB260" i="1"/>
  <c r="Z260" i="1"/>
  <c r="X260" i="1"/>
  <c r="Q260" i="1"/>
  <c r="R260" i="1" s="1"/>
  <c r="S260" i="1" s="1"/>
  <c r="P260" i="1"/>
  <c r="O260" i="1"/>
  <c r="N260" i="1"/>
  <c r="K260" i="1"/>
  <c r="U260" i="1" s="1"/>
  <c r="AL259" i="1"/>
  <c r="AC259" i="1"/>
  <c r="AB259" i="1"/>
  <c r="Z259" i="1"/>
  <c r="X259" i="1"/>
  <c r="Q259" i="1"/>
  <c r="R259" i="1" s="1"/>
  <c r="S259" i="1" s="1"/>
  <c r="P259" i="1"/>
  <c r="O259" i="1"/>
  <c r="N259" i="1"/>
  <c r="K259" i="1"/>
  <c r="AD259" i="1" s="1"/>
  <c r="AE259" i="1" s="1"/>
  <c r="AL258" i="1"/>
  <c r="AF258" i="1"/>
  <c r="AC258" i="1"/>
  <c r="AB258" i="1"/>
  <c r="Z258" i="1"/>
  <c r="X258" i="1"/>
  <c r="U258" i="1"/>
  <c r="T258" i="1" s="1"/>
  <c r="Q258" i="1"/>
  <c r="R258" i="1" s="1"/>
  <c r="S258" i="1" s="1"/>
  <c r="P258" i="1"/>
  <c r="O258" i="1"/>
  <c r="N258" i="1"/>
  <c r="K258" i="1"/>
  <c r="AL257" i="1"/>
  <c r="AC257" i="1"/>
  <c r="AB257" i="1"/>
  <c r="Z257" i="1"/>
  <c r="X257" i="1"/>
  <c r="P257" i="1"/>
  <c r="Q257" i="1" s="1"/>
  <c r="R257" i="1" s="1"/>
  <c r="S257" i="1" s="1"/>
  <c r="O257" i="1"/>
  <c r="N257" i="1"/>
  <c r="K257" i="1"/>
  <c r="AL256" i="1"/>
  <c r="AC256" i="1"/>
  <c r="AB256" i="1"/>
  <c r="Z256" i="1"/>
  <c r="X256" i="1"/>
  <c r="P256" i="1"/>
  <c r="O256" i="1"/>
  <c r="Q256" i="1" s="1"/>
  <c r="R256" i="1" s="1"/>
  <c r="S256" i="1" s="1"/>
  <c r="N256" i="1"/>
  <c r="K256" i="1"/>
  <c r="AL255" i="1"/>
  <c r="AC255" i="1"/>
  <c r="AB255" i="1"/>
  <c r="Z255" i="1"/>
  <c r="X255" i="1"/>
  <c r="Q255" i="1"/>
  <c r="R255" i="1" s="1"/>
  <c r="S255" i="1" s="1"/>
  <c r="P255" i="1"/>
  <c r="O255" i="1"/>
  <c r="N255" i="1"/>
  <c r="K255" i="1"/>
  <c r="AL254" i="1"/>
  <c r="AC254" i="1"/>
  <c r="AB254" i="1"/>
  <c r="Z254" i="1"/>
  <c r="Y254" i="1"/>
  <c r="X254" i="1"/>
  <c r="U254" i="1"/>
  <c r="T254" i="1"/>
  <c r="P254" i="1"/>
  <c r="O254" i="1"/>
  <c r="Q254" i="1" s="1"/>
  <c r="R254" i="1" s="1"/>
  <c r="S254" i="1" s="1"/>
  <c r="N254" i="1"/>
  <c r="K254" i="1"/>
  <c r="AL253" i="1"/>
  <c r="AC253" i="1"/>
  <c r="AB253" i="1"/>
  <c r="Z253" i="1"/>
  <c r="X253" i="1"/>
  <c r="P253" i="1"/>
  <c r="Q253" i="1" s="1"/>
  <c r="O253" i="1"/>
  <c r="N253" i="1"/>
  <c r="K253" i="1"/>
  <c r="AL252" i="1"/>
  <c r="AC252" i="1"/>
  <c r="AB252" i="1"/>
  <c r="Z252" i="1"/>
  <c r="X252" i="1"/>
  <c r="U252" i="1"/>
  <c r="P252" i="1"/>
  <c r="O252" i="1"/>
  <c r="Q252" i="1" s="1"/>
  <c r="N252" i="1"/>
  <c r="K252" i="1"/>
  <c r="AD252" i="1" s="1"/>
  <c r="AE252" i="1" s="1"/>
  <c r="AL251" i="1"/>
  <c r="AE251" i="1"/>
  <c r="AC251" i="1"/>
  <c r="AB251" i="1"/>
  <c r="Z251" i="1"/>
  <c r="X251" i="1"/>
  <c r="U251" i="1"/>
  <c r="T251" i="1" s="1"/>
  <c r="P251" i="1"/>
  <c r="O251" i="1"/>
  <c r="Q251" i="1" s="1"/>
  <c r="R251" i="1" s="1"/>
  <c r="S251" i="1" s="1"/>
  <c r="N251" i="1"/>
  <c r="K251" i="1"/>
  <c r="AD251" i="1" s="1"/>
  <c r="AL250" i="1"/>
  <c r="AE250" i="1"/>
  <c r="AC250" i="1"/>
  <c r="AB250" i="1"/>
  <c r="Z250" i="1"/>
  <c r="X250" i="1"/>
  <c r="P250" i="1"/>
  <c r="O250" i="1"/>
  <c r="Q250" i="1" s="1"/>
  <c r="R250" i="1" s="1"/>
  <c r="S250" i="1" s="1"/>
  <c r="N250" i="1"/>
  <c r="K250" i="1"/>
  <c r="AD250" i="1" s="1"/>
  <c r="AL249" i="1"/>
  <c r="AC249" i="1"/>
  <c r="AB249" i="1"/>
  <c r="Z249" i="1"/>
  <c r="X249" i="1"/>
  <c r="U249" i="1"/>
  <c r="T249" i="1"/>
  <c r="P249" i="1"/>
  <c r="O249" i="1"/>
  <c r="Q249" i="1" s="1"/>
  <c r="N249" i="1"/>
  <c r="K249" i="1"/>
  <c r="AL248" i="1"/>
  <c r="AC248" i="1"/>
  <c r="AB248" i="1"/>
  <c r="Z248" i="1"/>
  <c r="X248" i="1"/>
  <c r="U248" i="1"/>
  <c r="T248" i="1"/>
  <c r="P248" i="1"/>
  <c r="O248" i="1"/>
  <c r="Q248" i="1" s="1"/>
  <c r="R248" i="1" s="1"/>
  <c r="S248" i="1" s="1"/>
  <c r="N248" i="1"/>
  <c r="K248" i="1"/>
  <c r="AL247" i="1"/>
  <c r="AC247" i="1"/>
  <c r="AB247" i="1"/>
  <c r="Z247" i="1"/>
  <c r="X247" i="1"/>
  <c r="P247" i="1"/>
  <c r="O247" i="1"/>
  <c r="Q247" i="1" s="1"/>
  <c r="R247" i="1" s="1"/>
  <c r="S247" i="1" s="1"/>
  <c r="N247" i="1"/>
  <c r="K247" i="1"/>
  <c r="AL246" i="1"/>
  <c r="AC246" i="1"/>
  <c r="AB246" i="1"/>
  <c r="Z246" i="1"/>
  <c r="X246" i="1"/>
  <c r="P246" i="1"/>
  <c r="O246" i="1"/>
  <c r="Q246" i="1" s="1"/>
  <c r="N246" i="1"/>
  <c r="K246" i="1"/>
  <c r="AD246" i="1" s="1"/>
  <c r="AE246" i="1" s="1"/>
  <c r="AL245" i="1"/>
  <c r="AC245" i="1"/>
  <c r="AB245" i="1"/>
  <c r="Z245" i="1"/>
  <c r="X245" i="1"/>
  <c r="P245" i="1"/>
  <c r="O245" i="1"/>
  <c r="Q245" i="1" s="1"/>
  <c r="N245" i="1"/>
  <c r="K245" i="1"/>
  <c r="AL244" i="1"/>
  <c r="AC244" i="1"/>
  <c r="AB244" i="1"/>
  <c r="Z244" i="1"/>
  <c r="X244" i="1"/>
  <c r="P244" i="1"/>
  <c r="O244" i="1"/>
  <c r="Q244" i="1" s="1"/>
  <c r="R244" i="1" s="1"/>
  <c r="S244" i="1" s="1"/>
  <c r="N244" i="1"/>
  <c r="K244" i="1"/>
  <c r="AL243" i="1"/>
  <c r="AC243" i="1"/>
  <c r="AB243" i="1"/>
  <c r="Z243" i="1"/>
  <c r="X243" i="1"/>
  <c r="U243" i="1"/>
  <c r="T243" i="1"/>
  <c r="P243" i="1"/>
  <c r="O243" i="1"/>
  <c r="Q243" i="1" s="1"/>
  <c r="N243" i="1"/>
  <c r="K243" i="1"/>
  <c r="AL242" i="1"/>
  <c r="AE242" i="1"/>
  <c r="AC242" i="1"/>
  <c r="AB242" i="1"/>
  <c r="Z242" i="1"/>
  <c r="X242" i="1"/>
  <c r="U242" i="1"/>
  <c r="T242" i="1" s="1"/>
  <c r="P242" i="1"/>
  <c r="O242" i="1"/>
  <c r="Q242" i="1" s="1"/>
  <c r="R242" i="1" s="1"/>
  <c r="S242" i="1" s="1"/>
  <c r="N242" i="1"/>
  <c r="K242" i="1"/>
  <c r="AD242" i="1" s="1"/>
  <c r="AL241" i="1"/>
  <c r="AC241" i="1"/>
  <c r="AB241" i="1"/>
  <c r="Z241" i="1"/>
  <c r="X241" i="1"/>
  <c r="P241" i="1"/>
  <c r="O241" i="1"/>
  <c r="Q241" i="1" s="1"/>
  <c r="N241" i="1"/>
  <c r="K241" i="1"/>
  <c r="AL240" i="1"/>
  <c r="AC240" i="1"/>
  <c r="AB240" i="1"/>
  <c r="Z240" i="1"/>
  <c r="X240" i="1"/>
  <c r="P240" i="1"/>
  <c r="O240" i="1"/>
  <c r="Q240" i="1" s="1"/>
  <c r="R240" i="1" s="1"/>
  <c r="S240" i="1" s="1"/>
  <c r="N240" i="1"/>
  <c r="K240" i="1"/>
  <c r="AL239" i="1"/>
  <c r="AC239" i="1"/>
  <c r="AB239" i="1"/>
  <c r="Z239" i="1"/>
  <c r="X239" i="1"/>
  <c r="P239" i="1"/>
  <c r="O239" i="1"/>
  <c r="Q239" i="1" s="1"/>
  <c r="N239" i="1"/>
  <c r="K239" i="1"/>
  <c r="AD239" i="1" s="1"/>
  <c r="AE239" i="1" s="1"/>
  <c r="AL238" i="1"/>
  <c r="AE238" i="1"/>
  <c r="AC238" i="1"/>
  <c r="AB238" i="1"/>
  <c r="Z238" i="1"/>
  <c r="X238" i="1"/>
  <c r="U238" i="1"/>
  <c r="T238" i="1" s="1"/>
  <c r="P238" i="1"/>
  <c r="O238" i="1"/>
  <c r="Q238" i="1" s="1"/>
  <c r="R238" i="1" s="1"/>
  <c r="S238" i="1" s="1"/>
  <c r="N238" i="1"/>
  <c r="K238" i="1"/>
  <c r="AD238" i="1" s="1"/>
  <c r="AL237" i="1"/>
  <c r="AC237" i="1"/>
  <c r="AB237" i="1"/>
  <c r="Z237" i="1"/>
  <c r="X237" i="1"/>
  <c r="P237" i="1"/>
  <c r="O237" i="1"/>
  <c r="Q237" i="1" s="1"/>
  <c r="N237" i="1"/>
  <c r="K237" i="1"/>
  <c r="AL236" i="1"/>
  <c r="AC236" i="1"/>
  <c r="AB236" i="1"/>
  <c r="Z236" i="1"/>
  <c r="X236" i="1"/>
  <c r="P236" i="1"/>
  <c r="O236" i="1"/>
  <c r="Q236" i="1" s="1"/>
  <c r="R236" i="1" s="1"/>
  <c r="S236" i="1" s="1"/>
  <c r="N236" i="1"/>
  <c r="K236" i="1"/>
  <c r="AL235" i="1"/>
  <c r="AC235" i="1"/>
  <c r="AB235" i="1"/>
  <c r="Z235" i="1"/>
  <c r="X235" i="1"/>
  <c r="P235" i="1"/>
  <c r="O235" i="1"/>
  <c r="Q235" i="1" s="1"/>
  <c r="N235" i="1"/>
  <c r="K235" i="1"/>
  <c r="AD235" i="1" s="1"/>
  <c r="AE235" i="1" s="1"/>
  <c r="AL234" i="1"/>
  <c r="AC234" i="1"/>
  <c r="AB234" i="1"/>
  <c r="Z234" i="1"/>
  <c r="X234" i="1"/>
  <c r="P234" i="1"/>
  <c r="O234" i="1"/>
  <c r="Q234" i="1" s="1"/>
  <c r="N234" i="1"/>
  <c r="K234" i="1"/>
  <c r="AD234" i="1" s="1"/>
  <c r="AE234" i="1" s="1"/>
  <c r="AL233" i="1"/>
  <c r="AC233" i="1"/>
  <c r="AB233" i="1"/>
  <c r="Z233" i="1"/>
  <c r="X233" i="1"/>
  <c r="P233" i="1"/>
  <c r="O233" i="1"/>
  <c r="Q233" i="1" s="1"/>
  <c r="N233" i="1"/>
  <c r="K233" i="1"/>
  <c r="AD233" i="1" s="1"/>
  <c r="AE233" i="1" s="1"/>
  <c r="AL232" i="1"/>
  <c r="AC232" i="1"/>
  <c r="AB232" i="1"/>
  <c r="Z232" i="1"/>
  <c r="X232" i="1"/>
  <c r="P232" i="1"/>
  <c r="O232" i="1"/>
  <c r="Q232" i="1" s="1"/>
  <c r="N232" i="1"/>
  <c r="K232" i="1"/>
  <c r="AD232" i="1" s="1"/>
  <c r="AE232" i="1" s="1"/>
  <c r="AL231" i="1"/>
  <c r="AC231" i="1"/>
  <c r="AB231" i="1"/>
  <c r="Z231" i="1"/>
  <c r="X231" i="1"/>
  <c r="P231" i="1"/>
  <c r="O231" i="1"/>
  <c r="Q231" i="1" s="1"/>
  <c r="N231" i="1"/>
  <c r="K231" i="1"/>
  <c r="AD231" i="1" s="1"/>
  <c r="AE231" i="1" s="1"/>
  <c r="AL230" i="1"/>
  <c r="AC230" i="1"/>
  <c r="AB230" i="1"/>
  <c r="Z230" i="1"/>
  <c r="X230" i="1"/>
  <c r="P230" i="1"/>
  <c r="O230" i="1"/>
  <c r="Q230" i="1" s="1"/>
  <c r="N230" i="1"/>
  <c r="K230" i="1"/>
  <c r="AD230" i="1" s="1"/>
  <c r="AE230" i="1" s="1"/>
  <c r="AL229" i="1"/>
  <c r="AC229" i="1"/>
  <c r="AB229" i="1"/>
  <c r="Z229" i="1"/>
  <c r="X229" i="1"/>
  <c r="P229" i="1"/>
  <c r="O229" i="1"/>
  <c r="Q229" i="1" s="1"/>
  <c r="N229" i="1"/>
  <c r="K229" i="1"/>
  <c r="AD229" i="1" s="1"/>
  <c r="AE229" i="1" s="1"/>
  <c r="AL228" i="1"/>
  <c r="AC228" i="1"/>
  <c r="AB228" i="1"/>
  <c r="Z228" i="1"/>
  <c r="X228" i="1"/>
  <c r="T228" i="1"/>
  <c r="P228" i="1"/>
  <c r="O228" i="1"/>
  <c r="Q228" i="1" s="1"/>
  <c r="N228" i="1"/>
  <c r="K228" i="1"/>
  <c r="U228" i="1" s="1"/>
  <c r="AL227" i="1"/>
  <c r="AC227" i="1"/>
  <c r="AB227" i="1"/>
  <c r="Z227" i="1"/>
  <c r="X227" i="1"/>
  <c r="U227" i="1"/>
  <c r="P227" i="1"/>
  <c r="O227" i="1"/>
  <c r="Q227" i="1" s="1"/>
  <c r="N227" i="1"/>
  <c r="K227" i="1"/>
  <c r="AD227" i="1" s="1"/>
  <c r="AE227" i="1" s="1"/>
  <c r="AL226" i="1"/>
  <c r="AC226" i="1"/>
  <c r="AB226" i="1"/>
  <c r="Z226" i="1"/>
  <c r="X226" i="1"/>
  <c r="P226" i="1"/>
  <c r="O226" i="1"/>
  <c r="Q226" i="1" s="1"/>
  <c r="N226" i="1"/>
  <c r="K226" i="1"/>
  <c r="AD226" i="1" s="1"/>
  <c r="AE226" i="1" s="1"/>
  <c r="AL225" i="1"/>
  <c r="AC225" i="1"/>
  <c r="AB225" i="1"/>
  <c r="Z225" i="1"/>
  <c r="X225" i="1"/>
  <c r="P225" i="1"/>
  <c r="O225" i="1"/>
  <c r="Q225" i="1" s="1"/>
  <c r="N225" i="1"/>
  <c r="K225" i="1"/>
  <c r="AL224" i="1"/>
  <c r="AG224" i="1"/>
  <c r="AC224" i="1"/>
  <c r="AB224" i="1"/>
  <c r="T224" i="1" s="1"/>
  <c r="Z224" i="1"/>
  <c r="X224" i="1"/>
  <c r="U224" i="1"/>
  <c r="P224" i="1"/>
  <c r="O224" i="1"/>
  <c r="Q224" i="1" s="1"/>
  <c r="R224" i="1" s="1"/>
  <c r="S224" i="1" s="1"/>
  <c r="N224" i="1"/>
  <c r="K224" i="1"/>
  <c r="AL223" i="1"/>
  <c r="AC223" i="1"/>
  <c r="AB223" i="1"/>
  <c r="Z223" i="1"/>
  <c r="Y223" i="1"/>
  <c r="X223" i="1"/>
  <c r="U223" i="1"/>
  <c r="AG223" i="1" s="1"/>
  <c r="P223" i="1"/>
  <c r="O223" i="1"/>
  <c r="Q223" i="1" s="1"/>
  <c r="R223" i="1" s="1"/>
  <c r="S223" i="1" s="1"/>
  <c r="N223" i="1"/>
  <c r="K223" i="1"/>
  <c r="AL222" i="1"/>
  <c r="AD222" i="1"/>
  <c r="AE222" i="1" s="1"/>
  <c r="AC222" i="1"/>
  <c r="AB222" i="1"/>
  <c r="Z222" i="1"/>
  <c r="X222" i="1"/>
  <c r="P222" i="1"/>
  <c r="O222" i="1"/>
  <c r="N222" i="1"/>
  <c r="Q222" i="1" s="1"/>
  <c r="R222" i="1" s="1"/>
  <c r="S222" i="1" s="1"/>
  <c r="K222" i="1"/>
  <c r="U222" i="1" s="1"/>
  <c r="AL221" i="1"/>
  <c r="AC221" i="1"/>
  <c r="AB221" i="1"/>
  <c r="Z221" i="1"/>
  <c r="X221" i="1"/>
  <c r="P221" i="1"/>
  <c r="O221" i="1"/>
  <c r="Q221" i="1" s="1"/>
  <c r="R221" i="1" s="1"/>
  <c r="S221" i="1" s="1"/>
  <c r="N221" i="1"/>
  <c r="K221" i="1"/>
  <c r="AL220" i="1"/>
  <c r="AD220" i="1"/>
  <c r="AE220" i="1" s="1"/>
  <c r="AC220" i="1"/>
  <c r="AB220" i="1"/>
  <c r="Z220" i="1"/>
  <c r="X220" i="1"/>
  <c r="T220" i="1"/>
  <c r="Q220" i="1"/>
  <c r="R220" i="1" s="1"/>
  <c r="S220" i="1" s="1"/>
  <c r="P220" i="1"/>
  <c r="O220" i="1"/>
  <c r="N220" i="1"/>
  <c r="K220" i="1"/>
  <c r="U220" i="1" s="1"/>
  <c r="AL219" i="1"/>
  <c r="AC219" i="1"/>
  <c r="AB219" i="1"/>
  <c r="Z219" i="1"/>
  <c r="X219" i="1"/>
  <c r="P219" i="1"/>
  <c r="O219" i="1"/>
  <c r="N219" i="1"/>
  <c r="K219" i="1"/>
  <c r="U219" i="1" s="1"/>
  <c r="AL218" i="1"/>
  <c r="AE218" i="1"/>
  <c r="AD218" i="1"/>
  <c r="AC218" i="1"/>
  <c r="AB218" i="1"/>
  <c r="Z218" i="1"/>
  <c r="X218" i="1"/>
  <c r="Q218" i="1"/>
  <c r="R218" i="1" s="1"/>
  <c r="S218" i="1" s="1"/>
  <c r="P218" i="1"/>
  <c r="O218" i="1"/>
  <c r="N218" i="1"/>
  <c r="K218" i="1"/>
  <c r="U218" i="1" s="1"/>
  <c r="AL217" i="1"/>
  <c r="AC217" i="1"/>
  <c r="AB217" i="1"/>
  <c r="Z217" i="1"/>
  <c r="X217" i="1"/>
  <c r="P217" i="1"/>
  <c r="O217" i="1"/>
  <c r="N217" i="1"/>
  <c r="Q217" i="1" s="1"/>
  <c r="R217" i="1" s="1"/>
  <c r="S217" i="1" s="1"/>
  <c r="K217" i="1"/>
  <c r="AD217" i="1" s="1"/>
  <c r="AL216" i="1"/>
  <c r="AC216" i="1"/>
  <c r="AB216" i="1"/>
  <c r="Z216" i="1"/>
  <c r="X216" i="1"/>
  <c r="U216" i="1"/>
  <c r="AF216" i="1" s="1"/>
  <c r="P216" i="1"/>
  <c r="O216" i="1"/>
  <c r="N216" i="1"/>
  <c r="Q216" i="1" s="1"/>
  <c r="R216" i="1" s="1"/>
  <c r="S216" i="1" s="1"/>
  <c r="K216" i="1"/>
  <c r="AD216" i="1" s="1"/>
  <c r="AL215" i="1"/>
  <c r="AC215" i="1"/>
  <c r="AB215" i="1"/>
  <c r="Z215" i="1"/>
  <c r="X215" i="1"/>
  <c r="P215" i="1"/>
  <c r="O215" i="1"/>
  <c r="N215" i="1"/>
  <c r="Q215" i="1" s="1"/>
  <c r="R215" i="1" s="1"/>
  <c r="S215" i="1" s="1"/>
  <c r="K215" i="1"/>
  <c r="U215" i="1" s="1"/>
  <c r="AL214" i="1"/>
  <c r="AC214" i="1"/>
  <c r="AB214" i="1"/>
  <c r="Z214" i="1"/>
  <c r="X214" i="1"/>
  <c r="P214" i="1"/>
  <c r="O214" i="1"/>
  <c r="N214" i="1"/>
  <c r="K214" i="1"/>
  <c r="U214" i="1" s="1"/>
  <c r="AL213" i="1"/>
  <c r="AC213" i="1"/>
  <c r="AB213" i="1"/>
  <c r="Z213" i="1"/>
  <c r="X213" i="1"/>
  <c r="P213" i="1"/>
  <c r="O213" i="1"/>
  <c r="N213" i="1"/>
  <c r="K213" i="1"/>
  <c r="U213" i="1" s="1"/>
  <c r="AL212" i="1"/>
  <c r="AC212" i="1"/>
  <c r="AB212" i="1"/>
  <c r="Z212" i="1"/>
  <c r="X212" i="1"/>
  <c r="U212" i="1"/>
  <c r="P212" i="1"/>
  <c r="O212" i="1"/>
  <c r="N212" i="1"/>
  <c r="Q212" i="1" s="1"/>
  <c r="K212" i="1"/>
  <c r="AD212" i="1" s="1"/>
  <c r="AL211" i="1"/>
  <c r="AC211" i="1"/>
  <c r="AB211" i="1"/>
  <c r="Z211" i="1"/>
  <c r="X211" i="1"/>
  <c r="P211" i="1"/>
  <c r="O211" i="1"/>
  <c r="N211" i="1"/>
  <c r="Q211" i="1" s="1"/>
  <c r="K211" i="1"/>
  <c r="AL210" i="1"/>
  <c r="AC210" i="1"/>
  <c r="AB210" i="1"/>
  <c r="Z210" i="1"/>
  <c r="X210" i="1"/>
  <c r="P210" i="1"/>
  <c r="O210" i="1"/>
  <c r="N210" i="1"/>
  <c r="K210" i="1"/>
  <c r="AL209" i="1"/>
  <c r="AC209" i="1"/>
  <c r="AB209" i="1"/>
  <c r="Z209" i="1"/>
  <c r="X209" i="1"/>
  <c r="P209" i="1"/>
  <c r="O209" i="1"/>
  <c r="N209" i="1"/>
  <c r="Q209" i="1" s="1"/>
  <c r="R209" i="1" s="1"/>
  <c r="S209" i="1" s="1"/>
  <c r="K209" i="1"/>
  <c r="AL208" i="1"/>
  <c r="AH208" i="1"/>
  <c r="AC208" i="1"/>
  <c r="AB208" i="1"/>
  <c r="Z208" i="1"/>
  <c r="X208" i="1"/>
  <c r="P208" i="1"/>
  <c r="O208" i="1"/>
  <c r="N208" i="1"/>
  <c r="Q208" i="1" s="1"/>
  <c r="R208" i="1" s="1"/>
  <c r="S208" i="1" s="1"/>
  <c r="K208" i="1"/>
  <c r="U208" i="1" s="1"/>
  <c r="AL207" i="1"/>
  <c r="AC207" i="1"/>
  <c r="AB207" i="1"/>
  <c r="Z207" i="1"/>
  <c r="X207" i="1"/>
  <c r="P207" i="1"/>
  <c r="O207" i="1"/>
  <c r="N207" i="1"/>
  <c r="K207" i="1"/>
  <c r="AL206" i="1"/>
  <c r="AC206" i="1"/>
  <c r="AB206" i="1"/>
  <c r="Z206" i="1"/>
  <c r="X206" i="1"/>
  <c r="P206" i="1"/>
  <c r="O206" i="1"/>
  <c r="N206" i="1"/>
  <c r="K206" i="1"/>
  <c r="U206" i="1" s="1"/>
  <c r="AL205" i="1"/>
  <c r="AC205" i="1"/>
  <c r="AB205" i="1"/>
  <c r="Z205" i="1"/>
  <c r="X205" i="1"/>
  <c r="P205" i="1"/>
  <c r="O205" i="1"/>
  <c r="N205" i="1"/>
  <c r="Q205" i="1" s="1"/>
  <c r="K205" i="1"/>
  <c r="AL204" i="1"/>
  <c r="AC204" i="1"/>
  <c r="AB204" i="1"/>
  <c r="Z204" i="1"/>
  <c r="X204" i="1"/>
  <c r="P204" i="1"/>
  <c r="O204" i="1"/>
  <c r="N204" i="1"/>
  <c r="K204" i="1"/>
  <c r="AL203" i="1"/>
  <c r="AF203" i="1"/>
  <c r="AC203" i="1"/>
  <c r="AB203" i="1"/>
  <c r="Z203" i="1"/>
  <c r="X203" i="1"/>
  <c r="T203" i="1"/>
  <c r="P203" i="1"/>
  <c r="O203" i="1"/>
  <c r="N203" i="1"/>
  <c r="Q203" i="1" s="1"/>
  <c r="R203" i="1" s="1"/>
  <c r="S203" i="1" s="1"/>
  <c r="K203" i="1"/>
  <c r="U203" i="1" s="1"/>
  <c r="AL202" i="1"/>
  <c r="AC202" i="1"/>
  <c r="AB202" i="1"/>
  <c r="Z202" i="1"/>
  <c r="X202" i="1"/>
  <c r="P202" i="1"/>
  <c r="O202" i="1"/>
  <c r="N202" i="1"/>
  <c r="K202" i="1"/>
  <c r="AL201" i="1"/>
  <c r="AC201" i="1"/>
  <c r="AB201" i="1"/>
  <c r="Z201" i="1"/>
  <c r="X201" i="1"/>
  <c r="P201" i="1"/>
  <c r="O201" i="1"/>
  <c r="N201" i="1"/>
  <c r="Q201" i="1" s="1"/>
  <c r="R201" i="1" s="1"/>
  <c r="S201" i="1" s="1"/>
  <c r="K201" i="1"/>
  <c r="AL200" i="1"/>
  <c r="AC200" i="1"/>
  <c r="AB200" i="1"/>
  <c r="Z200" i="1"/>
  <c r="X200" i="1"/>
  <c r="P200" i="1"/>
  <c r="O200" i="1"/>
  <c r="N200" i="1"/>
  <c r="K200" i="1"/>
  <c r="AL199" i="1"/>
  <c r="AF199" i="1"/>
  <c r="AC199" i="1"/>
  <c r="AB199" i="1"/>
  <c r="Z199" i="1"/>
  <c r="X199" i="1"/>
  <c r="T199" i="1"/>
  <c r="P199" i="1"/>
  <c r="O199" i="1"/>
  <c r="N199" i="1"/>
  <c r="Q199" i="1" s="1"/>
  <c r="R199" i="1" s="1"/>
  <c r="S199" i="1" s="1"/>
  <c r="K199" i="1"/>
  <c r="U199" i="1" s="1"/>
  <c r="AL198" i="1"/>
  <c r="AC198" i="1"/>
  <c r="AB198" i="1"/>
  <c r="Z198" i="1"/>
  <c r="X198" i="1"/>
  <c r="P198" i="1"/>
  <c r="O198" i="1"/>
  <c r="N198" i="1"/>
  <c r="K198" i="1"/>
  <c r="AL197" i="1"/>
  <c r="AC197" i="1"/>
  <c r="AB197" i="1"/>
  <c r="Z197" i="1"/>
  <c r="X197" i="1"/>
  <c r="P197" i="1"/>
  <c r="O197" i="1"/>
  <c r="N197" i="1"/>
  <c r="Q197" i="1" s="1"/>
  <c r="K197" i="1"/>
  <c r="AL196" i="1"/>
  <c r="AC196" i="1"/>
  <c r="AB196" i="1"/>
  <c r="Z196" i="1"/>
  <c r="X196" i="1"/>
  <c r="P196" i="1"/>
  <c r="O196" i="1"/>
  <c r="N196" i="1"/>
  <c r="K196" i="1"/>
  <c r="AL195" i="1"/>
  <c r="AF195" i="1"/>
  <c r="AC195" i="1"/>
  <c r="AB195" i="1"/>
  <c r="Z195" i="1"/>
  <c r="X195" i="1"/>
  <c r="T195" i="1"/>
  <c r="P195" i="1"/>
  <c r="O195" i="1"/>
  <c r="N195" i="1"/>
  <c r="Q195" i="1" s="1"/>
  <c r="R195" i="1" s="1"/>
  <c r="S195" i="1" s="1"/>
  <c r="K195" i="1"/>
  <c r="U195" i="1" s="1"/>
  <c r="AL194" i="1"/>
  <c r="AC194" i="1"/>
  <c r="AB194" i="1"/>
  <c r="Z194" i="1"/>
  <c r="X194" i="1"/>
  <c r="P194" i="1"/>
  <c r="O194" i="1"/>
  <c r="N194" i="1"/>
  <c r="K194" i="1"/>
  <c r="AL193" i="1"/>
  <c r="AC193" i="1"/>
  <c r="AB193" i="1"/>
  <c r="Z193" i="1"/>
  <c r="X193" i="1"/>
  <c r="P193" i="1"/>
  <c r="O193" i="1"/>
  <c r="N193" i="1"/>
  <c r="Q193" i="1" s="1"/>
  <c r="K193" i="1"/>
  <c r="AL192" i="1"/>
  <c r="AC192" i="1"/>
  <c r="AB192" i="1"/>
  <c r="Z192" i="1"/>
  <c r="X192" i="1"/>
  <c r="P192" i="1"/>
  <c r="O192" i="1"/>
  <c r="N192" i="1"/>
  <c r="K192" i="1"/>
  <c r="AL191" i="1"/>
  <c r="AH191" i="1"/>
  <c r="AD191" i="1"/>
  <c r="AC191" i="1"/>
  <c r="AB191" i="1"/>
  <c r="Z191" i="1"/>
  <c r="X191" i="1"/>
  <c r="T191" i="1"/>
  <c r="P191" i="1"/>
  <c r="O191" i="1"/>
  <c r="N191" i="1"/>
  <c r="K191" i="1"/>
  <c r="U191" i="1" s="1"/>
  <c r="AL190" i="1"/>
  <c r="AH190" i="1"/>
  <c r="AD190" i="1"/>
  <c r="AC190" i="1"/>
  <c r="AB190" i="1"/>
  <c r="Z190" i="1"/>
  <c r="X190" i="1"/>
  <c r="T190" i="1"/>
  <c r="P190" i="1"/>
  <c r="O190" i="1"/>
  <c r="N190" i="1"/>
  <c r="K190" i="1"/>
  <c r="U190" i="1" s="1"/>
  <c r="AL189" i="1"/>
  <c r="AH189" i="1"/>
  <c r="AD189" i="1"/>
  <c r="AC189" i="1"/>
  <c r="AB189" i="1"/>
  <c r="Z189" i="1"/>
  <c r="X189" i="1"/>
  <c r="T189" i="1"/>
  <c r="P189" i="1"/>
  <c r="O189" i="1"/>
  <c r="N189" i="1"/>
  <c r="K189" i="1"/>
  <c r="U189" i="1" s="1"/>
  <c r="AL188" i="1"/>
  <c r="AH188" i="1"/>
  <c r="AD188" i="1"/>
  <c r="AC188" i="1"/>
  <c r="AB188" i="1"/>
  <c r="Z188" i="1"/>
  <c r="X188" i="1"/>
  <c r="T188" i="1"/>
  <c r="P188" i="1"/>
  <c r="O188" i="1"/>
  <c r="N188" i="1"/>
  <c r="K188" i="1"/>
  <c r="U188" i="1" s="1"/>
  <c r="AL187" i="1"/>
  <c r="AH187" i="1"/>
  <c r="AD187" i="1"/>
  <c r="AC187" i="1"/>
  <c r="AB187" i="1"/>
  <c r="Z187" i="1"/>
  <c r="X187" i="1"/>
  <c r="T187" i="1"/>
  <c r="P187" i="1"/>
  <c r="O187" i="1"/>
  <c r="N187" i="1"/>
  <c r="K187" i="1"/>
  <c r="U187" i="1" s="1"/>
  <c r="AL186" i="1"/>
  <c r="AH186" i="1"/>
  <c r="AD186" i="1"/>
  <c r="AC186" i="1"/>
  <c r="AB186" i="1"/>
  <c r="Z186" i="1"/>
  <c r="X186" i="1"/>
  <c r="T186" i="1"/>
  <c r="P186" i="1"/>
  <c r="O186" i="1"/>
  <c r="N186" i="1"/>
  <c r="K186" i="1"/>
  <c r="U186" i="1" s="1"/>
  <c r="AL185" i="1"/>
  <c r="AH185" i="1"/>
  <c r="AD185" i="1"/>
  <c r="AC185" i="1"/>
  <c r="AB185" i="1"/>
  <c r="Z185" i="1"/>
  <c r="X185" i="1"/>
  <c r="T185" i="1"/>
  <c r="P185" i="1"/>
  <c r="O185" i="1"/>
  <c r="N185" i="1"/>
  <c r="K185" i="1"/>
  <c r="U185" i="1" s="1"/>
  <c r="AL184" i="1"/>
  <c r="AH184" i="1"/>
  <c r="AD184" i="1"/>
  <c r="AC184" i="1"/>
  <c r="AB184" i="1"/>
  <c r="Z184" i="1"/>
  <c r="X184" i="1"/>
  <c r="T184" i="1"/>
  <c r="P184" i="1"/>
  <c r="O184" i="1"/>
  <c r="N184" i="1"/>
  <c r="K184" i="1"/>
  <c r="U184" i="1" s="1"/>
  <c r="AL183" i="1"/>
  <c r="AH183" i="1"/>
  <c r="AD183" i="1"/>
  <c r="AC183" i="1"/>
  <c r="AB183" i="1"/>
  <c r="Z183" i="1"/>
  <c r="X183" i="1"/>
  <c r="T183" i="1"/>
  <c r="P183" i="1"/>
  <c r="O183" i="1"/>
  <c r="N183" i="1"/>
  <c r="K183" i="1"/>
  <c r="U183" i="1" s="1"/>
  <c r="AL182" i="1"/>
  <c r="AH182" i="1"/>
  <c r="AD182" i="1"/>
  <c r="AC182" i="1"/>
  <c r="AB182" i="1"/>
  <c r="Z182" i="1"/>
  <c r="X182" i="1"/>
  <c r="T182" i="1"/>
  <c r="P182" i="1"/>
  <c r="O182" i="1"/>
  <c r="N182" i="1"/>
  <c r="K182" i="1"/>
  <c r="U182" i="1" s="1"/>
  <c r="AL181" i="1"/>
  <c r="AH181" i="1"/>
  <c r="AD181" i="1"/>
  <c r="AC181" i="1"/>
  <c r="AB181" i="1"/>
  <c r="Z181" i="1"/>
  <c r="X181" i="1"/>
  <c r="T181" i="1"/>
  <c r="P181" i="1"/>
  <c r="O181" i="1"/>
  <c r="N181" i="1"/>
  <c r="K181" i="1"/>
  <c r="U181" i="1" s="1"/>
  <c r="AL180" i="1"/>
  <c r="AC180" i="1"/>
  <c r="AB180" i="1"/>
  <c r="Z180" i="1"/>
  <c r="X180" i="1"/>
  <c r="P180" i="1"/>
  <c r="O180" i="1"/>
  <c r="N180" i="1"/>
  <c r="Q180" i="1" s="1"/>
  <c r="K180" i="1"/>
  <c r="AL179" i="1"/>
  <c r="AD179" i="1"/>
  <c r="AE179" i="1" s="1"/>
  <c r="AC179" i="1"/>
  <c r="AB179" i="1"/>
  <c r="Z179" i="1"/>
  <c r="X179" i="1"/>
  <c r="P179" i="1"/>
  <c r="O179" i="1"/>
  <c r="N179" i="1"/>
  <c r="K179" i="1"/>
  <c r="U179" i="1" s="1"/>
  <c r="AH179" i="1" s="1"/>
  <c r="AL178" i="1"/>
  <c r="AH178" i="1"/>
  <c r="AF178" i="1"/>
  <c r="AC178" i="1"/>
  <c r="AB178" i="1"/>
  <c r="Z178" i="1"/>
  <c r="X178" i="1"/>
  <c r="T178" i="1"/>
  <c r="P178" i="1"/>
  <c r="O178" i="1"/>
  <c r="N178" i="1"/>
  <c r="K178" i="1"/>
  <c r="U178" i="1" s="1"/>
  <c r="AL177" i="1"/>
  <c r="AC177" i="1"/>
  <c r="AB177" i="1"/>
  <c r="Z177" i="1"/>
  <c r="AE177" i="1" s="1"/>
  <c r="X177" i="1"/>
  <c r="P177" i="1"/>
  <c r="O177" i="1"/>
  <c r="N177" i="1"/>
  <c r="K177" i="1"/>
  <c r="AD177" i="1" s="1"/>
  <c r="AL176" i="1"/>
  <c r="AD176" i="1"/>
  <c r="AC176" i="1"/>
  <c r="AB176" i="1"/>
  <c r="Z176" i="1"/>
  <c r="X176" i="1"/>
  <c r="R176" i="1"/>
  <c r="S176" i="1" s="1"/>
  <c r="P176" i="1"/>
  <c r="O176" i="1"/>
  <c r="N176" i="1"/>
  <c r="Q176" i="1" s="1"/>
  <c r="K176" i="1"/>
  <c r="AL175" i="1"/>
  <c r="AC175" i="1"/>
  <c r="AB175" i="1"/>
  <c r="Z175" i="1"/>
  <c r="X175" i="1"/>
  <c r="P175" i="1"/>
  <c r="O175" i="1"/>
  <c r="N175" i="1"/>
  <c r="Q175" i="1" s="1"/>
  <c r="K175" i="1"/>
  <c r="AL174" i="1"/>
  <c r="AC174" i="1"/>
  <c r="AB174" i="1"/>
  <c r="Z174" i="1"/>
  <c r="X174" i="1"/>
  <c r="P174" i="1"/>
  <c r="O174" i="1"/>
  <c r="N174" i="1"/>
  <c r="K174" i="1"/>
  <c r="AD174" i="1" s="1"/>
  <c r="AL173" i="1"/>
  <c r="AE173" i="1"/>
  <c r="AD173" i="1"/>
  <c r="AC173" i="1"/>
  <c r="AB173" i="1"/>
  <c r="Z173" i="1"/>
  <c r="X173" i="1"/>
  <c r="P173" i="1"/>
  <c r="O173" i="1"/>
  <c r="N173" i="1"/>
  <c r="K173" i="1"/>
  <c r="AL172" i="1"/>
  <c r="AC172" i="1"/>
  <c r="AB172" i="1"/>
  <c r="Z172" i="1"/>
  <c r="X172" i="1"/>
  <c r="P172" i="1"/>
  <c r="O172" i="1"/>
  <c r="N172" i="1"/>
  <c r="Q172" i="1" s="1"/>
  <c r="K172" i="1"/>
  <c r="AL171" i="1"/>
  <c r="AC171" i="1"/>
  <c r="AD171" i="1" s="1"/>
  <c r="AE171" i="1" s="1"/>
  <c r="AB171" i="1"/>
  <c r="Z171" i="1"/>
  <c r="X171" i="1"/>
  <c r="T171" i="1"/>
  <c r="R171" i="1"/>
  <c r="S171" i="1" s="1"/>
  <c r="P171" i="1"/>
  <c r="O171" i="1"/>
  <c r="Q171" i="1" s="1"/>
  <c r="N171" i="1"/>
  <c r="K171" i="1"/>
  <c r="U171" i="1" s="1"/>
  <c r="AL170" i="1"/>
  <c r="AC170" i="1"/>
  <c r="AB170" i="1"/>
  <c r="Z170" i="1"/>
  <c r="X170" i="1"/>
  <c r="P170" i="1"/>
  <c r="Q170" i="1" s="1"/>
  <c r="O170" i="1"/>
  <c r="N170" i="1"/>
  <c r="K170" i="1"/>
  <c r="AL169" i="1"/>
  <c r="AC169" i="1"/>
  <c r="AB169" i="1"/>
  <c r="Z169" i="1"/>
  <c r="X169" i="1"/>
  <c r="Q169" i="1"/>
  <c r="P169" i="1"/>
  <c r="O169" i="1"/>
  <c r="N169" i="1"/>
  <c r="K169" i="1"/>
  <c r="AL168" i="1"/>
  <c r="AD168" i="1"/>
  <c r="AC168" i="1"/>
  <c r="AB168" i="1"/>
  <c r="Z168" i="1"/>
  <c r="X168" i="1"/>
  <c r="U168" i="1"/>
  <c r="P168" i="1"/>
  <c r="O168" i="1"/>
  <c r="N168" i="1"/>
  <c r="Q168" i="1" s="1"/>
  <c r="R168" i="1" s="1"/>
  <c r="S168" i="1" s="1"/>
  <c r="K168" i="1"/>
  <c r="AL167" i="1"/>
  <c r="AC167" i="1"/>
  <c r="AB167" i="1"/>
  <c r="Z167" i="1"/>
  <c r="X167" i="1"/>
  <c r="P167" i="1"/>
  <c r="O167" i="1"/>
  <c r="N167" i="1"/>
  <c r="Q167" i="1" s="1"/>
  <c r="R167" i="1" s="1"/>
  <c r="S167" i="1" s="1"/>
  <c r="K167" i="1"/>
  <c r="AD167" i="1" s="1"/>
  <c r="AE167" i="1" s="1"/>
  <c r="AL166" i="1"/>
  <c r="AD166" i="1"/>
  <c r="AC166" i="1"/>
  <c r="AB166" i="1"/>
  <c r="Z166" i="1"/>
  <c r="X166" i="1"/>
  <c r="Q166" i="1"/>
  <c r="R166" i="1" s="1"/>
  <c r="S166" i="1" s="1"/>
  <c r="P166" i="1"/>
  <c r="O166" i="1"/>
  <c r="N166" i="1"/>
  <c r="K166" i="1"/>
  <c r="AL165" i="1"/>
  <c r="AC165" i="1"/>
  <c r="AD165" i="1" s="1"/>
  <c r="AB165" i="1"/>
  <c r="Z165" i="1"/>
  <c r="X165" i="1"/>
  <c r="U165" i="1"/>
  <c r="P165" i="1"/>
  <c r="O165" i="1"/>
  <c r="N165" i="1"/>
  <c r="Q165" i="1" s="1"/>
  <c r="R165" i="1" s="1"/>
  <c r="S165" i="1" s="1"/>
  <c r="K165" i="1"/>
  <c r="AL164" i="1"/>
  <c r="AD164" i="1"/>
  <c r="AC164" i="1"/>
  <c r="AB164" i="1"/>
  <c r="Z164" i="1"/>
  <c r="X164" i="1"/>
  <c r="R164" i="1"/>
  <c r="S164" i="1" s="1"/>
  <c r="Q164" i="1"/>
  <c r="P164" i="1"/>
  <c r="O164" i="1"/>
  <c r="N164" i="1"/>
  <c r="K164" i="1"/>
  <c r="AL163" i="1"/>
  <c r="AD163" i="1"/>
  <c r="AC163" i="1"/>
  <c r="AB163" i="1"/>
  <c r="Z163" i="1"/>
  <c r="X163" i="1"/>
  <c r="U163" i="1"/>
  <c r="P163" i="1"/>
  <c r="O163" i="1"/>
  <c r="N163" i="1"/>
  <c r="Q163" i="1" s="1"/>
  <c r="R163" i="1" s="1"/>
  <c r="S163" i="1" s="1"/>
  <c r="K163" i="1"/>
  <c r="AL162" i="1"/>
  <c r="AD162" i="1"/>
  <c r="AC162" i="1"/>
  <c r="AB162" i="1"/>
  <c r="Z162" i="1"/>
  <c r="X162" i="1"/>
  <c r="Q162" i="1"/>
  <c r="R162" i="1" s="1"/>
  <c r="S162" i="1" s="1"/>
  <c r="P162" i="1"/>
  <c r="O162" i="1"/>
  <c r="N162" i="1"/>
  <c r="K162" i="1"/>
  <c r="AL161" i="1"/>
  <c r="AC161" i="1"/>
  <c r="AD161" i="1" s="1"/>
  <c r="AB161" i="1"/>
  <c r="Z161" i="1"/>
  <c r="X161" i="1"/>
  <c r="U161" i="1"/>
  <c r="P161" i="1"/>
  <c r="O161" i="1"/>
  <c r="N161" i="1"/>
  <c r="Q161" i="1" s="1"/>
  <c r="R161" i="1" s="1"/>
  <c r="S161" i="1" s="1"/>
  <c r="M161" i="1"/>
  <c r="K161" i="1"/>
  <c r="AL160" i="1"/>
  <c r="AD160" i="1"/>
  <c r="AC160" i="1"/>
  <c r="AB160" i="1"/>
  <c r="Z160" i="1"/>
  <c r="AE160" i="1" s="1"/>
  <c r="X160" i="1"/>
  <c r="Q160" i="1"/>
  <c r="R160" i="1" s="1"/>
  <c r="S160" i="1" s="1"/>
  <c r="P160" i="1"/>
  <c r="O160" i="1"/>
  <c r="N160" i="1"/>
  <c r="K160" i="1"/>
  <c r="AL159" i="1"/>
  <c r="AC159" i="1"/>
  <c r="AD159" i="1" s="1"/>
  <c r="AB159" i="1"/>
  <c r="Z159" i="1"/>
  <c r="X159" i="1"/>
  <c r="U159" i="1"/>
  <c r="P159" i="1"/>
  <c r="O159" i="1"/>
  <c r="N159" i="1"/>
  <c r="Q159" i="1" s="1"/>
  <c r="R159" i="1" s="1"/>
  <c r="S159" i="1" s="1"/>
  <c r="K159" i="1"/>
  <c r="AL158" i="1"/>
  <c r="AH158" i="1"/>
  <c r="AG158" i="1"/>
  <c r="AI158" i="1" s="1"/>
  <c r="AJ158" i="1" s="1"/>
  <c r="AD158" i="1"/>
  <c r="AC158" i="1"/>
  <c r="AB158" i="1"/>
  <c r="Z158" i="1"/>
  <c r="AE158" i="1" s="1"/>
  <c r="X158" i="1"/>
  <c r="Q158" i="1"/>
  <c r="R158" i="1" s="1"/>
  <c r="S158" i="1" s="1"/>
  <c r="P158" i="1"/>
  <c r="O158" i="1"/>
  <c r="N158" i="1"/>
  <c r="K158" i="1"/>
  <c r="U158" i="1" s="1"/>
  <c r="Y158" i="1" s="1"/>
  <c r="AL157" i="1"/>
  <c r="AD157" i="1"/>
  <c r="AC157" i="1"/>
  <c r="AB157" i="1"/>
  <c r="Z157" i="1"/>
  <c r="X157" i="1"/>
  <c r="U157" i="1"/>
  <c r="T157" i="1"/>
  <c r="P157" i="1"/>
  <c r="O157" i="1"/>
  <c r="N157" i="1"/>
  <c r="Q157" i="1" s="1"/>
  <c r="K157" i="1"/>
  <c r="AL156" i="1"/>
  <c r="AH156" i="1"/>
  <c r="AG156" i="1"/>
  <c r="AI156" i="1" s="1"/>
  <c r="AF156" i="1"/>
  <c r="AD156" i="1"/>
  <c r="AC156" i="1"/>
  <c r="AB156" i="1"/>
  <c r="Z156" i="1"/>
  <c r="AE156" i="1" s="1"/>
  <c r="X156" i="1"/>
  <c r="Q156" i="1"/>
  <c r="R156" i="1" s="1"/>
  <c r="S156" i="1" s="1"/>
  <c r="P156" i="1"/>
  <c r="O156" i="1"/>
  <c r="N156" i="1"/>
  <c r="K156" i="1"/>
  <c r="U156" i="1" s="1"/>
  <c r="Y156" i="1" s="1"/>
  <c r="AL155" i="1"/>
  <c r="AD155" i="1"/>
  <c r="AC155" i="1"/>
  <c r="AB155" i="1"/>
  <c r="Z155" i="1"/>
  <c r="X155" i="1"/>
  <c r="U155" i="1"/>
  <c r="T155" i="1"/>
  <c r="P155" i="1"/>
  <c r="O155" i="1"/>
  <c r="N155" i="1"/>
  <c r="Q155" i="1" s="1"/>
  <c r="K155" i="1"/>
  <c r="AL154" i="1"/>
  <c r="AC154" i="1"/>
  <c r="AB154" i="1"/>
  <c r="Z154" i="1"/>
  <c r="X154" i="1"/>
  <c r="P154" i="1"/>
  <c r="Q154" i="1" s="1"/>
  <c r="R154" i="1" s="1"/>
  <c r="S154" i="1" s="1"/>
  <c r="O154" i="1"/>
  <c r="N154" i="1"/>
  <c r="K154" i="1"/>
  <c r="AD154" i="1" s="1"/>
  <c r="AL153" i="1"/>
  <c r="AC153" i="1"/>
  <c r="AD153" i="1" s="1"/>
  <c r="AB153" i="1"/>
  <c r="Z153" i="1"/>
  <c r="X153" i="1"/>
  <c r="P153" i="1"/>
  <c r="O153" i="1"/>
  <c r="N153" i="1"/>
  <c r="K153" i="1"/>
  <c r="U153" i="1" s="1"/>
  <c r="AL152" i="1"/>
  <c r="AC152" i="1"/>
  <c r="AB152" i="1"/>
  <c r="Z152" i="1"/>
  <c r="X152" i="1"/>
  <c r="Q152" i="1"/>
  <c r="R152" i="1" s="1"/>
  <c r="S152" i="1" s="1"/>
  <c r="P152" i="1"/>
  <c r="O152" i="1"/>
  <c r="N152" i="1"/>
  <c r="K152" i="1"/>
  <c r="AL151" i="1"/>
  <c r="AC151" i="1"/>
  <c r="AD151" i="1" s="1"/>
  <c r="AB151" i="1"/>
  <c r="Z151" i="1"/>
  <c r="X151" i="1"/>
  <c r="U151" i="1"/>
  <c r="AF151" i="1" s="1"/>
  <c r="T151" i="1"/>
  <c r="P151" i="1"/>
  <c r="O151" i="1"/>
  <c r="N151" i="1"/>
  <c r="Q151" i="1" s="1"/>
  <c r="R151" i="1" s="1"/>
  <c r="S151" i="1" s="1"/>
  <c r="K151" i="1"/>
  <c r="AL150" i="1"/>
  <c r="AC150" i="1"/>
  <c r="AB150" i="1"/>
  <c r="Z150" i="1"/>
  <c r="X150" i="1"/>
  <c r="P150" i="1"/>
  <c r="Q150" i="1" s="1"/>
  <c r="R150" i="1" s="1"/>
  <c r="S150" i="1" s="1"/>
  <c r="O150" i="1"/>
  <c r="N150" i="1"/>
  <c r="K150" i="1"/>
  <c r="AL149" i="1"/>
  <c r="AC149" i="1"/>
  <c r="AB149" i="1"/>
  <c r="Z149" i="1"/>
  <c r="X149" i="1"/>
  <c r="P149" i="1"/>
  <c r="O149" i="1"/>
  <c r="N149" i="1"/>
  <c r="K149" i="1"/>
  <c r="AL148" i="1"/>
  <c r="AC148" i="1"/>
  <c r="AB148" i="1"/>
  <c r="Z148" i="1"/>
  <c r="X148" i="1"/>
  <c r="Q148" i="1"/>
  <c r="P148" i="1"/>
  <c r="O148" i="1"/>
  <c r="N148" i="1"/>
  <c r="K148" i="1"/>
  <c r="AL147" i="1"/>
  <c r="AC147" i="1"/>
  <c r="AB147" i="1"/>
  <c r="Z147" i="1"/>
  <c r="X147" i="1"/>
  <c r="P147" i="1"/>
  <c r="O147" i="1"/>
  <c r="N147" i="1"/>
  <c r="Q147" i="1" s="1"/>
  <c r="R147" i="1" s="1"/>
  <c r="S147" i="1" s="1"/>
  <c r="K147" i="1"/>
  <c r="U147" i="1" s="1"/>
  <c r="AL146" i="1"/>
  <c r="AC146" i="1"/>
  <c r="AB146" i="1"/>
  <c r="Z146" i="1"/>
  <c r="X146" i="1"/>
  <c r="P146" i="1"/>
  <c r="Q146" i="1" s="1"/>
  <c r="R146" i="1" s="1"/>
  <c r="S146" i="1" s="1"/>
  <c r="O146" i="1"/>
  <c r="N146" i="1"/>
  <c r="K146" i="1"/>
  <c r="AL145" i="1"/>
  <c r="AD145" i="1"/>
  <c r="AC145" i="1"/>
  <c r="AB145" i="1"/>
  <c r="Z145" i="1"/>
  <c r="X145" i="1"/>
  <c r="P145" i="1"/>
  <c r="O145" i="1"/>
  <c r="N145" i="1"/>
  <c r="K145" i="1"/>
  <c r="U145" i="1" s="1"/>
  <c r="AL144" i="1"/>
  <c r="AC144" i="1"/>
  <c r="AB144" i="1"/>
  <c r="Z144" i="1"/>
  <c r="X144" i="1"/>
  <c r="R144" i="1"/>
  <c r="S144" i="1" s="1"/>
  <c r="Q144" i="1"/>
  <c r="P144" i="1"/>
  <c r="O144" i="1"/>
  <c r="N144" i="1"/>
  <c r="K144" i="1"/>
  <c r="AL143" i="1"/>
  <c r="AF143" i="1"/>
  <c r="AD143" i="1"/>
  <c r="AC143" i="1"/>
  <c r="AB143" i="1"/>
  <c r="Z143" i="1"/>
  <c r="X143" i="1"/>
  <c r="U143" i="1"/>
  <c r="T143" i="1"/>
  <c r="P143" i="1"/>
  <c r="O143" i="1"/>
  <c r="N143" i="1"/>
  <c r="Q143" i="1" s="1"/>
  <c r="R143" i="1" s="1"/>
  <c r="S143" i="1" s="1"/>
  <c r="K143" i="1"/>
  <c r="AL142" i="1"/>
  <c r="AC142" i="1"/>
  <c r="AB142" i="1"/>
  <c r="Z142" i="1"/>
  <c r="X142" i="1"/>
  <c r="P142" i="1"/>
  <c r="Q142" i="1" s="1"/>
  <c r="R142" i="1" s="1"/>
  <c r="S142" i="1" s="1"/>
  <c r="O142" i="1"/>
  <c r="N142" i="1"/>
  <c r="K142" i="1"/>
  <c r="AL141" i="1"/>
  <c r="AC141" i="1"/>
  <c r="AB141" i="1"/>
  <c r="Z141" i="1"/>
  <c r="X141" i="1"/>
  <c r="P141" i="1"/>
  <c r="O141" i="1"/>
  <c r="N141" i="1"/>
  <c r="Q141" i="1" s="1"/>
  <c r="R141" i="1" s="1"/>
  <c r="S141" i="1" s="1"/>
  <c r="K141" i="1"/>
  <c r="U141" i="1" s="1"/>
  <c r="AL140" i="1"/>
  <c r="AF140" i="1"/>
  <c r="AD140" i="1"/>
  <c r="AC140" i="1"/>
  <c r="AB140" i="1"/>
  <c r="Z140" i="1"/>
  <c r="Y140" i="1"/>
  <c r="X140" i="1"/>
  <c r="T140" i="1"/>
  <c r="Q140" i="1"/>
  <c r="R140" i="1" s="1"/>
  <c r="S140" i="1" s="1"/>
  <c r="P140" i="1"/>
  <c r="O140" i="1"/>
  <c r="N140" i="1"/>
  <c r="K140" i="1"/>
  <c r="U140" i="1" s="1"/>
  <c r="AH140" i="1" s="1"/>
  <c r="AL139" i="1"/>
  <c r="AC139" i="1"/>
  <c r="AB139" i="1"/>
  <c r="Z139" i="1"/>
  <c r="X139" i="1"/>
  <c r="U139" i="1"/>
  <c r="P139" i="1"/>
  <c r="O139" i="1"/>
  <c r="N139" i="1"/>
  <c r="K139" i="1"/>
  <c r="AD139" i="1" s="1"/>
  <c r="AL138" i="1"/>
  <c r="AC138" i="1"/>
  <c r="AB138" i="1"/>
  <c r="Z138" i="1"/>
  <c r="AE138" i="1" s="1"/>
  <c r="X138" i="1"/>
  <c r="P138" i="1"/>
  <c r="Q138" i="1" s="1"/>
  <c r="R138" i="1" s="1"/>
  <c r="S138" i="1" s="1"/>
  <c r="O138" i="1"/>
  <c r="N138" i="1"/>
  <c r="K138" i="1"/>
  <c r="AD138" i="1" s="1"/>
  <c r="AL137" i="1"/>
  <c r="AF137" i="1"/>
  <c r="AD137" i="1"/>
  <c r="AC137" i="1"/>
  <c r="AB137" i="1"/>
  <c r="Z137" i="1"/>
  <c r="X137" i="1"/>
  <c r="U137" i="1"/>
  <c r="T137" i="1"/>
  <c r="R137" i="1"/>
  <c r="S137" i="1" s="1"/>
  <c r="P137" i="1"/>
  <c r="O137" i="1"/>
  <c r="N137" i="1"/>
  <c r="Q137" i="1" s="1"/>
  <c r="K137" i="1"/>
  <c r="AL136" i="1"/>
  <c r="AC136" i="1"/>
  <c r="AB136" i="1"/>
  <c r="Z136" i="1"/>
  <c r="X136" i="1"/>
  <c r="P136" i="1"/>
  <c r="O136" i="1"/>
  <c r="N136" i="1"/>
  <c r="Q136" i="1" s="1"/>
  <c r="R136" i="1" s="1"/>
  <c r="S136" i="1" s="1"/>
  <c r="K136" i="1"/>
  <c r="AL135" i="1"/>
  <c r="AC135" i="1"/>
  <c r="AD135" i="1" s="1"/>
  <c r="AB135" i="1"/>
  <c r="Z135" i="1"/>
  <c r="X135" i="1"/>
  <c r="P135" i="1"/>
  <c r="O135" i="1"/>
  <c r="N135" i="1"/>
  <c r="K135" i="1"/>
  <c r="U135" i="1" s="1"/>
  <c r="AL134" i="1"/>
  <c r="AG134" i="1"/>
  <c r="AF134" i="1"/>
  <c r="AC134" i="1"/>
  <c r="AB134" i="1"/>
  <c r="Z134" i="1"/>
  <c r="X134" i="1"/>
  <c r="T134" i="1"/>
  <c r="P134" i="1"/>
  <c r="Q134" i="1" s="1"/>
  <c r="R134" i="1" s="1"/>
  <c r="S134" i="1" s="1"/>
  <c r="O134" i="1"/>
  <c r="N134" i="1"/>
  <c r="K134" i="1"/>
  <c r="U134" i="1" s="1"/>
  <c r="Y134" i="1" s="1"/>
  <c r="AL133" i="1"/>
  <c r="AD133" i="1"/>
  <c r="AC133" i="1"/>
  <c r="AB133" i="1"/>
  <c r="Z133" i="1"/>
  <c r="AE133" i="1" s="1"/>
  <c r="X133" i="1"/>
  <c r="P133" i="1"/>
  <c r="O133" i="1"/>
  <c r="N133" i="1"/>
  <c r="Q133" i="1" s="1"/>
  <c r="R133" i="1" s="1"/>
  <c r="S133" i="1" s="1"/>
  <c r="M133" i="1"/>
  <c r="K133" i="1"/>
  <c r="AL132" i="1"/>
  <c r="AF132" i="1"/>
  <c r="AD132" i="1"/>
  <c r="AC132" i="1"/>
  <c r="AB132" i="1"/>
  <c r="Z132" i="1"/>
  <c r="X132" i="1"/>
  <c r="T132" i="1"/>
  <c r="Q132" i="1"/>
  <c r="R132" i="1" s="1"/>
  <c r="S132" i="1" s="1"/>
  <c r="P132" i="1"/>
  <c r="O132" i="1"/>
  <c r="N132" i="1"/>
  <c r="K132" i="1"/>
  <c r="U132" i="1" s="1"/>
  <c r="Y132" i="1" s="1"/>
  <c r="AL131" i="1"/>
  <c r="AC131" i="1"/>
  <c r="AB131" i="1"/>
  <c r="Z131" i="1"/>
  <c r="X131" i="1"/>
  <c r="U131" i="1"/>
  <c r="P131" i="1"/>
  <c r="O131" i="1"/>
  <c r="N131" i="1"/>
  <c r="K131" i="1"/>
  <c r="AD131" i="1" s="1"/>
  <c r="AL130" i="1"/>
  <c r="AC130" i="1"/>
  <c r="AB130" i="1"/>
  <c r="Z130" i="1"/>
  <c r="AE130" i="1" s="1"/>
  <c r="X130" i="1"/>
  <c r="P130" i="1"/>
  <c r="Q130" i="1" s="1"/>
  <c r="R130" i="1" s="1"/>
  <c r="S130" i="1" s="1"/>
  <c r="O130" i="1"/>
  <c r="N130" i="1"/>
  <c r="K130" i="1"/>
  <c r="AD130" i="1" s="1"/>
  <c r="AL129" i="1"/>
  <c r="AF129" i="1"/>
  <c r="AD129" i="1"/>
  <c r="AC129" i="1"/>
  <c r="AB129" i="1"/>
  <c r="Z129" i="1"/>
  <c r="X129" i="1"/>
  <c r="U129" i="1"/>
  <c r="T129" i="1"/>
  <c r="R129" i="1"/>
  <c r="S129" i="1" s="1"/>
  <c r="P129" i="1"/>
  <c r="O129" i="1"/>
  <c r="N129" i="1"/>
  <c r="Q129" i="1" s="1"/>
  <c r="K129" i="1"/>
  <c r="AL128" i="1"/>
  <c r="AC128" i="1"/>
  <c r="AB128" i="1"/>
  <c r="Z128" i="1"/>
  <c r="X128" i="1"/>
  <c r="P128" i="1"/>
  <c r="O128" i="1"/>
  <c r="N128" i="1"/>
  <c r="Q128" i="1" s="1"/>
  <c r="R128" i="1" s="1"/>
  <c r="S128" i="1" s="1"/>
  <c r="K128" i="1"/>
  <c r="AL127" i="1"/>
  <c r="AC127" i="1"/>
  <c r="AD127" i="1" s="1"/>
  <c r="AB127" i="1"/>
  <c r="Z127" i="1"/>
  <c r="X127" i="1"/>
  <c r="U127" i="1"/>
  <c r="AF127" i="1" s="1"/>
  <c r="P127" i="1"/>
  <c r="O127" i="1"/>
  <c r="N127" i="1"/>
  <c r="K127" i="1"/>
  <c r="AL126" i="1"/>
  <c r="AG126" i="1"/>
  <c r="AF126" i="1"/>
  <c r="AC126" i="1"/>
  <c r="AB126" i="1"/>
  <c r="Z126" i="1"/>
  <c r="X126" i="1"/>
  <c r="T126" i="1"/>
  <c r="Q126" i="1"/>
  <c r="R126" i="1" s="1"/>
  <c r="S126" i="1" s="1"/>
  <c r="P126" i="1"/>
  <c r="O126" i="1"/>
  <c r="N126" i="1"/>
  <c r="K126" i="1"/>
  <c r="U126" i="1" s="1"/>
  <c r="Y126" i="1" s="1"/>
  <c r="AL125" i="1"/>
  <c r="AD125" i="1"/>
  <c r="AC125" i="1"/>
  <c r="AB125" i="1"/>
  <c r="Z125" i="1"/>
  <c r="AE125" i="1" s="1"/>
  <c r="X125" i="1"/>
  <c r="P125" i="1"/>
  <c r="O125" i="1"/>
  <c r="N125" i="1"/>
  <c r="Q125" i="1" s="1"/>
  <c r="R125" i="1" s="1"/>
  <c r="S125" i="1" s="1"/>
  <c r="K125" i="1"/>
  <c r="U125" i="1" s="1"/>
  <c r="AL124" i="1"/>
  <c r="AC124" i="1"/>
  <c r="AB124" i="1"/>
  <c r="Z124" i="1"/>
  <c r="X124" i="1"/>
  <c r="P124" i="1"/>
  <c r="O124" i="1"/>
  <c r="N124" i="1"/>
  <c r="Q124" i="1" s="1"/>
  <c r="K124" i="1"/>
  <c r="AD124" i="1" s="1"/>
  <c r="AL123" i="1"/>
  <c r="AC123" i="1"/>
  <c r="AD123" i="1" s="1"/>
  <c r="AB123" i="1"/>
  <c r="Z123" i="1"/>
  <c r="X123" i="1"/>
  <c r="T123" i="1"/>
  <c r="R123" i="1"/>
  <c r="S123" i="1" s="1"/>
  <c r="P123" i="1"/>
  <c r="O123" i="1"/>
  <c r="N123" i="1"/>
  <c r="Q123" i="1" s="1"/>
  <c r="K123" i="1"/>
  <c r="U123" i="1" s="1"/>
  <c r="AL122" i="1"/>
  <c r="AC122" i="1"/>
  <c r="AB122" i="1"/>
  <c r="Z122" i="1"/>
  <c r="X122" i="1"/>
  <c r="P122" i="1"/>
  <c r="O122" i="1"/>
  <c r="N122" i="1"/>
  <c r="Q122" i="1" s="1"/>
  <c r="R122" i="1" s="1"/>
  <c r="S122" i="1" s="1"/>
  <c r="K122" i="1"/>
  <c r="AD122" i="1" s="1"/>
  <c r="AL121" i="1"/>
  <c r="AC121" i="1"/>
  <c r="AB121" i="1"/>
  <c r="Z121" i="1"/>
  <c r="X121" i="1"/>
  <c r="P121" i="1"/>
  <c r="O121" i="1"/>
  <c r="Q121" i="1" s="1"/>
  <c r="N121" i="1"/>
  <c r="K121" i="1"/>
  <c r="U121" i="1" s="1"/>
  <c r="AL120" i="1"/>
  <c r="AD120" i="1"/>
  <c r="AC120" i="1"/>
  <c r="AB120" i="1"/>
  <c r="Z120" i="1"/>
  <c r="X120" i="1"/>
  <c r="P120" i="1"/>
  <c r="O120" i="1"/>
  <c r="N120" i="1"/>
  <c r="Q120" i="1" s="1"/>
  <c r="K120" i="1"/>
  <c r="U120" i="1" s="1"/>
  <c r="AL119" i="1"/>
  <c r="AE119" i="1"/>
  <c r="AC119" i="1"/>
  <c r="AB119" i="1"/>
  <c r="Z119" i="1"/>
  <c r="X119" i="1"/>
  <c r="P119" i="1"/>
  <c r="O119" i="1"/>
  <c r="N119" i="1"/>
  <c r="Q119" i="1" s="1"/>
  <c r="R119" i="1" s="1"/>
  <c r="S119" i="1" s="1"/>
  <c r="M119" i="1"/>
  <c r="K119" i="1"/>
  <c r="AD119" i="1" s="1"/>
  <c r="AL118" i="1"/>
  <c r="AC118" i="1"/>
  <c r="AB118" i="1"/>
  <c r="Z118" i="1"/>
  <c r="X118" i="1"/>
  <c r="P118" i="1"/>
  <c r="O118" i="1"/>
  <c r="N118" i="1"/>
  <c r="Q118" i="1" s="1"/>
  <c r="R118" i="1" s="1"/>
  <c r="S118" i="1" s="1"/>
  <c r="K118" i="1"/>
  <c r="AD118" i="1" s="1"/>
  <c r="AL117" i="1"/>
  <c r="AC117" i="1"/>
  <c r="AB117" i="1"/>
  <c r="Z117" i="1"/>
  <c r="AE117" i="1" s="1"/>
  <c r="X117" i="1"/>
  <c r="P117" i="1"/>
  <c r="O117" i="1"/>
  <c r="N117" i="1"/>
  <c r="K117" i="1"/>
  <c r="AD117" i="1" s="1"/>
  <c r="AL116" i="1"/>
  <c r="AC116" i="1"/>
  <c r="AB116" i="1"/>
  <c r="Z116" i="1"/>
  <c r="X116" i="1"/>
  <c r="P116" i="1"/>
  <c r="Q116" i="1" s="1"/>
  <c r="R116" i="1" s="1"/>
  <c r="S116" i="1" s="1"/>
  <c r="O116" i="1"/>
  <c r="N116" i="1"/>
  <c r="K116" i="1"/>
  <c r="AD116" i="1" s="1"/>
  <c r="AL115" i="1"/>
  <c r="AC115" i="1"/>
  <c r="AB115" i="1"/>
  <c r="Z115" i="1"/>
  <c r="X115" i="1"/>
  <c r="R115" i="1"/>
  <c r="S115" i="1" s="1"/>
  <c r="Q115" i="1"/>
  <c r="P115" i="1"/>
  <c r="O115" i="1"/>
  <c r="N115" i="1"/>
  <c r="K115" i="1"/>
  <c r="AD115" i="1" s="1"/>
  <c r="AL114" i="1"/>
  <c r="AC114" i="1"/>
  <c r="AB114" i="1"/>
  <c r="Z114" i="1"/>
  <c r="X114" i="1"/>
  <c r="P114" i="1"/>
  <c r="O114" i="1"/>
  <c r="N114" i="1"/>
  <c r="Q114" i="1" s="1"/>
  <c r="R114" i="1" s="1"/>
  <c r="S114" i="1" s="1"/>
  <c r="K114" i="1"/>
  <c r="AD114" i="1" s="1"/>
  <c r="AL113" i="1"/>
  <c r="AC113" i="1"/>
  <c r="AB113" i="1"/>
  <c r="Z113" i="1"/>
  <c r="X113" i="1"/>
  <c r="P113" i="1"/>
  <c r="O113" i="1"/>
  <c r="Q113" i="1" s="1"/>
  <c r="N113" i="1"/>
  <c r="K113" i="1"/>
  <c r="U113" i="1" s="1"/>
  <c r="AL112" i="1"/>
  <c r="AD112" i="1"/>
  <c r="AC112" i="1"/>
  <c r="AB112" i="1"/>
  <c r="Z112" i="1"/>
  <c r="X112" i="1"/>
  <c r="P112" i="1"/>
  <c r="O112" i="1"/>
  <c r="N112" i="1"/>
  <c r="Q112" i="1" s="1"/>
  <c r="K112" i="1"/>
  <c r="U112" i="1" s="1"/>
  <c r="AL111" i="1"/>
  <c r="AE111" i="1"/>
  <c r="AC111" i="1"/>
  <c r="AB111" i="1"/>
  <c r="Z111" i="1"/>
  <c r="X111" i="1"/>
  <c r="P111" i="1"/>
  <c r="O111" i="1"/>
  <c r="N111" i="1"/>
  <c r="Q111" i="1" s="1"/>
  <c r="R111" i="1" s="1"/>
  <c r="S111" i="1" s="1"/>
  <c r="M111" i="1"/>
  <c r="K111" i="1"/>
  <c r="AD111" i="1" s="1"/>
  <c r="AL110" i="1"/>
  <c r="AC110" i="1"/>
  <c r="AB110" i="1"/>
  <c r="Z110" i="1"/>
  <c r="X110" i="1"/>
  <c r="P110" i="1"/>
  <c r="O110" i="1"/>
  <c r="N110" i="1"/>
  <c r="Q110" i="1" s="1"/>
  <c r="R110" i="1" s="1"/>
  <c r="S110" i="1" s="1"/>
  <c r="K110" i="1"/>
  <c r="AD110" i="1" s="1"/>
  <c r="AL109" i="1"/>
  <c r="AC109" i="1"/>
  <c r="AB109" i="1"/>
  <c r="Z109" i="1"/>
  <c r="AE109" i="1" s="1"/>
  <c r="X109" i="1"/>
  <c r="P109" i="1"/>
  <c r="O109" i="1"/>
  <c r="N109" i="1"/>
  <c r="K109" i="1"/>
  <c r="AD109" i="1" s="1"/>
  <c r="AL108" i="1"/>
  <c r="AC108" i="1"/>
  <c r="AB108" i="1"/>
  <c r="Z108" i="1"/>
  <c r="X108" i="1"/>
  <c r="P108" i="1"/>
  <c r="Q108" i="1" s="1"/>
  <c r="R108" i="1" s="1"/>
  <c r="S108" i="1" s="1"/>
  <c r="O108" i="1"/>
  <c r="N108" i="1"/>
  <c r="K108" i="1"/>
  <c r="AD108" i="1" s="1"/>
  <c r="AL107" i="1"/>
  <c r="AC107" i="1"/>
  <c r="AB107" i="1"/>
  <c r="Z107" i="1"/>
  <c r="X107" i="1"/>
  <c r="R107" i="1"/>
  <c r="S107" i="1" s="1"/>
  <c r="Q107" i="1"/>
  <c r="P107" i="1"/>
  <c r="O107" i="1"/>
  <c r="N107" i="1"/>
  <c r="K107" i="1"/>
  <c r="AD107" i="1" s="1"/>
  <c r="AL106" i="1"/>
  <c r="AC106" i="1"/>
  <c r="AB106" i="1"/>
  <c r="Z106" i="1"/>
  <c r="X106" i="1"/>
  <c r="P106" i="1"/>
  <c r="O106" i="1"/>
  <c r="N106" i="1"/>
  <c r="Q106" i="1" s="1"/>
  <c r="R106" i="1" s="1"/>
  <c r="S106" i="1" s="1"/>
  <c r="K106" i="1"/>
  <c r="AD106" i="1" s="1"/>
  <c r="AL105" i="1"/>
  <c r="AC105" i="1"/>
  <c r="AB105" i="1"/>
  <c r="Z105" i="1"/>
  <c r="X105" i="1"/>
  <c r="P105" i="1"/>
  <c r="O105" i="1"/>
  <c r="Q105" i="1" s="1"/>
  <c r="N105" i="1"/>
  <c r="K105" i="1"/>
  <c r="U105" i="1" s="1"/>
  <c r="AL104" i="1"/>
  <c r="AD104" i="1"/>
  <c r="AC104" i="1"/>
  <c r="AB104" i="1"/>
  <c r="Z104" i="1"/>
  <c r="X104" i="1"/>
  <c r="P104" i="1"/>
  <c r="O104" i="1"/>
  <c r="N104" i="1"/>
  <c r="Q104" i="1" s="1"/>
  <c r="K104" i="1"/>
  <c r="U104" i="1" s="1"/>
  <c r="AL103" i="1"/>
  <c r="AE103" i="1"/>
  <c r="AC103" i="1"/>
  <c r="AB103" i="1"/>
  <c r="Z103" i="1"/>
  <c r="X103" i="1"/>
  <c r="P103" i="1"/>
  <c r="O103" i="1"/>
  <c r="N103" i="1"/>
  <c r="Q103" i="1" s="1"/>
  <c r="R103" i="1" s="1"/>
  <c r="S103" i="1" s="1"/>
  <c r="M103" i="1"/>
  <c r="K103" i="1"/>
  <c r="AD103" i="1" s="1"/>
  <c r="AL102" i="1"/>
  <c r="AH102" i="1"/>
  <c r="AG102" i="1"/>
  <c r="AI102" i="1" s="1"/>
  <c r="AF102" i="1"/>
  <c r="AC102" i="1"/>
  <c r="AB102" i="1"/>
  <c r="Z102" i="1"/>
  <c r="X102" i="1"/>
  <c r="Y102" i="1" s="1"/>
  <c r="U102" i="1"/>
  <c r="T102" i="1" s="1"/>
  <c r="P102" i="1"/>
  <c r="O102" i="1"/>
  <c r="N102" i="1"/>
  <c r="Q102" i="1" s="1"/>
  <c r="R102" i="1" s="1"/>
  <c r="S102" i="1" s="1"/>
  <c r="K102" i="1"/>
  <c r="AD102" i="1" s="1"/>
  <c r="AL101" i="1"/>
  <c r="AC101" i="1"/>
  <c r="AB101" i="1"/>
  <c r="Z101" i="1"/>
  <c r="X101" i="1"/>
  <c r="P101" i="1"/>
  <c r="O101" i="1"/>
  <c r="N101" i="1"/>
  <c r="K101" i="1"/>
  <c r="AD101" i="1" s="1"/>
  <c r="AL100" i="1"/>
  <c r="AC100" i="1"/>
  <c r="AB100" i="1"/>
  <c r="Z100" i="1"/>
  <c r="X100" i="1"/>
  <c r="P100" i="1"/>
  <c r="Q100" i="1" s="1"/>
  <c r="R100" i="1" s="1"/>
  <c r="S100" i="1" s="1"/>
  <c r="O100" i="1"/>
  <c r="N100" i="1"/>
  <c r="K100" i="1"/>
  <c r="AD100" i="1" s="1"/>
  <c r="AL99" i="1"/>
  <c r="AC99" i="1"/>
  <c r="AB99" i="1"/>
  <c r="Z99" i="1"/>
  <c r="AE99" i="1" s="1"/>
  <c r="X99" i="1"/>
  <c r="R99" i="1"/>
  <c r="S99" i="1" s="1"/>
  <c r="Q99" i="1"/>
  <c r="P99" i="1"/>
  <c r="O99" i="1"/>
  <c r="N99" i="1"/>
  <c r="K99" i="1"/>
  <c r="AD99" i="1" s="1"/>
  <c r="AL98" i="1"/>
  <c r="AC98" i="1"/>
  <c r="AB98" i="1"/>
  <c r="Z98" i="1"/>
  <c r="X98" i="1"/>
  <c r="P98" i="1"/>
  <c r="O98" i="1"/>
  <c r="N98" i="1"/>
  <c r="Q98" i="1" s="1"/>
  <c r="R98" i="1" s="1"/>
  <c r="S98" i="1" s="1"/>
  <c r="K98" i="1"/>
  <c r="AD98" i="1" s="1"/>
  <c r="AL97" i="1"/>
  <c r="AD97" i="1"/>
  <c r="AE97" i="1" s="1"/>
  <c r="AC97" i="1"/>
  <c r="AB97" i="1"/>
  <c r="Z97" i="1"/>
  <c r="X97" i="1"/>
  <c r="U97" i="1"/>
  <c r="P97" i="1"/>
  <c r="O97" i="1"/>
  <c r="N97" i="1"/>
  <c r="Q97" i="1" s="1"/>
  <c r="R97" i="1" s="1"/>
  <c r="S97" i="1" s="1"/>
  <c r="M97" i="1"/>
  <c r="K97" i="1"/>
  <c r="AL96" i="1"/>
  <c r="AC96" i="1"/>
  <c r="AD96" i="1" s="1"/>
  <c r="AB96" i="1"/>
  <c r="Z96" i="1"/>
  <c r="X96" i="1"/>
  <c r="Q96" i="1"/>
  <c r="R96" i="1" s="1"/>
  <c r="S96" i="1" s="1"/>
  <c r="P96" i="1"/>
  <c r="O96" i="1"/>
  <c r="N96" i="1"/>
  <c r="K96" i="1"/>
  <c r="AL95" i="1"/>
  <c r="AC95" i="1"/>
  <c r="AD95" i="1" s="1"/>
  <c r="AE95" i="1" s="1"/>
  <c r="AB95" i="1"/>
  <c r="Z95" i="1"/>
  <c r="X95" i="1"/>
  <c r="U95" i="1"/>
  <c r="P95" i="1"/>
  <c r="O95" i="1"/>
  <c r="N95" i="1"/>
  <c r="Q95" i="1" s="1"/>
  <c r="R95" i="1" s="1"/>
  <c r="S95" i="1" s="1"/>
  <c r="K95" i="1"/>
  <c r="AL94" i="1"/>
  <c r="AC94" i="1"/>
  <c r="AD94" i="1" s="1"/>
  <c r="AB94" i="1"/>
  <c r="Z94" i="1"/>
  <c r="X94" i="1"/>
  <c r="R94" i="1"/>
  <c r="S94" i="1" s="1"/>
  <c r="Q94" i="1"/>
  <c r="P94" i="1"/>
  <c r="O94" i="1"/>
  <c r="N94" i="1"/>
  <c r="K94" i="1"/>
  <c r="AL93" i="1"/>
  <c r="AD93" i="1"/>
  <c r="AE93" i="1" s="1"/>
  <c r="AC93" i="1"/>
  <c r="AB93" i="1"/>
  <c r="Z93" i="1"/>
  <c r="X93" i="1"/>
  <c r="U93" i="1"/>
  <c r="P93" i="1"/>
  <c r="O93" i="1"/>
  <c r="N93" i="1"/>
  <c r="Q93" i="1" s="1"/>
  <c r="R93" i="1" s="1"/>
  <c r="S93" i="1" s="1"/>
  <c r="M93" i="1"/>
  <c r="K93" i="1"/>
  <c r="AL92" i="1"/>
  <c r="AC92" i="1"/>
  <c r="AD92" i="1" s="1"/>
  <c r="AB92" i="1"/>
  <c r="Z92" i="1"/>
  <c r="X92" i="1"/>
  <c r="Q92" i="1"/>
  <c r="R92" i="1" s="1"/>
  <c r="S92" i="1" s="1"/>
  <c r="P92" i="1"/>
  <c r="O92" i="1"/>
  <c r="N92" i="1"/>
  <c r="K92" i="1"/>
  <c r="AL91" i="1"/>
  <c r="AC91" i="1"/>
  <c r="AD91" i="1" s="1"/>
  <c r="AE91" i="1" s="1"/>
  <c r="AB91" i="1"/>
  <c r="Z91" i="1"/>
  <c r="X91" i="1"/>
  <c r="U91" i="1"/>
  <c r="P91" i="1"/>
  <c r="O91" i="1"/>
  <c r="N91" i="1"/>
  <c r="Q91" i="1" s="1"/>
  <c r="R91" i="1" s="1"/>
  <c r="S91" i="1" s="1"/>
  <c r="K91" i="1"/>
  <c r="AL90" i="1"/>
  <c r="AC90" i="1"/>
  <c r="AB90" i="1"/>
  <c r="Z90" i="1"/>
  <c r="X90" i="1"/>
  <c r="R90" i="1"/>
  <c r="S90" i="1" s="1"/>
  <c r="Q90" i="1"/>
  <c r="P90" i="1"/>
  <c r="O90" i="1"/>
  <c r="N90" i="1"/>
  <c r="K90" i="1"/>
  <c r="AD90" i="1" s="1"/>
  <c r="AL89" i="1"/>
  <c r="AD89" i="1"/>
  <c r="AE89" i="1" s="1"/>
  <c r="AC89" i="1"/>
  <c r="AB89" i="1"/>
  <c r="Z89" i="1"/>
  <c r="X89" i="1"/>
  <c r="U89" i="1"/>
  <c r="P89" i="1"/>
  <c r="O89" i="1"/>
  <c r="N89" i="1"/>
  <c r="Q89" i="1" s="1"/>
  <c r="R89" i="1" s="1"/>
  <c r="S89" i="1" s="1"/>
  <c r="M89" i="1"/>
  <c r="K89" i="1"/>
  <c r="AL88" i="1"/>
  <c r="AC88" i="1"/>
  <c r="AB88" i="1"/>
  <c r="Z88" i="1"/>
  <c r="X88" i="1"/>
  <c r="Q88" i="1"/>
  <c r="R88" i="1" s="1"/>
  <c r="S88" i="1" s="1"/>
  <c r="P88" i="1"/>
  <c r="O88" i="1"/>
  <c r="N88" i="1"/>
  <c r="K88" i="1"/>
  <c r="AD88" i="1" s="1"/>
  <c r="AL87" i="1"/>
  <c r="AC87" i="1"/>
  <c r="AD87" i="1" s="1"/>
  <c r="AE87" i="1" s="1"/>
  <c r="AB87" i="1"/>
  <c r="Z87" i="1"/>
  <c r="X87" i="1"/>
  <c r="U87" i="1"/>
  <c r="P87" i="1"/>
  <c r="O87" i="1"/>
  <c r="N87" i="1"/>
  <c r="Q87" i="1" s="1"/>
  <c r="R87" i="1" s="1"/>
  <c r="S87" i="1" s="1"/>
  <c r="K87" i="1"/>
  <c r="AL86" i="1"/>
  <c r="AC86" i="1"/>
  <c r="AB86" i="1"/>
  <c r="Z86" i="1"/>
  <c r="X86" i="1"/>
  <c r="R86" i="1"/>
  <c r="S86" i="1" s="1"/>
  <c r="Q86" i="1"/>
  <c r="P86" i="1"/>
  <c r="O86" i="1"/>
  <c r="N86" i="1"/>
  <c r="K86" i="1"/>
  <c r="AD86" i="1" s="1"/>
  <c r="AL85" i="1"/>
  <c r="AD85" i="1"/>
  <c r="AE85" i="1" s="1"/>
  <c r="AC85" i="1"/>
  <c r="AB85" i="1"/>
  <c r="Z85" i="1"/>
  <c r="X85" i="1"/>
  <c r="U85" i="1"/>
  <c r="P85" i="1"/>
  <c r="O85" i="1"/>
  <c r="N85" i="1"/>
  <c r="Q85" i="1" s="1"/>
  <c r="R85" i="1" s="1"/>
  <c r="S85" i="1" s="1"/>
  <c r="M85" i="1"/>
  <c r="K85" i="1"/>
  <c r="AL84" i="1"/>
  <c r="AC84" i="1"/>
  <c r="AB84" i="1"/>
  <c r="Z84" i="1"/>
  <c r="X84" i="1"/>
  <c r="Q84" i="1"/>
  <c r="R84" i="1" s="1"/>
  <c r="S84" i="1" s="1"/>
  <c r="P84" i="1"/>
  <c r="O84" i="1"/>
  <c r="N84" i="1"/>
  <c r="K84" i="1"/>
  <c r="AD84" i="1" s="1"/>
  <c r="AL83" i="1"/>
  <c r="AC83" i="1"/>
  <c r="AD83" i="1" s="1"/>
  <c r="AE83" i="1" s="1"/>
  <c r="AB83" i="1"/>
  <c r="Z83" i="1"/>
  <c r="X83" i="1"/>
  <c r="U83" i="1"/>
  <c r="P83" i="1"/>
  <c r="O83" i="1"/>
  <c r="N83" i="1"/>
  <c r="Q83" i="1" s="1"/>
  <c r="R83" i="1" s="1"/>
  <c r="S83" i="1" s="1"/>
  <c r="K83" i="1"/>
  <c r="AL82" i="1"/>
  <c r="AC82" i="1"/>
  <c r="AB82" i="1"/>
  <c r="Z82" i="1"/>
  <c r="X82" i="1"/>
  <c r="R82" i="1"/>
  <c r="S82" i="1" s="1"/>
  <c r="Q82" i="1"/>
  <c r="P82" i="1"/>
  <c r="O82" i="1"/>
  <c r="N82" i="1"/>
  <c r="K82" i="1"/>
  <c r="AD82" i="1" s="1"/>
  <c r="AL81" i="1"/>
  <c r="AD81" i="1"/>
  <c r="AE81" i="1" s="1"/>
  <c r="AC81" i="1"/>
  <c r="AB81" i="1"/>
  <c r="Z81" i="1"/>
  <c r="X81" i="1"/>
  <c r="U81" i="1"/>
  <c r="P81" i="1"/>
  <c r="O81" i="1"/>
  <c r="N81" i="1"/>
  <c r="Q81" i="1" s="1"/>
  <c r="R81" i="1" s="1"/>
  <c r="S81" i="1" s="1"/>
  <c r="M81" i="1"/>
  <c r="K81" i="1"/>
  <c r="AL80" i="1"/>
  <c r="AC80" i="1"/>
  <c r="AB80" i="1"/>
  <c r="Z80" i="1"/>
  <c r="X80" i="1"/>
  <c r="Q80" i="1"/>
  <c r="R80" i="1" s="1"/>
  <c r="S80" i="1" s="1"/>
  <c r="P80" i="1"/>
  <c r="O80" i="1"/>
  <c r="N80" i="1"/>
  <c r="K80" i="1"/>
  <c r="AD80" i="1" s="1"/>
  <c r="AL79" i="1"/>
  <c r="AC79" i="1"/>
  <c r="AD79" i="1" s="1"/>
  <c r="AE79" i="1" s="1"/>
  <c r="AB79" i="1"/>
  <c r="Z79" i="1"/>
  <c r="X79" i="1"/>
  <c r="U79" i="1"/>
  <c r="P79" i="1"/>
  <c r="O79" i="1"/>
  <c r="N79" i="1"/>
  <c r="Q79" i="1" s="1"/>
  <c r="R79" i="1" s="1"/>
  <c r="S79" i="1" s="1"/>
  <c r="K79" i="1"/>
  <c r="AL78" i="1"/>
  <c r="AC78" i="1"/>
  <c r="AB78" i="1"/>
  <c r="Z78" i="1"/>
  <c r="X78" i="1"/>
  <c r="R78" i="1"/>
  <c r="S78" i="1" s="1"/>
  <c r="Q78" i="1"/>
  <c r="P78" i="1"/>
  <c r="O78" i="1"/>
  <c r="N78" i="1"/>
  <c r="K78" i="1"/>
  <c r="AD78" i="1" s="1"/>
  <c r="AL77" i="1"/>
  <c r="AD77" i="1"/>
  <c r="AE77" i="1" s="1"/>
  <c r="AC77" i="1"/>
  <c r="AB77" i="1"/>
  <c r="Z77" i="1"/>
  <c r="X77" i="1"/>
  <c r="U77" i="1"/>
  <c r="P77" i="1"/>
  <c r="O77" i="1"/>
  <c r="N77" i="1"/>
  <c r="Q77" i="1" s="1"/>
  <c r="R77" i="1" s="1"/>
  <c r="S77" i="1" s="1"/>
  <c r="M77" i="1"/>
  <c r="K77" i="1"/>
  <c r="AL76" i="1"/>
  <c r="AC76" i="1"/>
  <c r="AB76" i="1"/>
  <c r="Z76" i="1"/>
  <c r="X76" i="1"/>
  <c r="Q76" i="1"/>
  <c r="R76" i="1" s="1"/>
  <c r="S76" i="1" s="1"/>
  <c r="P76" i="1"/>
  <c r="O76" i="1"/>
  <c r="N76" i="1"/>
  <c r="K76" i="1"/>
  <c r="AD76" i="1" s="1"/>
  <c r="AL75" i="1"/>
  <c r="AC75" i="1"/>
  <c r="AD75" i="1" s="1"/>
  <c r="AE75" i="1" s="1"/>
  <c r="AB75" i="1"/>
  <c r="Z75" i="1"/>
  <c r="X75" i="1"/>
  <c r="U75" i="1"/>
  <c r="P75" i="1"/>
  <c r="O75" i="1"/>
  <c r="N75" i="1"/>
  <c r="Q75" i="1" s="1"/>
  <c r="R75" i="1" s="1"/>
  <c r="S75" i="1" s="1"/>
  <c r="K75" i="1"/>
  <c r="AL74" i="1"/>
  <c r="AC74" i="1"/>
  <c r="AB74" i="1"/>
  <c r="Z74" i="1"/>
  <c r="X74" i="1"/>
  <c r="R74" i="1"/>
  <c r="S74" i="1" s="1"/>
  <c r="Q74" i="1"/>
  <c r="P74" i="1"/>
  <c r="O74" i="1"/>
  <c r="N74" i="1"/>
  <c r="K74" i="1"/>
  <c r="AD74" i="1" s="1"/>
  <c r="AL73" i="1"/>
  <c r="AD73" i="1"/>
  <c r="AE73" i="1" s="1"/>
  <c r="AC73" i="1"/>
  <c r="AB73" i="1"/>
  <c r="Z73" i="1"/>
  <c r="X73" i="1"/>
  <c r="U73" i="1"/>
  <c r="P73" i="1"/>
  <c r="O73" i="1"/>
  <c r="N73" i="1"/>
  <c r="Q73" i="1" s="1"/>
  <c r="R73" i="1" s="1"/>
  <c r="S73" i="1" s="1"/>
  <c r="M73" i="1"/>
  <c r="K73" i="1"/>
  <c r="AL72" i="1"/>
  <c r="AC72" i="1"/>
  <c r="AB72" i="1"/>
  <c r="Z72" i="1"/>
  <c r="X72" i="1"/>
  <c r="Q72" i="1"/>
  <c r="R72" i="1" s="1"/>
  <c r="S72" i="1" s="1"/>
  <c r="P72" i="1"/>
  <c r="O72" i="1"/>
  <c r="N72" i="1"/>
  <c r="K72" i="1"/>
  <c r="AD72" i="1" s="1"/>
  <c r="AL71" i="1"/>
  <c r="AC71" i="1"/>
  <c r="AD71" i="1" s="1"/>
  <c r="AE71" i="1" s="1"/>
  <c r="AB71" i="1"/>
  <c r="Z71" i="1"/>
  <c r="X71" i="1"/>
  <c r="U71" i="1"/>
  <c r="P71" i="1"/>
  <c r="O71" i="1"/>
  <c r="N71" i="1"/>
  <c r="Q71" i="1" s="1"/>
  <c r="R71" i="1" s="1"/>
  <c r="S71" i="1" s="1"/>
  <c r="K71" i="1"/>
  <c r="AL70" i="1"/>
  <c r="AC70" i="1"/>
  <c r="AB70" i="1"/>
  <c r="Z70" i="1"/>
  <c r="X70" i="1"/>
  <c r="R70" i="1"/>
  <c r="S70" i="1" s="1"/>
  <c r="Q70" i="1"/>
  <c r="P70" i="1"/>
  <c r="O70" i="1"/>
  <c r="N70" i="1"/>
  <c r="K70" i="1"/>
  <c r="AD70" i="1" s="1"/>
  <c r="AL69" i="1"/>
  <c r="AD69" i="1"/>
  <c r="AE69" i="1" s="1"/>
  <c r="AC69" i="1"/>
  <c r="AB69" i="1"/>
  <c r="Z69" i="1"/>
  <c r="X69" i="1"/>
  <c r="U69" i="1"/>
  <c r="P69" i="1"/>
  <c r="O69" i="1"/>
  <c r="N69" i="1"/>
  <c r="Q69" i="1" s="1"/>
  <c r="R69" i="1" s="1"/>
  <c r="S69" i="1" s="1"/>
  <c r="M69" i="1"/>
  <c r="K69" i="1"/>
  <c r="AL68" i="1"/>
  <c r="AC68" i="1"/>
  <c r="AB68" i="1"/>
  <c r="Z68" i="1"/>
  <c r="X68" i="1"/>
  <c r="Q68" i="1"/>
  <c r="R68" i="1" s="1"/>
  <c r="S68" i="1" s="1"/>
  <c r="P68" i="1"/>
  <c r="O68" i="1"/>
  <c r="N68" i="1"/>
  <c r="K68" i="1"/>
  <c r="AD68" i="1" s="1"/>
  <c r="AL67" i="1"/>
  <c r="AD67" i="1"/>
  <c r="AE67" i="1" s="1"/>
  <c r="AC67" i="1"/>
  <c r="AB67" i="1"/>
  <c r="Z67" i="1"/>
  <c r="X67" i="1"/>
  <c r="P67" i="1"/>
  <c r="O67" i="1"/>
  <c r="N67" i="1"/>
  <c r="Q67" i="1" s="1"/>
  <c r="K67" i="1"/>
  <c r="U67" i="1" s="1"/>
  <c r="AL66" i="1"/>
  <c r="AC66" i="1"/>
  <c r="AB66" i="1"/>
  <c r="Z66" i="1"/>
  <c r="X66" i="1"/>
  <c r="P66" i="1"/>
  <c r="Q66" i="1" s="1"/>
  <c r="R66" i="1" s="1"/>
  <c r="S66" i="1" s="1"/>
  <c r="O66" i="1"/>
  <c r="N66" i="1"/>
  <c r="K66" i="1"/>
  <c r="AD66" i="1" s="1"/>
  <c r="AL65" i="1"/>
  <c r="AC65" i="1"/>
  <c r="AB65" i="1"/>
  <c r="Z65" i="1"/>
  <c r="X65" i="1"/>
  <c r="U65" i="1"/>
  <c r="P65" i="1"/>
  <c r="O65" i="1"/>
  <c r="N65" i="1"/>
  <c r="Q65" i="1" s="1"/>
  <c r="K65" i="1"/>
  <c r="AD65" i="1" s="1"/>
  <c r="AE65" i="1" s="1"/>
  <c r="AL64" i="1"/>
  <c r="AC64" i="1"/>
  <c r="AB64" i="1"/>
  <c r="Z64" i="1"/>
  <c r="X64" i="1"/>
  <c r="P64" i="1"/>
  <c r="Q64" i="1" s="1"/>
  <c r="R64" i="1" s="1"/>
  <c r="S64" i="1" s="1"/>
  <c r="O64" i="1"/>
  <c r="N64" i="1"/>
  <c r="K64" i="1"/>
  <c r="AL63" i="1"/>
  <c r="AD63" i="1"/>
  <c r="AE63" i="1" s="1"/>
  <c r="AC63" i="1"/>
  <c r="AB63" i="1"/>
  <c r="Z63" i="1"/>
  <c r="X63" i="1"/>
  <c r="P63" i="1"/>
  <c r="O63" i="1"/>
  <c r="N63" i="1"/>
  <c r="K63" i="1"/>
  <c r="U63" i="1" s="1"/>
  <c r="AL62" i="1"/>
  <c r="AC62" i="1"/>
  <c r="AB62" i="1"/>
  <c r="Z62" i="1"/>
  <c r="X62" i="1"/>
  <c r="P62" i="1"/>
  <c r="Q62" i="1" s="1"/>
  <c r="R62" i="1" s="1"/>
  <c r="S62" i="1" s="1"/>
  <c r="O62" i="1"/>
  <c r="N62" i="1"/>
  <c r="K62" i="1"/>
  <c r="AL61" i="1"/>
  <c r="AC61" i="1"/>
  <c r="AB61" i="1"/>
  <c r="Z61" i="1"/>
  <c r="X61" i="1"/>
  <c r="P61" i="1"/>
  <c r="O61" i="1"/>
  <c r="N61" i="1"/>
  <c r="K61" i="1"/>
  <c r="U61" i="1" s="1"/>
  <c r="AL60" i="1"/>
  <c r="AC60" i="1"/>
  <c r="AB60" i="1"/>
  <c r="Z60" i="1"/>
  <c r="X60" i="1"/>
  <c r="P60" i="1"/>
  <c r="Q60" i="1" s="1"/>
  <c r="R60" i="1" s="1"/>
  <c r="S60" i="1" s="1"/>
  <c r="O60" i="1"/>
  <c r="N60" i="1"/>
  <c r="K60" i="1"/>
  <c r="AL59" i="1"/>
  <c r="AC59" i="1"/>
  <c r="AB59" i="1"/>
  <c r="Z59" i="1"/>
  <c r="X59" i="1"/>
  <c r="P59" i="1"/>
  <c r="O59" i="1"/>
  <c r="N59" i="1"/>
  <c r="K59" i="1"/>
  <c r="U59" i="1" s="1"/>
  <c r="AL58" i="1"/>
  <c r="AC58" i="1"/>
  <c r="AB58" i="1"/>
  <c r="Z58" i="1"/>
  <c r="X58" i="1"/>
  <c r="P58" i="1"/>
  <c r="Q58" i="1" s="1"/>
  <c r="R58" i="1" s="1"/>
  <c r="S58" i="1" s="1"/>
  <c r="O58" i="1"/>
  <c r="N58" i="1"/>
  <c r="K58" i="1"/>
  <c r="AL57" i="1"/>
  <c r="AC57" i="1"/>
  <c r="AB57" i="1"/>
  <c r="Z57" i="1"/>
  <c r="X57" i="1"/>
  <c r="P57" i="1"/>
  <c r="O57" i="1"/>
  <c r="N57" i="1"/>
  <c r="K57" i="1"/>
  <c r="U57" i="1" s="1"/>
  <c r="AL56" i="1"/>
  <c r="AC56" i="1"/>
  <c r="AB56" i="1"/>
  <c r="Z56" i="1"/>
  <c r="X56" i="1"/>
  <c r="P56" i="1"/>
  <c r="Q56" i="1" s="1"/>
  <c r="R56" i="1" s="1"/>
  <c r="S56" i="1" s="1"/>
  <c r="O56" i="1"/>
  <c r="N56" i="1"/>
  <c r="K56" i="1"/>
  <c r="AL55" i="1"/>
  <c r="AC55" i="1"/>
  <c r="AB55" i="1"/>
  <c r="Z55" i="1"/>
  <c r="X55" i="1"/>
  <c r="P55" i="1"/>
  <c r="O55" i="1"/>
  <c r="N55" i="1"/>
  <c r="K55" i="1"/>
  <c r="U55" i="1" s="1"/>
  <c r="AL54" i="1"/>
  <c r="AC54" i="1"/>
  <c r="AB54" i="1"/>
  <c r="Z54" i="1"/>
  <c r="X54" i="1"/>
  <c r="P54" i="1"/>
  <c r="Q54" i="1" s="1"/>
  <c r="R54" i="1" s="1"/>
  <c r="S54" i="1" s="1"/>
  <c r="O54" i="1"/>
  <c r="N54" i="1"/>
  <c r="K54" i="1"/>
  <c r="AL53" i="1"/>
  <c r="AC53" i="1"/>
  <c r="AB53" i="1"/>
  <c r="Z53" i="1"/>
  <c r="X53" i="1"/>
  <c r="P53" i="1"/>
  <c r="O53" i="1"/>
  <c r="N53" i="1"/>
  <c r="K53" i="1"/>
  <c r="U53" i="1" s="1"/>
  <c r="AL52" i="1"/>
  <c r="AC52" i="1"/>
  <c r="AB52" i="1"/>
  <c r="Z52" i="1"/>
  <c r="X52" i="1"/>
  <c r="P52" i="1"/>
  <c r="Q52" i="1" s="1"/>
  <c r="R52" i="1" s="1"/>
  <c r="S52" i="1" s="1"/>
  <c r="O52" i="1"/>
  <c r="N52" i="1"/>
  <c r="K52" i="1"/>
  <c r="AL51" i="1"/>
  <c r="AC51" i="1"/>
  <c r="AB51" i="1"/>
  <c r="Z51" i="1"/>
  <c r="X51" i="1"/>
  <c r="P51" i="1"/>
  <c r="O51" i="1"/>
  <c r="N51" i="1"/>
  <c r="K51" i="1"/>
  <c r="U51" i="1" s="1"/>
  <c r="AL50" i="1"/>
  <c r="AC50" i="1"/>
  <c r="AB50" i="1"/>
  <c r="Z50" i="1"/>
  <c r="X50" i="1"/>
  <c r="P50" i="1"/>
  <c r="Q50" i="1" s="1"/>
  <c r="R50" i="1" s="1"/>
  <c r="S50" i="1" s="1"/>
  <c r="O50" i="1"/>
  <c r="N50" i="1"/>
  <c r="K50" i="1"/>
  <c r="AL49" i="1"/>
  <c r="AC49" i="1"/>
  <c r="AB49" i="1"/>
  <c r="Z49" i="1"/>
  <c r="X49" i="1"/>
  <c r="P49" i="1"/>
  <c r="O49" i="1"/>
  <c r="N49" i="1"/>
  <c r="K49" i="1"/>
  <c r="U49" i="1" s="1"/>
  <c r="AL48" i="1"/>
  <c r="AC48" i="1"/>
  <c r="AB48" i="1"/>
  <c r="Z48" i="1"/>
  <c r="X48" i="1"/>
  <c r="P48" i="1"/>
  <c r="Q48" i="1" s="1"/>
  <c r="R48" i="1" s="1"/>
  <c r="S48" i="1" s="1"/>
  <c r="O48" i="1"/>
  <c r="N48" i="1"/>
  <c r="K48" i="1"/>
  <c r="AL47" i="1"/>
  <c r="AC47" i="1"/>
  <c r="AB47" i="1"/>
  <c r="Z47" i="1"/>
  <c r="X47" i="1"/>
  <c r="P47" i="1"/>
  <c r="O47" i="1"/>
  <c r="N47" i="1"/>
  <c r="K47" i="1"/>
  <c r="U47" i="1" s="1"/>
  <c r="AL46" i="1"/>
  <c r="AC46" i="1"/>
  <c r="AB46" i="1"/>
  <c r="Z46" i="1"/>
  <c r="X46" i="1"/>
  <c r="P46" i="1"/>
  <c r="Q46" i="1" s="1"/>
  <c r="R46" i="1" s="1"/>
  <c r="S46" i="1" s="1"/>
  <c r="O46" i="1"/>
  <c r="N46" i="1"/>
  <c r="K46" i="1"/>
  <c r="AL45" i="1"/>
  <c r="AC45" i="1"/>
  <c r="AB45" i="1"/>
  <c r="Z45" i="1"/>
  <c r="X45" i="1"/>
  <c r="P45" i="1"/>
  <c r="O45" i="1"/>
  <c r="N45" i="1"/>
  <c r="K45" i="1"/>
  <c r="U45" i="1" s="1"/>
  <c r="AL44" i="1"/>
  <c r="AC44" i="1"/>
  <c r="AB44" i="1"/>
  <c r="Z44" i="1"/>
  <c r="X44" i="1"/>
  <c r="P44" i="1"/>
  <c r="Q44" i="1" s="1"/>
  <c r="R44" i="1" s="1"/>
  <c r="S44" i="1" s="1"/>
  <c r="O44" i="1"/>
  <c r="N44" i="1"/>
  <c r="K44" i="1"/>
  <c r="AL43" i="1"/>
  <c r="AC43" i="1"/>
  <c r="AB43" i="1"/>
  <c r="Z43" i="1"/>
  <c r="X43" i="1"/>
  <c r="P43" i="1"/>
  <c r="O43" i="1"/>
  <c r="N43" i="1"/>
  <c r="K43" i="1"/>
  <c r="U43" i="1" s="1"/>
  <c r="AL42" i="1"/>
  <c r="AH42" i="1"/>
  <c r="AC42" i="1"/>
  <c r="AB42" i="1"/>
  <c r="Z42" i="1"/>
  <c r="X42" i="1"/>
  <c r="U42" i="1"/>
  <c r="AF42" i="1" s="1"/>
  <c r="Q42" i="1"/>
  <c r="R42" i="1" s="1"/>
  <c r="S42" i="1" s="1"/>
  <c r="P42" i="1"/>
  <c r="O42" i="1"/>
  <c r="N42" i="1"/>
  <c r="K42" i="1"/>
  <c r="AL41" i="1"/>
  <c r="AC41" i="1"/>
  <c r="AB41" i="1"/>
  <c r="Z41" i="1"/>
  <c r="X41" i="1"/>
  <c r="P41" i="1"/>
  <c r="Q41" i="1" s="1"/>
  <c r="R41" i="1" s="1"/>
  <c r="S41" i="1" s="1"/>
  <c r="O41" i="1"/>
  <c r="N41" i="1"/>
  <c r="K41" i="1"/>
  <c r="AD41" i="1" s="1"/>
  <c r="AE41" i="1" s="1"/>
  <c r="AL40" i="1"/>
  <c r="AC40" i="1"/>
  <c r="AB40" i="1"/>
  <c r="Z40" i="1"/>
  <c r="X40" i="1"/>
  <c r="Q40" i="1"/>
  <c r="R40" i="1" s="1"/>
  <c r="S40" i="1" s="1"/>
  <c r="P40" i="1"/>
  <c r="O40" i="1"/>
  <c r="N40" i="1"/>
  <c r="K40" i="1"/>
  <c r="AD40" i="1" s="1"/>
  <c r="AL39" i="1"/>
  <c r="AG39" i="1"/>
  <c r="AI39" i="1" s="1"/>
  <c r="AD39" i="1"/>
  <c r="AE39" i="1" s="1"/>
  <c r="AC39" i="1"/>
  <c r="AB39" i="1"/>
  <c r="Z39" i="1"/>
  <c r="X39" i="1"/>
  <c r="U39" i="1"/>
  <c r="AH39" i="1" s="1"/>
  <c r="P39" i="1"/>
  <c r="O39" i="1"/>
  <c r="N39" i="1"/>
  <c r="Q39" i="1" s="1"/>
  <c r="R39" i="1" s="1"/>
  <c r="S39" i="1" s="1"/>
  <c r="K39" i="1"/>
  <c r="AL38" i="1"/>
  <c r="AC38" i="1"/>
  <c r="AB38" i="1"/>
  <c r="Z38" i="1"/>
  <c r="X38" i="1"/>
  <c r="U38" i="1"/>
  <c r="Y38" i="1" s="1"/>
  <c r="R38" i="1"/>
  <c r="S38" i="1" s="1"/>
  <c r="Q38" i="1"/>
  <c r="P38" i="1"/>
  <c r="O38" i="1"/>
  <c r="N38" i="1"/>
  <c r="M38" i="1"/>
  <c r="K38" i="1"/>
  <c r="AL37" i="1"/>
  <c r="AC37" i="1"/>
  <c r="AB37" i="1"/>
  <c r="Z37" i="1"/>
  <c r="X37" i="1"/>
  <c r="Q37" i="1"/>
  <c r="P37" i="1"/>
  <c r="O37" i="1"/>
  <c r="N37" i="1"/>
  <c r="K37" i="1"/>
  <c r="AD37" i="1" s="1"/>
  <c r="AE37" i="1" s="1"/>
  <c r="AL36" i="1"/>
  <c r="AC36" i="1"/>
  <c r="AB36" i="1"/>
  <c r="Z36" i="1"/>
  <c r="U36" i="1" s="1"/>
  <c r="X36" i="1"/>
  <c r="P36" i="1"/>
  <c r="Q36" i="1" s="1"/>
  <c r="R36" i="1" s="1"/>
  <c r="S36" i="1" s="1"/>
  <c r="O36" i="1"/>
  <c r="N36" i="1"/>
  <c r="K36" i="1"/>
  <c r="AL35" i="1"/>
  <c r="AC35" i="1"/>
  <c r="AB35" i="1"/>
  <c r="Z35" i="1"/>
  <c r="X35" i="1"/>
  <c r="P35" i="1"/>
  <c r="O35" i="1"/>
  <c r="N35" i="1"/>
  <c r="Q35" i="1" s="1"/>
  <c r="R35" i="1" s="1"/>
  <c r="S35" i="1" s="1"/>
  <c r="K35" i="1"/>
  <c r="AD35" i="1" s="1"/>
  <c r="AE35" i="1" s="1"/>
  <c r="AL34" i="1"/>
  <c r="AH34" i="1"/>
  <c r="AC34" i="1"/>
  <c r="AB34" i="1"/>
  <c r="Z34" i="1"/>
  <c r="X34" i="1"/>
  <c r="U34" i="1"/>
  <c r="AF34" i="1" s="1"/>
  <c r="Q34" i="1"/>
  <c r="R34" i="1" s="1"/>
  <c r="S34" i="1" s="1"/>
  <c r="P34" i="1"/>
  <c r="O34" i="1"/>
  <c r="N34" i="1"/>
  <c r="K34" i="1"/>
  <c r="AL33" i="1"/>
  <c r="AC33" i="1"/>
  <c r="AB33" i="1"/>
  <c r="Z33" i="1"/>
  <c r="X33" i="1"/>
  <c r="P33" i="1"/>
  <c r="Q33" i="1" s="1"/>
  <c r="R33" i="1" s="1"/>
  <c r="S33" i="1" s="1"/>
  <c r="O33" i="1"/>
  <c r="N33" i="1"/>
  <c r="K33" i="1"/>
  <c r="AD33" i="1" s="1"/>
  <c r="AE33" i="1" s="1"/>
  <c r="AL32" i="1"/>
  <c r="AC32" i="1"/>
  <c r="AB32" i="1"/>
  <c r="Z32" i="1"/>
  <c r="AE32" i="1" s="1"/>
  <c r="Y32" i="1"/>
  <c r="X32" i="1"/>
  <c r="U32" i="1"/>
  <c r="AH32" i="1" s="1"/>
  <c r="P32" i="1"/>
  <c r="Q32" i="1" s="1"/>
  <c r="R32" i="1" s="1"/>
  <c r="S32" i="1" s="1"/>
  <c r="O32" i="1"/>
  <c r="N32" i="1"/>
  <c r="K32" i="1"/>
  <c r="AD32" i="1" s="1"/>
  <c r="AL31" i="1"/>
  <c r="AC31" i="1"/>
  <c r="AB31" i="1"/>
  <c r="Z31" i="1"/>
  <c r="AE31" i="1" s="1"/>
  <c r="X31" i="1"/>
  <c r="Q31" i="1"/>
  <c r="R31" i="1" s="1"/>
  <c r="S31" i="1" s="1"/>
  <c r="P31" i="1"/>
  <c r="O31" i="1"/>
  <c r="N31" i="1"/>
  <c r="K31" i="1"/>
  <c r="AD31" i="1" s="1"/>
  <c r="AL30" i="1"/>
  <c r="AC30" i="1"/>
  <c r="AB30" i="1"/>
  <c r="Z30" i="1"/>
  <c r="X30" i="1"/>
  <c r="P30" i="1"/>
  <c r="O30" i="1"/>
  <c r="N30" i="1"/>
  <c r="Q30" i="1" s="1"/>
  <c r="R30" i="1" s="1"/>
  <c r="S30" i="1" s="1"/>
  <c r="K30" i="1"/>
  <c r="AD30" i="1" s="1"/>
  <c r="AL29" i="1"/>
  <c r="AC29" i="1"/>
  <c r="AB29" i="1"/>
  <c r="Z29" i="1"/>
  <c r="X29" i="1"/>
  <c r="P29" i="1"/>
  <c r="O29" i="1"/>
  <c r="Q29" i="1" s="1"/>
  <c r="R29" i="1" s="1"/>
  <c r="S29" i="1" s="1"/>
  <c r="N29" i="1"/>
  <c r="K29" i="1"/>
  <c r="AD29" i="1" s="1"/>
  <c r="AE29" i="1" s="1"/>
  <c r="AL28" i="1"/>
  <c r="AC28" i="1"/>
  <c r="AB28" i="1"/>
  <c r="Z28" i="1"/>
  <c r="X28" i="1"/>
  <c r="Q28" i="1"/>
  <c r="R28" i="1" s="1"/>
  <c r="S28" i="1" s="1"/>
  <c r="P28" i="1"/>
  <c r="O28" i="1"/>
  <c r="N28" i="1"/>
  <c r="K28" i="1"/>
  <c r="AD28" i="1" s="1"/>
  <c r="AL27" i="1"/>
  <c r="AE27" i="1"/>
  <c r="AC27" i="1"/>
  <c r="AB27" i="1"/>
  <c r="Z27" i="1"/>
  <c r="X27" i="1"/>
  <c r="P27" i="1"/>
  <c r="O27" i="1"/>
  <c r="N27" i="1"/>
  <c r="Q27" i="1" s="1"/>
  <c r="R27" i="1" s="1"/>
  <c r="S27" i="1" s="1"/>
  <c r="M27" i="1"/>
  <c r="K27" i="1"/>
  <c r="AD27" i="1" s="1"/>
  <c r="AL26" i="1"/>
  <c r="AC26" i="1"/>
  <c r="AB26" i="1"/>
  <c r="Z26" i="1"/>
  <c r="X26" i="1"/>
  <c r="P26" i="1"/>
  <c r="O26" i="1"/>
  <c r="N26" i="1"/>
  <c r="Q26" i="1" s="1"/>
  <c r="R26" i="1" s="1"/>
  <c r="S26" i="1" s="1"/>
  <c r="K26" i="1"/>
  <c r="AD26" i="1" s="1"/>
  <c r="AL25" i="1"/>
  <c r="AC25" i="1"/>
  <c r="AB25" i="1"/>
  <c r="Z25" i="1"/>
  <c r="X25" i="1"/>
  <c r="P25" i="1"/>
  <c r="O25" i="1"/>
  <c r="Q25" i="1" s="1"/>
  <c r="R25" i="1" s="1"/>
  <c r="S25" i="1" s="1"/>
  <c r="N25" i="1"/>
  <c r="K25" i="1"/>
  <c r="AD25" i="1" s="1"/>
  <c r="AL24" i="1"/>
  <c r="AH24" i="1"/>
  <c r="AD24" i="1"/>
  <c r="AC24" i="1"/>
  <c r="AB24" i="1"/>
  <c r="Z24" i="1"/>
  <c r="Y24" i="1"/>
  <c r="X24" i="1"/>
  <c r="U24" i="1"/>
  <c r="AG24" i="1" s="1"/>
  <c r="AI24" i="1" s="1"/>
  <c r="AJ24" i="1" s="1"/>
  <c r="P24" i="1"/>
  <c r="Q24" i="1" s="1"/>
  <c r="R24" i="1" s="1"/>
  <c r="S24" i="1" s="1"/>
  <c r="O24" i="1"/>
  <c r="N24" i="1"/>
  <c r="M24" i="1"/>
  <c r="K24" i="1"/>
  <c r="AL23" i="1"/>
  <c r="AC23" i="1"/>
  <c r="AB23" i="1"/>
  <c r="Z23" i="1"/>
  <c r="X23" i="1"/>
  <c r="Q23" i="1"/>
  <c r="R23" i="1" s="1"/>
  <c r="S23" i="1" s="1"/>
  <c r="P23" i="1"/>
  <c r="O23" i="1"/>
  <c r="N23" i="1"/>
  <c r="K23" i="1"/>
  <c r="AD23" i="1" s="1"/>
  <c r="AL22" i="1"/>
  <c r="AC22" i="1"/>
  <c r="AD22" i="1" s="1"/>
  <c r="AB22" i="1"/>
  <c r="Z22" i="1"/>
  <c r="AE22" i="1" s="1"/>
  <c r="X22" i="1"/>
  <c r="U22" i="1"/>
  <c r="P22" i="1"/>
  <c r="O22" i="1"/>
  <c r="N22" i="1"/>
  <c r="Q22" i="1" s="1"/>
  <c r="R22" i="1" s="1"/>
  <c r="S22" i="1" s="1"/>
  <c r="M22" i="1"/>
  <c r="K22" i="1"/>
  <c r="AL21" i="1"/>
  <c r="AD21" i="1"/>
  <c r="AC21" i="1"/>
  <c r="AB21" i="1"/>
  <c r="Z21" i="1"/>
  <c r="AE21" i="1" s="1"/>
  <c r="X21" i="1"/>
  <c r="Q21" i="1"/>
  <c r="R21" i="1" s="1"/>
  <c r="S21" i="1" s="1"/>
  <c r="P21" i="1"/>
  <c r="O21" i="1"/>
  <c r="N21" i="1"/>
  <c r="K21" i="1"/>
  <c r="AL20" i="1"/>
  <c r="AC20" i="1"/>
  <c r="AD20" i="1" s="1"/>
  <c r="AB20" i="1"/>
  <c r="Z20" i="1"/>
  <c r="AE20" i="1" s="1"/>
  <c r="X20" i="1"/>
  <c r="U20" i="1"/>
  <c r="P20" i="1"/>
  <c r="O20" i="1"/>
  <c r="N20" i="1"/>
  <c r="Q20" i="1" s="1"/>
  <c r="R20" i="1" s="1"/>
  <c r="S20" i="1" s="1"/>
  <c r="M20" i="1"/>
  <c r="K20" i="1"/>
  <c r="AL19" i="1"/>
  <c r="AD19" i="1"/>
  <c r="AC19" i="1"/>
  <c r="AB19" i="1"/>
  <c r="Z19" i="1"/>
  <c r="AE19" i="1" s="1"/>
  <c r="X19" i="1"/>
  <c r="Q19" i="1"/>
  <c r="R19" i="1" s="1"/>
  <c r="S19" i="1" s="1"/>
  <c r="P19" i="1"/>
  <c r="O19" i="1"/>
  <c r="N19" i="1"/>
  <c r="K19" i="1"/>
  <c r="AL18" i="1"/>
  <c r="AC18" i="1"/>
  <c r="AD18" i="1" s="1"/>
  <c r="AB18" i="1"/>
  <c r="Z18" i="1"/>
  <c r="AE18" i="1" s="1"/>
  <c r="X18" i="1"/>
  <c r="U18" i="1"/>
  <c r="P18" i="1"/>
  <c r="O18" i="1"/>
  <c r="N18" i="1"/>
  <c r="Q18" i="1" s="1"/>
  <c r="R18" i="1" s="1"/>
  <c r="S18" i="1" s="1"/>
  <c r="M18" i="1"/>
  <c r="K18" i="1"/>
  <c r="AL17" i="1"/>
  <c r="AD17" i="1"/>
  <c r="AC17" i="1"/>
  <c r="AB17" i="1"/>
  <c r="Z17" i="1"/>
  <c r="AE17" i="1" s="1"/>
  <c r="X17" i="1"/>
  <c r="Q17" i="1"/>
  <c r="R17" i="1" s="1"/>
  <c r="S17" i="1" s="1"/>
  <c r="P17" i="1"/>
  <c r="O17" i="1"/>
  <c r="N17" i="1"/>
  <c r="K17" i="1"/>
  <c r="AL16" i="1"/>
  <c r="AC16" i="1"/>
  <c r="AD16" i="1" s="1"/>
  <c r="AB16" i="1"/>
  <c r="Z16" i="1"/>
  <c r="AE16" i="1" s="1"/>
  <c r="X16" i="1"/>
  <c r="U16" i="1"/>
  <c r="P16" i="1"/>
  <c r="O16" i="1"/>
  <c r="N16" i="1"/>
  <c r="Q16" i="1" s="1"/>
  <c r="R16" i="1" s="1"/>
  <c r="S16" i="1" s="1"/>
  <c r="M16" i="1"/>
  <c r="K16" i="1"/>
  <c r="AL15" i="1"/>
  <c r="AD15" i="1"/>
  <c r="AC15" i="1"/>
  <c r="AB15" i="1"/>
  <c r="Z15" i="1"/>
  <c r="AE15" i="1" s="1"/>
  <c r="X15" i="1"/>
  <c r="Q15" i="1"/>
  <c r="R15" i="1" s="1"/>
  <c r="S15" i="1" s="1"/>
  <c r="P15" i="1"/>
  <c r="O15" i="1"/>
  <c r="N15" i="1"/>
  <c r="K15" i="1"/>
  <c r="AL14" i="1"/>
  <c r="AC14" i="1"/>
  <c r="AD14" i="1" s="1"/>
  <c r="AB14" i="1"/>
  <c r="Z14" i="1"/>
  <c r="X14" i="1"/>
  <c r="U14" i="1"/>
  <c r="P14" i="1"/>
  <c r="O14" i="1"/>
  <c r="N14" i="1"/>
  <c r="Q14" i="1" s="1"/>
  <c r="R14" i="1" s="1"/>
  <c r="S14" i="1" s="1"/>
  <c r="M14" i="1"/>
  <c r="K14" i="1"/>
  <c r="AL13" i="1"/>
  <c r="AD13" i="1"/>
  <c r="AC13" i="1"/>
  <c r="AB13" i="1"/>
  <c r="Z13" i="1"/>
  <c r="AE13" i="1" s="1"/>
  <c r="X13" i="1"/>
  <c r="Q13" i="1"/>
  <c r="R13" i="1" s="1"/>
  <c r="S13" i="1" s="1"/>
  <c r="P13" i="1"/>
  <c r="O13" i="1"/>
  <c r="N13" i="1"/>
  <c r="K13" i="1"/>
  <c r="AL12" i="1"/>
  <c r="AC12" i="1"/>
  <c r="AD12" i="1" s="1"/>
  <c r="AB12" i="1"/>
  <c r="Z12" i="1"/>
  <c r="X12" i="1"/>
  <c r="U12" i="1"/>
  <c r="P12" i="1"/>
  <c r="O12" i="1"/>
  <c r="N12" i="1"/>
  <c r="Q12" i="1" s="1"/>
  <c r="R12" i="1" s="1"/>
  <c r="S12" i="1" s="1"/>
  <c r="M12" i="1"/>
  <c r="K12" i="1"/>
  <c r="AL11" i="1"/>
  <c r="AD11" i="1"/>
  <c r="AC11" i="1"/>
  <c r="AB11" i="1"/>
  <c r="Z11" i="1"/>
  <c r="AE11" i="1" s="1"/>
  <c r="X11" i="1"/>
  <c r="Q11" i="1"/>
  <c r="R11" i="1" s="1"/>
  <c r="S11" i="1" s="1"/>
  <c r="P11" i="1"/>
  <c r="O11" i="1"/>
  <c r="N11" i="1"/>
  <c r="K11" i="1"/>
  <c r="AL10" i="1"/>
  <c r="AC10" i="1"/>
  <c r="AD10" i="1" s="1"/>
  <c r="AB10" i="1"/>
  <c r="Z10" i="1"/>
  <c r="AE10" i="1" s="1"/>
  <c r="X10" i="1"/>
  <c r="U10" i="1"/>
  <c r="P10" i="1"/>
  <c r="O10" i="1"/>
  <c r="N10" i="1"/>
  <c r="Q10" i="1" s="1"/>
  <c r="R10" i="1" s="1"/>
  <c r="S10" i="1" s="1"/>
  <c r="M10" i="1"/>
  <c r="K10" i="1"/>
  <c r="AL9" i="1"/>
  <c r="AD9" i="1"/>
  <c r="AC9" i="1"/>
  <c r="AB9" i="1"/>
  <c r="Z9" i="1"/>
  <c r="AE9" i="1" s="1"/>
  <c r="X9" i="1"/>
  <c r="Q9" i="1"/>
  <c r="R9" i="1" s="1"/>
  <c r="S9" i="1" s="1"/>
  <c r="P9" i="1"/>
  <c r="O9" i="1"/>
  <c r="N9" i="1"/>
  <c r="K9" i="1"/>
  <c r="AL8" i="1"/>
  <c r="AC8" i="1"/>
  <c r="AD8" i="1" s="1"/>
  <c r="AB8" i="1"/>
  <c r="Z8" i="1"/>
  <c r="AE8" i="1" s="1"/>
  <c r="X8" i="1"/>
  <c r="U8" i="1"/>
  <c r="P8" i="1"/>
  <c r="O8" i="1"/>
  <c r="N8" i="1"/>
  <c r="Q8" i="1" s="1"/>
  <c r="R8" i="1" s="1"/>
  <c r="S8" i="1" s="1"/>
  <c r="M8" i="1"/>
  <c r="K8" i="1"/>
  <c r="AL7" i="1"/>
  <c r="AD7" i="1"/>
  <c r="AC7" i="1"/>
  <c r="AB7" i="1"/>
  <c r="Z7" i="1"/>
  <c r="AE7" i="1" s="1"/>
  <c r="X7" i="1"/>
  <c r="Q7" i="1"/>
  <c r="R7" i="1" s="1"/>
  <c r="S7" i="1" s="1"/>
  <c r="P7" i="1"/>
  <c r="O7" i="1"/>
  <c r="N7" i="1"/>
  <c r="K7" i="1"/>
  <c r="U7" i="1" s="1"/>
  <c r="Y7" i="1" s="1"/>
  <c r="AL6" i="1"/>
  <c r="AC6" i="1"/>
  <c r="AD6" i="1" s="1"/>
  <c r="AB6" i="1"/>
  <c r="Z6" i="1"/>
  <c r="AE6" i="1" s="1"/>
  <c r="X6" i="1"/>
  <c r="U6" i="1"/>
  <c r="P6" i="1"/>
  <c r="O6" i="1"/>
  <c r="N6" i="1"/>
  <c r="Q6" i="1" s="1"/>
  <c r="R6" i="1" s="1"/>
  <c r="S6" i="1" s="1"/>
  <c r="M6" i="1"/>
  <c r="K6" i="1"/>
  <c r="AL5" i="1"/>
  <c r="AG5" i="1"/>
  <c r="AD5" i="1"/>
  <c r="AC5" i="1"/>
  <c r="AB5" i="1"/>
  <c r="Z5" i="1"/>
  <c r="AE5" i="1" s="1"/>
  <c r="Y5" i="1"/>
  <c r="X5" i="1"/>
  <c r="Q5" i="1"/>
  <c r="R5" i="1" s="1"/>
  <c r="S5" i="1" s="1"/>
  <c r="P5" i="1"/>
  <c r="O5" i="1"/>
  <c r="N5" i="1"/>
  <c r="K5" i="1"/>
  <c r="U5" i="1" s="1"/>
  <c r="AL4" i="1"/>
  <c r="AC4" i="1"/>
  <c r="AB4" i="1"/>
  <c r="Z4" i="1"/>
  <c r="X4" i="1"/>
  <c r="U4" i="1"/>
  <c r="P4" i="1"/>
  <c r="O4" i="1"/>
  <c r="N4" i="1"/>
  <c r="M4" i="1"/>
  <c r="K4" i="1"/>
  <c r="X2" i="1"/>
  <c r="L2" i="1"/>
  <c r="Z1" i="1"/>
  <c r="O1" i="1"/>
  <c r="P1" i="1" s="1"/>
  <c r="M1" i="1"/>
  <c r="L1" i="1"/>
  <c r="AG7" i="1" l="1"/>
  <c r="T10" i="1"/>
  <c r="AH10" i="1"/>
  <c r="AG10" i="1"/>
  <c r="Y10" i="1"/>
  <c r="AF10" i="1"/>
  <c r="AJ39" i="1"/>
  <c r="AH105" i="1"/>
  <c r="Y105" i="1"/>
  <c r="AG105" i="1"/>
  <c r="AI105" i="1" s="1"/>
  <c r="AJ105" i="1" s="1"/>
  <c r="AF105" i="1"/>
  <c r="T105" i="1"/>
  <c r="AH120" i="1"/>
  <c r="Y120" i="1"/>
  <c r="AG120" i="1"/>
  <c r="AF120" i="1"/>
  <c r="T120" i="1"/>
  <c r="AC419" i="1"/>
  <c r="AD4" i="1"/>
  <c r="T12" i="1"/>
  <c r="AH12" i="1"/>
  <c r="AG12" i="1"/>
  <c r="AI12" i="1" s="1"/>
  <c r="AJ12" i="1" s="1"/>
  <c r="Y12" i="1"/>
  <c r="AF12" i="1"/>
  <c r="AH43" i="1"/>
  <c r="AG43" i="1"/>
  <c r="Y43" i="1"/>
  <c r="T43" i="1"/>
  <c r="AF43" i="1"/>
  <c r="AH51" i="1"/>
  <c r="AG51" i="1"/>
  <c r="AI51" i="1" s="1"/>
  <c r="Y51" i="1"/>
  <c r="AF51" i="1"/>
  <c r="T51" i="1"/>
  <c r="AH59" i="1"/>
  <c r="AG59" i="1"/>
  <c r="AI59" i="1" s="1"/>
  <c r="Y59" i="1"/>
  <c r="AF59" i="1"/>
  <c r="T59" i="1"/>
  <c r="T20" i="1"/>
  <c r="AH20" i="1"/>
  <c r="AG20" i="1"/>
  <c r="AI20" i="1" s="1"/>
  <c r="AJ20" i="1" s="1"/>
  <c r="Y20" i="1"/>
  <c r="AF20" i="1"/>
  <c r="T14" i="1"/>
  <c r="AH14" i="1"/>
  <c r="AG14" i="1"/>
  <c r="AI14" i="1" s="1"/>
  <c r="AJ14" i="1" s="1"/>
  <c r="Y14" i="1"/>
  <c r="AF14" i="1"/>
  <c r="AH121" i="1"/>
  <c r="Y121" i="1"/>
  <c r="AG121" i="1"/>
  <c r="AF121" i="1"/>
  <c r="T121" i="1"/>
  <c r="AH57" i="1"/>
  <c r="AG57" i="1"/>
  <c r="AI57" i="1" s="1"/>
  <c r="AJ57" i="1" s="1"/>
  <c r="Y57" i="1"/>
  <c r="T57" i="1"/>
  <c r="AF57" i="1"/>
  <c r="AE12" i="1"/>
  <c r="T16" i="1"/>
  <c r="AH16" i="1"/>
  <c r="AG16" i="1"/>
  <c r="AI16" i="1" s="1"/>
  <c r="AJ16" i="1" s="1"/>
  <c r="Y16" i="1"/>
  <c r="AF16" i="1"/>
  <c r="AE23" i="1"/>
  <c r="AE25" i="1"/>
  <c r="Y36" i="1"/>
  <c r="AH36" i="1"/>
  <c r="AG36" i="1"/>
  <c r="AF36" i="1"/>
  <c r="T36" i="1"/>
  <c r="AH45" i="1"/>
  <c r="AG45" i="1"/>
  <c r="AI45" i="1" s="1"/>
  <c r="Y45" i="1"/>
  <c r="T45" i="1"/>
  <c r="AF45" i="1"/>
  <c r="AH53" i="1"/>
  <c r="AG53" i="1"/>
  <c r="Y53" i="1"/>
  <c r="T53" i="1"/>
  <c r="AF53" i="1"/>
  <c r="AH61" i="1"/>
  <c r="AG61" i="1"/>
  <c r="Y61" i="1"/>
  <c r="T61" i="1"/>
  <c r="AF61" i="1"/>
  <c r="AH67" i="1"/>
  <c r="AG67" i="1"/>
  <c r="AI67" i="1" s="1"/>
  <c r="AJ67" i="1" s="1"/>
  <c r="Y67" i="1"/>
  <c r="AF67" i="1"/>
  <c r="T67" i="1"/>
  <c r="AH112" i="1"/>
  <c r="Y112" i="1"/>
  <c r="AG112" i="1"/>
  <c r="AF112" i="1"/>
  <c r="T112" i="1"/>
  <c r="AE4" i="1"/>
  <c r="T8" i="1"/>
  <c r="AH8" i="1"/>
  <c r="AG8" i="1"/>
  <c r="Y8" i="1"/>
  <c r="AF8" i="1"/>
  <c r="AH49" i="1"/>
  <c r="AG49" i="1"/>
  <c r="Y49" i="1"/>
  <c r="T49" i="1"/>
  <c r="AF49" i="1"/>
  <c r="R1" i="1"/>
  <c r="AF5" i="1"/>
  <c r="T5" i="1"/>
  <c r="AH5" i="1"/>
  <c r="AI5" i="1" s="1"/>
  <c r="AJ5" i="1" s="1"/>
  <c r="AE14" i="1"/>
  <c r="T18" i="1"/>
  <c r="AH18" i="1"/>
  <c r="AG18" i="1"/>
  <c r="AI18" i="1" s="1"/>
  <c r="AJ18" i="1" s="1"/>
  <c r="Y18" i="1"/>
  <c r="AF18" i="1"/>
  <c r="T4" i="1"/>
  <c r="AH4" i="1"/>
  <c r="AG4" i="1"/>
  <c r="Y4" i="1"/>
  <c r="AF4" i="1"/>
  <c r="AF7" i="1"/>
  <c r="T7" i="1"/>
  <c r="AH7" i="1"/>
  <c r="AH47" i="1"/>
  <c r="AG47" i="1"/>
  <c r="AI47" i="1" s="1"/>
  <c r="Y47" i="1"/>
  <c r="T47" i="1"/>
  <c r="AF47" i="1"/>
  <c r="AH55" i="1"/>
  <c r="AG55" i="1"/>
  <c r="AI55" i="1" s="1"/>
  <c r="Y55" i="1"/>
  <c r="T55" i="1"/>
  <c r="AF55" i="1"/>
  <c r="AH63" i="1"/>
  <c r="AG63" i="1"/>
  <c r="AI63" i="1" s="1"/>
  <c r="AJ63" i="1" s="1"/>
  <c r="Y63" i="1"/>
  <c r="AF63" i="1"/>
  <c r="T63" i="1"/>
  <c r="AH113" i="1"/>
  <c r="Y113" i="1"/>
  <c r="AG113" i="1"/>
  <c r="AI113" i="1" s="1"/>
  <c r="AJ113" i="1" s="1"/>
  <c r="AF113" i="1"/>
  <c r="T113" i="1"/>
  <c r="T6" i="1"/>
  <c r="AH6" i="1"/>
  <c r="AG6" i="1"/>
  <c r="Y6" i="1"/>
  <c r="AF6" i="1"/>
  <c r="T22" i="1"/>
  <c r="AH22" i="1"/>
  <c r="AG22" i="1"/>
  <c r="AI22" i="1" s="1"/>
  <c r="AJ22" i="1" s="1"/>
  <c r="Y22" i="1"/>
  <c r="AF22" i="1"/>
  <c r="AH104" i="1"/>
  <c r="Y104" i="1"/>
  <c r="AG104" i="1"/>
  <c r="AF104" i="1"/>
  <c r="T104" i="1"/>
  <c r="T79" i="1"/>
  <c r="AH79" i="1"/>
  <c r="AG79" i="1"/>
  <c r="Y79" i="1"/>
  <c r="AF79" i="1"/>
  <c r="M418" i="1"/>
  <c r="M415" i="1"/>
  <c r="M411" i="1"/>
  <c r="M407" i="1"/>
  <c r="M403" i="1"/>
  <c r="M399" i="1"/>
  <c r="M395" i="1"/>
  <c r="M414" i="1"/>
  <c r="M410" i="1"/>
  <c r="M406" i="1"/>
  <c r="M402" i="1"/>
  <c r="M398" i="1"/>
  <c r="M394" i="1"/>
  <c r="M377" i="1"/>
  <c r="M375" i="1"/>
  <c r="M373" i="1"/>
  <c r="M416" i="1"/>
  <c r="M412" i="1"/>
  <c r="M408" i="1"/>
  <c r="M404" i="1"/>
  <c r="M400" i="1"/>
  <c r="M396" i="1"/>
  <c r="M417" i="1"/>
  <c r="M401" i="1"/>
  <c r="M392" i="1"/>
  <c r="M413" i="1"/>
  <c r="M405" i="1"/>
  <c r="M387" i="1"/>
  <c r="M383" i="1"/>
  <c r="M379" i="1"/>
  <c r="M409" i="1"/>
  <c r="M393" i="1"/>
  <c r="M388" i="1"/>
  <c r="M384" i="1"/>
  <c r="M380" i="1"/>
  <c r="M382" i="1"/>
  <c r="M378" i="1"/>
  <c r="M361" i="1"/>
  <c r="M358" i="1"/>
  <c r="M354" i="1"/>
  <c r="M346" i="1"/>
  <c r="M397" i="1"/>
  <c r="M391" i="1"/>
  <c r="M371" i="1"/>
  <c r="M368" i="1"/>
  <c r="M365" i="1"/>
  <c r="M362" i="1"/>
  <c r="M348" i="1"/>
  <c r="M372" i="1"/>
  <c r="M359" i="1"/>
  <c r="M356" i="1"/>
  <c r="M349" i="1"/>
  <c r="M369" i="1"/>
  <c r="M366" i="1"/>
  <c r="M350" i="1"/>
  <c r="M342" i="1"/>
  <c r="M340" i="1"/>
  <c r="M389" i="1"/>
  <c r="M376" i="1"/>
  <c r="M374" i="1"/>
  <c r="M363" i="1"/>
  <c r="M360" i="1"/>
  <c r="M351" i="1"/>
  <c r="M343" i="1"/>
  <c r="M339" i="1"/>
  <c r="M390" i="1"/>
  <c r="M385" i="1"/>
  <c r="M370" i="1"/>
  <c r="M357" i="1"/>
  <c r="M386" i="1"/>
  <c r="M381" i="1"/>
  <c r="M367" i="1"/>
  <c r="M364" i="1"/>
  <c r="M353" i="1"/>
  <c r="M341" i="1"/>
  <c r="M347" i="1"/>
  <c r="M336" i="1"/>
  <c r="M331" i="1"/>
  <c r="M329" i="1"/>
  <c r="M327" i="1"/>
  <c r="M325" i="1"/>
  <c r="M323" i="1"/>
  <c r="M321" i="1"/>
  <c r="M319" i="1"/>
  <c r="M317" i="1"/>
  <c r="M315" i="1"/>
  <c r="M313" i="1"/>
  <c r="M333" i="1"/>
  <c r="M352" i="1"/>
  <c r="M338" i="1"/>
  <c r="M334" i="1"/>
  <c r="M34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45" i="1"/>
  <c r="M337" i="1"/>
  <c r="M335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355" i="1"/>
  <c r="M272" i="1"/>
  <c r="M271" i="1"/>
  <c r="M273" i="1"/>
  <c r="M270" i="1"/>
  <c r="M268" i="1"/>
  <c r="M266" i="1"/>
  <c r="M264" i="1"/>
  <c r="M262" i="1"/>
  <c r="M280" i="1"/>
  <c r="M278" i="1"/>
  <c r="M276" i="1"/>
  <c r="M274" i="1"/>
  <c r="M263" i="1"/>
  <c r="M254" i="1"/>
  <c r="M257" i="1"/>
  <c r="M267" i="1"/>
  <c r="M260" i="1"/>
  <c r="M221" i="1"/>
  <c r="M255" i="1"/>
  <c r="M258" i="1"/>
  <c r="M265" i="1"/>
  <c r="M261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19" i="1"/>
  <c r="M217" i="1"/>
  <c r="M213" i="1"/>
  <c r="M209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256" i="1"/>
  <c r="M223" i="1"/>
  <c r="M214" i="1"/>
  <c r="M210" i="1"/>
  <c r="M206" i="1"/>
  <c r="M259" i="1"/>
  <c r="M215" i="1"/>
  <c r="M211" i="1"/>
  <c r="M207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220" i="1"/>
  <c r="M218" i="1"/>
  <c r="M222" i="1"/>
  <c r="M216" i="1"/>
  <c r="M212" i="1"/>
  <c r="M208" i="1"/>
  <c r="M167" i="1"/>
  <c r="M269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71" i="1"/>
  <c r="M170" i="1"/>
  <c r="M125" i="1"/>
  <c r="M118" i="1"/>
  <c r="M110" i="1"/>
  <c r="M102" i="1"/>
  <c r="M163" i="1"/>
  <c r="M153" i="1"/>
  <c r="M145" i="1"/>
  <c r="M135" i="1"/>
  <c r="M127" i="1"/>
  <c r="M117" i="1"/>
  <c r="M109" i="1"/>
  <c r="M101" i="1"/>
  <c r="M157" i="1"/>
  <c r="M155" i="1"/>
  <c r="M116" i="1"/>
  <c r="M108" i="1"/>
  <c r="M100" i="1"/>
  <c r="M168" i="1"/>
  <c r="M159" i="1"/>
  <c r="M151" i="1"/>
  <c r="M143" i="1"/>
  <c r="M137" i="1"/>
  <c r="M129" i="1"/>
  <c r="M115" i="1"/>
  <c r="M107" i="1"/>
  <c r="M99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165" i="1"/>
  <c r="M123" i="1"/>
  <c r="M122" i="1"/>
  <c r="M114" i="1"/>
  <c r="M106" i="1"/>
  <c r="M98" i="1"/>
  <c r="M169" i="1"/>
  <c r="M149" i="1"/>
  <c r="M139" i="1"/>
  <c r="M131" i="1"/>
  <c r="M121" i="1"/>
  <c r="M113" i="1"/>
  <c r="M105" i="1"/>
  <c r="H2" i="1"/>
  <c r="N419" i="1"/>
  <c r="AL419" i="1"/>
  <c r="AE24" i="1"/>
  <c r="M28" i="1"/>
  <c r="U28" i="1"/>
  <c r="U29" i="1"/>
  <c r="U35" i="1"/>
  <c r="AD36" i="1"/>
  <c r="M37" i="1"/>
  <c r="AH38" i="1"/>
  <c r="Y39" i="1"/>
  <c r="AE40" i="1"/>
  <c r="AE68" i="1"/>
  <c r="AE72" i="1"/>
  <c r="AE76" i="1"/>
  <c r="AE80" i="1"/>
  <c r="AE84" i="1"/>
  <c r="AE88" i="1"/>
  <c r="U88" i="1"/>
  <c r="AE92" i="1"/>
  <c r="U92" i="1"/>
  <c r="AE96" i="1"/>
  <c r="U96" i="1"/>
  <c r="AE108" i="1"/>
  <c r="Q109" i="1"/>
  <c r="R109" i="1" s="1"/>
  <c r="S109" i="1" s="1"/>
  <c r="AE116" i="1"/>
  <c r="Q117" i="1"/>
  <c r="R117" i="1" s="1"/>
  <c r="S117" i="1" s="1"/>
  <c r="M124" i="1"/>
  <c r="U128" i="1"/>
  <c r="AD128" i="1"/>
  <c r="AE128" i="1" s="1"/>
  <c r="U136" i="1"/>
  <c r="AD136" i="1"/>
  <c r="AE136" i="1" s="1"/>
  <c r="M141" i="1"/>
  <c r="AH265" i="1"/>
  <c r="AG265" i="1"/>
  <c r="AI265" i="1" s="1"/>
  <c r="AJ265" i="1" s="1"/>
  <c r="Y265" i="1"/>
  <c r="AF265" i="1"/>
  <c r="T265" i="1"/>
  <c r="T75" i="1"/>
  <c r="AH75" i="1"/>
  <c r="AG75" i="1"/>
  <c r="AI75" i="1" s="1"/>
  <c r="AJ75" i="1" s="1"/>
  <c r="Y75" i="1"/>
  <c r="AF75" i="1"/>
  <c r="T91" i="1"/>
  <c r="AH91" i="1"/>
  <c r="AG91" i="1"/>
  <c r="Y91" i="1"/>
  <c r="AF91" i="1"/>
  <c r="T95" i="1"/>
  <c r="AH95" i="1"/>
  <c r="AG95" i="1"/>
  <c r="AI95" i="1" s="1"/>
  <c r="AJ95" i="1" s="1"/>
  <c r="Y95" i="1"/>
  <c r="AF95" i="1"/>
  <c r="O419" i="1"/>
  <c r="M29" i="1"/>
  <c r="M36" i="1"/>
  <c r="M43" i="1"/>
  <c r="M45" i="1"/>
  <c r="M47" i="1"/>
  <c r="M49" i="1"/>
  <c r="M51" i="1"/>
  <c r="M53" i="1"/>
  <c r="M55" i="1"/>
  <c r="M57" i="1"/>
  <c r="M59" i="1"/>
  <c r="M61" i="1"/>
  <c r="M63" i="1"/>
  <c r="AD64" i="1"/>
  <c r="AE64" i="1" s="1"/>
  <c r="U64" i="1"/>
  <c r="AE66" i="1"/>
  <c r="M67" i="1"/>
  <c r="R124" i="1"/>
  <c r="S124" i="1" s="1"/>
  <c r="AH145" i="1"/>
  <c r="AG145" i="1"/>
  <c r="Y145" i="1"/>
  <c r="AF145" i="1"/>
  <c r="T145" i="1"/>
  <c r="U149" i="1"/>
  <c r="AD149" i="1"/>
  <c r="AJ156" i="1"/>
  <c r="AD205" i="1"/>
  <c r="U205" i="1"/>
  <c r="T83" i="1"/>
  <c r="AH83" i="1"/>
  <c r="AG83" i="1"/>
  <c r="AI83" i="1" s="1"/>
  <c r="AJ83" i="1" s="1"/>
  <c r="Y83" i="1"/>
  <c r="AF83" i="1"/>
  <c r="P419" i="1"/>
  <c r="X419" i="1"/>
  <c r="U23" i="1"/>
  <c r="AE26" i="1"/>
  <c r="M30" i="1"/>
  <c r="U30" i="1"/>
  <c r="U31" i="1"/>
  <c r="U33" i="1"/>
  <c r="AD34" i="1"/>
  <c r="AE34" i="1" s="1"/>
  <c r="T34" i="1"/>
  <c r="M35" i="1"/>
  <c r="U41" i="1"/>
  <c r="AD42" i="1"/>
  <c r="T42" i="1"/>
  <c r="Q43" i="1"/>
  <c r="R43" i="1" s="1"/>
  <c r="S43" i="1" s="1"/>
  <c r="Q45" i="1"/>
  <c r="R45" i="1" s="1"/>
  <c r="S45" i="1" s="1"/>
  <c r="Q47" i="1"/>
  <c r="R47" i="1" s="1"/>
  <c r="S47" i="1" s="1"/>
  <c r="Q49" i="1"/>
  <c r="R49" i="1" s="1"/>
  <c r="S49" i="1" s="1"/>
  <c r="Q51" i="1"/>
  <c r="R51" i="1" s="1"/>
  <c r="S51" i="1" s="1"/>
  <c r="Q53" i="1"/>
  <c r="R53" i="1" s="1"/>
  <c r="S53" i="1" s="1"/>
  <c r="Q55" i="1"/>
  <c r="R55" i="1" s="1"/>
  <c r="S55" i="1" s="1"/>
  <c r="Q57" i="1"/>
  <c r="R57" i="1" s="1"/>
  <c r="S57" i="1" s="1"/>
  <c r="Q59" i="1"/>
  <c r="R59" i="1" s="1"/>
  <c r="S59" i="1" s="1"/>
  <c r="Q61" i="1"/>
  <c r="R61" i="1" s="1"/>
  <c r="S61" i="1" s="1"/>
  <c r="Q63" i="1"/>
  <c r="R63" i="1" s="1"/>
  <c r="S63" i="1" s="1"/>
  <c r="M65" i="1"/>
  <c r="R67" i="1"/>
  <c r="S67" i="1" s="1"/>
  <c r="AE101" i="1"/>
  <c r="AE147" i="1"/>
  <c r="R148" i="1"/>
  <c r="S148" i="1" s="1"/>
  <c r="AH153" i="1"/>
  <c r="AG153" i="1"/>
  <c r="AI153" i="1" s="1"/>
  <c r="Y153" i="1"/>
  <c r="AF153" i="1"/>
  <c r="T153" i="1"/>
  <c r="U160" i="1"/>
  <c r="T168" i="1"/>
  <c r="AH168" i="1"/>
  <c r="Y168" i="1"/>
  <c r="AG168" i="1"/>
  <c r="AI168" i="1" s="1"/>
  <c r="AJ168" i="1" s="1"/>
  <c r="AF168" i="1"/>
  <c r="U169" i="1"/>
  <c r="AD169" i="1"/>
  <c r="AE169" i="1" s="1"/>
  <c r="U172" i="1"/>
  <c r="AD172" i="1"/>
  <c r="AH65" i="1"/>
  <c r="AG65" i="1"/>
  <c r="AI65" i="1" s="1"/>
  <c r="AJ65" i="1" s="1"/>
  <c r="Y65" i="1"/>
  <c r="AF65" i="1"/>
  <c r="T87" i="1"/>
  <c r="AH87" i="1"/>
  <c r="AG87" i="1"/>
  <c r="Y87" i="1"/>
  <c r="AF87" i="1"/>
  <c r="AG131" i="1"/>
  <c r="Y131" i="1"/>
  <c r="AF131" i="1"/>
  <c r="T131" i="1"/>
  <c r="AG139" i="1"/>
  <c r="AI139" i="1" s="1"/>
  <c r="AJ139" i="1" s="1"/>
  <c r="Y139" i="1"/>
  <c r="AF139" i="1"/>
  <c r="T139" i="1"/>
  <c r="Q4" i="1"/>
  <c r="M5" i="1"/>
  <c r="M419" i="1" s="1"/>
  <c r="M7" i="1"/>
  <c r="M9" i="1"/>
  <c r="U9" i="1"/>
  <c r="M11" i="1"/>
  <c r="U11" i="1"/>
  <c r="M13" i="1"/>
  <c r="U13" i="1"/>
  <c r="M15" i="1"/>
  <c r="U15" i="1"/>
  <c r="M17" i="1"/>
  <c r="U17" i="1"/>
  <c r="M19" i="1"/>
  <c r="U19" i="1"/>
  <c r="M21" i="1"/>
  <c r="U21" i="1"/>
  <c r="M23" i="1"/>
  <c r="T24" i="1"/>
  <c r="M31" i="1"/>
  <c r="T32" i="1"/>
  <c r="M34" i="1"/>
  <c r="AG34" i="1"/>
  <c r="AI34" i="1" s="1"/>
  <c r="AJ34" i="1" s="1"/>
  <c r="T39" i="1"/>
  <c r="M42" i="1"/>
  <c r="AG42" i="1"/>
  <c r="AI42" i="1" s="1"/>
  <c r="AJ42" i="1" s="1"/>
  <c r="R65" i="1"/>
  <c r="S65" i="1" s="1"/>
  <c r="T69" i="1"/>
  <c r="AH69" i="1"/>
  <c r="AG69" i="1"/>
  <c r="AI69" i="1" s="1"/>
  <c r="AJ69" i="1" s="1"/>
  <c r="Y69" i="1"/>
  <c r="AF69" i="1"/>
  <c r="M71" i="1"/>
  <c r="T73" i="1"/>
  <c r="AH73" i="1"/>
  <c r="AG73" i="1"/>
  <c r="Y73" i="1"/>
  <c r="AF73" i="1"/>
  <c r="M75" i="1"/>
  <c r="T77" i="1"/>
  <c r="AH77" i="1"/>
  <c r="AG77" i="1"/>
  <c r="AI77" i="1" s="1"/>
  <c r="AJ77" i="1" s="1"/>
  <c r="Y77" i="1"/>
  <c r="AF77" i="1"/>
  <c r="M79" i="1"/>
  <c r="T81" i="1"/>
  <c r="AH81" i="1"/>
  <c r="AG81" i="1"/>
  <c r="AI81" i="1" s="1"/>
  <c r="AJ81" i="1" s="1"/>
  <c r="Y81" i="1"/>
  <c r="AF81" i="1"/>
  <c r="M83" i="1"/>
  <c r="T85" i="1"/>
  <c r="AH85" i="1"/>
  <c r="AG85" i="1"/>
  <c r="AI85" i="1" s="1"/>
  <c r="AJ85" i="1" s="1"/>
  <c r="Y85" i="1"/>
  <c r="AF85" i="1"/>
  <c r="M87" i="1"/>
  <c r="T89" i="1"/>
  <c r="AH89" i="1"/>
  <c r="AG89" i="1"/>
  <c r="Y89" i="1"/>
  <c r="AF89" i="1"/>
  <c r="M91" i="1"/>
  <c r="T93" i="1"/>
  <c r="AH93" i="1"/>
  <c r="AG93" i="1"/>
  <c r="AI93" i="1" s="1"/>
  <c r="AJ93" i="1" s="1"/>
  <c r="Y93" i="1"/>
  <c r="AF93" i="1"/>
  <c r="M95" i="1"/>
  <c r="T97" i="1"/>
  <c r="AH97" i="1"/>
  <c r="AG97" i="1"/>
  <c r="AI97" i="1" s="1"/>
  <c r="AJ97" i="1" s="1"/>
  <c r="Y97" i="1"/>
  <c r="AF97" i="1"/>
  <c r="AJ102" i="1"/>
  <c r="R105" i="1"/>
  <c r="S105" i="1" s="1"/>
  <c r="AD105" i="1"/>
  <c r="AE105" i="1" s="1"/>
  <c r="AE107" i="1"/>
  <c r="R113" i="1"/>
  <c r="S113" i="1" s="1"/>
  <c r="AD113" i="1"/>
  <c r="AE113" i="1" s="1"/>
  <c r="AE115" i="1"/>
  <c r="R121" i="1"/>
  <c r="S121" i="1" s="1"/>
  <c r="AD121" i="1"/>
  <c r="AE121" i="1" s="1"/>
  <c r="Y123" i="1"/>
  <c r="AH123" i="1"/>
  <c r="AG123" i="1"/>
  <c r="AI123" i="1" s="1"/>
  <c r="AJ123" i="1" s="1"/>
  <c r="AF123" i="1"/>
  <c r="AH143" i="1"/>
  <c r="AG143" i="1"/>
  <c r="AI143" i="1" s="1"/>
  <c r="AJ143" i="1" s="1"/>
  <c r="Y143" i="1"/>
  <c r="T159" i="1"/>
  <c r="AH159" i="1"/>
  <c r="AG159" i="1"/>
  <c r="AI159" i="1" s="1"/>
  <c r="AJ159" i="1" s="1"/>
  <c r="Y159" i="1"/>
  <c r="AF159" i="1"/>
  <c r="Z419" i="1"/>
  <c r="U25" i="1"/>
  <c r="AE28" i="1"/>
  <c r="M32" i="1"/>
  <c r="AF32" i="1"/>
  <c r="M33" i="1"/>
  <c r="AE36" i="1"/>
  <c r="R37" i="1"/>
  <c r="S37" i="1" s="1"/>
  <c r="M41" i="1"/>
  <c r="AD44" i="1"/>
  <c r="U44" i="1"/>
  <c r="AD46" i="1"/>
  <c r="AE46" i="1" s="1"/>
  <c r="U46" i="1"/>
  <c r="AD48" i="1"/>
  <c r="U48" i="1"/>
  <c r="AD50" i="1"/>
  <c r="U50" i="1"/>
  <c r="AD52" i="1"/>
  <c r="U52" i="1"/>
  <c r="AD54" i="1"/>
  <c r="U54" i="1"/>
  <c r="AD56" i="1"/>
  <c r="U56" i="1"/>
  <c r="AD58" i="1"/>
  <c r="U58" i="1"/>
  <c r="AD60" i="1"/>
  <c r="U60" i="1"/>
  <c r="AD62" i="1"/>
  <c r="AE62" i="1" s="1"/>
  <c r="U62" i="1"/>
  <c r="AE70" i="1"/>
  <c r="AE74" i="1"/>
  <c r="AE78" i="1"/>
  <c r="AE82" i="1"/>
  <c r="AE86" i="1"/>
  <c r="AE90" i="1"/>
  <c r="U90" i="1"/>
  <c r="AE94" i="1"/>
  <c r="U94" i="1"/>
  <c r="U124" i="1"/>
  <c r="AH147" i="1"/>
  <c r="AG147" i="1"/>
  <c r="AI147" i="1" s="1"/>
  <c r="AJ147" i="1" s="1"/>
  <c r="Y147" i="1"/>
  <c r="AF147" i="1"/>
  <c r="T147" i="1"/>
  <c r="AG38" i="1"/>
  <c r="AI38" i="1" s="1"/>
  <c r="AJ38" i="1" s="1"/>
  <c r="T71" i="1"/>
  <c r="AH71" i="1"/>
  <c r="AG71" i="1"/>
  <c r="AI71" i="1" s="1"/>
  <c r="AJ71" i="1" s="1"/>
  <c r="Y71" i="1"/>
  <c r="AF71" i="1"/>
  <c r="AG135" i="1"/>
  <c r="Y135" i="1"/>
  <c r="AH135" i="1"/>
  <c r="AF135" i="1"/>
  <c r="T135" i="1"/>
  <c r="AG141" i="1"/>
  <c r="AI141" i="1" s="1"/>
  <c r="AJ141" i="1" s="1"/>
  <c r="Y141" i="1"/>
  <c r="AH141" i="1"/>
  <c r="AF141" i="1"/>
  <c r="T141" i="1"/>
  <c r="X1" i="1"/>
  <c r="Y1" i="1" s="1"/>
  <c r="AF24" i="1"/>
  <c r="M25" i="1"/>
  <c r="AG32" i="1"/>
  <c r="AI32" i="1" s="1"/>
  <c r="AJ32" i="1" s="1"/>
  <c r="Y34" i="1"/>
  <c r="M40" i="1"/>
  <c r="U40" i="1"/>
  <c r="Y42" i="1"/>
  <c r="AD43" i="1"/>
  <c r="AE43" i="1" s="1"/>
  <c r="AD45" i="1"/>
  <c r="AE45" i="1" s="1"/>
  <c r="AD47" i="1"/>
  <c r="AE47" i="1" s="1"/>
  <c r="AD49" i="1"/>
  <c r="AE49" i="1" s="1"/>
  <c r="AD51" i="1"/>
  <c r="AE51" i="1" s="1"/>
  <c r="AD53" i="1"/>
  <c r="AE53" i="1" s="1"/>
  <c r="AD55" i="1"/>
  <c r="AE55" i="1" s="1"/>
  <c r="AD57" i="1"/>
  <c r="AE57" i="1" s="1"/>
  <c r="AD59" i="1"/>
  <c r="AE59" i="1" s="1"/>
  <c r="AD61" i="1"/>
  <c r="AE61" i="1" s="1"/>
  <c r="M104" i="1"/>
  <c r="M112" i="1"/>
  <c r="M120" i="1"/>
  <c r="AG125" i="1"/>
  <c r="AI125" i="1" s="1"/>
  <c r="AJ125" i="1" s="1"/>
  <c r="Y125" i="1"/>
  <c r="AH125" i="1"/>
  <c r="AF125" i="1"/>
  <c r="T125" i="1"/>
  <c r="AH131" i="1"/>
  <c r="AH139" i="1"/>
  <c r="M147" i="1"/>
  <c r="AH151" i="1"/>
  <c r="AG151" i="1"/>
  <c r="Y151" i="1"/>
  <c r="AE161" i="1"/>
  <c r="K419" i="1"/>
  <c r="AB419" i="1"/>
  <c r="M26" i="1"/>
  <c r="U26" i="1"/>
  <c r="U27" i="1"/>
  <c r="AE30" i="1"/>
  <c r="U37" i="1"/>
  <c r="AD38" i="1"/>
  <c r="AE38" i="1" s="1"/>
  <c r="T38" i="1"/>
  <c r="AF38" i="1"/>
  <c r="M39" i="1"/>
  <c r="AF39" i="1"/>
  <c r="AE42" i="1"/>
  <c r="AE44" i="1"/>
  <c r="AE48" i="1"/>
  <c r="AE50" i="1"/>
  <c r="AE52" i="1"/>
  <c r="AE54" i="1"/>
  <c r="AE56" i="1"/>
  <c r="AE58" i="1"/>
  <c r="AE60" i="1"/>
  <c r="T65" i="1"/>
  <c r="AE100" i="1"/>
  <c r="Q101" i="1"/>
  <c r="R101" i="1" s="1"/>
  <c r="S101" i="1" s="1"/>
  <c r="R104" i="1"/>
  <c r="S104" i="1" s="1"/>
  <c r="R112" i="1"/>
  <c r="S112" i="1" s="1"/>
  <c r="R120" i="1"/>
  <c r="S120" i="1" s="1"/>
  <c r="U133" i="1"/>
  <c r="AD148" i="1"/>
  <c r="AE148" i="1" s="1"/>
  <c r="U148" i="1"/>
  <c r="AE166" i="1"/>
  <c r="U166" i="1"/>
  <c r="AD170" i="1"/>
  <c r="U170" i="1"/>
  <c r="T212" i="1"/>
  <c r="Y212" i="1"/>
  <c r="AG212" i="1"/>
  <c r="AH212" i="1"/>
  <c r="AF212" i="1"/>
  <c r="AH126" i="1"/>
  <c r="AI126" i="1" s="1"/>
  <c r="AJ126" i="1" s="1"/>
  <c r="AG129" i="1"/>
  <c r="AI129" i="1" s="1"/>
  <c r="AJ129" i="1" s="1"/>
  <c r="Y129" i="1"/>
  <c r="AH129" i="1"/>
  <c r="AH134" i="1"/>
  <c r="AI134" i="1" s="1"/>
  <c r="AJ134" i="1" s="1"/>
  <c r="AG137" i="1"/>
  <c r="Y137" i="1"/>
  <c r="AH137" i="1"/>
  <c r="AD142" i="1"/>
  <c r="AE142" i="1" s="1"/>
  <c r="U142" i="1"/>
  <c r="AE149" i="1"/>
  <c r="AD150" i="1"/>
  <c r="U150" i="1"/>
  <c r="AH155" i="1"/>
  <c r="AG155" i="1"/>
  <c r="Y155" i="1"/>
  <c r="AF155" i="1"/>
  <c r="AH157" i="1"/>
  <c r="AG157" i="1"/>
  <c r="Y157" i="1"/>
  <c r="AF157" i="1"/>
  <c r="T163" i="1"/>
  <c r="AH163" i="1"/>
  <c r="AG163" i="1"/>
  <c r="Y163" i="1"/>
  <c r="AF163" i="1"/>
  <c r="AE165" i="1"/>
  <c r="R172" i="1"/>
  <c r="S172" i="1" s="1"/>
  <c r="AE175" i="1"/>
  <c r="R205" i="1"/>
  <c r="S205" i="1" s="1"/>
  <c r="Y215" i="1"/>
  <c r="AH215" i="1"/>
  <c r="AG215" i="1"/>
  <c r="T215" i="1"/>
  <c r="AF215" i="1"/>
  <c r="U98" i="1"/>
  <c r="U99" i="1"/>
  <c r="AE102" i="1"/>
  <c r="U106" i="1"/>
  <c r="U107" i="1"/>
  <c r="AE110" i="1"/>
  <c r="U114" i="1"/>
  <c r="U115" i="1"/>
  <c r="AE118" i="1"/>
  <c r="U122" i="1"/>
  <c r="T127" i="1"/>
  <c r="Q131" i="1"/>
  <c r="R131" i="1" s="1"/>
  <c r="S131" i="1" s="1"/>
  <c r="AE131" i="1"/>
  <c r="AG132" i="1"/>
  <c r="AI132" i="1" s="1"/>
  <c r="AJ132" i="1" s="1"/>
  <c r="Q139" i="1"/>
  <c r="R139" i="1" s="1"/>
  <c r="S139" i="1" s="1"/>
  <c r="AE139" i="1"/>
  <c r="AG140" i="1"/>
  <c r="AI140" i="1" s="1"/>
  <c r="AJ140" i="1" s="1"/>
  <c r="AD147" i="1"/>
  <c r="Q149" i="1"/>
  <c r="R149" i="1" s="1"/>
  <c r="S149" i="1" s="1"/>
  <c r="AE150" i="1"/>
  <c r="AE159" i="1"/>
  <c r="AE164" i="1"/>
  <c r="U164" i="1"/>
  <c r="U193" i="1"/>
  <c r="AD193" i="1"/>
  <c r="AD211" i="1"/>
  <c r="U211" i="1"/>
  <c r="R211" i="1"/>
  <c r="S211" i="1" s="1"/>
  <c r="U66" i="1"/>
  <c r="U68" i="1"/>
  <c r="U70" i="1"/>
  <c r="U72" i="1"/>
  <c r="U74" i="1"/>
  <c r="U76" i="1"/>
  <c r="U78" i="1"/>
  <c r="U80" i="1"/>
  <c r="U82" i="1"/>
  <c r="U84" i="1"/>
  <c r="U86" i="1"/>
  <c r="AE124" i="1"/>
  <c r="AE126" i="1"/>
  <c r="AG127" i="1"/>
  <c r="AI127" i="1" s="1"/>
  <c r="Y127" i="1"/>
  <c r="AH127" i="1"/>
  <c r="AH132" i="1"/>
  <c r="AE134" i="1"/>
  <c r="AD141" i="1"/>
  <c r="AE141" i="1" s="1"/>
  <c r="AE143" i="1"/>
  <c r="AD144" i="1"/>
  <c r="U144" i="1"/>
  <c r="AE151" i="1"/>
  <c r="AD152" i="1"/>
  <c r="AE152" i="1" s="1"/>
  <c r="U152" i="1"/>
  <c r="T156" i="1"/>
  <c r="AF158" i="1"/>
  <c r="T158" i="1"/>
  <c r="R170" i="1"/>
  <c r="S170" i="1" s="1"/>
  <c r="U175" i="1"/>
  <c r="AD175" i="1"/>
  <c r="R175" i="1"/>
  <c r="S175" i="1" s="1"/>
  <c r="R193" i="1"/>
  <c r="S193" i="1" s="1"/>
  <c r="U100" i="1"/>
  <c r="U101" i="1"/>
  <c r="AE104" i="1"/>
  <c r="U108" i="1"/>
  <c r="U109" i="1"/>
  <c r="AE112" i="1"/>
  <c r="U116" i="1"/>
  <c r="U117" i="1"/>
  <c r="AE120" i="1"/>
  <c r="AE129" i="1"/>
  <c r="AE137" i="1"/>
  <c r="AE144" i="1"/>
  <c r="AE154" i="1"/>
  <c r="AE155" i="1"/>
  <c r="AE157" i="1"/>
  <c r="T161" i="1"/>
  <c r="AH161" i="1"/>
  <c r="AG161" i="1"/>
  <c r="AI161" i="1" s="1"/>
  <c r="AJ161" i="1" s="1"/>
  <c r="Y161" i="1"/>
  <c r="AF161" i="1"/>
  <c r="AE163" i="1"/>
  <c r="AG171" i="1"/>
  <c r="AI171" i="1" s="1"/>
  <c r="AJ171" i="1" s="1"/>
  <c r="Y171" i="1"/>
  <c r="AH171" i="1"/>
  <c r="AF171" i="1"/>
  <c r="Q177" i="1"/>
  <c r="R177" i="1" s="1"/>
  <c r="S177" i="1" s="1"/>
  <c r="U197" i="1"/>
  <c r="AD197" i="1"/>
  <c r="AE204" i="1"/>
  <c r="AD207" i="1"/>
  <c r="AE207" i="1" s="1"/>
  <c r="U207" i="1"/>
  <c r="AE123" i="1"/>
  <c r="U130" i="1"/>
  <c r="AE132" i="1"/>
  <c r="U138" i="1"/>
  <c r="AE140" i="1"/>
  <c r="AE145" i="1"/>
  <c r="AD146" i="1"/>
  <c r="AE146" i="1" s="1"/>
  <c r="U146" i="1"/>
  <c r="AE153" i="1"/>
  <c r="R155" i="1"/>
  <c r="S155" i="1" s="1"/>
  <c r="R157" i="1"/>
  <c r="S157" i="1" s="1"/>
  <c r="AE162" i="1"/>
  <c r="U162" i="1"/>
  <c r="R169" i="1"/>
  <c r="S169" i="1" s="1"/>
  <c r="AE172" i="1"/>
  <c r="U180" i="1"/>
  <c r="AD180" i="1"/>
  <c r="AE180" i="1" s="1"/>
  <c r="R197" i="1"/>
  <c r="S197" i="1" s="1"/>
  <c r="T208" i="1"/>
  <c r="Y208" i="1"/>
  <c r="AG208" i="1"/>
  <c r="AI208" i="1" s="1"/>
  <c r="AJ208" i="1" s="1"/>
  <c r="AF208" i="1"/>
  <c r="AG213" i="1"/>
  <c r="AF213" i="1"/>
  <c r="T213" i="1"/>
  <c r="Y213" i="1"/>
  <c r="AH213" i="1"/>
  <c r="AE98" i="1"/>
  <c r="U103" i="1"/>
  <c r="AE106" i="1"/>
  <c r="U110" i="1"/>
  <c r="U111" i="1"/>
  <c r="AE114" i="1"/>
  <c r="U118" i="1"/>
  <c r="U119" i="1"/>
  <c r="AE122" i="1"/>
  <c r="AD126" i="1"/>
  <c r="Q127" i="1"/>
  <c r="R127" i="1" s="1"/>
  <c r="S127" i="1" s="1"/>
  <c r="AE127" i="1"/>
  <c r="AD134" i="1"/>
  <c r="Q135" i="1"/>
  <c r="R135" i="1" s="1"/>
  <c r="S135" i="1" s="1"/>
  <c r="AE135" i="1"/>
  <c r="Q145" i="1"/>
  <c r="R145" i="1" s="1"/>
  <c r="S145" i="1" s="1"/>
  <c r="Q153" i="1"/>
  <c r="R153" i="1" s="1"/>
  <c r="S153" i="1" s="1"/>
  <c r="T165" i="1"/>
  <c r="AH165" i="1"/>
  <c r="AG165" i="1"/>
  <c r="Y165" i="1"/>
  <c r="AF165" i="1"/>
  <c r="R180" i="1"/>
  <c r="S180" i="1" s="1"/>
  <c r="U201" i="1"/>
  <c r="AD201" i="1"/>
  <c r="AE201" i="1" s="1"/>
  <c r="AG178" i="1"/>
  <c r="AI178" i="1" s="1"/>
  <c r="Y178" i="1"/>
  <c r="T179" i="1"/>
  <c r="AG181" i="1"/>
  <c r="AI181" i="1" s="1"/>
  <c r="Y181" i="1"/>
  <c r="AE181" i="1"/>
  <c r="AG182" i="1"/>
  <c r="AI182" i="1" s="1"/>
  <c r="Y182" i="1"/>
  <c r="AE182" i="1"/>
  <c r="AG183" i="1"/>
  <c r="AI183" i="1" s="1"/>
  <c r="AJ183" i="1" s="1"/>
  <c r="Y183" i="1"/>
  <c r="AE183" i="1"/>
  <c r="AG184" i="1"/>
  <c r="AI184" i="1" s="1"/>
  <c r="Y184" i="1"/>
  <c r="AE184" i="1"/>
  <c r="AG185" i="1"/>
  <c r="AI185" i="1" s="1"/>
  <c r="Y185" i="1"/>
  <c r="AE185" i="1"/>
  <c r="AG186" i="1"/>
  <c r="AI186" i="1" s="1"/>
  <c r="Y186" i="1"/>
  <c r="AE186" i="1"/>
  <c r="AG187" i="1"/>
  <c r="AI187" i="1" s="1"/>
  <c r="AJ187" i="1" s="1"/>
  <c r="Y187" i="1"/>
  <c r="AE187" i="1"/>
  <c r="AG188" i="1"/>
  <c r="AI188" i="1" s="1"/>
  <c r="AJ188" i="1" s="1"/>
  <c r="Y188" i="1"/>
  <c r="AE188" i="1"/>
  <c r="AG189" i="1"/>
  <c r="AI189" i="1" s="1"/>
  <c r="Y189" i="1"/>
  <c r="AE189" i="1"/>
  <c r="AG190" i="1"/>
  <c r="AI190" i="1" s="1"/>
  <c r="Y190" i="1"/>
  <c r="AE190" i="1"/>
  <c r="AG191" i="1"/>
  <c r="AI191" i="1" s="1"/>
  <c r="AJ191" i="1" s="1"/>
  <c r="Y191" i="1"/>
  <c r="AE191" i="1"/>
  <c r="AD192" i="1"/>
  <c r="AE192" i="1" s="1"/>
  <c r="U192" i="1"/>
  <c r="AD196" i="1"/>
  <c r="AE196" i="1" s="1"/>
  <c r="U196" i="1"/>
  <c r="AD200" i="1"/>
  <c r="AE200" i="1" s="1"/>
  <c r="U200" i="1"/>
  <c r="AD204" i="1"/>
  <c r="U204" i="1"/>
  <c r="Q207" i="1"/>
  <c r="R207" i="1" s="1"/>
  <c r="S207" i="1" s="1"/>
  <c r="Q213" i="1"/>
  <c r="R213" i="1" s="1"/>
  <c r="S213" i="1" s="1"/>
  <c r="AG274" i="1"/>
  <c r="Y274" i="1"/>
  <c r="AF274" i="1"/>
  <c r="T274" i="1"/>
  <c r="AH274" i="1"/>
  <c r="AG278" i="1"/>
  <c r="AI278" i="1" s="1"/>
  <c r="AJ278" i="1" s="1"/>
  <c r="Y278" i="1"/>
  <c r="AF278" i="1"/>
  <c r="T278" i="1"/>
  <c r="AH278" i="1"/>
  <c r="U173" i="1"/>
  <c r="Q178" i="1"/>
  <c r="R178" i="1" s="1"/>
  <c r="S178" i="1" s="1"/>
  <c r="AE178" i="1"/>
  <c r="AF179" i="1"/>
  <c r="Q181" i="1"/>
  <c r="R181" i="1" s="1"/>
  <c r="S181" i="1" s="1"/>
  <c r="Q182" i="1"/>
  <c r="R182" i="1" s="1"/>
  <c r="S182" i="1" s="1"/>
  <c r="Q183" i="1"/>
  <c r="R183" i="1" s="1"/>
  <c r="S183" i="1" s="1"/>
  <c r="Q184" i="1"/>
  <c r="R184" i="1" s="1"/>
  <c r="S184" i="1" s="1"/>
  <c r="Q185" i="1"/>
  <c r="R185" i="1" s="1"/>
  <c r="S185" i="1" s="1"/>
  <c r="Q186" i="1"/>
  <c r="R186" i="1" s="1"/>
  <c r="S186" i="1" s="1"/>
  <c r="Q187" i="1"/>
  <c r="R187" i="1" s="1"/>
  <c r="S187" i="1" s="1"/>
  <c r="Q188" i="1"/>
  <c r="R188" i="1" s="1"/>
  <c r="S188" i="1" s="1"/>
  <c r="Q189" i="1"/>
  <c r="R189" i="1" s="1"/>
  <c r="S189" i="1" s="1"/>
  <c r="Q190" i="1"/>
  <c r="R190" i="1" s="1"/>
  <c r="S190" i="1" s="1"/>
  <c r="Q191" i="1"/>
  <c r="R191" i="1" s="1"/>
  <c r="S191" i="1" s="1"/>
  <c r="Q192" i="1"/>
  <c r="R192" i="1" s="1"/>
  <c r="S192" i="1" s="1"/>
  <c r="Q196" i="1"/>
  <c r="R196" i="1" s="1"/>
  <c r="S196" i="1" s="1"/>
  <c r="Q200" i="1"/>
  <c r="R200" i="1" s="1"/>
  <c r="S200" i="1" s="1"/>
  <c r="AE203" i="1"/>
  <c r="Q204" i="1"/>
  <c r="R204" i="1" s="1"/>
  <c r="S204" i="1" s="1"/>
  <c r="U209" i="1"/>
  <c r="U154" i="1"/>
  <c r="AE168" i="1"/>
  <c r="Q173" i="1"/>
  <c r="R173" i="1" s="1"/>
  <c r="S173" i="1" s="1"/>
  <c r="U176" i="1"/>
  <c r="AH195" i="1"/>
  <c r="AG195" i="1"/>
  <c r="Y195" i="1"/>
  <c r="AH199" i="1"/>
  <c r="AG199" i="1"/>
  <c r="AI199" i="1" s="1"/>
  <c r="AJ199" i="1" s="1"/>
  <c r="Y199" i="1"/>
  <c r="AH203" i="1"/>
  <c r="AG203" i="1"/>
  <c r="AI203" i="1" s="1"/>
  <c r="AJ203" i="1" s="1"/>
  <c r="Y203" i="1"/>
  <c r="AE210" i="1"/>
  <c r="Y214" i="1"/>
  <c r="AH214" i="1"/>
  <c r="AG214" i="1"/>
  <c r="AI214" i="1" s="1"/>
  <c r="AF214" i="1"/>
  <c r="T214" i="1"/>
  <c r="AH222" i="1"/>
  <c r="T222" i="1"/>
  <c r="AG222" i="1"/>
  <c r="AI222" i="1" s="1"/>
  <c r="AJ222" i="1" s="1"/>
  <c r="Y222" i="1"/>
  <c r="AI223" i="1"/>
  <c r="AJ223" i="1" s="1"/>
  <c r="AD241" i="1"/>
  <c r="AE241" i="1" s="1"/>
  <c r="U241" i="1"/>
  <c r="AD245" i="1"/>
  <c r="AE245" i="1" s="1"/>
  <c r="U245" i="1"/>
  <c r="AE176" i="1"/>
  <c r="AG179" i="1"/>
  <c r="AI179" i="1" s="1"/>
  <c r="AJ179" i="1" s="1"/>
  <c r="Y179" i="1"/>
  <c r="AE194" i="1"/>
  <c r="Y206" i="1"/>
  <c r="AG206" i="1"/>
  <c r="AI206" i="1" s="1"/>
  <c r="AF206" i="1"/>
  <c r="T206" i="1"/>
  <c r="Q214" i="1"/>
  <c r="R214" i="1" s="1"/>
  <c r="S214" i="1" s="1"/>
  <c r="AF219" i="1"/>
  <c r="Y219" i="1"/>
  <c r="AH219" i="1"/>
  <c r="AG219" i="1"/>
  <c r="T219" i="1"/>
  <c r="AH228" i="1"/>
  <c r="AF228" i="1"/>
  <c r="Y228" i="1"/>
  <c r="AD237" i="1"/>
  <c r="AE237" i="1" s="1"/>
  <c r="U237" i="1"/>
  <c r="AD253" i="1"/>
  <c r="AE253" i="1" s="1"/>
  <c r="U253" i="1"/>
  <c r="U167" i="1"/>
  <c r="AE170" i="1"/>
  <c r="U174" i="1"/>
  <c r="Q179" i="1"/>
  <c r="R179" i="1" s="1"/>
  <c r="S179" i="1" s="1"/>
  <c r="AF181" i="1"/>
  <c r="AF182" i="1"/>
  <c r="AF183" i="1"/>
  <c r="AF184" i="1"/>
  <c r="AF185" i="1"/>
  <c r="AF186" i="1"/>
  <c r="AF187" i="1"/>
  <c r="AF188" i="1"/>
  <c r="AF189" i="1"/>
  <c r="AF190" i="1"/>
  <c r="AF191" i="1"/>
  <c r="AD194" i="1"/>
  <c r="U194" i="1"/>
  <c r="AD195" i="1"/>
  <c r="AE195" i="1" s="1"/>
  <c r="AD198" i="1"/>
  <c r="AE198" i="1" s="1"/>
  <c r="U198" i="1"/>
  <c r="AD199" i="1"/>
  <c r="AE199" i="1" s="1"/>
  <c r="AD202" i="1"/>
  <c r="AE202" i="1" s="1"/>
  <c r="U202" i="1"/>
  <c r="AD203" i="1"/>
  <c r="AE205" i="1"/>
  <c r="Q206" i="1"/>
  <c r="R206" i="1" s="1"/>
  <c r="S206" i="1" s="1"/>
  <c r="AH206" i="1"/>
  <c r="AD208" i="1"/>
  <c r="U210" i="1"/>
  <c r="R212" i="1"/>
  <c r="S212" i="1" s="1"/>
  <c r="AF222" i="1"/>
  <c r="AD225" i="1"/>
  <c r="AE225" i="1" s="1"/>
  <c r="U225" i="1"/>
  <c r="AH227" i="1"/>
  <c r="AF227" i="1"/>
  <c r="AG227" i="1"/>
  <c r="AI227" i="1" s="1"/>
  <c r="AJ227" i="1" s="1"/>
  <c r="T227" i="1"/>
  <c r="Y227" i="1"/>
  <c r="AG228" i="1"/>
  <c r="Q174" i="1"/>
  <c r="R174" i="1" s="1"/>
  <c r="S174" i="1" s="1"/>
  <c r="AE174" i="1"/>
  <c r="U177" i="1"/>
  <c r="AD178" i="1"/>
  <c r="AE193" i="1"/>
  <c r="Q194" i="1"/>
  <c r="R194" i="1" s="1"/>
  <c r="S194" i="1" s="1"/>
  <c r="AE197" i="1"/>
  <c r="Q198" i="1"/>
  <c r="R198" i="1" s="1"/>
  <c r="S198" i="1" s="1"/>
  <c r="Q202" i="1"/>
  <c r="R202" i="1" s="1"/>
  <c r="S202" i="1" s="1"/>
  <c r="Q210" i="1"/>
  <c r="R210" i="1" s="1"/>
  <c r="S210" i="1" s="1"/>
  <c r="AD215" i="1"/>
  <c r="T216" i="1"/>
  <c r="Y216" i="1"/>
  <c r="AH216" i="1"/>
  <c r="AG216" i="1"/>
  <c r="AI216" i="1" s="1"/>
  <c r="AJ216" i="1" s="1"/>
  <c r="AH252" i="1"/>
  <c r="Y252" i="1"/>
  <c r="AG252" i="1"/>
  <c r="AF252" i="1"/>
  <c r="T252" i="1"/>
  <c r="AE217" i="1"/>
  <c r="AH218" i="1"/>
  <c r="T218" i="1"/>
  <c r="AG218" i="1"/>
  <c r="AI218" i="1" s="1"/>
  <c r="AJ218" i="1" s="1"/>
  <c r="Y218" i="1"/>
  <c r="AF218" i="1"/>
  <c r="Q219" i="1"/>
  <c r="R219" i="1" s="1"/>
  <c r="S219" i="1" s="1"/>
  <c r="AH220" i="1"/>
  <c r="AG220" i="1"/>
  <c r="AI220" i="1" s="1"/>
  <c r="AJ220" i="1" s="1"/>
  <c r="Y220" i="1"/>
  <c r="AF220" i="1"/>
  <c r="U229" i="1"/>
  <c r="U230" i="1"/>
  <c r="U231" i="1"/>
  <c r="U232" i="1"/>
  <c r="U233" i="1"/>
  <c r="U234" i="1"/>
  <c r="U235" i="1"/>
  <c r="AG238" i="1"/>
  <c r="U239" i="1"/>
  <c r="AG242" i="1"/>
  <c r="AH243" i="1"/>
  <c r="Y243" i="1"/>
  <c r="AF243" i="1"/>
  <c r="AH249" i="1"/>
  <c r="Y249" i="1"/>
  <c r="AG249" i="1"/>
  <c r="AI249" i="1" s="1"/>
  <c r="AJ249" i="1" s="1"/>
  <c r="AF249" i="1"/>
  <c r="AH260" i="1"/>
  <c r="Y260" i="1"/>
  <c r="AG260" i="1"/>
  <c r="AI260" i="1" s="1"/>
  <c r="AJ260" i="1" s="1"/>
  <c r="AF260" i="1"/>
  <c r="T260" i="1"/>
  <c r="U261" i="1"/>
  <c r="R225" i="1"/>
  <c r="S225" i="1" s="1"/>
  <c r="AD236" i="1"/>
  <c r="AE236" i="1" s="1"/>
  <c r="R237" i="1"/>
  <c r="S237" i="1" s="1"/>
  <c r="AD240" i="1"/>
  <c r="AE240" i="1" s="1"/>
  <c r="R241" i="1"/>
  <c r="S241" i="1" s="1"/>
  <c r="AD244" i="1"/>
  <c r="AE244" i="1" s="1"/>
  <c r="R245" i="1"/>
  <c r="S245" i="1" s="1"/>
  <c r="U246" i="1"/>
  <c r="AD247" i="1"/>
  <c r="AE247" i="1" s="1"/>
  <c r="AD206" i="1"/>
  <c r="AE206" i="1" s="1"/>
  <c r="AD210" i="1"/>
  <c r="AD214" i="1"/>
  <c r="AE214" i="1" s="1"/>
  <c r="T223" i="1"/>
  <c r="R226" i="1"/>
  <c r="S226" i="1" s="1"/>
  <c r="AD228" i="1"/>
  <c r="AE228" i="1" s="1"/>
  <c r="AH238" i="1"/>
  <c r="Y238" i="1"/>
  <c r="AF238" i="1"/>
  <c r="AH242" i="1"/>
  <c r="Y242" i="1"/>
  <c r="AF242" i="1"/>
  <c r="AH251" i="1"/>
  <c r="Y251" i="1"/>
  <c r="AG251" i="1"/>
  <c r="AI251" i="1" s="1"/>
  <c r="AJ251" i="1" s="1"/>
  <c r="AF251" i="1"/>
  <c r="R253" i="1"/>
  <c r="S253" i="1" s="1"/>
  <c r="AH258" i="1"/>
  <c r="Y258" i="1"/>
  <c r="AG258" i="1"/>
  <c r="AE208" i="1"/>
  <c r="AE212" i="1"/>
  <c r="AE216" i="1"/>
  <c r="AH223" i="1"/>
  <c r="AF223" i="1"/>
  <c r="R227" i="1"/>
  <c r="S227" i="1" s="1"/>
  <c r="AD243" i="1"/>
  <c r="AE243" i="1" s="1"/>
  <c r="AH248" i="1"/>
  <c r="Y248" i="1"/>
  <c r="AG248" i="1"/>
  <c r="AF248" i="1"/>
  <c r="AD249" i="1"/>
  <c r="AE249" i="1" s="1"/>
  <c r="Q268" i="1"/>
  <c r="R268" i="1" s="1"/>
  <c r="S268" i="1" s="1"/>
  <c r="AG276" i="1"/>
  <c r="Y276" i="1"/>
  <c r="AF276" i="1"/>
  <c r="T276" i="1"/>
  <c r="AH276" i="1"/>
  <c r="AD209" i="1"/>
  <c r="AE209" i="1" s="1"/>
  <c r="AD213" i="1"/>
  <c r="AE213" i="1" s="1"/>
  <c r="AD223" i="1"/>
  <c r="AE223" i="1" s="1"/>
  <c r="AH224" i="1"/>
  <c r="AI224" i="1" s="1"/>
  <c r="AJ224" i="1" s="1"/>
  <c r="AF224" i="1"/>
  <c r="R228" i="1"/>
  <c r="S228" i="1" s="1"/>
  <c r="R252" i="1"/>
  <c r="S252" i="1" s="1"/>
  <c r="AD256" i="1"/>
  <c r="AE256" i="1" s="1"/>
  <c r="U256" i="1"/>
  <c r="AE211" i="1"/>
  <c r="AE215" i="1"/>
  <c r="U217" i="1"/>
  <c r="AD219" i="1"/>
  <c r="AE219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9" i="1"/>
  <c r="S239" i="1" s="1"/>
  <c r="R243" i="1"/>
  <c r="S243" i="1" s="1"/>
  <c r="R249" i="1"/>
  <c r="S249" i="1" s="1"/>
  <c r="U250" i="1"/>
  <c r="AD221" i="1"/>
  <c r="AE221" i="1" s="1"/>
  <c r="U221" i="1"/>
  <c r="AD224" i="1"/>
  <c r="AE224" i="1" s="1"/>
  <c r="Y224" i="1"/>
  <c r="U226" i="1"/>
  <c r="U236" i="1"/>
  <c r="U240" i="1"/>
  <c r="AG243" i="1"/>
  <c r="U244" i="1"/>
  <c r="R246" i="1"/>
  <c r="S246" i="1" s="1"/>
  <c r="U247" i="1"/>
  <c r="AD248" i="1"/>
  <c r="AE248" i="1" s="1"/>
  <c r="R261" i="1"/>
  <c r="S261" i="1" s="1"/>
  <c r="AE270" i="1"/>
  <c r="U270" i="1"/>
  <c r="AD258" i="1"/>
  <c r="AE258" i="1" s="1"/>
  <c r="Q281" i="1"/>
  <c r="R281" i="1" s="1"/>
  <c r="S281" i="1" s="1"/>
  <c r="U289" i="1"/>
  <c r="AD289" i="1"/>
  <c r="AE289" i="1" s="1"/>
  <c r="AD255" i="1"/>
  <c r="AE255" i="1" s="1"/>
  <c r="U255" i="1"/>
  <c r="AI262" i="1"/>
  <c r="AJ262" i="1" s="1"/>
  <c r="AD278" i="1"/>
  <c r="R278" i="1"/>
  <c r="S278" i="1" s="1"/>
  <c r="AD260" i="1"/>
  <c r="AE260" i="1" s="1"/>
  <c r="AD267" i="1"/>
  <c r="AE267" i="1" s="1"/>
  <c r="U267" i="1"/>
  <c r="AI268" i="1"/>
  <c r="AJ268" i="1" s="1"/>
  <c r="AH254" i="1"/>
  <c r="AF254" i="1"/>
  <c r="AD257" i="1"/>
  <c r="AE257" i="1" s="1"/>
  <c r="U257" i="1"/>
  <c r="AD254" i="1"/>
  <c r="AE254" i="1" s="1"/>
  <c r="AG254" i="1"/>
  <c r="AI254" i="1" s="1"/>
  <c r="AJ254" i="1" s="1"/>
  <c r="AD263" i="1"/>
  <c r="AE263" i="1" s="1"/>
  <c r="U263" i="1"/>
  <c r="AI264" i="1"/>
  <c r="AJ264" i="1" s="1"/>
  <c r="R265" i="1"/>
  <c r="S265" i="1" s="1"/>
  <c r="R274" i="1"/>
  <c r="S274" i="1" s="1"/>
  <c r="R276" i="1"/>
  <c r="S276" i="1" s="1"/>
  <c r="U259" i="1"/>
  <c r="AD269" i="1"/>
  <c r="AE269" i="1" s="1"/>
  <c r="U269" i="1"/>
  <c r="U280" i="1"/>
  <c r="AD282" i="1"/>
  <c r="U282" i="1"/>
  <c r="AE282" i="1"/>
  <c r="Q289" i="1"/>
  <c r="R289" i="1" s="1"/>
  <c r="S289" i="1" s="1"/>
  <c r="AD290" i="1"/>
  <c r="U290" i="1"/>
  <c r="AE290" i="1"/>
  <c r="AH293" i="1"/>
  <c r="AG293" i="1"/>
  <c r="Y293" i="1"/>
  <c r="AH297" i="1"/>
  <c r="AG297" i="1"/>
  <c r="Y297" i="1"/>
  <c r="AH301" i="1"/>
  <c r="AG301" i="1"/>
  <c r="AI301" i="1" s="1"/>
  <c r="AJ301" i="1" s="1"/>
  <c r="Y301" i="1"/>
  <c r="AH305" i="1"/>
  <c r="AG305" i="1"/>
  <c r="AI305" i="1" s="1"/>
  <c r="Y305" i="1"/>
  <c r="AD309" i="1"/>
  <c r="AE309" i="1" s="1"/>
  <c r="U309" i="1"/>
  <c r="AH262" i="1"/>
  <c r="AH264" i="1"/>
  <c r="AH266" i="1"/>
  <c r="AI266" i="1" s="1"/>
  <c r="AJ266" i="1" s="1"/>
  <c r="AH268" i="1"/>
  <c r="T273" i="1"/>
  <c r="AD273" i="1"/>
  <c r="AE273" i="1" s="1"/>
  <c r="T275" i="1"/>
  <c r="AD275" i="1"/>
  <c r="AE275" i="1" s="1"/>
  <c r="T277" i="1"/>
  <c r="AD277" i="1"/>
  <c r="AE277" i="1" s="1"/>
  <c r="T279" i="1"/>
  <c r="AD279" i="1"/>
  <c r="AE279" i="1" s="1"/>
  <c r="T281" i="1"/>
  <c r="AD281" i="1"/>
  <c r="AE281" i="1" s="1"/>
  <c r="Q282" i="1"/>
  <c r="R282" i="1" s="1"/>
  <c r="S282" i="1" s="1"/>
  <c r="AH283" i="1"/>
  <c r="AG283" i="1"/>
  <c r="Y283" i="1"/>
  <c r="Q290" i="1"/>
  <c r="R290" i="1" s="1"/>
  <c r="S290" i="1" s="1"/>
  <c r="AH291" i="1"/>
  <c r="AG291" i="1"/>
  <c r="Y291" i="1"/>
  <c r="AE292" i="1"/>
  <c r="Q293" i="1"/>
  <c r="R293" i="1" s="1"/>
  <c r="S293" i="1" s="1"/>
  <c r="Q297" i="1"/>
  <c r="R297" i="1" s="1"/>
  <c r="S297" i="1" s="1"/>
  <c r="AE300" i="1"/>
  <c r="Q301" i="1"/>
  <c r="R301" i="1" s="1"/>
  <c r="S301" i="1" s="1"/>
  <c r="Q305" i="1"/>
  <c r="R305" i="1" s="1"/>
  <c r="S305" i="1" s="1"/>
  <c r="AE308" i="1"/>
  <c r="Q309" i="1"/>
  <c r="R309" i="1" s="1"/>
  <c r="S309" i="1" s="1"/>
  <c r="AD314" i="1"/>
  <c r="AE314" i="1" s="1"/>
  <c r="U314" i="1"/>
  <c r="AD328" i="1"/>
  <c r="AE328" i="1" s="1"/>
  <c r="U328" i="1"/>
  <c r="AE274" i="1"/>
  <c r="AE276" i="1"/>
  <c r="AE278" i="1"/>
  <c r="AE280" i="1"/>
  <c r="AD284" i="1"/>
  <c r="U284" i="1"/>
  <c r="AE284" i="1"/>
  <c r="AD292" i="1"/>
  <c r="U292" i="1"/>
  <c r="AD296" i="1"/>
  <c r="AE296" i="1" s="1"/>
  <c r="U296" i="1"/>
  <c r="AD300" i="1"/>
  <c r="U300" i="1"/>
  <c r="AD304" i="1"/>
  <c r="AE304" i="1" s="1"/>
  <c r="U304" i="1"/>
  <c r="AD308" i="1"/>
  <c r="U308" i="1"/>
  <c r="T329" i="1"/>
  <c r="AH329" i="1"/>
  <c r="AG329" i="1"/>
  <c r="Y329" i="1"/>
  <c r="AF329" i="1"/>
  <c r="T262" i="1"/>
  <c r="T264" i="1"/>
  <c r="T266" i="1"/>
  <c r="T268" i="1"/>
  <c r="AF273" i="1"/>
  <c r="AF275" i="1"/>
  <c r="AF277" i="1"/>
  <c r="Q284" i="1"/>
  <c r="R284" i="1" s="1"/>
  <c r="S284" i="1" s="1"/>
  <c r="AH285" i="1"/>
  <c r="AG285" i="1"/>
  <c r="Y285" i="1"/>
  <c r="AD311" i="1"/>
  <c r="AE311" i="1" s="1"/>
  <c r="U311" i="1"/>
  <c r="U271" i="1"/>
  <c r="AG275" i="1"/>
  <c r="AI275" i="1" s="1"/>
  <c r="AJ275" i="1" s="1"/>
  <c r="AG277" i="1"/>
  <c r="AI277" i="1" s="1"/>
  <c r="AJ277" i="1" s="1"/>
  <c r="AG279" i="1"/>
  <c r="AI279" i="1" s="1"/>
  <c r="AJ279" i="1" s="1"/>
  <c r="AG281" i="1"/>
  <c r="AI281" i="1" s="1"/>
  <c r="Q285" i="1"/>
  <c r="R285" i="1" s="1"/>
  <c r="S285" i="1" s="1"/>
  <c r="AD286" i="1"/>
  <c r="AE286" i="1" s="1"/>
  <c r="U286" i="1"/>
  <c r="T293" i="1"/>
  <c r="AH295" i="1"/>
  <c r="AG295" i="1"/>
  <c r="Y295" i="1"/>
  <c r="T297" i="1"/>
  <c r="AH299" i="1"/>
  <c r="AG299" i="1"/>
  <c r="Y299" i="1"/>
  <c r="T301" i="1"/>
  <c r="AH303" i="1"/>
  <c r="AG303" i="1"/>
  <c r="Y303" i="1"/>
  <c r="T305" i="1"/>
  <c r="AH307" i="1"/>
  <c r="AG307" i="1"/>
  <c r="Y307" i="1"/>
  <c r="Q311" i="1"/>
  <c r="R311" i="1" s="1"/>
  <c r="S311" i="1" s="1"/>
  <c r="U272" i="1"/>
  <c r="Y275" i="1"/>
  <c r="Y277" i="1"/>
  <c r="R280" i="1"/>
  <c r="S280" i="1" s="1"/>
  <c r="Q286" i="1"/>
  <c r="R286" i="1" s="1"/>
  <c r="S286" i="1" s="1"/>
  <c r="AH287" i="1"/>
  <c r="AG287" i="1"/>
  <c r="Y287" i="1"/>
  <c r="AE294" i="1"/>
  <c r="Q295" i="1"/>
  <c r="R295" i="1" s="1"/>
  <c r="S295" i="1" s="1"/>
  <c r="Q299" i="1"/>
  <c r="R299" i="1" s="1"/>
  <c r="S299" i="1" s="1"/>
  <c r="AE302" i="1"/>
  <c r="Q303" i="1"/>
  <c r="R303" i="1" s="1"/>
  <c r="S303" i="1" s="1"/>
  <c r="Q307" i="1"/>
  <c r="R307" i="1" s="1"/>
  <c r="S307" i="1" s="1"/>
  <c r="U313" i="1"/>
  <c r="AD313" i="1"/>
  <c r="AE313" i="1" s="1"/>
  <c r="Q287" i="1"/>
  <c r="R287" i="1" s="1"/>
  <c r="S287" i="1" s="1"/>
  <c r="AD288" i="1"/>
  <c r="AE288" i="1" s="1"/>
  <c r="U288" i="1"/>
  <c r="AD294" i="1"/>
  <c r="U294" i="1"/>
  <c r="AD298" i="1"/>
  <c r="AE298" i="1" s="1"/>
  <c r="U298" i="1"/>
  <c r="AD302" i="1"/>
  <c r="U302" i="1"/>
  <c r="AD306" i="1"/>
  <c r="AE306" i="1" s="1"/>
  <c r="U306" i="1"/>
  <c r="AE341" i="1"/>
  <c r="AH315" i="1"/>
  <c r="AG315" i="1"/>
  <c r="Y315" i="1"/>
  <c r="AH317" i="1"/>
  <c r="AG317" i="1"/>
  <c r="AI317" i="1" s="1"/>
  <c r="AJ317" i="1" s="1"/>
  <c r="Y317" i="1"/>
  <c r="AH319" i="1"/>
  <c r="AG319" i="1"/>
  <c r="AI319" i="1" s="1"/>
  <c r="AJ319" i="1" s="1"/>
  <c r="Y319" i="1"/>
  <c r="AH321" i="1"/>
  <c r="AG321" i="1"/>
  <c r="Y321" i="1"/>
  <c r="AH323" i="1"/>
  <c r="AG323" i="1"/>
  <c r="Y323" i="1"/>
  <c r="T325" i="1"/>
  <c r="AH325" i="1"/>
  <c r="AG325" i="1"/>
  <c r="Y325" i="1"/>
  <c r="AH354" i="1"/>
  <c r="AF354" i="1"/>
  <c r="T354" i="1"/>
  <c r="Y354" i="1"/>
  <c r="AG354" i="1"/>
  <c r="R313" i="1"/>
  <c r="S313" i="1" s="1"/>
  <c r="R315" i="1"/>
  <c r="S315" i="1" s="1"/>
  <c r="R317" i="1"/>
  <c r="S317" i="1" s="1"/>
  <c r="R319" i="1"/>
  <c r="S319" i="1" s="1"/>
  <c r="R321" i="1"/>
  <c r="S321" i="1" s="1"/>
  <c r="R323" i="1"/>
  <c r="S323" i="1" s="1"/>
  <c r="T331" i="1"/>
  <c r="AH331" i="1"/>
  <c r="AG331" i="1"/>
  <c r="Y331" i="1"/>
  <c r="AF331" i="1"/>
  <c r="AD326" i="1"/>
  <c r="AE326" i="1" s="1"/>
  <c r="U326" i="1"/>
  <c r="AH339" i="1"/>
  <c r="Y339" i="1"/>
  <c r="AF339" i="1"/>
  <c r="T339" i="1"/>
  <c r="AD312" i="1"/>
  <c r="AE312" i="1" s="1"/>
  <c r="U312" i="1"/>
  <c r="AE330" i="1"/>
  <c r="Q331" i="1"/>
  <c r="R331" i="1" s="1"/>
  <c r="S331" i="1" s="1"/>
  <c r="AD335" i="1"/>
  <c r="AE335" i="1" s="1"/>
  <c r="U335" i="1"/>
  <c r="AD316" i="1"/>
  <c r="AE316" i="1" s="1"/>
  <c r="U316" i="1"/>
  <c r="AD318" i="1"/>
  <c r="AE318" i="1" s="1"/>
  <c r="U318" i="1"/>
  <c r="AD320" i="1"/>
  <c r="AE320" i="1" s="1"/>
  <c r="U320" i="1"/>
  <c r="AD322" i="1"/>
  <c r="AE322" i="1" s="1"/>
  <c r="U322" i="1"/>
  <c r="AD324" i="1"/>
  <c r="AE324" i="1" s="1"/>
  <c r="U324" i="1"/>
  <c r="AG339" i="1"/>
  <c r="AD310" i="1"/>
  <c r="AE310" i="1" s="1"/>
  <c r="U310" i="1"/>
  <c r="T315" i="1"/>
  <c r="AD315" i="1"/>
  <c r="AE315" i="1" s="1"/>
  <c r="T317" i="1"/>
  <c r="AD317" i="1"/>
  <c r="AE317" i="1" s="1"/>
  <c r="T319" i="1"/>
  <c r="AD319" i="1"/>
  <c r="AE319" i="1" s="1"/>
  <c r="T321" i="1"/>
  <c r="AD321" i="1"/>
  <c r="AE321" i="1" s="1"/>
  <c r="T323" i="1"/>
  <c r="AD323" i="1"/>
  <c r="AE323" i="1" s="1"/>
  <c r="T327" i="1"/>
  <c r="AH327" i="1"/>
  <c r="AG327" i="1"/>
  <c r="Y327" i="1"/>
  <c r="U346" i="1"/>
  <c r="AD346" i="1"/>
  <c r="AE346" i="1" s="1"/>
  <c r="AG338" i="1"/>
  <c r="AF338" i="1"/>
  <c r="AH338" i="1"/>
  <c r="U343" i="1"/>
  <c r="R346" i="1"/>
  <c r="S346" i="1" s="1"/>
  <c r="AI370" i="1"/>
  <c r="AJ370" i="1" s="1"/>
  <c r="U330" i="1"/>
  <c r="U332" i="1"/>
  <c r="U334" i="1"/>
  <c r="Q335" i="1"/>
  <c r="R335" i="1" s="1"/>
  <c r="S335" i="1" s="1"/>
  <c r="AE350" i="1"/>
  <c r="AI368" i="1"/>
  <c r="AJ368" i="1" s="1"/>
  <c r="R351" i="1"/>
  <c r="S351" i="1" s="1"/>
  <c r="AE339" i="1"/>
  <c r="U351" i="1"/>
  <c r="AE359" i="1"/>
  <c r="AD336" i="1"/>
  <c r="U336" i="1"/>
  <c r="Q340" i="1"/>
  <c r="R340" i="1" s="1"/>
  <c r="S340" i="1" s="1"/>
  <c r="Q350" i="1"/>
  <c r="R350" i="1" s="1"/>
  <c r="S350" i="1" s="1"/>
  <c r="R354" i="1"/>
  <c r="S354" i="1" s="1"/>
  <c r="AE334" i="1"/>
  <c r="AE342" i="1"/>
  <c r="AD342" i="1"/>
  <c r="AH344" i="1"/>
  <c r="T344" i="1"/>
  <c r="Y344" i="1"/>
  <c r="AG344" i="1"/>
  <c r="AI344" i="1" s="1"/>
  <c r="AJ344" i="1" s="1"/>
  <c r="AE348" i="1"/>
  <c r="U352" i="1"/>
  <c r="AD357" i="1"/>
  <c r="AE357" i="1" s="1"/>
  <c r="U357" i="1"/>
  <c r="T360" i="1"/>
  <c r="AH360" i="1"/>
  <c r="AG364" i="1"/>
  <c r="AI364" i="1" s="1"/>
  <c r="AJ364" i="1" s="1"/>
  <c r="U374" i="1"/>
  <c r="AE378" i="1"/>
  <c r="R383" i="1"/>
  <c r="S383" i="1" s="1"/>
  <c r="AE358" i="1"/>
  <c r="U363" i="1"/>
  <c r="T366" i="1"/>
  <c r="AH366" i="1"/>
  <c r="AH383" i="1"/>
  <c r="Y383" i="1"/>
  <c r="AG383" i="1"/>
  <c r="AI383" i="1" s="1"/>
  <c r="AJ383" i="1" s="1"/>
  <c r="T383" i="1"/>
  <c r="AH398" i="1"/>
  <c r="Y398" i="1"/>
  <c r="AF398" i="1"/>
  <c r="T398" i="1"/>
  <c r="AG398" i="1"/>
  <c r="AI398" i="1" s="1"/>
  <c r="AJ398" i="1" s="1"/>
  <c r="U342" i="1"/>
  <c r="U350" i="1"/>
  <c r="AE354" i="1"/>
  <c r="T356" i="1"/>
  <c r="AH356" i="1"/>
  <c r="AI356" i="1" s="1"/>
  <c r="AJ356" i="1" s="1"/>
  <c r="AG360" i="1"/>
  <c r="AF366" i="1"/>
  <c r="AD369" i="1"/>
  <c r="AE369" i="1" s="1"/>
  <c r="U369" i="1"/>
  <c r="AG372" i="1"/>
  <c r="AI372" i="1" s="1"/>
  <c r="AJ372" i="1" s="1"/>
  <c r="T372" i="1"/>
  <c r="AH377" i="1"/>
  <c r="AI377" i="1" s="1"/>
  <c r="AJ377" i="1" s="1"/>
  <c r="T377" i="1"/>
  <c r="Y377" i="1"/>
  <c r="U387" i="1"/>
  <c r="AD405" i="1"/>
  <c r="AE405" i="1" s="1"/>
  <c r="U405" i="1"/>
  <c r="U333" i="1"/>
  <c r="AE336" i="1"/>
  <c r="U340" i="1"/>
  <c r="AD341" i="1"/>
  <c r="U341" i="1"/>
  <c r="AD349" i="1"/>
  <c r="AE349" i="1" s="1"/>
  <c r="U349" i="1"/>
  <c r="AF356" i="1"/>
  <c r="AD359" i="1"/>
  <c r="U359" i="1"/>
  <c r="Y360" i="1"/>
  <c r="T362" i="1"/>
  <c r="AH362" i="1"/>
  <c r="AI362" i="1" s="1"/>
  <c r="AJ362" i="1" s="1"/>
  <c r="AG366" i="1"/>
  <c r="AI366" i="1" s="1"/>
  <c r="AJ366" i="1" s="1"/>
  <c r="AF372" i="1"/>
  <c r="AD375" i="1"/>
  <c r="AE375" i="1" s="1"/>
  <c r="AE377" i="1"/>
  <c r="R380" i="1"/>
  <c r="S380" i="1" s="1"/>
  <c r="AD399" i="1"/>
  <c r="U399" i="1"/>
  <c r="AE344" i="1"/>
  <c r="U348" i="1"/>
  <c r="AE352" i="1"/>
  <c r="U365" i="1"/>
  <c r="Y366" i="1"/>
  <c r="T368" i="1"/>
  <c r="AH368" i="1"/>
  <c r="T375" i="1"/>
  <c r="AF375" i="1"/>
  <c r="AD396" i="1"/>
  <c r="U396" i="1"/>
  <c r="AE338" i="1"/>
  <c r="U347" i="1"/>
  <c r="U355" i="1"/>
  <c r="T358" i="1"/>
  <c r="AH358" i="1"/>
  <c r="AI358" i="1" s="1"/>
  <c r="AJ358" i="1" s="1"/>
  <c r="AF368" i="1"/>
  <c r="U371" i="1"/>
  <c r="U380" i="1"/>
  <c r="AE394" i="1"/>
  <c r="AE356" i="1"/>
  <c r="U361" i="1"/>
  <c r="T364" i="1"/>
  <c r="AH364" i="1"/>
  <c r="AG375" i="1"/>
  <c r="AI375" i="1" s="1"/>
  <c r="AJ375" i="1" s="1"/>
  <c r="Y375" i="1"/>
  <c r="AH379" i="1"/>
  <c r="Y379" i="1"/>
  <c r="AG379" i="1"/>
  <c r="AI379" i="1" s="1"/>
  <c r="AJ379" i="1" s="1"/>
  <c r="T379" i="1"/>
  <c r="AH402" i="1"/>
  <c r="Y402" i="1"/>
  <c r="AF402" i="1"/>
  <c r="T402" i="1"/>
  <c r="AG402" i="1"/>
  <c r="AI402" i="1" s="1"/>
  <c r="AJ402" i="1" s="1"/>
  <c r="U337" i="1"/>
  <c r="AE340" i="1"/>
  <c r="U345" i="1"/>
  <c r="U353" i="1"/>
  <c r="AF364" i="1"/>
  <c r="U367" i="1"/>
  <c r="Y368" i="1"/>
  <c r="T370" i="1"/>
  <c r="AH370" i="1"/>
  <c r="AH394" i="1"/>
  <c r="Y394" i="1"/>
  <c r="AF394" i="1"/>
  <c r="AG394" i="1"/>
  <c r="AI394" i="1" s="1"/>
  <c r="AJ394" i="1" s="1"/>
  <c r="Q374" i="1"/>
  <c r="R374" i="1" s="1"/>
  <c r="S374" i="1" s="1"/>
  <c r="U376" i="1"/>
  <c r="AD391" i="1"/>
  <c r="AE391" i="1" s="1"/>
  <c r="AE399" i="1"/>
  <c r="AE402" i="1"/>
  <c r="U410" i="1"/>
  <c r="AD411" i="1"/>
  <c r="AE411" i="1" s="1"/>
  <c r="U411" i="1"/>
  <c r="U414" i="1"/>
  <c r="AH413" i="1"/>
  <c r="AF413" i="1"/>
  <c r="AG413" i="1"/>
  <c r="AI413" i="1" s="1"/>
  <c r="AJ413" i="1" s="1"/>
  <c r="T413" i="1"/>
  <c r="Q376" i="1"/>
  <c r="R376" i="1" s="1"/>
  <c r="S376" i="1" s="1"/>
  <c r="AD378" i="1"/>
  <c r="U378" i="1"/>
  <c r="AD392" i="1"/>
  <c r="AE392" i="1" s="1"/>
  <c r="U392" i="1"/>
  <c r="AE395" i="1"/>
  <c r="AE398" i="1"/>
  <c r="R400" i="1"/>
  <c r="S400" i="1" s="1"/>
  <c r="R406" i="1"/>
  <c r="S406" i="1" s="1"/>
  <c r="AE410" i="1"/>
  <c r="AE414" i="1"/>
  <c r="AD382" i="1"/>
  <c r="AE382" i="1" s="1"/>
  <c r="U382" i="1"/>
  <c r="AD386" i="1"/>
  <c r="AE386" i="1" s="1"/>
  <c r="U386" i="1"/>
  <c r="AD390" i="1"/>
  <c r="AE390" i="1" s="1"/>
  <c r="U390" i="1"/>
  <c r="AD395" i="1"/>
  <c r="U395" i="1"/>
  <c r="AD398" i="1"/>
  <c r="AD401" i="1"/>
  <c r="U401" i="1"/>
  <c r="AE401" i="1"/>
  <c r="AE404" i="1"/>
  <c r="AD408" i="1"/>
  <c r="AE408" i="1" s="1"/>
  <c r="U408" i="1"/>
  <c r="R409" i="1"/>
  <c r="S409" i="1" s="1"/>
  <c r="R402" i="1"/>
  <c r="S402" i="1" s="1"/>
  <c r="AH406" i="1"/>
  <c r="AI406" i="1" s="1"/>
  <c r="AJ406" i="1" s="1"/>
  <c r="Y406" i="1"/>
  <c r="AF406" i="1"/>
  <c r="AE407" i="1"/>
  <c r="U373" i="1"/>
  <c r="AD373" i="1"/>
  <c r="AE373" i="1" s="1"/>
  <c r="AD381" i="1"/>
  <c r="AE381" i="1" s="1"/>
  <c r="U381" i="1"/>
  <c r="AD385" i="1"/>
  <c r="AE385" i="1" s="1"/>
  <c r="U385" i="1"/>
  <c r="AD389" i="1"/>
  <c r="AE389" i="1" s="1"/>
  <c r="U389" i="1"/>
  <c r="AD394" i="1"/>
  <c r="AD397" i="1"/>
  <c r="AE397" i="1" s="1"/>
  <c r="U397" i="1"/>
  <c r="AD404" i="1"/>
  <c r="U404" i="1"/>
  <c r="R405" i="1"/>
  <c r="S405" i="1" s="1"/>
  <c r="AD407" i="1"/>
  <c r="U407" i="1"/>
  <c r="AD412" i="1"/>
  <c r="U412" i="1"/>
  <c r="AH417" i="1"/>
  <c r="AG417" i="1"/>
  <c r="AI417" i="1" s="1"/>
  <c r="AJ417" i="1" s="1"/>
  <c r="Y417" i="1"/>
  <c r="AF417" i="1"/>
  <c r="T417" i="1"/>
  <c r="U384" i="1"/>
  <c r="U388" i="1"/>
  <c r="AH391" i="1"/>
  <c r="Y391" i="1"/>
  <c r="AG391" i="1"/>
  <c r="AD393" i="1"/>
  <c r="U393" i="1"/>
  <c r="AE393" i="1"/>
  <c r="AE396" i="1"/>
  <c r="AD400" i="1"/>
  <c r="AE400" i="1" s="1"/>
  <c r="U400" i="1"/>
  <c r="AD403" i="1"/>
  <c r="AE403" i="1" s="1"/>
  <c r="U403" i="1"/>
  <c r="AD409" i="1"/>
  <c r="U409" i="1"/>
  <c r="AE409" i="1"/>
  <c r="R410" i="1"/>
  <c r="S410" i="1" s="1"/>
  <c r="Y413" i="1"/>
  <c r="R414" i="1"/>
  <c r="S414" i="1" s="1"/>
  <c r="AD415" i="1"/>
  <c r="U415" i="1"/>
  <c r="AE415" i="1"/>
  <c r="AE412" i="1"/>
  <c r="AD413" i="1"/>
  <c r="AE413" i="1" s="1"/>
  <c r="AE416" i="1"/>
  <c r="AD417" i="1"/>
  <c r="AE417" i="1"/>
  <c r="AE418" i="1"/>
  <c r="U416" i="1"/>
  <c r="U418" i="1"/>
  <c r="AH403" i="1" l="1"/>
  <c r="Y403" i="1"/>
  <c r="T403" i="1"/>
  <c r="AG403" i="1"/>
  <c r="AF403" i="1"/>
  <c r="AI391" i="1"/>
  <c r="AJ391" i="1" s="1"/>
  <c r="V389" i="1"/>
  <c r="W389" i="1" s="1"/>
  <c r="AH389" i="1"/>
  <c r="Y389" i="1"/>
  <c r="AF389" i="1"/>
  <c r="AG389" i="1"/>
  <c r="AI389" i="1" s="1"/>
  <c r="AJ389" i="1" s="1"/>
  <c r="T389" i="1"/>
  <c r="AH390" i="1"/>
  <c r="V390" i="1"/>
  <c r="W390" i="1" s="1"/>
  <c r="Y390" i="1"/>
  <c r="AF390" i="1"/>
  <c r="T390" i="1"/>
  <c r="AG390" i="1"/>
  <c r="AH411" i="1"/>
  <c r="Y411" i="1"/>
  <c r="T411" i="1"/>
  <c r="AG411" i="1"/>
  <c r="AI411" i="1" s="1"/>
  <c r="AJ411" i="1" s="1"/>
  <c r="AF411" i="1"/>
  <c r="AH348" i="1"/>
  <c r="Y348" i="1"/>
  <c r="AF348" i="1"/>
  <c r="T348" i="1"/>
  <c r="AG348" i="1"/>
  <c r="AH405" i="1"/>
  <c r="AF405" i="1"/>
  <c r="AG405" i="1"/>
  <c r="AI405" i="1" s="1"/>
  <c r="AJ405" i="1" s="1"/>
  <c r="Y405" i="1"/>
  <c r="T405" i="1"/>
  <c r="AH352" i="1"/>
  <c r="T352" i="1"/>
  <c r="Y352" i="1"/>
  <c r="AG352" i="1"/>
  <c r="AF352" i="1"/>
  <c r="V352" i="1"/>
  <c r="W352" i="1" s="1"/>
  <c r="V343" i="1"/>
  <c r="W343" i="1" s="1"/>
  <c r="Y343" i="1"/>
  <c r="AH343" i="1"/>
  <c r="AG343" i="1"/>
  <c r="AF343" i="1"/>
  <c r="T343" i="1"/>
  <c r="AI327" i="1"/>
  <c r="AJ327" i="1" s="1"/>
  <c r="AI339" i="1"/>
  <c r="AJ339" i="1" s="1"/>
  <c r="AI323" i="1"/>
  <c r="AJ323" i="1" s="1"/>
  <c r="AG306" i="1"/>
  <c r="Y306" i="1"/>
  <c r="T306" i="1"/>
  <c r="AH306" i="1"/>
  <c r="AF306" i="1"/>
  <c r="AI307" i="1"/>
  <c r="AJ307" i="1" s="1"/>
  <c r="AI299" i="1"/>
  <c r="AJ299" i="1" s="1"/>
  <c r="AG286" i="1"/>
  <c r="Y286" i="1"/>
  <c r="T286" i="1"/>
  <c r="AH286" i="1"/>
  <c r="AF286" i="1"/>
  <c r="AH311" i="1"/>
  <c r="AG311" i="1"/>
  <c r="AI311" i="1" s="1"/>
  <c r="AJ311" i="1" s="1"/>
  <c r="Y311" i="1"/>
  <c r="AF311" i="1"/>
  <c r="T311" i="1"/>
  <c r="AI329" i="1"/>
  <c r="AJ329" i="1" s="1"/>
  <c r="AH309" i="1"/>
  <c r="AG309" i="1"/>
  <c r="AI309" i="1" s="1"/>
  <c r="AJ309" i="1" s="1"/>
  <c r="Y309" i="1"/>
  <c r="AF309" i="1"/>
  <c r="T309" i="1"/>
  <c r="AH259" i="1"/>
  <c r="AG259" i="1"/>
  <c r="AI259" i="1" s="1"/>
  <c r="AJ259" i="1" s="1"/>
  <c r="AF259" i="1"/>
  <c r="T259" i="1"/>
  <c r="Y259" i="1"/>
  <c r="AG270" i="1"/>
  <c r="AF270" i="1"/>
  <c r="T270" i="1"/>
  <c r="Y270" i="1"/>
  <c r="AH270" i="1"/>
  <c r="AH240" i="1"/>
  <c r="Y240" i="1"/>
  <c r="AF240" i="1"/>
  <c r="T240" i="1"/>
  <c r="AG240" i="1"/>
  <c r="AH250" i="1"/>
  <c r="Y250" i="1"/>
  <c r="AG250" i="1"/>
  <c r="AF250" i="1"/>
  <c r="T250" i="1"/>
  <c r="AH256" i="1"/>
  <c r="AF256" i="1"/>
  <c r="T256" i="1"/>
  <c r="Y256" i="1"/>
  <c r="AG256" i="1"/>
  <c r="AI256" i="1" s="1"/>
  <c r="AJ256" i="1" s="1"/>
  <c r="AH234" i="1"/>
  <c r="AF234" i="1"/>
  <c r="Y234" i="1"/>
  <c r="T234" i="1"/>
  <c r="AG234" i="1"/>
  <c r="AI234" i="1" s="1"/>
  <c r="AJ234" i="1" s="1"/>
  <c r="AG174" i="1"/>
  <c r="Y174" i="1"/>
  <c r="AH174" i="1"/>
  <c r="AF174" i="1"/>
  <c r="T174" i="1"/>
  <c r="AG200" i="1"/>
  <c r="AI200" i="1" s="1"/>
  <c r="AJ200" i="1" s="1"/>
  <c r="Y200" i="1"/>
  <c r="T200" i="1"/>
  <c r="AH200" i="1"/>
  <c r="AF200" i="1"/>
  <c r="Y146" i="1"/>
  <c r="AH146" i="1"/>
  <c r="T146" i="1"/>
  <c r="AG146" i="1"/>
  <c r="AF146" i="1"/>
  <c r="AF109" i="1"/>
  <c r="T109" i="1"/>
  <c r="Y109" i="1"/>
  <c r="AG109" i="1"/>
  <c r="AH109" i="1"/>
  <c r="AG175" i="1"/>
  <c r="Y175" i="1"/>
  <c r="AF175" i="1"/>
  <c r="T175" i="1"/>
  <c r="AH175" i="1"/>
  <c r="AF80" i="1"/>
  <c r="V80" i="1"/>
  <c r="W80" i="1" s="1"/>
  <c r="T80" i="1"/>
  <c r="AH80" i="1"/>
  <c r="AG80" i="1"/>
  <c r="Y80" i="1"/>
  <c r="AH122" i="1"/>
  <c r="Y122" i="1"/>
  <c r="AG122" i="1"/>
  <c r="AI122" i="1" s="1"/>
  <c r="AJ122" i="1" s="1"/>
  <c r="AF122" i="1"/>
  <c r="T122" i="1"/>
  <c r="AH99" i="1"/>
  <c r="Y99" i="1"/>
  <c r="AG99" i="1"/>
  <c r="AI99" i="1" s="1"/>
  <c r="AJ99" i="1" s="1"/>
  <c r="AF99" i="1"/>
  <c r="T99" i="1"/>
  <c r="AI157" i="1"/>
  <c r="AJ157" i="1" s="1"/>
  <c r="AH170" i="1"/>
  <c r="Y170" i="1"/>
  <c r="AG170" i="1"/>
  <c r="AI170" i="1" s="1"/>
  <c r="AJ170" i="1" s="1"/>
  <c r="AF170" i="1"/>
  <c r="T170" i="1"/>
  <c r="AG133" i="1"/>
  <c r="AI133" i="1" s="1"/>
  <c r="AJ133" i="1" s="1"/>
  <c r="Y133" i="1"/>
  <c r="AH133" i="1"/>
  <c r="AF133" i="1"/>
  <c r="T133" i="1"/>
  <c r="AF25" i="1"/>
  <c r="T25" i="1"/>
  <c r="AH25" i="1"/>
  <c r="Y25" i="1"/>
  <c r="AG25" i="1"/>
  <c r="AI89" i="1"/>
  <c r="AJ89" i="1" s="1"/>
  <c r="AI73" i="1"/>
  <c r="AJ73" i="1" s="1"/>
  <c r="AM69" i="1"/>
  <c r="AI87" i="1"/>
  <c r="AJ87" i="1" s="1"/>
  <c r="AG205" i="1"/>
  <c r="AI205" i="1" s="1"/>
  <c r="AJ205" i="1" s="1"/>
  <c r="T205" i="1"/>
  <c r="Y205" i="1"/>
  <c r="AH205" i="1"/>
  <c r="AF205" i="1"/>
  <c r="AH28" i="1"/>
  <c r="Y28" i="1"/>
  <c r="AG28" i="1"/>
  <c r="AF28" i="1"/>
  <c r="T28" i="1"/>
  <c r="AJ55" i="1"/>
  <c r="AM51" i="1"/>
  <c r="AK51" i="1"/>
  <c r="AH404" i="1"/>
  <c r="AF404" i="1"/>
  <c r="Y404" i="1"/>
  <c r="T404" i="1"/>
  <c r="AG404" i="1"/>
  <c r="AI404" i="1" s="1"/>
  <c r="AJ404" i="1" s="1"/>
  <c r="AH337" i="1"/>
  <c r="Y337" i="1"/>
  <c r="AG337" i="1"/>
  <c r="AI337" i="1" s="1"/>
  <c r="AJ337" i="1" s="1"/>
  <c r="AF337" i="1"/>
  <c r="T337" i="1"/>
  <c r="AF361" i="1"/>
  <c r="AH361" i="1"/>
  <c r="AG361" i="1"/>
  <c r="T361" i="1"/>
  <c r="Y361" i="1"/>
  <c r="AH349" i="1"/>
  <c r="AG349" i="1"/>
  <c r="AF349" i="1"/>
  <c r="T349" i="1"/>
  <c r="Y349" i="1"/>
  <c r="AK372" i="1"/>
  <c r="AM372" i="1"/>
  <c r="AH334" i="1"/>
  <c r="Y334" i="1"/>
  <c r="AG334" i="1"/>
  <c r="AI334" i="1" s="1"/>
  <c r="AJ334" i="1" s="1"/>
  <c r="AF334" i="1"/>
  <c r="T334" i="1"/>
  <c r="AG324" i="1"/>
  <c r="Y324" i="1"/>
  <c r="AH324" i="1"/>
  <c r="AF324" i="1"/>
  <c r="T324" i="1"/>
  <c r="AG316" i="1"/>
  <c r="Y316" i="1"/>
  <c r="AH316" i="1"/>
  <c r="AF316" i="1"/>
  <c r="T316" i="1"/>
  <c r="AK339" i="1"/>
  <c r="AM339" i="1"/>
  <c r="AG288" i="1"/>
  <c r="Y288" i="1"/>
  <c r="T288" i="1"/>
  <c r="AH288" i="1"/>
  <c r="AF288" i="1"/>
  <c r="AK268" i="1"/>
  <c r="AM268" i="1"/>
  <c r="AG296" i="1"/>
  <c r="Y296" i="1"/>
  <c r="AH296" i="1"/>
  <c r="AF296" i="1"/>
  <c r="T296" i="1"/>
  <c r="AK275" i="1"/>
  <c r="AM275" i="1"/>
  <c r="AH257" i="1"/>
  <c r="Y257" i="1"/>
  <c r="AG257" i="1"/>
  <c r="AI257" i="1" s="1"/>
  <c r="AJ257" i="1" s="1"/>
  <c r="AF257" i="1"/>
  <c r="T257" i="1"/>
  <c r="AH255" i="1"/>
  <c r="V255" i="1"/>
  <c r="W255" i="1" s="1"/>
  <c r="Y255" i="1"/>
  <c r="AG255" i="1"/>
  <c r="AF255" i="1"/>
  <c r="T255" i="1"/>
  <c r="AH236" i="1"/>
  <c r="Y236" i="1"/>
  <c r="AF236" i="1"/>
  <c r="T236" i="1"/>
  <c r="AG236" i="1"/>
  <c r="AI236" i="1" s="1"/>
  <c r="AJ236" i="1" s="1"/>
  <c r="AH233" i="1"/>
  <c r="AF233" i="1"/>
  <c r="Y233" i="1"/>
  <c r="AG233" i="1"/>
  <c r="AI233" i="1" s="1"/>
  <c r="AJ233" i="1" s="1"/>
  <c r="T233" i="1"/>
  <c r="V233" i="1" s="1"/>
  <c r="W233" i="1" s="1"/>
  <c r="AH225" i="1"/>
  <c r="AF225" i="1"/>
  <c r="AG225" i="1"/>
  <c r="AI225" i="1" s="1"/>
  <c r="AJ225" i="1" s="1"/>
  <c r="T225" i="1"/>
  <c r="Y225" i="1"/>
  <c r="AJ214" i="1"/>
  <c r="V154" i="1"/>
  <c r="W154" i="1" s="1"/>
  <c r="T154" i="1"/>
  <c r="Y154" i="1"/>
  <c r="AH154" i="1"/>
  <c r="AG154" i="1"/>
  <c r="AI154" i="1" s="1"/>
  <c r="AJ154" i="1" s="1"/>
  <c r="AF154" i="1"/>
  <c r="AJ178" i="1"/>
  <c r="T119" i="1"/>
  <c r="AH119" i="1"/>
  <c r="Y119" i="1"/>
  <c r="AG119" i="1"/>
  <c r="AF119" i="1"/>
  <c r="Y207" i="1"/>
  <c r="AH207" i="1"/>
  <c r="AG207" i="1"/>
  <c r="AI207" i="1" s="1"/>
  <c r="AJ207" i="1" s="1"/>
  <c r="V207" i="1"/>
  <c r="W207" i="1" s="1"/>
  <c r="T207" i="1"/>
  <c r="AF207" i="1"/>
  <c r="AG108" i="1"/>
  <c r="AF108" i="1"/>
  <c r="T108" i="1"/>
  <c r="Y108" i="1"/>
  <c r="AH108" i="1"/>
  <c r="AF78" i="1"/>
  <c r="T78" i="1"/>
  <c r="AG78" i="1"/>
  <c r="AI78" i="1" s="1"/>
  <c r="AJ78" i="1" s="1"/>
  <c r="Y78" i="1"/>
  <c r="AH78" i="1"/>
  <c r="AH193" i="1"/>
  <c r="AG193" i="1"/>
  <c r="AI193" i="1" s="1"/>
  <c r="AJ193" i="1" s="1"/>
  <c r="Y193" i="1"/>
  <c r="T193" i="1"/>
  <c r="AF193" i="1"/>
  <c r="AH98" i="1"/>
  <c r="Y98" i="1"/>
  <c r="AG98" i="1"/>
  <c r="AI98" i="1" s="1"/>
  <c r="AJ98" i="1" s="1"/>
  <c r="AF98" i="1"/>
  <c r="T98" i="1"/>
  <c r="AG142" i="1"/>
  <c r="AF142" i="1"/>
  <c r="Y142" i="1"/>
  <c r="T142" i="1"/>
  <c r="AH142" i="1"/>
  <c r="AH40" i="1"/>
  <c r="AG40" i="1"/>
  <c r="AF40" i="1"/>
  <c r="T40" i="1"/>
  <c r="Y40" i="1"/>
  <c r="T124" i="1"/>
  <c r="Y124" i="1"/>
  <c r="AH124" i="1"/>
  <c r="AG124" i="1"/>
  <c r="AF124" i="1"/>
  <c r="Y58" i="1"/>
  <c r="AH58" i="1"/>
  <c r="AG58" i="1"/>
  <c r="AI58" i="1" s="1"/>
  <c r="AJ58" i="1" s="1"/>
  <c r="T58" i="1"/>
  <c r="AF58" i="1"/>
  <c r="Y50" i="1"/>
  <c r="AH50" i="1"/>
  <c r="AG50" i="1"/>
  <c r="T50" i="1"/>
  <c r="AF50" i="1"/>
  <c r="AF17" i="1"/>
  <c r="T17" i="1"/>
  <c r="AH17" i="1"/>
  <c r="AG17" i="1"/>
  <c r="AI17" i="1" s="1"/>
  <c r="AJ17" i="1" s="1"/>
  <c r="Y17" i="1"/>
  <c r="AF9" i="1"/>
  <c r="T9" i="1"/>
  <c r="AH9" i="1"/>
  <c r="Y9" i="1"/>
  <c r="AG9" i="1"/>
  <c r="AG172" i="1"/>
  <c r="AI172" i="1" s="1"/>
  <c r="AJ172" i="1" s="1"/>
  <c r="Y172" i="1"/>
  <c r="AH172" i="1"/>
  <c r="AF172" i="1"/>
  <c r="T172" i="1"/>
  <c r="AF160" i="1"/>
  <c r="T160" i="1"/>
  <c r="AH160" i="1"/>
  <c r="AG160" i="1"/>
  <c r="Y160" i="1"/>
  <c r="AI145" i="1"/>
  <c r="AJ145" i="1" s="1"/>
  <c r="AI91" i="1"/>
  <c r="AJ91" i="1" s="1"/>
  <c r="AF88" i="1"/>
  <c r="V88" i="1"/>
  <c r="W88" i="1" s="1"/>
  <c r="T88" i="1"/>
  <c r="Y88" i="1"/>
  <c r="AH88" i="1"/>
  <c r="AG88" i="1"/>
  <c r="AI88" i="1" s="1"/>
  <c r="AJ88" i="1" s="1"/>
  <c r="AI79" i="1"/>
  <c r="AJ79" i="1" s="1"/>
  <c r="AK7" i="1"/>
  <c r="AI61" i="1"/>
  <c r="AJ61" i="1" s="1"/>
  <c r="AI36" i="1"/>
  <c r="AJ36" i="1" s="1"/>
  <c r="AI43" i="1"/>
  <c r="AJ43" i="1" s="1"/>
  <c r="AD419" i="1"/>
  <c r="V385" i="1"/>
  <c r="W385" i="1" s="1"/>
  <c r="AH385" i="1"/>
  <c r="Y385" i="1"/>
  <c r="AF385" i="1"/>
  <c r="AG385" i="1"/>
  <c r="T385" i="1"/>
  <c r="AH386" i="1"/>
  <c r="Y386" i="1"/>
  <c r="AF386" i="1"/>
  <c r="T386" i="1"/>
  <c r="AG386" i="1"/>
  <c r="AI386" i="1" s="1"/>
  <c r="AJ386" i="1" s="1"/>
  <c r="AH410" i="1"/>
  <c r="Y410" i="1"/>
  <c r="AG410" i="1"/>
  <c r="AI410" i="1" s="1"/>
  <c r="AJ410" i="1" s="1"/>
  <c r="T410" i="1"/>
  <c r="AF410" i="1"/>
  <c r="AH399" i="1"/>
  <c r="Y399" i="1"/>
  <c r="AF399" i="1"/>
  <c r="T399" i="1"/>
  <c r="AG399" i="1"/>
  <c r="AI399" i="1" s="1"/>
  <c r="AJ399" i="1" s="1"/>
  <c r="AG374" i="1"/>
  <c r="Y374" i="1"/>
  <c r="T374" i="1"/>
  <c r="AF374" i="1"/>
  <c r="AH374" i="1"/>
  <c r="V374" i="1"/>
  <c r="W374" i="1" s="1"/>
  <c r="Y351" i="1"/>
  <c r="AH351" i="1"/>
  <c r="AG351" i="1"/>
  <c r="AI351" i="1" s="1"/>
  <c r="AJ351" i="1" s="1"/>
  <c r="T351" i="1"/>
  <c r="AF351" i="1"/>
  <c r="AF332" i="1"/>
  <c r="AH332" i="1"/>
  <c r="Y332" i="1"/>
  <c r="AG332" i="1"/>
  <c r="T332" i="1"/>
  <c r="AG302" i="1"/>
  <c r="AI302" i="1" s="1"/>
  <c r="AJ302" i="1" s="1"/>
  <c r="Y302" i="1"/>
  <c r="T302" i="1"/>
  <c r="AH302" i="1"/>
  <c r="AF302" i="1"/>
  <c r="AM305" i="1"/>
  <c r="AM297" i="1"/>
  <c r="AM329" i="1"/>
  <c r="AH226" i="1"/>
  <c r="AF226" i="1"/>
  <c r="AG226" i="1"/>
  <c r="AI226" i="1" s="1"/>
  <c r="AJ226" i="1" s="1"/>
  <c r="T226" i="1"/>
  <c r="Y226" i="1"/>
  <c r="AH246" i="1"/>
  <c r="Y246" i="1"/>
  <c r="AG246" i="1"/>
  <c r="AF246" i="1"/>
  <c r="T246" i="1"/>
  <c r="AH232" i="1"/>
  <c r="AF232" i="1"/>
  <c r="Y232" i="1"/>
  <c r="T232" i="1"/>
  <c r="AG232" i="1"/>
  <c r="AK252" i="1"/>
  <c r="AM252" i="1"/>
  <c r="AI228" i="1"/>
  <c r="AJ228" i="1" s="1"/>
  <c r="AG194" i="1"/>
  <c r="AI194" i="1" s="1"/>
  <c r="AJ194" i="1" s="1"/>
  <c r="Y194" i="1"/>
  <c r="V194" i="1"/>
  <c r="W194" i="1" s="1"/>
  <c r="T194" i="1"/>
  <c r="AH194" i="1"/>
  <c r="AF194" i="1"/>
  <c r="V167" i="1"/>
  <c r="W167" i="1" s="1"/>
  <c r="T167" i="1"/>
  <c r="AH167" i="1"/>
  <c r="Y167" i="1"/>
  <c r="AG167" i="1"/>
  <c r="AI167" i="1" s="1"/>
  <c r="AJ167" i="1" s="1"/>
  <c r="AF167" i="1"/>
  <c r="AK206" i="1"/>
  <c r="AK222" i="1"/>
  <c r="AG209" i="1"/>
  <c r="AF209" i="1"/>
  <c r="T209" i="1"/>
  <c r="Y209" i="1"/>
  <c r="AH209" i="1"/>
  <c r="AG173" i="1"/>
  <c r="AI173" i="1" s="1"/>
  <c r="AJ173" i="1" s="1"/>
  <c r="Y173" i="1"/>
  <c r="AH173" i="1"/>
  <c r="AF173" i="1"/>
  <c r="T173" i="1"/>
  <c r="AK274" i="1"/>
  <c r="AG196" i="1"/>
  <c r="AI196" i="1" s="1"/>
  <c r="AJ196" i="1" s="1"/>
  <c r="Y196" i="1"/>
  <c r="T196" i="1"/>
  <c r="AH196" i="1"/>
  <c r="AF196" i="1"/>
  <c r="AJ185" i="1"/>
  <c r="T118" i="1"/>
  <c r="AH118" i="1"/>
  <c r="Y118" i="1"/>
  <c r="AG118" i="1"/>
  <c r="AF118" i="1"/>
  <c r="AF162" i="1"/>
  <c r="T162" i="1"/>
  <c r="Y162" i="1"/>
  <c r="AH162" i="1"/>
  <c r="AG162" i="1"/>
  <c r="AI162" i="1" s="1"/>
  <c r="AJ162" i="1" s="1"/>
  <c r="AK158" i="1"/>
  <c r="Y144" i="1"/>
  <c r="AH144" i="1"/>
  <c r="T144" i="1"/>
  <c r="AF144" i="1"/>
  <c r="AG144" i="1"/>
  <c r="AJ127" i="1"/>
  <c r="AF76" i="1"/>
  <c r="T76" i="1"/>
  <c r="AH76" i="1"/>
  <c r="AG76" i="1"/>
  <c r="AI76" i="1" s="1"/>
  <c r="AJ76" i="1" s="1"/>
  <c r="Y76" i="1"/>
  <c r="AH115" i="1"/>
  <c r="Y115" i="1"/>
  <c r="AG115" i="1"/>
  <c r="AI115" i="1" s="1"/>
  <c r="AJ115" i="1" s="1"/>
  <c r="AF115" i="1"/>
  <c r="T115" i="1"/>
  <c r="AF166" i="1"/>
  <c r="T166" i="1"/>
  <c r="Y166" i="1"/>
  <c r="AH166" i="1"/>
  <c r="AG166" i="1"/>
  <c r="AI166" i="1" s="1"/>
  <c r="AJ166" i="1" s="1"/>
  <c r="T27" i="1"/>
  <c r="AH27" i="1"/>
  <c r="AH419" i="1" s="1"/>
  <c r="Y27" i="1"/>
  <c r="AG27" i="1"/>
  <c r="AF27" i="1"/>
  <c r="AK147" i="1"/>
  <c r="AM87" i="1"/>
  <c r="AK87" i="1"/>
  <c r="AH33" i="1"/>
  <c r="Y33" i="1"/>
  <c r="AG33" i="1"/>
  <c r="AI33" i="1" s="1"/>
  <c r="AJ33" i="1" s="1"/>
  <c r="AF33" i="1"/>
  <c r="T33" i="1"/>
  <c r="V33" i="1" s="1"/>
  <c r="W33" i="1" s="1"/>
  <c r="AG64" i="1"/>
  <c r="AF64" i="1"/>
  <c r="AH64" i="1"/>
  <c r="Y64" i="1"/>
  <c r="T64" i="1"/>
  <c r="U419" i="1"/>
  <c r="AA417" i="1"/>
  <c r="V417" i="1" s="1"/>
  <c r="W417" i="1" s="1"/>
  <c r="AK417" i="1" s="1"/>
  <c r="AA415" i="1"/>
  <c r="AA413" i="1"/>
  <c r="V413" i="1" s="1"/>
  <c r="W413" i="1" s="1"/>
  <c r="AK413" i="1" s="1"/>
  <c r="AA411" i="1"/>
  <c r="V411" i="1" s="1"/>
  <c r="W411" i="1" s="1"/>
  <c r="AA409" i="1"/>
  <c r="AA407" i="1"/>
  <c r="AA405" i="1"/>
  <c r="V405" i="1" s="1"/>
  <c r="W405" i="1" s="1"/>
  <c r="AA403" i="1"/>
  <c r="V403" i="1" s="1"/>
  <c r="W403" i="1" s="1"/>
  <c r="AA401" i="1"/>
  <c r="V401" i="1" s="1"/>
  <c r="W401" i="1" s="1"/>
  <c r="AA399" i="1"/>
  <c r="V399" i="1" s="1"/>
  <c r="W399" i="1" s="1"/>
  <c r="AA397" i="1"/>
  <c r="AA395" i="1"/>
  <c r="AA393" i="1"/>
  <c r="AA418" i="1"/>
  <c r="AA416" i="1"/>
  <c r="AA414" i="1"/>
  <c r="AA412" i="1"/>
  <c r="AA410" i="1"/>
  <c r="AA408" i="1"/>
  <c r="AA406" i="1"/>
  <c r="V406" i="1" s="1"/>
  <c r="AA404" i="1"/>
  <c r="V404" i="1" s="1"/>
  <c r="W404" i="1" s="1"/>
  <c r="AA402" i="1"/>
  <c r="V402" i="1" s="1"/>
  <c r="W402" i="1" s="1"/>
  <c r="AA400" i="1"/>
  <c r="AA398" i="1"/>
  <c r="V398" i="1" s="1"/>
  <c r="W398" i="1" s="1"/>
  <c r="AK398" i="1" s="1"/>
  <c r="AA396" i="1"/>
  <c r="V396" i="1" s="1"/>
  <c r="W396" i="1" s="1"/>
  <c r="AA394" i="1"/>
  <c r="V394" i="1" s="1"/>
  <c r="AA392" i="1"/>
  <c r="AA391" i="1"/>
  <c r="V391" i="1" s="1"/>
  <c r="AA390" i="1"/>
  <c r="AA386" i="1"/>
  <c r="V386" i="1" s="1"/>
  <c r="W386" i="1" s="1"/>
  <c r="AA382" i="1"/>
  <c r="AA387" i="1"/>
  <c r="AA383" i="1"/>
  <c r="V383" i="1" s="1"/>
  <c r="W383" i="1" s="1"/>
  <c r="AK383" i="1" s="1"/>
  <c r="AA379" i="1"/>
  <c r="V379" i="1" s="1"/>
  <c r="W379" i="1" s="1"/>
  <c r="AK379" i="1" s="1"/>
  <c r="AA376" i="1"/>
  <c r="AA371" i="1"/>
  <c r="AA369" i="1"/>
  <c r="AA367" i="1"/>
  <c r="AA365" i="1"/>
  <c r="AA363" i="1"/>
  <c r="V363" i="1" s="1"/>
  <c r="W363" i="1" s="1"/>
  <c r="AA361" i="1"/>
  <c r="V361" i="1" s="1"/>
  <c r="W361" i="1" s="1"/>
  <c r="AA359" i="1"/>
  <c r="AA357" i="1"/>
  <c r="AA355" i="1"/>
  <c r="AA353" i="1"/>
  <c r="AA351" i="1"/>
  <c r="V351" i="1" s="1"/>
  <c r="W351" i="1" s="1"/>
  <c r="AA349" i="1"/>
  <c r="V349" i="1" s="1"/>
  <c r="W349" i="1" s="1"/>
  <c r="AA347" i="1"/>
  <c r="V347" i="1" s="1"/>
  <c r="W347" i="1" s="1"/>
  <c r="AA345" i="1"/>
  <c r="V345" i="1" s="1"/>
  <c r="W345" i="1" s="1"/>
  <c r="AA343" i="1"/>
  <c r="AA341" i="1"/>
  <c r="AA339" i="1"/>
  <c r="V339" i="1" s="1"/>
  <c r="W339" i="1" s="1"/>
  <c r="AA337" i="1"/>
  <c r="V337" i="1" s="1"/>
  <c r="W337" i="1" s="1"/>
  <c r="AA335" i="1"/>
  <c r="AA333" i="1"/>
  <c r="AA388" i="1"/>
  <c r="V388" i="1" s="1"/>
  <c r="W388" i="1" s="1"/>
  <c r="AA384" i="1"/>
  <c r="V384" i="1" s="1"/>
  <c r="W384" i="1" s="1"/>
  <c r="AA380" i="1"/>
  <c r="AA373" i="1"/>
  <c r="AA372" i="1"/>
  <c r="V372" i="1" s="1"/>
  <c r="W372" i="1" s="1"/>
  <c r="AA356" i="1"/>
  <c r="V356" i="1" s="1"/>
  <c r="W356" i="1" s="1"/>
  <c r="AK356" i="1" s="1"/>
  <c r="AA350" i="1"/>
  <c r="AA342" i="1"/>
  <c r="AA366" i="1"/>
  <c r="V366" i="1" s="1"/>
  <c r="W366" i="1" s="1"/>
  <c r="AK366" i="1" s="1"/>
  <c r="AA360" i="1"/>
  <c r="V360" i="1" s="1"/>
  <c r="W360" i="1" s="1"/>
  <c r="AK360" i="1" s="1"/>
  <c r="AA352" i="1"/>
  <c r="AA344" i="1"/>
  <c r="V344" i="1" s="1"/>
  <c r="W344" i="1" s="1"/>
  <c r="AA377" i="1"/>
  <c r="V377" i="1" s="1"/>
  <c r="W377" i="1" s="1"/>
  <c r="AA374" i="1"/>
  <c r="AA370" i="1"/>
  <c r="V370" i="1" s="1"/>
  <c r="W370" i="1" s="1"/>
  <c r="AK370" i="1" s="1"/>
  <c r="AA364" i="1"/>
  <c r="V364" i="1" s="1"/>
  <c r="W364" i="1" s="1"/>
  <c r="AK364" i="1" s="1"/>
  <c r="AA354" i="1"/>
  <c r="V354" i="1" s="1"/>
  <c r="W354" i="1" s="1"/>
  <c r="AK354" i="1" s="1"/>
  <c r="AA346" i="1"/>
  <c r="V346" i="1" s="1"/>
  <c r="W346" i="1" s="1"/>
  <c r="AA389" i="1"/>
  <c r="AA358" i="1"/>
  <c r="V358" i="1" s="1"/>
  <c r="W358" i="1" s="1"/>
  <c r="AA385" i="1"/>
  <c r="AA378" i="1"/>
  <c r="AA368" i="1"/>
  <c r="V368" i="1" s="1"/>
  <c r="W368" i="1" s="1"/>
  <c r="AA381" i="1"/>
  <c r="AA375" i="1"/>
  <c r="V375" i="1" s="1"/>
  <c r="W375" i="1" s="1"/>
  <c r="AK375" i="1" s="1"/>
  <c r="AA362" i="1"/>
  <c r="V362" i="1" s="1"/>
  <c r="W362" i="1" s="1"/>
  <c r="AK362" i="1" s="1"/>
  <c r="AA334" i="1"/>
  <c r="AA340" i="1"/>
  <c r="AA338" i="1"/>
  <c r="V338" i="1" s="1"/>
  <c r="AA331" i="1"/>
  <c r="V331" i="1" s="1"/>
  <c r="W331" i="1" s="1"/>
  <c r="AA329" i="1"/>
  <c r="V329" i="1" s="1"/>
  <c r="W329" i="1" s="1"/>
  <c r="AK329" i="1" s="1"/>
  <c r="AA348" i="1"/>
  <c r="V348" i="1" s="1"/>
  <c r="W348" i="1" s="1"/>
  <c r="AA336" i="1"/>
  <c r="AA330" i="1"/>
  <c r="V330" i="1" s="1"/>
  <c r="W330" i="1" s="1"/>
  <c r="AA326" i="1"/>
  <c r="AA307" i="1"/>
  <c r="V307" i="1" s="1"/>
  <c r="AA305" i="1"/>
  <c r="V305" i="1" s="1"/>
  <c r="W305" i="1" s="1"/>
  <c r="AK305" i="1" s="1"/>
  <c r="AA303" i="1"/>
  <c r="V303" i="1" s="1"/>
  <c r="AA301" i="1"/>
  <c r="V301" i="1" s="1"/>
  <c r="W301" i="1" s="1"/>
  <c r="AA299" i="1"/>
  <c r="V299" i="1" s="1"/>
  <c r="AA297" i="1"/>
  <c r="V297" i="1" s="1"/>
  <c r="W297" i="1" s="1"/>
  <c r="AK297" i="1" s="1"/>
  <c r="AA295" i="1"/>
  <c r="V295" i="1" s="1"/>
  <c r="AA293" i="1"/>
  <c r="V293" i="1" s="1"/>
  <c r="W293" i="1" s="1"/>
  <c r="AA291" i="1"/>
  <c r="V291" i="1" s="1"/>
  <c r="AA289" i="1"/>
  <c r="AA287" i="1"/>
  <c r="V287" i="1" s="1"/>
  <c r="AA285" i="1"/>
  <c r="V285" i="1" s="1"/>
  <c r="AA283" i="1"/>
  <c r="V283" i="1" s="1"/>
  <c r="AA281" i="1"/>
  <c r="V281" i="1" s="1"/>
  <c r="W281" i="1" s="1"/>
  <c r="AK281" i="1" s="1"/>
  <c r="AA279" i="1"/>
  <c r="V279" i="1" s="1"/>
  <c r="W279" i="1" s="1"/>
  <c r="AK279" i="1" s="1"/>
  <c r="AA277" i="1"/>
  <c r="V277" i="1" s="1"/>
  <c r="W277" i="1" s="1"/>
  <c r="AA275" i="1"/>
  <c r="V275" i="1" s="1"/>
  <c r="W275" i="1" s="1"/>
  <c r="AA273" i="1"/>
  <c r="V273" i="1" s="1"/>
  <c r="W273" i="1" s="1"/>
  <c r="AA271" i="1"/>
  <c r="AA323" i="1"/>
  <c r="V323" i="1" s="1"/>
  <c r="W323" i="1" s="1"/>
  <c r="AA321" i="1"/>
  <c r="V321" i="1" s="1"/>
  <c r="W321" i="1" s="1"/>
  <c r="AA319" i="1"/>
  <c r="V319" i="1" s="1"/>
  <c r="W319" i="1" s="1"/>
  <c r="AK319" i="1" s="1"/>
  <c r="AA317" i="1"/>
  <c r="V317" i="1" s="1"/>
  <c r="W317" i="1" s="1"/>
  <c r="AK317" i="1" s="1"/>
  <c r="AA315" i="1"/>
  <c r="V315" i="1" s="1"/>
  <c r="W315" i="1" s="1"/>
  <c r="AA313" i="1"/>
  <c r="AA309" i="1"/>
  <c r="V309" i="1" s="1"/>
  <c r="W309" i="1" s="1"/>
  <c r="AA325" i="1"/>
  <c r="V325" i="1" s="1"/>
  <c r="W325" i="1" s="1"/>
  <c r="AA310" i="1"/>
  <c r="AA332" i="1"/>
  <c r="V332" i="1" s="1"/>
  <c r="W332" i="1" s="1"/>
  <c r="AA328" i="1"/>
  <c r="V328" i="1" s="1"/>
  <c r="W328" i="1" s="1"/>
  <c r="AA308" i="1"/>
  <c r="V308" i="1" s="1"/>
  <c r="W308" i="1" s="1"/>
  <c r="AA306" i="1"/>
  <c r="V306" i="1" s="1"/>
  <c r="W306" i="1" s="1"/>
  <c r="AA304" i="1"/>
  <c r="AA302" i="1"/>
  <c r="V302" i="1" s="1"/>
  <c r="W302" i="1" s="1"/>
  <c r="AA300" i="1"/>
  <c r="AA298" i="1"/>
  <c r="AA296" i="1"/>
  <c r="V296" i="1" s="1"/>
  <c r="W296" i="1" s="1"/>
  <c r="AA294" i="1"/>
  <c r="V294" i="1" s="1"/>
  <c r="W294" i="1" s="1"/>
  <c r="AA292" i="1"/>
  <c r="AA320" i="1"/>
  <c r="AA286" i="1"/>
  <c r="V286" i="1" s="1"/>
  <c r="W286" i="1" s="1"/>
  <c r="AA322" i="1"/>
  <c r="AA316" i="1"/>
  <c r="V316" i="1" s="1"/>
  <c r="W316" i="1" s="1"/>
  <c r="AA327" i="1"/>
  <c r="V327" i="1" s="1"/>
  <c r="W327" i="1" s="1"/>
  <c r="AK327" i="1" s="1"/>
  <c r="AA284" i="1"/>
  <c r="AA280" i="1"/>
  <c r="AA278" i="1"/>
  <c r="V278" i="1" s="1"/>
  <c r="W278" i="1" s="1"/>
  <c r="AA276" i="1"/>
  <c r="V276" i="1" s="1"/>
  <c r="W276" i="1" s="1"/>
  <c r="AA274" i="1"/>
  <c r="V274" i="1" s="1"/>
  <c r="W274" i="1" s="1"/>
  <c r="AA324" i="1"/>
  <c r="V324" i="1" s="1"/>
  <c r="W324" i="1" s="1"/>
  <c r="AA311" i="1"/>
  <c r="V311" i="1" s="1"/>
  <c r="W311" i="1" s="1"/>
  <c r="AA268" i="1"/>
  <c r="V268" i="1" s="1"/>
  <c r="W268" i="1" s="1"/>
  <c r="AA266" i="1"/>
  <c r="V266" i="1" s="1"/>
  <c r="W266" i="1" s="1"/>
  <c r="AK266" i="1" s="1"/>
  <c r="AA264" i="1"/>
  <c r="V264" i="1" s="1"/>
  <c r="W264" i="1" s="1"/>
  <c r="AK264" i="1" s="1"/>
  <c r="AA262" i="1"/>
  <c r="V262" i="1" s="1"/>
  <c r="W262" i="1" s="1"/>
  <c r="AK262" i="1" s="1"/>
  <c r="AA260" i="1"/>
  <c r="V260" i="1" s="1"/>
  <c r="W260" i="1" s="1"/>
  <c r="AA258" i="1"/>
  <c r="V258" i="1" s="1"/>
  <c r="AA256" i="1"/>
  <c r="V256" i="1" s="1"/>
  <c r="W256" i="1" s="1"/>
  <c r="AA254" i="1"/>
  <c r="V254" i="1" s="1"/>
  <c r="AA318" i="1"/>
  <c r="AA290" i="1"/>
  <c r="AA282" i="1"/>
  <c r="V282" i="1" s="1"/>
  <c r="W282" i="1" s="1"/>
  <c r="AA272" i="1"/>
  <c r="V272" i="1" s="1"/>
  <c r="W272" i="1" s="1"/>
  <c r="AA270" i="1"/>
  <c r="V270" i="1" s="1"/>
  <c r="W270" i="1" s="1"/>
  <c r="AA312" i="1"/>
  <c r="AA267" i="1"/>
  <c r="AA255" i="1"/>
  <c r="AA288" i="1"/>
  <c r="V288" i="1" s="1"/>
  <c r="W288" i="1" s="1"/>
  <c r="AA252" i="1"/>
  <c r="V252" i="1" s="1"/>
  <c r="W252" i="1" s="1"/>
  <c r="AA251" i="1"/>
  <c r="V251" i="1" s="1"/>
  <c r="AA250" i="1"/>
  <c r="V250" i="1" s="1"/>
  <c r="W250" i="1" s="1"/>
  <c r="AA249" i="1"/>
  <c r="V249" i="1" s="1"/>
  <c r="AA248" i="1"/>
  <c r="V248" i="1" s="1"/>
  <c r="AA247" i="1"/>
  <c r="AA246" i="1"/>
  <c r="V246" i="1" s="1"/>
  <c r="W246" i="1" s="1"/>
  <c r="AA245" i="1"/>
  <c r="AA244" i="1"/>
  <c r="AA243" i="1"/>
  <c r="V243" i="1" s="1"/>
  <c r="AA242" i="1"/>
  <c r="V242" i="1" s="1"/>
  <c r="AA241" i="1"/>
  <c r="AA240" i="1"/>
  <c r="V240" i="1" s="1"/>
  <c r="W240" i="1" s="1"/>
  <c r="AA239" i="1"/>
  <c r="AA238" i="1"/>
  <c r="V238" i="1" s="1"/>
  <c r="AA237" i="1"/>
  <c r="AA236" i="1"/>
  <c r="V236" i="1" s="1"/>
  <c r="W236" i="1" s="1"/>
  <c r="AA235" i="1"/>
  <c r="V235" i="1" s="1"/>
  <c r="W235" i="1" s="1"/>
  <c r="AA234" i="1"/>
  <c r="V234" i="1" s="1"/>
  <c r="W234" i="1" s="1"/>
  <c r="AA233" i="1"/>
  <c r="AA232" i="1"/>
  <c r="V232" i="1" s="1"/>
  <c r="W232" i="1" s="1"/>
  <c r="AA231" i="1"/>
  <c r="AA230" i="1"/>
  <c r="AA229" i="1"/>
  <c r="AA228" i="1"/>
  <c r="V228" i="1" s="1"/>
  <c r="AA227" i="1"/>
  <c r="V227" i="1" s="1"/>
  <c r="W227" i="1" s="1"/>
  <c r="AK227" i="1" s="1"/>
  <c r="AA226" i="1"/>
  <c r="V226" i="1" s="1"/>
  <c r="W226" i="1" s="1"/>
  <c r="AA225" i="1"/>
  <c r="V225" i="1" s="1"/>
  <c r="W225" i="1" s="1"/>
  <c r="AA224" i="1"/>
  <c r="V224" i="1" s="1"/>
  <c r="AA223" i="1"/>
  <c r="V223" i="1" s="1"/>
  <c r="W223" i="1" s="1"/>
  <c r="AA219" i="1"/>
  <c r="V219" i="1" s="1"/>
  <c r="W219" i="1" s="1"/>
  <c r="AA216" i="1"/>
  <c r="V216" i="1" s="1"/>
  <c r="W216" i="1" s="1"/>
  <c r="AA214" i="1"/>
  <c r="V214" i="1" s="1"/>
  <c r="W214" i="1" s="1"/>
  <c r="AA212" i="1"/>
  <c r="V212" i="1" s="1"/>
  <c r="W212" i="1" s="1"/>
  <c r="AK212" i="1" s="1"/>
  <c r="AA210" i="1"/>
  <c r="V210" i="1" s="1"/>
  <c r="W210" i="1" s="1"/>
  <c r="AA208" i="1"/>
  <c r="V208" i="1" s="1"/>
  <c r="W208" i="1" s="1"/>
  <c r="AA206" i="1"/>
  <c r="V206" i="1" s="1"/>
  <c r="W206" i="1" s="1"/>
  <c r="AA261" i="1"/>
  <c r="AA253" i="1"/>
  <c r="AA265" i="1"/>
  <c r="V265" i="1" s="1"/>
  <c r="W265" i="1" s="1"/>
  <c r="AK265" i="1" s="1"/>
  <c r="AA314" i="1"/>
  <c r="AA259" i="1"/>
  <c r="V259" i="1" s="1"/>
  <c r="W259" i="1" s="1"/>
  <c r="AA269" i="1"/>
  <c r="V269" i="1" s="1"/>
  <c r="W269" i="1" s="1"/>
  <c r="AA221" i="1"/>
  <c r="AA217" i="1"/>
  <c r="AA215" i="1"/>
  <c r="V215" i="1" s="1"/>
  <c r="W215" i="1" s="1"/>
  <c r="AA213" i="1"/>
  <c r="V213" i="1" s="1"/>
  <c r="W213" i="1" s="1"/>
  <c r="AA211" i="1"/>
  <c r="AA209" i="1"/>
  <c r="V209" i="1" s="1"/>
  <c r="W209" i="1" s="1"/>
  <c r="AA207" i="1"/>
  <c r="AA205" i="1"/>
  <c r="V205" i="1" s="1"/>
  <c r="W205" i="1" s="1"/>
  <c r="AA263" i="1"/>
  <c r="AA220" i="1"/>
  <c r="V220" i="1" s="1"/>
  <c r="AA203" i="1"/>
  <c r="V203" i="1" s="1"/>
  <c r="AA201" i="1"/>
  <c r="AA199" i="1"/>
  <c r="V199" i="1" s="1"/>
  <c r="AA197" i="1"/>
  <c r="AA195" i="1"/>
  <c r="V195" i="1" s="1"/>
  <c r="AA193" i="1"/>
  <c r="V193" i="1" s="1"/>
  <c r="W193" i="1" s="1"/>
  <c r="AA191" i="1"/>
  <c r="V191" i="1" s="1"/>
  <c r="AA189" i="1"/>
  <c r="V189" i="1" s="1"/>
  <c r="AA187" i="1"/>
  <c r="V187" i="1" s="1"/>
  <c r="AA185" i="1"/>
  <c r="V185" i="1" s="1"/>
  <c r="AA183" i="1"/>
  <c r="V183" i="1" s="1"/>
  <c r="AA181" i="1"/>
  <c r="V181" i="1" s="1"/>
  <c r="AA179" i="1"/>
  <c r="V179" i="1" s="1"/>
  <c r="W179" i="1" s="1"/>
  <c r="AK179" i="1" s="1"/>
  <c r="AA177" i="1"/>
  <c r="V177" i="1" s="1"/>
  <c r="W177" i="1" s="1"/>
  <c r="AA175" i="1"/>
  <c r="V175" i="1" s="1"/>
  <c r="W175" i="1" s="1"/>
  <c r="AA173" i="1"/>
  <c r="V173" i="1" s="1"/>
  <c r="W173" i="1" s="1"/>
  <c r="AA171" i="1"/>
  <c r="V171" i="1" s="1"/>
  <c r="AA169" i="1"/>
  <c r="AA167" i="1"/>
  <c r="AA218" i="1"/>
  <c r="V218" i="1" s="1"/>
  <c r="W218" i="1" s="1"/>
  <c r="AA222" i="1"/>
  <c r="V222" i="1" s="1"/>
  <c r="W222" i="1" s="1"/>
  <c r="AA204" i="1"/>
  <c r="V204" i="1" s="1"/>
  <c r="W204" i="1" s="1"/>
  <c r="AA202" i="1"/>
  <c r="AA200" i="1"/>
  <c r="V200" i="1" s="1"/>
  <c r="W200" i="1" s="1"/>
  <c r="AA198" i="1"/>
  <c r="AA196" i="1"/>
  <c r="V196" i="1" s="1"/>
  <c r="W196" i="1" s="1"/>
  <c r="AA194" i="1"/>
  <c r="AA192" i="1"/>
  <c r="AA190" i="1"/>
  <c r="V190" i="1" s="1"/>
  <c r="AA188" i="1"/>
  <c r="V188" i="1" s="1"/>
  <c r="AA186" i="1"/>
  <c r="V186" i="1" s="1"/>
  <c r="AA184" i="1"/>
  <c r="V184" i="1" s="1"/>
  <c r="AA182" i="1"/>
  <c r="V182" i="1" s="1"/>
  <c r="AA170" i="1"/>
  <c r="V170" i="1" s="1"/>
  <c r="W170" i="1" s="1"/>
  <c r="AA176" i="1"/>
  <c r="AA165" i="1"/>
  <c r="V165" i="1" s="1"/>
  <c r="W165" i="1" s="1"/>
  <c r="AA163" i="1"/>
  <c r="V163" i="1" s="1"/>
  <c r="W163" i="1" s="1"/>
  <c r="AK163" i="1" s="1"/>
  <c r="AA161" i="1"/>
  <c r="V161" i="1" s="1"/>
  <c r="W161" i="1" s="1"/>
  <c r="AK161" i="1" s="1"/>
  <c r="AA159" i="1"/>
  <c r="V159" i="1" s="1"/>
  <c r="W159" i="1" s="1"/>
  <c r="AA157" i="1"/>
  <c r="V157" i="1" s="1"/>
  <c r="AA155" i="1"/>
  <c r="V155" i="1" s="1"/>
  <c r="AA153" i="1"/>
  <c r="V153" i="1" s="1"/>
  <c r="W153" i="1" s="1"/>
  <c r="AK153" i="1" s="1"/>
  <c r="AA151" i="1"/>
  <c r="V151" i="1" s="1"/>
  <c r="AA149" i="1"/>
  <c r="AA147" i="1"/>
  <c r="V147" i="1" s="1"/>
  <c r="W147" i="1" s="1"/>
  <c r="AA145" i="1"/>
  <c r="V145" i="1" s="1"/>
  <c r="W145" i="1" s="1"/>
  <c r="AK145" i="1" s="1"/>
  <c r="AA143" i="1"/>
  <c r="V143" i="1" s="1"/>
  <c r="AA141" i="1"/>
  <c r="V141" i="1" s="1"/>
  <c r="W141" i="1" s="1"/>
  <c r="AA139" i="1"/>
  <c r="V139" i="1" s="1"/>
  <c r="W139" i="1" s="1"/>
  <c r="AA137" i="1"/>
  <c r="V137" i="1" s="1"/>
  <c r="AA135" i="1"/>
  <c r="V135" i="1" s="1"/>
  <c r="W135" i="1" s="1"/>
  <c r="AK135" i="1" s="1"/>
  <c r="AA133" i="1"/>
  <c r="V133" i="1" s="1"/>
  <c r="W133" i="1" s="1"/>
  <c r="AA131" i="1"/>
  <c r="V131" i="1" s="1"/>
  <c r="W131" i="1" s="1"/>
  <c r="AK131" i="1" s="1"/>
  <c r="AA129" i="1"/>
  <c r="V129" i="1" s="1"/>
  <c r="AA127" i="1"/>
  <c r="V127" i="1" s="1"/>
  <c r="W127" i="1" s="1"/>
  <c r="AA125" i="1"/>
  <c r="V125" i="1" s="1"/>
  <c r="W125" i="1" s="1"/>
  <c r="AA123" i="1"/>
  <c r="V123" i="1" s="1"/>
  <c r="AA121" i="1"/>
  <c r="V121" i="1" s="1"/>
  <c r="W121" i="1" s="1"/>
  <c r="AA119" i="1"/>
  <c r="V119" i="1" s="1"/>
  <c r="W119" i="1" s="1"/>
  <c r="AA117" i="1"/>
  <c r="AA115" i="1"/>
  <c r="V115" i="1" s="1"/>
  <c r="W115" i="1" s="1"/>
  <c r="AA113" i="1"/>
  <c r="V113" i="1" s="1"/>
  <c r="W113" i="1" s="1"/>
  <c r="AK113" i="1" s="1"/>
  <c r="AA111" i="1"/>
  <c r="AA109" i="1"/>
  <c r="V109" i="1" s="1"/>
  <c r="W109" i="1" s="1"/>
  <c r="AA107" i="1"/>
  <c r="AA105" i="1"/>
  <c r="V105" i="1" s="1"/>
  <c r="W105" i="1" s="1"/>
  <c r="AK105" i="1" s="1"/>
  <c r="AA103" i="1"/>
  <c r="AA101" i="1"/>
  <c r="AA99" i="1"/>
  <c r="V99" i="1" s="1"/>
  <c r="W99" i="1" s="1"/>
  <c r="AA257" i="1"/>
  <c r="V257" i="1" s="1"/>
  <c r="W257" i="1" s="1"/>
  <c r="AA168" i="1"/>
  <c r="V168" i="1" s="1"/>
  <c r="W168" i="1" s="1"/>
  <c r="AK168" i="1" s="1"/>
  <c r="AA178" i="1"/>
  <c r="V178" i="1" s="1"/>
  <c r="AA180" i="1"/>
  <c r="AA172" i="1"/>
  <c r="V172" i="1" s="1"/>
  <c r="W172" i="1" s="1"/>
  <c r="AA166" i="1"/>
  <c r="V166" i="1" s="1"/>
  <c r="W166" i="1" s="1"/>
  <c r="AA164" i="1"/>
  <c r="AA162" i="1"/>
  <c r="V162" i="1" s="1"/>
  <c r="W162" i="1" s="1"/>
  <c r="AA160" i="1"/>
  <c r="V160" i="1" s="1"/>
  <c r="W160" i="1" s="1"/>
  <c r="AA158" i="1"/>
  <c r="V158" i="1" s="1"/>
  <c r="W158" i="1" s="1"/>
  <c r="AA156" i="1"/>
  <c r="V156" i="1" s="1"/>
  <c r="W156" i="1" s="1"/>
  <c r="AA154" i="1"/>
  <c r="AA152" i="1"/>
  <c r="AA150" i="1"/>
  <c r="AA148" i="1"/>
  <c r="AA146" i="1"/>
  <c r="V146" i="1" s="1"/>
  <c r="W146" i="1" s="1"/>
  <c r="AA144" i="1"/>
  <c r="V144" i="1" s="1"/>
  <c r="W144" i="1" s="1"/>
  <c r="AA142" i="1"/>
  <c r="V142" i="1" s="1"/>
  <c r="W142" i="1" s="1"/>
  <c r="AA140" i="1"/>
  <c r="V140" i="1" s="1"/>
  <c r="AA138" i="1"/>
  <c r="AA136" i="1"/>
  <c r="AA134" i="1"/>
  <c r="V134" i="1" s="1"/>
  <c r="AA132" i="1"/>
  <c r="V132" i="1" s="1"/>
  <c r="AA130" i="1"/>
  <c r="AA128" i="1"/>
  <c r="V128" i="1" s="1"/>
  <c r="W128" i="1" s="1"/>
  <c r="AA126" i="1"/>
  <c r="V126" i="1" s="1"/>
  <c r="AA124" i="1"/>
  <c r="V124" i="1" s="1"/>
  <c r="W124" i="1" s="1"/>
  <c r="AA120" i="1"/>
  <c r="V120" i="1" s="1"/>
  <c r="W120" i="1" s="1"/>
  <c r="AA112" i="1"/>
  <c r="V112" i="1" s="1"/>
  <c r="W112" i="1" s="1"/>
  <c r="AK112" i="1" s="1"/>
  <c r="AA104" i="1"/>
  <c r="V104" i="1" s="1"/>
  <c r="W104" i="1" s="1"/>
  <c r="AA97" i="1"/>
  <c r="V97" i="1" s="1"/>
  <c r="W97" i="1" s="1"/>
  <c r="AA95" i="1"/>
  <c r="V95" i="1" s="1"/>
  <c r="W95" i="1" s="1"/>
  <c r="AK95" i="1" s="1"/>
  <c r="AA93" i="1"/>
  <c r="V93" i="1" s="1"/>
  <c r="W93" i="1" s="1"/>
  <c r="AK93" i="1" s="1"/>
  <c r="AA91" i="1"/>
  <c r="V91" i="1" s="1"/>
  <c r="W91" i="1" s="1"/>
  <c r="AA89" i="1"/>
  <c r="V89" i="1" s="1"/>
  <c r="W89" i="1" s="1"/>
  <c r="AK89" i="1" s="1"/>
  <c r="AA87" i="1"/>
  <c r="V87" i="1" s="1"/>
  <c r="W87" i="1" s="1"/>
  <c r="AA85" i="1"/>
  <c r="V85" i="1" s="1"/>
  <c r="W85" i="1" s="1"/>
  <c r="AK85" i="1" s="1"/>
  <c r="AA83" i="1"/>
  <c r="V83" i="1" s="1"/>
  <c r="W83" i="1" s="1"/>
  <c r="AA81" i="1"/>
  <c r="V81" i="1" s="1"/>
  <c r="W81" i="1" s="1"/>
  <c r="AA79" i="1"/>
  <c r="V79" i="1" s="1"/>
  <c r="W79" i="1" s="1"/>
  <c r="AA77" i="1"/>
  <c r="V77" i="1" s="1"/>
  <c r="W77" i="1" s="1"/>
  <c r="AK77" i="1" s="1"/>
  <c r="AA75" i="1"/>
  <c r="V75" i="1" s="1"/>
  <c r="W75" i="1" s="1"/>
  <c r="AK75" i="1" s="1"/>
  <c r="AA73" i="1"/>
  <c r="V73" i="1" s="1"/>
  <c r="W73" i="1" s="1"/>
  <c r="AK73" i="1" s="1"/>
  <c r="AA71" i="1"/>
  <c r="V71" i="1" s="1"/>
  <c r="W71" i="1" s="1"/>
  <c r="AA69" i="1"/>
  <c r="V69" i="1" s="1"/>
  <c r="W69" i="1" s="1"/>
  <c r="AK69" i="1" s="1"/>
  <c r="AA67" i="1"/>
  <c r="V67" i="1" s="1"/>
  <c r="W67" i="1" s="1"/>
  <c r="AA65" i="1"/>
  <c r="V65" i="1" s="1"/>
  <c r="W65" i="1" s="1"/>
  <c r="AA63" i="1"/>
  <c r="V63" i="1" s="1"/>
  <c r="W63" i="1" s="1"/>
  <c r="AK63" i="1" s="1"/>
  <c r="AA61" i="1"/>
  <c r="V61" i="1" s="1"/>
  <c r="W61" i="1" s="1"/>
  <c r="AK61" i="1" s="1"/>
  <c r="AA59" i="1"/>
  <c r="V59" i="1" s="1"/>
  <c r="W59" i="1" s="1"/>
  <c r="AA57" i="1"/>
  <c r="V57" i="1" s="1"/>
  <c r="W57" i="1" s="1"/>
  <c r="AK57" i="1" s="1"/>
  <c r="AA55" i="1"/>
  <c r="V55" i="1" s="1"/>
  <c r="W55" i="1" s="1"/>
  <c r="AA53" i="1"/>
  <c r="V53" i="1" s="1"/>
  <c r="W53" i="1" s="1"/>
  <c r="AA51" i="1"/>
  <c r="V51" i="1" s="1"/>
  <c r="W51" i="1" s="1"/>
  <c r="AA49" i="1"/>
  <c r="V49" i="1" s="1"/>
  <c r="W49" i="1" s="1"/>
  <c r="AA47" i="1"/>
  <c r="V47" i="1" s="1"/>
  <c r="W47" i="1" s="1"/>
  <c r="AA45" i="1"/>
  <c r="V45" i="1" s="1"/>
  <c r="W45" i="1" s="1"/>
  <c r="AA43" i="1"/>
  <c r="V43" i="1" s="1"/>
  <c r="W43" i="1" s="1"/>
  <c r="AA41" i="1"/>
  <c r="AA39" i="1"/>
  <c r="V39" i="1" s="1"/>
  <c r="W39" i="1" s="1"/>
  <c r="AA37" i="1"/>
  <c r="AA35" i="1"/>
  <c r="AA33" i="1"/>
  <c r="AA31" i="1"/>
  <c r="V31" i="1" s="1"/>
  <c r="W31" i="1" s="1"/>
  <c r="AA29" i="1"/>
  <c r="V29" i="1" s="1"/>
  <c r="W29" i="1" s="1"/>
  <c r="AA27" i="1"/>
  <c r="AA25" i="1"/>
  <c r="AA23" i="1"/>
  <c r="AA118" i="1"/>
  <c r="V118" i="1" s="1"/>
  <c r="W118" i="1" s="1"/>
  <c r="AA110" i="1"/>
  <c r="AA102" i="1"/>
  <c r="V102" i="1" s="1"/>
  <c r="AA116" i="1"/>
  <c r="V116" i="1" s="1"/>
  <c r="W116" i="1" s="1"/>
  <c r="AA108" i="1"/>
  <c r="V108" i="1" s="1"/>
  <c r="W108" i="1" s="1"/>
  <c r="AA100" i="1"/>
  <c r="AA96" i="1"/>
  <c r="AA94" i="1"/>
  <c r="AA92" i="1"/>
  <c r="AA90" i="1"/>
  <c r="AA88" i="1"/>
  <c r="AA86" i="1"/>
  <c r="AA84" i="1"/>
  <c r="V84" i="1" s="1"/>
  <c r="W84" i="1" s="1"/>
  <c r="AA82" i="1"/>
  <c r="AA80" i="1"/>
  <c r="AA78" i="1"/>
  <c r="V78" i="1" s="1"/>
  <c r="W78" i="1" s="1"/>
  <c r="AA76" i="1"/>
  <c r="V76" i="1" s="1"/>
  <c r="W76" i="1" s="1"/>
  <c r="AA74" i="1"/>
  <c r="AA72" i="1"/>
  <c r="AA70" i="1"/>
  <c r="V70" i="1" s="1"/>
  <c r="W70" i="1" s="1"/>
  <c r="AA68" i="1"/>
  <c r="V68" i="1" s="1"/>
  <c r="W68" i="1" s="1"/>
  <c r="AA66" i="1"/>
  <c r="AA64" i="1"/>
  <c r="V64" i="1" s="1"/>
  <c r="W64" i="1" s="1"/>
  <c r="AA122" i="1"/>
  <c r="V122" i="1" s="1"/>
  <c r="W122" i="1" s="1"/>
  <c r="AA114" i="1"/>
  <c r="V114" i="1" s="1"/>
  <c r="W114" i="1" s="1"/>
  <c r="AA106" i="1"/>
  <c r="AA56" i="1"/>
  <c r="AA48" i="1"/>
  <c r="V48" i="1" s="1"/>
  <c r="W48" i="1" s="1"/>
  <c r="AA46" i="1"/>
  <c r="V46" i="1" s="1"/>
  <c r="W46" i="1" s="1"/>
  <c r="AA36" i="1"/>
  <c r="V36" i="1" s="1"/>
  <c r="W36" i="1" s="1"/>
  <c r="AA28" i="1"/>
  <c r="V28" i="1" s="1"/>
  <c r="W28" i="1" s="1"/>
  <c r="AA22" i="1"/>
  <c r="V22" i="1" s="1"/>
  <c r="W22" i="1" s="1"/>
  <c r="AK22" i="1" s="1"/>
  <c r="AA20" i="1"/>
  <c r="V20" i="1" s="1"/>
  <c r="W20" i="1" s="1"/>
  <c r="AA18" i="1"/>
  <c r="V18" i="1" s="1"/>
  <c r="W18" i="1" s="1"/>
  <c r="AA16" i="1"/>
  <c r="V16" i="1" s="1"/>
  <c r="W16" i="1" s="1"/>
  <c r="AA14" i="1"/>
  <c r="V14" i="1" s="1"/>
  <c r="W14" i="1" s="1"/>
  <c r="AK14" i="1" s="1"/>
  <c r="AA12" i="1"/>
  <c r="V12" i="1" s="1"/>
  <c r="W12" i="1" s="1"/>
  <c r="AK12" i="1" s="1"/>
  <c r="AA10" i="1"/>
  <c r="V10" i="1" s="1"/>
  <c r="W10" i="1" s="1"/>
  <c r="AA8" i="1"/>
  <c r="V8" i="1" s="1"/>
  <c r="W8" i="1" s="1"/>
  <c r="AA6" i="1"/>
  <c r="V6" i="1" s="1"/>
  <c r="W6" i="1" s="1"/>
  <c r="AA4" i="1"/>
  <c r="AA58" i="1"/>
  <c r="V58" i="1" s="1"/>
  <c r="W58" i="1" s="1"/>
  <c r="AA54" i="1"/>
  <c r="AA44" i="1"/>
  <c r="V44" i="1" s="1"/>
  <c r="W44" i="1" s="1"/>
  <c r="AA42" i="1"/>
  <c r="V42" i="1" s="1"/>
  <c r="W42" i="1" s="1"/>
  <c r="AA98" i="1"/>
  <c r="V98" i="1" s="1"/>
  <c r="W98" i="1" s="1"/>
  <c r="AA38" i="1"/>
  <c r="V38" i="1" s="1"/>
  <c r="W38" i="1" s="1"/>
  <c r="AA26" i="1"/>
  <c r="AA52" i="1"/>
  <c r="AA62" i="1"/>
  <c r="AA50" i="1"/>
  <c r="V50" i="1" s="1"/>
  <c r="W50" i="1" s="1"/>
  <c r="AA30" i="1"/>
  <c r="V30" i="1" s="1"/>
  <c r="W30" i="1" s="1"/>
  <c r="AA40" i="1"/>
  <c r="V40" i="1" s="1"/>
  <c r="W40" i="1" s="1"/>
  <c r="AA32" i="1"/>
  <c r="V32" i="1" s="1"/>
  <c r="W32" i="1" s="1"/>
  <c r="AK32" i="1" s="1"/>
  <c r="AA24" i="1"/>
  <c r="V24" i="1" s="1"/>
  <c r="W24" i="1" s="1"/>
  <c r="AA21" i="1"/>
  <c r="AA19" i="1"/>
  <c r="AA17" i="1"/>
  <c r="V17" i="1" s="1"/>
  <c r="W17" i="1" s="1"/>
  <c r="AA15" i="1"/>
  <c r="AA13" i="1"/>
  <c r="V13" i="1" s="1"/>
  <c r="W13" i="1" s="1"/>
  <c r="AA11" i="1"/>
  <c r="V11" i="1" s="1"/>
  <c r="W11" i="1" s="1"/>
  <c r="AA9" i="1"/>
  <c r="V9" i="1" s="1"/>
  <c r="W9" i="1" s="1"/>
  <c r="AA7" i="1"/>
  <c r="V7" i="1" s="1"/>
  <c r="W7" i="1" s="1"/>
  <c r="AA5" i="1"/>
  <c r="V5" i="1" s="1"/>
  <c r="W5" i="1" s="1"/>
  <c r="AA60" i="1"/>
  <c r="AA174" i="1"/>
  <c r="V174" i="1" s="1"/>
  <c r="W174" i="1" s="1"/>
  <c r="AA34" i="1"/>
  <c r="V34" i="1" s="1"/>
  <c r="W34" i="1" s="1"/>
  <c r="AK34" i="1" s="1"/>
  <c r="AK45" i="1"/>
  <c r="AM59" i="1"/>
  <c r="AK59" i="1"/>
  <c r="AM105" i="1"/>
  <c r="AH401" i="1"/>
  <c r="AF401" i="1"/>
  <c r="Y401" i="1"/>
  <c r="T401" i="1"/>
  <c r="AG401" i="1"/>
  <c r="AI401" i="1" s="1"/>
  <c r="AJ401" i="1" s="1"/>
  <c r="AF367" i="1"/>
  <c r="V367" i="1"/>
  <c r="W367" i="1" s="1"/>
  <c r="AG367" i="1"/>
  <c r="T367" i="1"/>
  <c r="Y367" i="1"/>
  <c r="AH367" i="1"/>
  <c r="AM402" i="1"/>
  <c r="AK402" i="1"/>
  <c r="AK358" i="1"/>
  <c r="V341" i="1"/>
  <c r="W341" i="1" s="1"/>
  <c r="AH341" i="1"/>
  <c r="AF341" i="1"/>
  <c r="T341" i="1"/>
  <c r="Y341" i="1"/>
  <c r="AG341" i="1"/>
  <c r="AF369" i="1"/>
  <c r="Y369" i="1"/>
  <c r="AH369" i="1"/>
  <c r="AG369" i="1"/>
  <c r="T369" i="1"/>
  <c r="V369" i="1" s="1"/>
  <c r="W369" i="1" s="1"/>
  <c r="AH350" i="1"/>
  <c r="Y350" i="1"/>
  <c r="AG350" i="1"/>
  <c r="AI350" i="1" s="1"/>
  <c r="AJ350" i="1" s="1"/>
  <c r="AF350" i="1"/>
  <c r="T350" i="1"/>
  <c r="AF363" i="1"/>
  <c r="Y363" i="1"/>
  <c r="AH363" i="1"/>
  <c r="AG363" i="1"/>
  <c r="T363" i="1"/>
  <c r="AG330" i="1"/>
  <c r="AI330" i="1" s="1"/>
  <c r="AJ330" i="1" s="1"/>
  <c r="Y330" i="1"/>
  <c r="AF330" i="1"/>
  <c r="T330" i="1"/>
  <c r="AH330" i="1"/>
  <c r="AG322" i="1"/>
  <c r="AI322" i="1" s="1"/>
  <c r="AJ322" i="1" s="1"/>
  <c r="Y322" i="1"/>
  <c r="AH322" i="1"/>
  <c r="AF322" i="1"/>
  <c r="T322" i="1"/>
  <c r="T335" i="1"/>
  <c r="AH335" i="1"/>
  <c r="Y335" i="1"/>
  <c r="AG335" i="1"/>
  <c r="AF335" i="1"/>
  <c r="AI321" i="1"/>
  <c r="AJ321" i="1" s="1"/>
  <c r="AJ281" i="1"/>
  <c r="AI285" i="1"/>
  <c r="AJ285" i="1" s="1"/>
  <c r="AM264" i="1"/>
  <c r="AG308" i="1"/>
  <c r="AI308" i="1" s="1"/>
  <c r="AJ308" i="1" s="1"/>
  <c r="Y308" i="1"/>
  <c r="AH308" i="1"/>
  <c r="AF308" i="1"/>
  <c r="T308" i="1"/>
  <c r="AG292" i="1"/>
  <c r="AI292" i="1" s="1"/>
  <c r="AJ292" i="1" s="1"/>
  <c r="Y292" i="1"/>
  <c r="V292" i="1"/>
  <c r="W292" i="1" s="1"/>
  <c r="AH292" i="1"/>
  <c r="AF292" i="1"/>
  <c r="T292" i="1"/>
  <c r="AI291" i="1"/>
  <c r="AJ291" i="1" s="1"/>
  <c r="AK273" i="1"/>
  <c r="AM273" i="1"/>
  <c r="AG282" i="1"/>
  <c r="AI282" i="1" s="1"/>
  <c r="AJ282" i="1" s="1"/>
  <c r="Y282" i="1"/>
  <c r="T282" i="1"/>
  <c r="AH282" i="1"/>
  <c r="AF282" i="1"/>
  <c r="AM276" i="1"/>
  <c r="AK276" i="1"/>
  <c r="AI248" i="1"/>
  <c r="AJ248" i="1" s="1"/>
  <c r="AH261" i="1"/>
  <c r="AF261" i="1"/>
  <c r="Y261" i="1"/>
  <c r="AG261" i="1"/>
  <c r="AI261" i="1" s="1"/>
  <c r="AJ261" i="1" s="1"/>
  <c r="T261" i="1"/>
  <c r="V261" i="1" s="1"/>
  <c r="W261" i="1" s="1"/>
  <c r="AH231" i="1"/>
  <c r="V231" i="1"/>
  <c r="W231" i="1" s="1"/>
  <c r="AF231" i="1"/>
  <c r="Y231" i="1"/>
  <c r="AG231" i="1"/>
  <c r="AI231" i="1" s="1"/>
  <c r="AJ231" i="1" s="1"/>
  <c r="T231" i="1"/>
  <c r="AH253" i="1"/>
  <c r="V253" i="1"/>
  <c r="W253" i="1" s="1"/>
  <c r="Y253" i="1"/>
  <c r="T253" i="1"/>
  <c r="AG253" i="1"/>
  <c r="AI253" i="1" s="1"/>
  <c r="AJ253" i="1" s="1"/>
  <c r="AF253" i="1"/>
  <c r="AK219" i="1"/>
  <c r="AM219" i="1"/>
  <c r="AH241" i="1"/>
  <c r="V241" i="1"/>
  <c r="W241" i="1" s="1"/>
  <c r="Y241" i="1"/>
  <c r="AF241" i="1"/>
  <c r="T241" i="1"/>
  <c r="AG241" i="1"/>
  <c r="AI241" i="1" s="1"/>
  <c r="AJ241" i="1" s="1"/>
  <c r="AJ190" i="1"/>
  <c r="AJ182" i="1"/>
  <c r="AK213" i="1"/>
  <c r="AF101" i="1"/>
  <c r="T101" i="1"/>
  <c r="V101" i="1" s="1"/>
  <c r="W101" i="1" s="1"/>
  <c r="AH101" i="1"/>
  <c r="AG101" i="1"/>
  <c r="Y101" i="1"/>
  <c r="AF74" i="1"/>
  <c r="V74" i="1"/>
  <c r="W74" i="1" s="1"/>
  <c r="T74" i="1"/>
  <c r="AG74" i="1"/>
  <c r="Y74" i="1"/>
  <c r="AH74" i="1"/>
  <c r="Y211" i="1"/>
  <c r="AH211" i="1"/>
  <c r="AG211" i="1"/>
  <c r="V211" i="1"/>
  <c r="W211" i="1" s="1"/>
  <c r="T211" i="1"/>
  <c r="AF211" i="1"/>
  <c r="AF164" i="1"/>
  <c r="V164" i="1"/>
  <c r="W164" i="1" s="1"/>
  <c r="T164" i="1"/>
  <c r="AG164" i="1"/>
  <c r="AI164" i="1" s="1"/>
  <c r="AJ164" i="1" s="1"/>
  <c r="Y164" i="1"/>
  <c r="AH164" i="1"/>
  <c r="AH114" i="1"/>
  <c r="Y114" i="1"/>
  <c r="AG114" i="1"/>
  <c r="AI114" i="1" s="1"/>
  <c r="AJ114" i="1" s="1"/>
  <c r="AF114" i="1"/>
  <c r="T114" i="1"/>
  <c r="AM215" i="1"/>
  <c r="AK215" i="1"/>
  <c r="AI163" i="1"/>
  <c r="AJ163" i="1" s="1"/>
  <c r="T26" i="1"/>
  <c r="AH26" i="1"/>
  <c r="Y26" i="1"/>
  <c r="AG26" i="1"/>
  <c r="V26" i="1"/>
  <c r="W26" i="1" s="1"/>
  <c r="AF26" i="1"/>
  <c r="AI151" i="1"/>
  <c r="AJ151" i="1" s="1"/>
  <c r="V56" i="1"/>
  <c r="W56" i="1" s="1"/>
  <c r="Y56" i="1"/>
  <c r="AH56" i="1"/>
  <c r="AG56" i="1"/>
  <c r="AI56" i="1" s="1"/>
  <c r="AJ56" i="1" s="1"/>
  <c r="T56" i="1"/>
  <c r="AF56" i="1"/>
  <c r="Y48" i="1"/>
  <c r="AH48" i="1"/>
  <c r="AG48" i="1"/>
  <c r="AI48" i="1" s="1"/>
  <c r="AJ48" i="1" s="1"/>
  <c r="T48" i="1"/>
  <c r="AF48" i="1"/>
  <c r="AK24" i="1"/>
  <c r="AF15" i="1"/>
  <c r="V15" i="1"/>
  <c r="W15" i="1" s="1"/>
  <c r="T15" i="1"/>
  <c r="AH15" i="1"/>
  <c r="AG15" i="1"/>
  <c r="AI15" i="1" s="1"/>
  <c r="AJ15" i="1" s="1"/>
  <c r="Y15" i="1"/>
  <c r="Y419" i="1" s="1"/>
  <c r="T169" i="1"/>
  <c r="AH169" i="1"/>
  <c r="Y169" i="1"/>
  <c r="AG169" i="1"/>
  <c r="AF169" i="1"/>
  <c r="V169" i="1"/>
  <c r="W169" i="1" s="1"/>
  <c r="AK42" i="1"/>
  <c r="AH31" i="1"/>
  <c r="Y31" i="1"/>
  <c r="AG31" i="1"/>
  <c r="AF31" i="1"/>
  <c r="T31" i="1"/>
  <c r="AM91" i="1"/>
  <c r="AK91" i="1"/>
  <c r="AG136" i="1"/>
  <c r="V136" i="1"/>
  <c r="W136" i="1" s="1"/>
  <c r="AF136" i="1"/>
  <c r="T136" i="1"/>
  <c r="Y136" i="1"/>
  <c r="AH136" i="1"/>
  <c r="AM79" i="1"/>
  <c r="AK79" i="1"/>
  <c r="AI112" i="1"/>
  <c r="AJ112" i="1" s="1"/>
  <c r="AJ51" i="1"/>
  <c r="AH400" i="1"/>
  <c r="AF400" i="1"/>
  <c r="Y400" i="1"/>
  <c r="T400" i="1"/>
  <c r="V400" i="1" s="1"/>
  <c r="W400" i="1" s="1"/>
  <c r="AG400" i="1"/>
  <c r="AI400" i="1" s="1"/>
  <c r="AJ400" i="1" s="1"/>
  <c r="AH388" i="1"/>
  <c r="Y388" i="1"/>
  <c r="AF388" i="1"/>
  <c r="AG388" i="1"/>
  <c r="AI388" i="1" s="1"/>
  <c r="AJ388" i="1" s="1"/>
  <c r="T388" i="1"/>
  <c r="AH412" i="1"/>
  <c r="V412" i="1"/>
  <c r="W412" i="1" s="1"/>
  <c r="AF412" i="1"/>
  <c r="Y412" i="1"/>
  <c r="AG412" i="1"/>
  <c r="T412" i="1"/>
  <c r="AH381" i="1"/>
  <c r="Y381" i="1"/>
  <c r="AF381" i="1"/>
  <c r="AG381" i="1"/>
  <c r="T381" i="1"/>
  <c r="V381" i="1" s="1"/>
  <c r="W381" i="1" s="1"/>
  <c r="AH382" i="1"/>
  <c r="Y382" i="1"/>
  <c r="AF382" i="1"/>
  <c r="T382" i="1"/>
  <c r="V382" i="1" s="1"/>
  <c r="W382" i="1" s="1"/>
  <c r="AG382" i="1"/>
  <c r="AI382" i="1" s="1"/>
  <c r="AJ382" i="1" s="1"/>
  <c r="AH392" i="1"/>
  <c r="V392" i="1"/>
  <c r="W392" i="1" s="1"/>
  <c r="AF392" i="1"/>
  <c r="Y392" i="1"/>
  <c r="T392" i="1"/>
  <c r="AG392" i="1"/>
  <c r="AI392" i="1" s="1"/>
  <c r="AJ392" i="1" s="1"/>
  <c r="AF355" i="1"/>
  <c r="V355" i="1"/>
  <c r="W355" i="1" s="1"/>
  <c r="AH355" i="1"/>
  <c r="AG355" i="1"/>
  <c r="AI355" i="1" s="1"/>
  <c r="AJ355" i="1" s="1"/>
  <c r="T355" i="1"/>
  <c r="Y355" i="1"/>
  <c r="AM368" i="1"/>
  <c r="AK368" i="1"/>
  <c r="AM383" i="1"/>
  <c r="AM344" i="1"/>
  <c r="AK344" i="1"/>
  <c r="AI338" i="1"/>
  <c r="AJ338" i="1" s="1"/>
  <c r="AI331" i="1"/>
  <c r="AJ331" i="1" s="1"/>
  <c r="AI325" i="1"/>
  <c r="AJ325" i="1" s="1"/>
  <c r="AI315" i="1"/>
  <c r="AJ315" i="1" s="1"/>
  <c r="AG298" i="1"/>
  <c r="AI298" i="1" s="1"/>
  <c r="AJ298" i="1" s="1"/>
  <c r="Y298" i="1"/>
  <c r="T298" i="1"/>
  <c r="AH298" i="1"/>
  <c r="AF298" i="1"/>
  <c r="AI303" i="1"/>
  <c r="AJ303" i="1" s="1"/>
  <c r="AI295" i="1"/>
  <c r="AJ295" i="1" s="1"/>
  <c r="AM262" i="1"/>
  <c r="AG328" i="1"/>
  <c r="Y328" i="1"/>
  <c r="AF328" i="1"/>
  <c r="T328" i="1"/>
  <c r="AH328" i="1"/>
  <c r="AI293" i="1"/>
  <c r="AJ293" i="1" s="1"/>
  <c r="AH289" i="1"/>
  <c r="AG289" i="1"/>
  <c r="AI289" i="1" s="1"/>
  <c r="AJ289" i="1" s="1"/>
  <c r="Y289" i="1"/>
  <c r="AF289" i="1"/>
  <c r="T289" i="1"/>
  <c r="AH247" i="1"/>
  <c r="V247" i="1"/>
  <c r="W247" i="1" s="1"/>
  <c r="Y247" i="1"/>
  <c r="AG247" i="1"/>
  <c r="AF247" i="1"/>
  <c r="T247" i="1"/>
  <c r="AF217" i="1"/>
  <c r="AH217" i="1"/>
  <c r="T217" i="1"/>
  <c r="V217" i="1" s="1"/>
  <c r="W217" i="1" s="1"/>
  <c r="AG217" i="1"/>
  <c r="Y217" i="1"/>
  <c r="AK260" i="1"/>
  <c r="AM260" i="1"/>
  <c r="AI242" i="1"/>
  <c r="AJ242" i="1" s="1"/>
  <c r="AH230" i="1"/>
  <c r="AF230" i="1"/>
  <c r="Y230" i="1"/>
  <c r="T230" i="1"/>
  <c r="V230" i="1" s="1"/>
  <c r="W230" i="1" s="1"/>
  <c r="AG230" i="1"/>
  <c r="AI252" i="1"/>
  <c r="AJ252" i="1" s="1"/>
  <c r="AM216" i="1"/>
  <c r="AK216" i="1"/>
  <c r="AG177" i="1"/>
  <c r="AI177" i="1" s="1"/>
  <c r="AJ177" i="1" s="1"/>
  <c r="Y177" i="1"/>
  <c r="AH177" i="1"/>
  <c r="AF177" i="1"/>
  <c r="T177" i="1"/>
  <c r="AG202" i="1"/>
  <c r="AI202" i="1" s="1"/>
  <c r="AJ202" i="1" s="1"/>
  <c r="Y202" i="1"/>
  <c r="T202" i="1"/>
  <c r="AH202" i="1"/>
  <c r="AF202" i="1"/>
  <c r="AI219" i="1"/>
  <c r="AJ219" i="1" s="1"/>
  <c r="AI195" i="1"/>
  <c r="AJ195" i="1" s="1"/>
  <c r="AK278" i="1"/>
  <c r="AG192" i="1"/>
  <c r="Y192" i="1"/>
  <c r="T192" i="1"/>
  <c r="AH192" i="1"/>
  <c r="AF192" i="1"/>
  <c r="AI165" i="1"/>
  <c r="AJ165" i="1" s="1"/>
  <c r="T111" i="1"/>
  <c r="V111" i="1" s="1"/>
  <c r="W111" i="1" s="1"/>
  <c r="AH111" i="1"/>
  <c r="Y111" i="1"/>
  <c r="AG111" i="1"/>
  <c r="AF111" i="1"/>
  <c r="AM208" i="1"/>
  <c r="AK208" i="1"/>
  <c r="Y138" i="1"/>
  <c r="AH138" i="1"/>
  <c r="AG138" i="1"/>
  <c r="AI138" i="1" s="1"/>
  <c r="AJ138" i="1" s="1"/>
  <c r="AF138" i="1"/>
  <c r="T138" i="1"/>
  <c r="AG100" i="1"/>
  <c r="AI100" i="1" s="1"/>
  <c r="AJ100" i="1" s="1"/>
  <c r="AF100" i="1"/>
  <c r="V100" i="1"/>
  <c r="W100" i="1" s="1"/>
  <c r="T100" i="1"/>
  <c r="Y100" i="1"/>
  <c r="AH100" i="1"/>
  <c r="AF72" i="1"/>
  <c r="T72" i="1"/>
  <c r="Y72" i="1"/>
  <c r="AH72" i="1"/>
  <c r="AG72" i="1"/>
  <c r="AI155" i="1"/>
  <c r="AJ155" i="1" s="1"/>
  <c r="AI212" i="1"/>
  <c r="AJ212" i="1" s="1"/>
  <c r="V148" i="1"/>
  <c r="W148" i="1" s="1"/>
  <c r="AH148" i="1"/>
  <c r="T148" i="1"/>
  <c r="AG148" i="1"/>
  <c r="AI148" i="1" s="1"/>
  <c r="AJ148" i="1" s="1"/>
  <c r="AF148" i="1"/>
  <c r="Y148" i="1"/>
  <c r="AM141" i="1"/>
  <c r="AK141" i="1"/>
  <c r="AM71" i="1"/>
  <c r="AK71" i="1"/>
  <c r="AF94" i="1"/>
  <c r="T94" i="1"/>
  <c r="AG94" i="1"/>
  <c r="Y94" i="1"/>
  <c r="AH94" i="1"/>
  <c r="AH30" i="1"/>
  <c r="Y30" i="1"/>
  <c r="AG30" i="1"/>
  <c r="AF30" i="1"/>
  <c r="T30" i="1"/>
  <c r="AH149" i="1"/>
  <c r="AG149" i="1"/>
  <c r="AI149" i="1" s="1"/>
  <c r="AJ149" i="1" s="1"/>
  <c r="Y149" i="1"/>
  <c r="AF149" i="1"/>
  <c r="T149" i="1"/>
  <c r="V149" i="1" s="1"/>
  <c r="W149" i="1" s="1"/>
  <c r="AM104" i="1"/>
  <c r="AK104" i="1"/>
  <c r="AI6" i="1"/>
  <c r="AJ6" i="1" s="1"/>
  <c r="AM47" i="1"/>
  <c r="AK47" i="1"/>
  <c r="AM18" i="1"/>
  <c r="AK18" i="1"/>
  <c r="AI8" i="1"/>
  <c r="AJ8" i="1" s="1"/>
  <c r="AM16" i="1"/>
  <c r="AK16" i="1"/>
  <c r="AK121" i="1"/>
  <c r="AM121" i="1"/>
  <c r="AM120" i="1"/>
  <c r="AK120" i="1"/>
  <c r="AI10" i="1"/>
  <c r="AJ10" i="1" s="1"/>
  <c r="AH384" i="1"/>
  <c r="Y384" i="1"/>
  <c r="AF384" i="1"/>
  <c r="AG384" i="1"/>
  <c r="AI384" i="1" s="1"/>
  <c r="AJ384" i="1" s="1"/>
  <c r="T384" i="1"/>
  <c r="AH397" i="1"/>
  <c r="AF397" i="1"/>
  <c r="T397" i="1"/>
  <c r="AG397" i="1"/>
  <c r="Y397" i="1"/>
  <c r="AH380" i="1"/>
  <c r="V380" i="1"/>
  <c r="W380" i="1" s="1"/>
  <c r="Y380" i="1"/>
  <c r="AG380" i="1"/>
  <c r="T380" i="1"/>
  <c r="AF380" i="1"/>
  <c r="AH347" i="1"/>
  <c r="AF347" i="1"/>
  <c r="T347" i="1"/>
  <c r="Y347" i="1"/>
  <c r="AG347" i="1"/>
  <c r="AI347" i="1" s="1"/>
  <c r="AJ347" i="1" s="1"/>
  <c r="AF359" i="1"/>
  <c r="Y359" i="1"/>
  <c r="AH359" i="1"/>
  <c r="AG359" i="1"/>
  <c r="AI359" i="1" s="1"/>
  <c r="AJ359" i="1" s="1"/>
  <c r="T359" i="1"/>
  <c r="V359" i="1" s="1"/>
  <c r="W359" i="1" s="1"/>
  <c r="AG340" i="1"/>
  <c r="T340" i="1"/>
  <c r="V340" i="1" s="1"/>
  <c r="W340" i="1" s="1"/>
  <c r="Y340" i="1"/>
  <c r="AH340" i="1"/>
  <c r="AF340" i="1"/>
  <c r="V387" i="1"/>
  <c r="W387" i="1" s="1"/>
  <c r="AH387" i="1"/>
  <c r="Y387" i="1"/>
  <c r="AG387" i="1"/>
  <c r="T387" i="1"/>
  <c r="AF387" i="1"/>
  <c r="AH342" i="1"/>
  <c r="Y342" i="1"/>
  <c r="AG342" i="1"/>
  <c r="AI342" i="1" s="1"/>
  <c r="AJ342" i="1" s="1"/>
  <c r="AF342" i="1"/>
  <c r="T342" i="1"/>
  <c r="AK323" i="1"/>
  <c r="AM323" i="1"/>
  <c r="AK315" i="1"/>
  <c r="AM315" i="1"/>
  <c r="AG320" i="1"/>
  <c r="Y320" i="1"/>
  <c r="AH320" i="1"/>
  <c r="AF320" i="1"/>
  <c r="T320" i="1"/>
  <c r="AI354" i="1"/>
  <c r="AJ354" i="1" s="1"/>
  <c r="AH313" i="1"/>
  <c r="AG313" i="1"/>
  <c r="Y313" i="1"/>
  <c r="T313" i="1"/>
  <c r="AF313" i="1"/>
  <c r="V313" i="1"/>
  <c r="W313" i="1" s="1"/>
  <c r="AH272" i="1"/>
  <c r="AG272" i="1"/>
  <c r="AI272" i="1" s="1"/>
  <c r="AJ272" i="1" s="1"/>
  <c r="AF272" i="1"/>
  <c r="T272" i="1"/>
  <c r="Y272" i="1"/>
  <c r="AG304" i="1"/>
  <c r="Y304" i="1"/>
  <c r="V304" i="1"/>
  <c r="W304" i="1" s="1"/>
  <c r="AH304" i="1"/>
  <c r="AF304" i="1"/>
  <c r="T304" i="1"/>
  <c r="AJ305" i="1"/>
  <c r="AG280" i="1"/>
  <c r="Y280" i="1"/>
  <c r="V280" i="1"/>
  <c r="W280" i="1" s="1"/>
  <c r="AF280" i="1"/>
  <c r="AH280" i="1"/>
  <c r="T280" i="1"/>
  <c r="AF221" i="1"/>
  <c r="Y221" i="1"/>
  <c r="T221" i="1"/>
  <c r="V221" i="1" s="1"/>
  <c r="W221" i="1" s="1"/>
  <c r="AH221" i="1"/>
  <c r="AG221" i="1"/>
  <c r="AK223" i="1"/>
  <c r="AM223" i="1"/>
  <c r="AH239" i="1"/>
  <c r="V239" i="1"/>
  <c r="W239" i="1" s="1"/>
  <c r="Y239" i="1"/>
  <c r="AF239" i="1"/>
  <c r="AG239" i="1"/>
  <c r="AI239" i="1" s="1"/>
  <c r="AJ239" i="1" s="1"/>
  <c r="T239" i="1"/>
  <c r="AH229" i="1"/>
  <c r="AF229" i="1"/>
  <c r="Y229" i="1"/>
  <c r="T229" i="1"/>
  <c r="AG229" i="1"/>
  <c r="AI229" i="1" s="1"/>
  <c r="AJ229" i="1" s="1"/>
  <c r="AH237" i="1"/>
  <c r="Y237" i="1"/>
  <c r="AF237" i="1"/>
  <c r="T237" i="1"/>
  <c r="AG237" i="1"/>
  <c r="AJ206" i="1"/>
  <c r="AJ184" i="1"/>
  <c r="T110" i="1"/>
  <c r="AH110" i="1"/>
  <c r="Y110" i="1"/>
  <c r="AG110" i="1"/>
  <c r="AI110" i="1" s="1"/>
  <c r="AJ110" i="1" s="1"/>
  <c r="AF110" i="1"/>
  <c r="AF117" i="1"/>
  <c r="T117" i="1"/>
  <c r="V117" i="1" s="1"/>
  <c r="W117" i="1" s="1"/>
  <c r="AG117" i="1"/>
  <c r="Y117" i="1"/>
  <c r="AH117" i="1"/>
  <c r="AM156" i="1"/>
  <c r="AK156" i="1"/>
  <c r="AF86" i="1"/>
  <c r="T86" i="1"/>
  <c r="Y86" i="1"/>
  <c r="AH86" i="1"/>
  <c r="AG86" i="1"/>
  <c r="AF70" i="1"/>
  <c r="T70" i="1"/>
  <c r="Y70" i="1"/>
  <c r="AH70" i="1"/>
  <c r="AG70" i="1"/>
  <c r="AH107" i="1"/>
  <c r="Y107" i="1"/>
  <c r="AG107" i="1"/>
  <c r="AF107" i="1"/>
  <c r="T107" i="1"/>
  <c r="V107" i="1" s="1"/>
  <c r="W107" i="1" s="1"/>
  <c r="AI215" i="1"/>
  <c r="AJ215" i="1" s="1"/>
  <c r="AK38" i="1"/>
  <c r="AM125" i="1"/>
  <c r="AK125" i="1"/>
  <c r="V62" i="1"/>
  <c r="W62" i="1" s="1"/>
  <c r="Y62" i="1"/>
  <c r="AH62" i="1"/>
  <c r="AG62" i="1"/>
  <c r="AI62" i="1" s="1"/>
  <c r="AJ62" i="1" s="1"/>
  <c r="T62" i="1"/>
  <c r="AF62" i="1"/>
  <c r="V54" i="1"/>
  <c r="W54" i="1" s="1"/>
  <c r="Y54" i="1"/>
  <c r="AH54" i="1"/>
  <c r="AG54" i="1"/>
  <c r="AI54" i="1" s="1"/>
  <c r="AJ54" i="1" s="1"/>
  <c r="T54" i="1"/>
  <c r="AF54" i="1"/>
  <c r="Y46" i="1"/>
  <c r="AH46" i="1"/>
  <c r="AG46" i="1"/>
  <c r="T46" i="1"/>
  <c r="AF46" i="1"/>
  <c r="AM39" i="1"/>
  <c r="AK39" i="1"/>
  <c r="AF21" i="1"/>
  <c r="V21" i="1"/>
  <c r="W21" i="1" s="1"/>
  <c r="T21" i="1"/>
  <c r="AH21" i="1"/>
  <c r="AG21" i="1"/>
  <c r="AI21" i="1" s="1"/>
  <c r="AJ21" i="1" s="1"/>
  <c r="Y21" i="1"/>
  <c r="AF13" i="1"/>
  <c r="T13" i="1"/>
  <c r="AH13" i="1"/>
  <c r="Y13" i="1"/>
  <c r="AG13" i="1"/>
  <c r="Q419" i="1"/>
  <c r="R4" i="1"/>
  <c r="AI131" i="1"/>
  <c r="AJ131" i="1" s="1"/>
  <c r="AH41" i="1"/>
  <c r="Y41" i="1"/>
  <c r="AG41" i="1"/>
  <c r="AF41" i="1"/>
  <c r="T41" i="1"/>
  <c r="V41" i="1" s="1"/>
  <c r="W41" i="1" s="1"/>
  <c r="AM145" i="1"/>
  <c r="AG128" i="1"/>
  <c r="AF128" i="1"/>
  <c r="T128" i="1"/>
  <c r="Y128" i="1"/>
  <c r="AH128" i="1"/>
  <c r="AF96" i="1"/>
  <c r="T96" i="1"/>
  <c r="AH96" i="1"/>
  <c r="AG96" i="1"/>
  <c r="AI96" i="1" s="1"/>
  <c r="AJ96" i="1" s="1"/>
  <c r="Y96" i="1"/>
  <c r="AF419" i="1"/>
  <c r="AM49" i="1"/>
  <c r="AK49" i="1"/>
  <c r="AK53" i="1"/>
  <c r="AJ45" i="1"/>
  <c r="AJ59" i="1"/>
  <c r="AH414" i="1"/>
  <c r="V414" i="1"/>
  <c r="W414" i="1" s="1"/>
  <c r="Y414" i="1"/>
  <c r="AG414" i="1"/>
  <c r="T414" i="1"/>
  <c r="AF414" i="1"/>
  <c r="AF365" i="1"/>
  <c r="Y365" i="1"/>
  <c r="AH365" i="1"/>
  <c r="AG365" i="1"/>
  <c r="T365" i="1"/>
  <c r="V365" i="1" s="1"/>
  <c r="W365" i="1" s="1"/>
  <c r="AG326" i="1"/>
  <c r="Y326" i="1"/>
  <c r="AF326" i="1"/>
  <c r="AH326" i="1"/>
  <c r="T326" i="1"/>
  <c r="V326" i="1" s="1"/>
  <c r="W326" i="1" s="1"/>
  <c r="AG294" i="1"/>
  <c r="Y294" i="1"/>
  <c r="T294" i="1"/>
  <c r="AH294" i="1"/>
  <c r="AF294" i="1"/>
  <c r="AK293" i="1"/>
  <c r="AM293" i="1"/>
  <c r="AG284" i="1"/>
  <c r="Y284" i="1"/>
  <c r="AF284" i="1"/>
  <c r="T284" i="1"/>
  <c r="AH284" i="1"/>
  <c r="AG314" i="1"/>
  <c r="AI314" i="1" s="1"/>
  <c r="AJ314" i="1" s="1"/>
  <c r="Y314" i="1"/>
  <c r="AH314" i="1"/>
  <c r="AF314" i="1"/>
  <c r="T314" i="1"/>
  <c r="AH269" i="1"/>
  <c r="AG269" i="1"/>
  <c r="AI269" i="1" s="1"/>
  <c r="AJ269" i="1" s="1"/>
  <c r="Y269" i="1"/>
  <c r="AF269" i="1"/>
  <c r="T269" i="1"/>
  <c r="AH263" i="1"/>
  <c r="AG263" i="1"/>
  <c r="AI263" i="1" s="1"/>
  <c r="AJ263" i="1" s="1"/>
  <c r="Y263" i="1"/>
  <c r="AF263" i="1"/>
  <c r="T263" i="1"/>
  <c r="V263" i="1" s="1"/>
  <c r="W263" i="1" s="1"/>
  <c r="AI238" i="1"/>
  <c r="AJ238" i="1" s="1"/>
  <c r="Y210" i="1"/>
  <c r="AH210" i="1"/>
  <c r="AG210" i="1"/>
  <c r="AI210" i="1" s="1"/>
  <c r="AJ210" i="1" s="1"/>
  <c r="AF210" i="1"/>
  <c r="T210" i="1"/>
  <c r="AM214" i="1"/>
  <c r="AK214" i="1"/>
  <c r="AG176" i="1"/>
  <c r="Y176" i="1"/>
  <c r="AH176" i="1"/>
  <c r="AF176" i="1"/>
  <c r="T176" i="1"/>
  <c r="V176" i="1" s="1"/>
  <c r="W176" i="1" s="1"/>
  <c r="AI274" i="1"/>
  <c r="AJ274" i="1" s="1"/>
  <c r="AG204" i="1"/>
  <c r="Y204" i="1"/>
  <c r="T204" i="1"/>
  <c r="AH204" i="1"/>
  <c r="AF204" i="1"/>
  <c r="AJ189" i="1"/>
  <c r="AJ181" i="1"/>
  <c r="AM165" i="1"/>
  <c r="AK165" i="1"/>
  <c r="AI213" i="1"/>
  <c r="AJ213" i="1" s="1"/>
  <c r="Y130" i="1"/>
  <c r="AH130" i="1"/>
  <c r="AG130" i="1"/>
  <c r="AI130" i="1" s="1"/>
  <c r="AJ130" i="1" s="1"/>
  <c r="V130" i="1"/>
  <c r="W130" i="1" s="1"/>
  <c r="AF130" i="1"/>
  <c r="T130" i="1"/>
  <c r="AG116" i="1"/>
  <c r="AI116" i="1" s="1"/>
  <c r="AJ116" i="1" s="1"/>
  <c r="AF116" i="1"/>
  <c r="T116" i="1"/>
  <c r="AH116" i="1"/>
  <c r="Y116" i="1"/>
  <c r="AF84" i="1"/>
  <c r="T84" i="1"/>
  <c r="Y84" i="1"/>
  <c r="AH84" i="1"/>
  <c r="AG84" i="1"/>
  <c r="AF68" i="1"/>
  <c r="T68" i="1"/>
  <c r="AH68" i="1"/>
  <c r="AG68" i="1"/>
  <c r="AI68" i="1" s="1"/>
  <c r="AJ68" i="1" s="1"/>
  <c r="Y68" i="1"/>
  <c r="AH106" i="1"/>
  <c r="Y106" i="1"/>
  <c r="AG106" i="1"/>
  <c r="AF106" i="1"/>
  <c r="V106" i="1"/>
  <c r="W106" i="1" s="1"/>
  <c r="T106" i="1"/>
  <c r="AG150" i="1"/>
  <c r="AF150" i="1"/>
  <c r="Y150" i="1"/>
  <c r="AH150" i="1"/>
  <c r="T150" i="1"/>
  <c r="V150" i="1" s="1"/>
  <c r="W150" i="1" s="1"/>
  <c r="AM212" i="1"/>
  <c r="AM65" i="1"/>
  <c r="AK65" i="1"/>
  <c r="AF90" i="1"/>
  <c r="T90" i="1"/>
  <c r="Y90" i="1"/>
  <c r="AG90" i="1"/>
  <c r="AI90" i="1" s="1"/>
  <c r="AJ90" i="1" s="1"/>
  <c r="AH90" i="1"/>
  <c r="AK97" i="1"/>
  <c r="AM97" i="1"/>
  <c r="AM81" i="1"/>
  <c r="AK81" i="1"/>
  <c r="AM139" i="1"/>
  <c r="AK139" i="1"/>
  <c r="AJ153" i="1"/>
  <c r="AH35" i="1"/>
  <c r="Y35" i="1"/>
  <c r="AG35" i="1"/>
  <c r="AI35" i="1" s="1"/>
  <c r="AJ35" i="1" s="1"/>
  <c r="T35" i="1"/>
  <c r="AF35" i="1"/>
  <c r="V35" i="1"/>
  <c r="W35" i="1" s="1"/>
  <c r="AM6" i="1"/>
  <c r="AK6" i="1"/>
  <c r="AM55" i="1"/>
  <c r="AK55" i="1"/>
  <c r="AJ47" i="1"/>
  <c r="AM8" i="1"/>
  <c r="AK8" i="1"/>
  <c r="AM10" i="1"/>
  <c r="AK10" i="1"/>
  <c r="AH418" i="1"/>
  <c r="AG418" i="1"/>
  <c r="AI418" i="1" s="1"/>
  <c r="AJ418" i="1" s="1"/>
  <c r="Y418" i="1"/>
  <c r="AF418" i="1"/>
  <c r="T418" i="1"/>
  <c r="AH409" i="1"/>
  <c r="AF409" i="1"/>
  <c r="T409" i="1"/>
  <c r="AG409" i="1"/>
  <c r="Y409" i="1"/>
  <c r="V393" i="1"/>
  <c r="W393" i="1" s="1"/>
  <c r="AH393" i="1"/>
  <c r="AF393" i="1"/>
  <c r="AG393" i="1"/>
  <c r="Y393" i="1"/>
  <c r="T393" i="1"/>
  <c r="V407" i="1"/>
  <c r="W407" i="1" s="1"/>
  <c r="AH407" i="1"/>
  <c r="Y407" i="1"/>
  <c r="AF407" i="1"/>
  <c r="T407" i="1"/>
  <c r="AG407" i="1"/>
  <c r="AI407" i="1" s="1"/>
  <c r="AJ407" i="1" s="1"/>
  <c r="AH395" i="1"/>
  <c r="Y395" i="1"/>
  <c r="AF395" i="1"/>
  <c r="T395" i="1"/>
  <c r="AG395" i="1"/>
  <c r="AI395" i="1" s="1"/>
  <c r="AJ395" i="1" s="1"/>
  <c r="AH378" i="1"/>
  <c r="Y378" i="1"/>
  <c r="AG378" i="1"/>
  <c r="V378" i="1"/>
  <c r="W378" i="1" s="1"/>
  <c r="AF378" i="1"/>
  <c r="T378" i="1"/>
  <c r="AG376" i="1"/>
  <c r="AI376" i="1" s="1"/>
  <c r="AJ376" i="1" s="1"/>
  <c r="Y376" i="1"/>
  <c r="AF376" i="1"/>
  <c r="T376" i="1"/>
  <c r="AH376" i="1"/>
  <c r="V376" i="1"/>
  <c r="W376" i="1" s="1"/>
  <c r="AF353" i="1"/>
  <c r="Y353" i="1"/>
  <c r="AH353" i="1"/>
  <c r="AG353" i="1"/>
  <c r="T353" i="1"/>
  <c r="V353" i="1" s="1"/>
  <c r="W353" i="1" s="1"/>
  <c r="AF357" i="1"/>
  <c r="V357" i="1"/>
  <c r="W357" i="1" s="1"/>
  <c r="T357" i="1"/>
  <c r="Y357" i="1"/>
  <c r="AH357" i="1"/>
  <c r="AG357" i="1"/>
  <c r="AI357" i="1" s="1"/>
  <c r="AJ357" i="1" s="1"/>
  <c r="AH346" i="1"/>
  <c r="AF346" i="1"/>
  <c r="T346" i="1"/>
  <c r="AG346" i="1"/>
  <c r="AI346" i="1" s="1"/>
  <c r="AJ346" i="1" s="1"/>
  <c r="Y346" i="1"/>
  <c r="V310" i="1"/>
  <c r="W310" i="1" s="1"/>
  <c r="AF310" i="1"/>
  <c r="AH310" i="1"/>
  <c r="Y310" i="1"/>
  <c r="T310" i="1"/>
  <c r="AG310" i="1"/>
  <c r="AI310" i="1" s="1"/>
  <c r="AJ310" i="1" s="1"/>
  <c r="AK331" i="1"/>
  <c r="AM331" i="1"/>
  <c r="AK325" i="1"/>
  <c r="AM325" i="1"/>
  <c r="AK301" i="1"/>
  <c r="AM301" i="1"/>
  <c r="AH244" i="1"/>
  <c r="Y244" i="1"/>
  <c r="AF244" i="1"/>
  <c r="T244" i="1"/>
  <c r="AG244" i="1"/>
  <c r="AI244" i="1" s="1"/>
  <c r="AJ244" i="1" s="1"/>
  <c r="AH416" i="1"/>
  <c r="V416" i="1"/>
  <c r="W416" i="1" s="1"/>
  <c r="AF416" i="1"/>
  <c r="Y416" i="1"/>
  <c r="T416" i="1"/>
  <c r="AG416" i="1"/>
  <c r="AI416" i="1" s="1"/>
  <c r="AJ416" i="1" s="1"/>
  <c r="V415" i="1"/>
  <c r="W415" i="1" s="1"/>
  <c r="AH415" i="1"/>
  <c r="Y415" i="1"/>
  <c r="AG415" i="1"/>
  <c r="T415" i="1"/>
  <c r="AF415" i="1"/>
  <c r="V373" i="1"/>
  <c r="W373" i="1" s="1"/>
  <c r="AG373" i="1"/>
  <c r="Y373" i="1"/>
  <c r="AH373" i="1"/>
  <c r="T373" i="1"/>
  <c r="AF373" i="1"/>
  <c r="AH408" i="1"/>
  <c r="AF408" i="1"/>
  <c r="Y408" i="1"/>
  <c r="T408" i="1"/>
  <c r="V408" i="1" s="1"/>
  <c r="W408" i="1" s="1"/>
  <c r="AG408" i="1"/>
  <c r="AI408" i="1" s="1"/>
  <c r="AJ408" i="1" s="1"/>
  <c r="AF345" i="1"/>
  <c r="Y345" i="1"/>
  <c r="AH345" i="1"/>
  <c r="T345" i="1"/>
  <c r="AG345" i="1"/>
  <c r="AF371" i="1"/>
  <c r="V371" i="1"/>
  <c r="W371" i="1" s="1"/>
  <c r="AH371" i="1"/>
  <c r="AG371" i="1"/>
  <c r="AI371" i="1" s="1"/>
  <c r="AJ371" i="1" s="1"/>
  <c r="T371" i="1"/>
  <c r="Y371" i="1"/>
  <c r="AH396" i="1"/>
  <c r="AF396" i="1"/>
  <c r="Y396" i="1"/>
  <c r="T396" i="1"/>
  <c r="AG396" i="1"/>
  <c r="AI396" i="1" s="1"/>
  <c r="AJ396" i="1" s="1"/>
  <c r="Y333" i="1"/>
  <c r="AH333" i="1"/>
  <c r="AG333" i="1"/>
  <c r="AF333" i="1"/>
  <c r="T333" i="1"/>
  <c r="AK377" i="1"/>
  <c r="AM377" i="1"/>
  <c r="AI360" i="1"/>
  <c r="AJ360" i="1" s="1"/>
  <c r="AH336" i="1"/>
  <c r="Y336" i="1"/>
  <c r="V336" i="1"/>
  <c r="W336" i="1" s="1"/>
  <c r="AG336" i="1"/>
  <c r="T336" i="1"/>
  <c r="AF336" i="1"/>
  <c r="AK321" i="1"/>
  <c r="AM321" i="1"/>
  <c r="AG318" i="1"/>
  <c r="AI318" i="1" s="1"/>
  <c r="AJ318" i="1" s="1"/>
  <c r="Y318" i="1"/>
  <c r="V318" i="1"/>
  <c r="W318" i="1" s="1"/>
  <c r="AH318" i="1"/>
  <c r="AF318" i="1"/>
  <c r="T318" i="1"/>
  <c r="AG312" i="1"/>
  <c r="Y312" i="1"/>
  <c r="V312" i="1"/>
  <c r="W312" i="1" s="1"/>
  <c r="AH312" i="1"/>
  <c r="AF312" i="1"/>
  <c r="T312" i="1"/>
  <c r="AI287" i="1"/>
  <c r="AJ287" i="1" s="1"/>
  <c r="AH271" i="1"/>
  <c r="AF271" i="1"/>
  <c r="T271" i="1"/>
  <c r="Y271" i="1"/>
  <c r="AG271" i="1"/>
  <c r="AI271" i="1" s="1"/>
  <c r="AJ271" i="1" s="1"/>
  <c r="AG300" i="1"/>
  <c r="Y300" i="1"/>
  <c r="AH300" i="1"/>
  <c r="AF300" i="1"/>
  <c r="T300" i="1"/>
  <c r="AI283" i="1"/>
  <c r="AJ283" i="1" s="1"/>
  <c r="AK277" i="1"/>
  <c r="AM277" i="1"/>
  <c r="AI297" i="1"/>
  <c r="AJ297" i="1" s="1"/>
  <c r="AG290" i="1"/>
  <c r="AI290" i="1" s="1"/>
  <c r="AJ290" i="1" s="1"/>
  <c r="Y290" i="1"/>
  <c r="T290" i="1"/>
  <c r="V290" i="1" s="1"/>
  <c r="W290" i="1" s="1"/>
  <c r="AH290" i="1"/>
  <c r="AF290" i="1"/>
  <c r="AH267" i="1"/>
  <c r="AG267" i="1"/>
  <c r="AI267" i="1" s="1"/>
  <c r="AJ267" i="1" s="1"/>
  <c r="Y267" i="1"/>
  <c r="AF267" i="1"/>
  <c r="T267" i="1"/>
  <c r="AI243" i="1"/>
  <c r="AJ243" i="1" s="1"/>
  <c r="AI276" i="1"/>
  <c r="AJ276" i="1" s="1"/>
  <c r="AI258" i="1"/>
  <c r="AJ258" i="1" s="1"/>
  <c r="AH235" i="1"/>
  <c r="Y235" i="1"/>
  <c r="AF235" i="1"/>
  <c r="AG235" i="1"/>
  <c r="AI235" i="1" s="1"/>
  <c r="AJ235" i="1" s="1"/>
  <c r="T235" i="1"/>
  <c r="AK218" i="1"/>
  <c r="AM218" i="1"/>
  <c r="AG198" i="1"/>
  <c r="AI198" i="1" s="1"/>
  <c r="AJ198" i="1" s="1"/>
  <c r="Y198" i="1"/>
  <c r="T198" i="1"/>
  <c r="AH198" i="1"/>
  <c r="AF198" i="1"/>
  <c r="AH245" i="1"/>
  <c r="Y245" i="1"/>
  <c r="AG245" i="1"/>
  <c r="AI245" i="1" s="1"/>
  <c r="AJ245" i="1" s="1"/>
  <c r="AF245" i="1"/>
  <c r="T245" i="1"/>
  <c r="V245" i="1" s="1"/>
  <c r="W245" i="1" s="1"/>
  <c r="AJ186" i="1"/>
  <c r="AH201" i="1"/>
  <c r="AG201" i="1"/>
  <c r="AI201" i="1" s="1"/>
  <c r="AJ201" i="1" s="1"/>
  <c r="Y201" i="1"/>
  <c r="T201" i="1"/>
  <c r="AF201" i="1"/>
  <c r="T103" i="1"/>
  <c r="AH103" i="1"/>
  <c r="Y103" i="1"/>
  <c r="AG103" i="1"/>
  <c r="AI103" i="1" s="1"/>
  <c r="AJ103" i="1" s="1"/>
  <c r="V103" i="1"/>
  <c r="W103" i="1" s="1"/>
  <c r="AF103" i="1"/>
  <c r="AG180" i="1"/>
  <c r="AI180" i="1" s="1"/>
  <c r="AJ180" i="1" s="1"/>
  <c r="Y180" i="1"/>
  <c r="AH180" i="1"/>
  <c r="AF180" i="1"/>
  <c r="T180" i="1"/>
  <c r="AH197" i="1"/>
  <c r="AG197" i="1"/>
  <c r="Y197" i="1"/>
  <c r="T197" i="1"/>
  <c r="AF197" i="1"/>
  <c r="V152" i="1"/>
  <c r="W152" i="1" s="1"/>
  <c r="Y152" i="1"/>
  <c r="AH152" i="1"/>
  <c r="T152" i="1"/>
  <c r="AF152" i="1"/>
  <c r="AG152" i="1"/>
  <c r="AF82" i="1"/>
  <c r="T82" i="1"/>
  <c r="AG82" i="1"/>
  <c r="AI82" i="1" s="1"/>
  <c r="AJ82" i="1" s="1"/>
  <c r="Y82" i="1"/>
  <c r="AH82" i="1"/>
  <c r="V66" i="1"/>
  <c r="W66" i="1" s="1"/>
  <c r="T66" i="1"/>
  <c r="AH66" i="1"/>
  <c r="AG66" i="1"/>
  <c r="AF66" i="1"/>
  <c r="Y66" i="1"/>
  <c r="AM127" i="1"/>
  <c r="AK127" i="1"/>
  <c r="AI137" i="1"/>
  <c r="AJ137" i="1" s="1"/>
  <c r="AH37" i="1"/>
  <c r="T37" i="1"/>
  <c r="V37" i="1" s="1"/>
  <c r="W37" i="1" s="1"/>
  <c r="Y37" i="1"/>
  <c r="AG37" i="1"/>
  <c r="AI37" i="1" s="1"/>
  <c r="AJ37" i="1" s="1"/>
  <c r="AF37" i="1"/>
  <c r="AI135" i="1"/>
  <c r="AJ135" i="1" s="1"/>
  <c r="V60" i="1"/>
  <c r="W60" i="1" s="1"/>
  <c r="Y60" i="1"/>
  <c r="AH60" i="1"/>
  <c r="AG60" i="1"/>
  <c r="T60" i="1"/>
  <c r="AF60" i="1"/>
  <c r="V52" i="1"/>
  <c r="W52" i="1" s="1"/>
  <c r="Y52" i="1"/>
  <c r="AH52" i="1"/>
  <c r="AG52" i="1"/>
  <c r="T52" i="1"/>
  <c r="AF52" i="1"/>
  <c r="Y44" i="1"/>
  <c r="AH44" i="1"/>
  <c r="AG44" i="1"/>
  <c r="T44" i="1"/>
  <c r="AF44" i="1"/>
  <c r="AM159" i="1"/>
  <c r="AK159" i="1"/>
  <c r="AF19" i="1"/>
  <c r="T19" i="1"/>
  <c r="V19" i="1" s="1"/>
  <c r="W19" i="1" s="1"/>
  <c r="AH19" i="1"/>
  <c r="AG19" i="1"/>
  <c r="AI19" i="1" s="1"/>
  <c r="AJ19" i="1" s="1"/>
  <c r="Y19" i="1"/>
  <c r="AF11" i="1"/>
  <c r="T11" i="1"/>
  <c r="AH11" i="1"/>
  <c r="AG11" i="1"/>
  <c r="AI11" i="1" s="1"/>
  <c r="AJ11" i="1" s="1"/>
  <c r="Y11" i="1"/>
  <c r="AH23" i="1"/>
  <c r="Y23" i="1"/>
  <c r="AG23" i="1"/>
  <c r="AF23" i="1"/>
  <c r="T23" i="1"/>
  <c r="AM83" i="1"/>
  <c r="AK83" i="1"/>
  <c r="AF92" i="1"/>
  <c r="T92" i="1"/>
  <c r="AH92" i="1"/>
  <c r="AG92" i="1"/>
  <c r="AI92" i="1" s="1"/>
  <c r="AJ92" i="1" s="1"/>
  <c r="Y92" i="1"/>
  <c r="AH29" i="1"/>
  <c r="Y29" i="1"/>
  <c r="AG29" i="1"/>
  <c r="T29" i="1"/>
  <c r="AF29" i="1"/>
  <c r="AI104" i="1"/>
  <c r="AJ104" i="1" s="1"/>
  <c r="AM113" i="1"/>
  <c r="AI4" i="1"/>
  <c r="AM5" i="1"/>
  <c r="AK5" i="1"/>
  <c r="AI49" i="1"/>
  <c r="AJ49" i="1" s="1"/>
  <c r="AE419" i="1"/>
  <c r="AM67" i="1"/>
  <c r="AK67" i="1"/>
  <c r="AI53" i="1"/>
  <c r="AJ53" i="1" s="1"/>
  <c r="AM36" i="1"/>
  <c r="AK36" i="1"/>
  <c r="AI121" i="1"/>
  <c r="AJ121" i="1" s="1"/>
  <c r="AM20" i="1"/>
  <c r="AK20" i="1"/>
  <c r="AM43" i="1"/>
  <c r="AK43" i="1"/>
  <c r="AI120" i="1"/>
  <c r="AJ120" i="1" s="1"/>
  <c r="AI7" i="1"/>
  <c r="AJ7" i="1" s="1"/>
  <c r="W188" i="1" l="1"/>
  <c r="AK188" i="1" s="1"/>
  <c r="AM188" i="1"/>
  <c r="W242" i="1"/>
  <c r="AK242" i="1" s="1"/>
  <c r="AM242" i="1"/>
  <c r="W295" i="1"/>
  <c r="AK295" i="1" s="1"/>
  <c r="AM295" i="1"/>
  <c r="AK246" i="1"/>
  <c r="AM246" i="1"/>
  <c r="AM99" i="1"/>
  <c r="AK99" i="1"/>
  <c r="AM42" i="1"/>
  <c r="W251" i="1"/>
  <c r="AK251" i="1" s="1"/>
  <c r="AM251" i="1"/>
  <c r="AM118" i="1"/>
  <c r="AK118" i="1"/>
  <c r="AM410" i="1"/>
  <c r="AM142" i="1"/>
  <c r="AK142" i="1"/>
  <c r="V23" i="1"/>
  <c r="W23" i="1" s="1"/>
  <c r="AK23" i="1" s="1"/>
  <c r="AM11" i="1"/>
  <c r="AK11" i="1"/>
  <c r="AM60" i="1"/>
  <c r="AK60" i="1"/>
  <c r="AK82" i="1"/>
  <c r="AI345" i="1"/>
  <c r="AJ345" i="1" s="1"/>
  <c r="AI373" i="1"/>
  <c r="AJ373" i="1" s="1"/>
  <c r="AM378" i="1"/>
  <c r="AK378" i="1"/>
  <c r="AK35" i="1"/>
  <c r="AM35" i="1"/>
  <c r="AK90" i="1"/>
  <c r="AI106" i="1"/>
  <c r="AJ106" i="1" s="1"/>
  <c r="AI13" i="1"/>
  <c r="AJ13" i="1" s="1"/>
  <c r="AI46" i="1"/>
  <c r="AJ46" i="1" s="1"/>
  <c r="AM70" i="1"/>
  <c r="AK70" i="1"/>
  <c r="AK229" i="1"/>
  <c r="AI280" i="1"/>
  <c r="AJ280" i="1" s="1"/>
  <c r="AM77" i="1"/>
  <c r="AM148" i="1"/>
  <c r="AK148" i="1"/>
  <c r="AM227" i="1"/>
  <c r="AM289" i="1"/>
  <c r="AK388" i="1"/>
  <c r="AM388" i="1"/>
  <c r="AM31" i="1"/>
  <c r="AK31" i="1"/>
  <c r="AM26" i="1"/>
  <c r="AK26" i="1"/>
  <c r="AI74" i="1"/>
  <c r="AJ74" i="1" s="1"/>
  <c r="AK231" i="1"/>
  <c r="AM231" i="1"/>
  <c r="AM281" i="1"/>
  <c r="AK335" i="1"/>
  <c r="AM335" i="1"/>
  <c r="AM317" i="1"/>
  <c r="AM363" i="1"/>
  <c r="AK363" i="1"/>
  <c r="AM367" i="1"/>
  <c r="AK367" i="1"/>
  <c r="W102" i="1"/>
  <c r="AK102" i="1" s="1"/>
  <c r="AM102" i="1"/>
  <c r="W132" i="1"/>
  <c r="AK132" i="1" s="1"/>
  <c r="AM132" i="1"/>
  <c r="W181" i="1"/>
  <c r="AK181" i="1" s="1"/>
  <c r="AM181" i="1"/>
  <c r="W228" i="1"/>
  <c r="AK228" i="1" s="1"/>
  <c r="AM228" i="1"/>
  <c r="W283" i="1"/>
  <c r="AK283" i="1" s="1"/>
  <c r="AM283" i="1"/>
  <c r="W299" i="1"/>
  <c r="AK299" i="1" s="1"/>
  <c r="AM299" i="1"/>
  <c r="AM64" i="1"/>
  <c r="AK64" i="1"/>
  <c r="AM76" i="1"/>
  <c r="AK76" i="1"/>
  <c r="AM274" i="1"/>
  <c r="AM206" i="1"/>
  <c r="AI232" i="1"/>
  <c r="AJ232" i="1" s="1"/>
  <c r="AI246" i="1"/>
  <c r="AJ246" i="1" s="1"/>
  <c r="AM327" i="1"/>
  <c r="AM7" i="1"/>
  <c r="AI9" i="1"/>
  <c r="AJ9" i="1" s="1"/>
  <c r="AI50" i="1"/>
  <c r="AJ50" i="1" s="1"/>
  <c r="AM108" i="1"/>
  <c r="AK108" i="1"/>
  <c r="AM257" i="1"/>
  <c r="AK257" i="1"/>
  <c r="AM296" i="1"/>
  <c r="AK296" i="1"/>
  <c r="AK316" i="1"/>
  <c r="AM316" i="1"/>
  <c r="AI361" i="1"/>
  <c r="AJ361" i="1" s="1"/>
  <c r="AM174" i="1"/>
  <c r="AK174" i="1"/>
  <c r="AI240" i="1"/>
  <c r="AJ240" i="1" s="1"/>
  <c r="AM270" i="1"/>
  <c r="AK270" i="1"/>
  <c r="AM117" i="1"/>
  <c r="AK117" i="1"/>
  <c r="AM94" i="1"/>
  <c r="AM217" i="1"/>
  <c r="AK217" i="1"/>
  <c r="AM144" i="1"/>
  <c r="AK144" i="1"/>
  <c r="AM180" i="1"/>
  <c r="V267" i="1"/>
  <c r="W267" i="1" s="1"/>
  <c r="AK267" i="1" s="1"/>
  <c r="AM210" i="1"/>
  <c r="AK210" i="1"/>
  <c r="AM45" i="1"/>
  <c r="AM119" i="1"/>
  <c r="AK119" i="1"/>
  <c r="V334" i="1"/>
  <c r="W334" i="1" s="1"/>
  <c r="AK334" i="1" s="1"/>
  <c r="AM411" i="1"/>
  <c r="AK411" i="1"/>
  <c r="AI60" i="1"/>
  <c r="AJ60" i="1" s="1"/>
  <c r="AI66" i="1"/>
  <c r="AJ66" i="1" s="1"/>
  <c r="V82" i="1"/>
  <c r="W82" i="1" s="1"/>
  <c r="V180" i="1"/>
  <c r="W180" i="1" s="1"/>
  <c r="AK180" i="1" s="1"/>
  <c r="AM179" i="1"/>
  <c r="V300" i="1"/>
  <c r="W300" i="1" s="1"/>
  <c r="AK300" i="1" s="1"/>
  <c r="AI333" i="1"/>
  <c r="AJ333" i="1" s="1"/>
  <c r="AM345" i="1"/>
  <c r="AK345" i="1"/>
  <c r="AM416" i="1"/>
  <c r="AK416" i="1"/>
  <c r="AM357" i="1"/>
  <c r="AK357" i="1"/>
  <c r="AI409" i="1"/>
  <c r="AJ409" i="1" s="1"/>
  <c r="V90" i="1"/>
  <c r="W90" i="1" s="1"/>
  <c r="AI84" i="1"/>
  <c r="AJ84" i="1" s="1"/>
  <c r="AM116" i="1"/>
  <c r="AK116" i="1"/>
  <c r="AM417" i="1"/>
  <c r="AM128" i="1"/>
  <c r="AK128" i="1"/>
  <c r="AM21" i="1"/>
  <c r="AK21" i="1"/>
  <c r="AI237" i="1"/>
  <c r="AJ237" i="1" s="1"/>
  <c r="AI397" i="1"/>
  <c r="AJ397" i="1" s="1"/>
  <c r="AM30" i="1"/>
  <c r="AK30" i="1"/>
  <c r="V72" i="1"/>
  <c r="W72" i="1" s="1"/>
  <c r="AK72" i="1" s="1"/>
  <c r="V289" i="1"/>
  <c r="W289" i="1" s="1"/>
  <c r="AK289" i="1" s="1"/>
  <c r="AM328" i="1"/>
  <c r="AK328" i="1"/>
  <c r="AM392" i="1"/>
  <c r="AK392" i="1"/>
  <c r="AM15" i="1"/>
  <c r="AK15" i="1"/>
  <c r="AM211" i="1"/>
  <c r="AK211" i="1"/>
  <c r="AM74" i="1"/>
  <c r="AK74" i="1"/>
  <c r="AK241" i="1"/>
  <c r="AM241" i="1"/>
  <c r="AM282" i="1"/>
  <c r="AK282" i="1"/>
  <c r="AM308" i="1"/>
  <c r="AK308" i="1"/>
  <c r="V335" i="1"/>
  <c r="W335" i="1" s="1"/>
  <c r="AI363" i="1"/>
  <c r="AJ363" i="1" s="1"/>
  <c r="AM362" i="1"/>
  <c r="AI367" i="1"/>
  <c r="AJ367" i="1" s="1"/>
  <c r="W134" i="1"/>
  <c r="AK134" i="1" s="1"/>
  <c r="AM134" i="1"/>
  <c r="W151" i="1"/>
  <c r="AK151" i="1" s="1"/>
  <c r="AM151" i="1"/>
  <c r="W183" i="1"/>
  <c r="AK183" i="1" s="1"/>
  <c r="AM183" i="1"/>
  <c r="W199" i="1"/>
  <c r="AK199" i="1" s="1"/>
  <c r="AM199" i="1"/>
  <c r="W285" i="1"/>
  <c r="AK285" i="1" s="1"/>
  <c r="AM285" i="1"/>
  <c r="AM131" i="1"/>
  <c r="AM135" i="1"/>
  <c r="AK173" i="1"/>
  <c r="AM173" i="1"/>
  <c r="AM209" i="1"/>
  <c r="AK209" i="1"/>
  <c r="AM194" i="1"/>
  <c r="AK194" i="1"/>
  <c r="AK232" i="1"/>
  <c r="AM232" i="1"/>
  <c r="AM351" i="1"/>
  <c r="AK351" i="1"/>
  <c r="AM374" i="1"/>
  <c r="AK374" i="1"/>
  <c r="AM265" i="1"/>
  <c r="AM17" i="1"/>
  <c r="AK17" i="1"/>
  <c r="AM40" i="1"/>
  <c r="AK40" i="1"/>
  <c r="AK225" i="1"/>
  <c r="AM225" i="1"/>
  <c r="AK349" i="1"/>
  <c r="AM349" i="1"/>
  <c r="AM14" i="1"/>
  <c r="AM22" i="1"/>
  <c r="AM75" i="1"/>
  <c r="AM34" i="1"/>
  <c r="AM85" i="1"/>
  <c r="AM133" i="1"/>
  <c r="AK133" i="1"/>
  <c r="AK175" i="1"/>
  <c r="AM175" i="1"/>
  <c r="AM109" i="1"/>
  <c r="AK109" i="1"/>
  <c r="AK240" i="1"/>
  <c r="AM240" i="1"/>
  <c r="AM343" i="1"/>
  <c r="AK343" i="1"/>
  <c r="AI352" i="1"/>
  <c r="AJ352" i="1" s="1"/>
  <c r="AM389" i="1"/>
  <c r="AK389" i="1"/>
  <c r="AI403" i="1"/>
  <c r="AJ403" i="1" s="1"/>
  <c r="R419" i="1"/>
  <c r="S4" i="1"/>
  <c r="S419" i="1" s="1"/>
  <c r="AK110" i="1"/>
  <c r="AM347" i="1"/>
  <c r="AK347" i="1"/>
  <c r="AM101" i="1"/>
  <c r="AK101" i="1"/>
  <c r="AM27" i="1"/>
  <c r="AK27" i="1"/>
  <c r="AM160" i="1"/>
  <c r="AK160" i="1"/>
  <c r="AM37" i="1"/>
  <c r="AK37" i="1"/>
  <c r="AK197" i="1"/>
  <c r="AI312" i="1"/>
  <c r="AJ312" i="1" s="1"/>
  <c r="AM398" i="1"/>
  <c r="AM346" i="1"/>
  <c r="AK346" i="1"/>
  <c r="AM409" i="1"/>
  <c r="AM204" i="1"/>
  <c r="AK204" i="1"/>
  <c r="AK314" i="1"/>
  <c r="AM294" i="1"/>
  <c r="AK294" i="1"/>
  <c r="AI41" i="1"/>
  <c r="AJ41" i="1" s="1"/>
  <c r="AI107" i="1"/>
  <c r="AJ107" i="1" s="1"/>
  <c r="AI304" i="1"/>
  <c r="AJ304" i="1" s="1"/>
  <c r="AM93" i="1"/>
  <c r="AK177" i="1"/>
  <c r="AM177" i="1"/>
  <c r="AK247" i="1"/>
  <c r="AM247" i="1"/>
  <c r="AM412" i="1"/>
  <c r="AK412" i="1"/>
  <c r="AM136" i="1"/>
  <c r="AK136" i="1"/>
  <c r="AI169" i="1"/>
  <c r="AJ169" i="1" s="1"/>
  <c r="AM253" i="1"/>
  <c r="AK253" i="1"/>
  <c r="AI341" i="1"/>
  <c r="AJ341" i="1" s="1"/>
  <c r="AA419" i="1"/>
  <c r="V4" i="1"/>
  <c r="W137" i="1"/>
  <c r="AK137" i="1" s="1"/>
  <c r="AM137" i="1"/>
  <c r="W185" i="1"/>
  <c r="AK185" i="1" s="1"/>
  <c r="AM185" i="1"/>
  <c r="W238" i="1"/>
  <c r="AK238" i="1" s="1"/>
  <c r="AM238" i="1"/>
  <c r="W254" i="1"/>
  <c r="AK254" i="1" s="1"/>
  <c r="AM254" i="1"/>
  <c r="W287" i="1"/>
  <c r="AK287" i="1" s="1"/>
  <c r="AM287" i="1"/>
  <c r="W303" i="1"/>
  <c r="AK303" i="1" s="1"/>
  <c r="AM303" i="1"/>
  <c r="V27" i="1"/>
  <c r="W27" i="1" s="1"/>
  <c r="AM332" i="1"/>
  <c r="AK332" i="1"/>
  <c r="V410" i="1"/>
  <c r="W410" i="1" s="1"/>
  <c r="AK410" i="1" s="1"/>
  <c r="AM385" i="1"/>
  <c r="AK385" i="1"/>
  <c r="AM172" i="1"/>
  <c r="AK172" i="1"/>
  <c r="AI142" i="1"/>
  <c r="AJ142" i="1" s="1"/>
  <c r="AM255" i="1"/>
  <c r="AK255" i="1"/>
  <c r="AM288" i="1"/>
  <c r="AK288" i="1"/>
  <c r="AM28" i="1"/>
  <c r="AK28" i="1"/>
  <c r="AK250" i="1"/>
  <c r="AM250" i="1"/>
  <c r="AM286" i="1"/>
  <c r="AK286" i="1"/>
  <c r="AM306" i="1"/>
  <c r="AK306" i="1"/>
  <c r="AM364" i="1"/>
  <c r="AM403" i="1"/>
  <c r="AK403" i="1"/>
  <c r="AM19" i="1"/>
  <c r="AK19" i="1"/>
  <c r="AM271" i="1"/>
  <c r="AK359" i="1"/>
  <c r="AM359" i="1"/>
  <c r="AM111" i="1"/>
  <c r="AK111" i="1"/>
  <c r="AK350" i="1"/>
  <c r="AM33" i="1"/>
  <c r="AK33" i="1"/>
  <c r="AM25" i="1"/>
  <c r="AM146" i="1"/>
  <c r="AK146" i="1"/>
  <c r="V333" i="1"/>
  <c r="W333" i="1" s="1"/>
  <c r="AK333" i="1" s="1"/>
  <c r="AM408" i="1"/>
  <c r="AK408" i="1"/>
  <c r="AM244" i="1"/>
  <c r="AK395" i="1"/>
  <c r="AK41" i="1"/>
  <c r="AM41" i="1"/>
  <c r="AM107" i="1"/>
  <c r="AK107" i="1"/>
  <c r="AM221" i="1"/>
  <c r="AK221" i="1"/>
  <c r="AM400" i="1"/>
  <c r="AK400" i="1"/>
  <c r="AM48" i="1"/>
  <c r="AK48" i="1"/>
  <c r="W243" i="1"/>
  <c r="AK243" i="1" s="1"/>
  <c r="AM243" i="1"/>
  <c r="AM162" i="1"/>
  <c r="AK162" i="1"/>
  <c r="AM170" i="1"/>
  <c r="AK170" i="1"/>
  <c r="AJ4" i="1"/>
  <c r="AM92" i="1"/>
  <c r="AK92" i="1"/>
  <c r="AI23" i="1"/>
  <c r="AJ23" i="1" s="1"/>
  <c r="AM52" i="1"/>
  <c r="AK52" i="1"/>
  <c r="AM103" i="1"/>
  <c r="AK103" i="1"/>
  <c r="AM393" i="1"/>
  <c r="AK393" i="1"/>
  <c r="AM61" i="1"/>
  <c r="AG419" i="1"/>
  <c r="AK29" i="1"/>
  <c r="AM29" i="1"/>
  <c r="V92" i="1"/>
  <c r="W92" i="1" s="1"/>
  <c r="AI52" i="1"/>
  <c r="AJ52" i="1" s="1"/>
  <c r="AM66" i="1"/>
  <c r="AK66" i="1"/>
  <c r="AI152" i="1"/>
  <c r="AJ152" i="1" s="1"/>
  <c r="V197" i="1"/>
  <c r="W197" i="1" s="1"/>
  <c r="AI300" i="1"/>
  <c r="AJ300" i="1" s="1"/>
  <c r="AK318" i="1"/>
  <c r="AM318" i="1"/>
  <c r="AM371" i="1"/>
  <c r="AK371" i="1"/>
  <c r="AM415" i="1"/>
  <c r="AK415" i="1"/>
  <c r="V244" i="1"/>
  <c r="W244" i="1" s="1"/>
  <c r="AK244" i="1" s="1"/>
  <c r="AK310" i="1"/>
  <c r="AM310" i="1"/>
  <c r="AI378" i="1"/>
  <c r="AJ378" i="1" s="1"/>
  <c r="V395" i="1"/>
  <c r="W395" i="1" s="1"/>
  <c r="AI150" i="1"/>
  <c r="AJ150" i="1" s="1"/>
  <c r="V284" i="1"/>
  <c r="W284" i="1" s="1"/>
  <c r="AK284" i="1" s="1"/>
  <c r="AI326" i="1"/>
  <c r="AJ326" i="1" s="1"/>
  <c r="AM414" i="1"/>
  <c r="AK414" i="1"/>
  <c r="AM13" i="1"/>
  <c r="AK13" i="1"/>
  <c r="AM62" i="1"/>
  <c r="AK62" i="1"/>
  <c r="AM38" i="1"/>
  <c r="AI86" i="1"/>
  <c r="AJ86" i="1" s="1"/>
  <c r="V110" i="1"/>
  <c r="W110" i="1" s="1"/>
  <c r="V229" i="1"/>
  <c r="W229" i="1" s="1"/>
  <c r="AM280" i="1"/>
  <c r="AK280" i="1"/>
  <c r="AM279" i="1"/>
  <c r="AK313" i="1"/>
  <c r="AM313" i="1"/>
  <c r="V320" i="1"/>
  <c r="W320" i="1" s="1"/>
  <c r="AK320" i="1" s="1"/>
  <c r="AM360" i="1"/>
  <c r="AM387" i="1"/>
  <c r="AK387" i="1"/>
  <c r="AK380" i="1"/>
  <c r="AM380" i="1"/>
  <c r="V138" i="1"/>
  <c r="W138" i="1" s="1"/>
  <c r="AK138" i="1" s="1"/>
  <c r="AI111" i="1"/>
  <c r="AJ111" i="1" s="1"/>
  <c r="V192" i="1"/>
  <c r="W192" i="1" s="1"/>
  <c r="AK192" i="1" s="1"/>
  <c r="AI230" i="1"/>
  <c r="AJ230" i="1" s="1"/>
  <c r="AM355" i="1"/>
  <c r="AK355" i="1"/>
  <c r="AI412" i="1"/>
  <c r="AJ412" i="1" s="1"/>
  <c r="AI31" i="1"/>
  <c r="AJ31" i="1" s="1"/>
  <c r="AI211" i="1"/>
  <c r="AJ211" i="1" s="1"/>
  <c r="AM161" i="1"/>
  <c r="AM292" i="1"/>
  <c r="AK292" i="1"/>
  <c r="AM330" i="1"/>
  <c r="AK330" i="1"/>
  <c r="AM358" i="1"/>
  <c r="W123" i="1"/>
  <c r="AK123" i="1" s="1"/>
  <c r="AM123" i="1"/>
  <c r="W155" i="1"/>
  <c r="AK155" i="1" s="1"/>
  <c r="AM155" i="1"/>
  <c r="W182" i="1"/>
  <c r="AK182" i="1" s="1"/>
  <c r="AM182" i="1"/>
  <c r="W171" i="1"/>
  <c r="AK171" i="1" s="1"/>
  <c r="AM171" i="1"/>
  <c r="W187" i="1"/>
  <c r="AK187" i="1" s="1"/>
  <c r="AM187" i="1"/>
  <c r="W203" i="1"/>
  <c r="AK203" i="1" s="1"/>
  <c r="AM203" i="1"/>
  <c r="W338" i="1"/>
  <c r="AK338" i="1" s="1"/>
  <c r="AM338" i="1"/>
  <c r="W391" i="1"/>
  <c r="AK391" i="1" s="1"/>
  <c r="AM391" i="1"/>
  <c r="W406" i="1"/>
  <c r="AK406" i="1" s="1"/>
  <c r="AM406" i="1"/>
  <c r="AM73" i="1"/>
  <c r="AM166" i="1"/>
  <c r="AK166" i="1"/>
  <c r="AM158" i="1"/>
  <c r="AI118" i="1"/>
  <c r="AJ118" i="1" s="1"/>
  <c r="AM196" i="1"/>
  <c r="AK196" i="1"/>
  <c r="AI374" i="1"/>
  <c r="AJ374" i="1" s="1"/>
  <c r="AI385" i="1"/>
  <c r="AJ385" i="1" s="1"/>
  <c r="AM9" i="1"/>
  <c r="AK9" i="1"/>
  <c r="AI124" i="1"/>
  <c r="AJ124" i="1" s="1"/>
  <c r="AI40" i="1"/>
  <c r="AJ40" i="1" s="1"/>
  <c r="AK193" i="1"/>
  <c r="AM193" i="1"/>
  <c r="AM78" i="1"/>
  <c r="AK78" i="1"/>
  <c r="AI108" i="1"/>
  <c r="AJ108" i="1" s="1"/>
  <c r="AI324" i="1"/>
  <c r="AJ324" i="1" s="1"/>
  <c r="AI349" i="1"/>
  <c r="AJ349" i="1" s="1"/>
  <c r="AM370" i="1"/>
  <c r="AM57" i="1"/>
  <c r="AM168" i="1"/>
  <c r="AI25" i="1"/>
  <c r="AJ25" i="1" s="1"/>
  <c r="AI80" i="1"/>
  <c r="AJ80" i="1" s="1"/>
  <c r="AI270" i="1"/>
  <c r="AJ270" i="1" s="1"/>
  <c r="AK309" i="1"/>
  <c r="AM309" i="1"/>
  <c r="AM311" i="1"/>
  <c r="AK311" i="1"/>
  <c r="AI343" i="1"/>
  <c r="AJ343" i="1" s="1"/>
  <c r="AM352" i="1"/>
  <c r="AK352" i="1"/>
  <c r="AI348" i="1"/>
  <c r="AJ348" i="1" s="1"/>
  <c r="AI390" i="1"/>
  <c r="AJ390" i="1" s="1"/>
  <c r="AM68" i="1"/>
  <c r="AK68" i="1"/>
  <c r="W129" i="1"/>
  <c r="AK129" i="1" s="1"/>
  <c r="AM129" i="1"/>
  <c r="AM147" i="1"/>
  <c r="AM399" i="1"/>
  <c r="AK399" i="1"/>
  <c r="AM124" i="1"/>
  <c r="AK124" i="1"/>
  <c r="AI29" i="1"/>
  <c r="AJ29" i="1" s="1"/>
  <c r="AK201" i="1"/>
  <c r="AM201" i="1"/>
  <c r="AK245" i="1"/>
  <c r="AM245" i="1"/>
  <c r="AM198" i="1"/>
  <c r="AM354" i="1"/>
  <c r="AM336" i="1"/>
  <c r="AK336" i="1"/>
  <c r="AI415" i="1"/>
  <c r="AJ415" i="1" s="1"/>
  <c r="AM353" i="1"/>
  <c r="AK353" i="1"/>
  <c r="AM376" i="1"/>
  <c r="AK376" i="1"/>
  <c r="AI393" i="1"/>
  <c r="AJ393" i="1" s="1"/>
  <c r="AM84" i="1"/>
  <c r="AK84" i="1"/>
  <c r="AI176" i="1"/>
  <c r="AJ176" i="1" s="1"/>
  <c r="AM269" i="1"/>
  <c r="AK269" i="1"/>
  <c r="AK365" i="1"/>
  <c r="AM365" i="1"/>
  <c r="AI414" i="1"/>
  <c r="AJ414" i="1" s="1"/>
  <c r="AI128" i="1"/>
  <c r="AJ128" i="1" s="1"/>
  <c r="AM272" i="1"/>
  <c r="AK272" i="1"/>
  <c r="AM342" i="1"/>
  <c r="AI387" i="1"/>
  <c r="AJ387" i="1" s="1"/>
  <c r="AM340" i="1"/>
  <c r="AK340" i="1"/>
  <c r="AI380" i="1"/>
  <c r="AJ380" i="1" s="1"/>
  <c r="AM149" i="1"/>
  <c r="AK149" i="1"/>
  <c r="AI30" i="1"/>
  <c r="AJ30" i="1" s="1"/>
  <c r="AK230" i="1"/>
  <c r="AM230" i="1"/>
  <c r="AI247" i="1"/>
  <c r="AJ247" i="1" s="1"/>
  <c r="AK298" i="1"/>
  <c r="AM381" i="1"/>
  <c r="AK381" i="1"/>
  <c r="AM114" i="1"/>
  <c r="AK114" i="1"/>
  <c r="AM369" i="1"/>
  <c r="AK369" i="1"/>
  <c r="AK341" i="1"/>
  <c r="AM341" i="1"/>
  <c r="W140" i="1"/>
  <c r="AK140" i="1" s="1"/>
  <c r="AM140" i="1"/>
  <c r="W178" i="1"/>
  <c r="AK178" i="1" s="1"/>
  <c r="AM178" i="1"/>
  <c r="W157" i="1"/>
  <c r="AK157" i="1" s="1"/>
  <c r="AM157" i="1"/>
  <c r="W184" i="1"/>
  <c r="AK184" i="1" s="1"/>
  <c r="AM184" i="1"/>
  <c r="W189" i="1"/>
  <c r="AK189" i="1" s="1"/>
  <c r="AM189" i="1"/>
  <c r="W220" i="1"/>
  <c r="AK220" i="1" s="1"/>
  <c r="AM220" i="1"/>
  <c r="W224" i="1"/>
  <c r="AK224" i="1" s="1"/>
  <c r="AM224" i="1"/>
  <c r="W248" i="1"/>
  <c r="AK248" i="1" s="1"/>
  <c r="AM248" i="1"/>
  <c r="W258" i="1"/>
  <c r="AK258" i="1" s="1"/>
  <c r="AM258" i="1"/>
  <c r="W291" i="1"/>
  <c r="AK291" i="1" s="1"/>
  <c r="AM291" i="1"/>
  <c r="W307" i="1"/>
  <c r="AK307" i="1" s="1"/>
  <c r="AM307" i="1"/>
  <c r="AI64" i="1"/>
  <c r="AJ64" i="1" s="1"/>
  <c r="AI27" i="1"/>
  <c r="AJ27" i="1" s="1"/>
  <c r="AI144" i="1"/>
  <c r="AJ144" i="1" s="1"/>
  <c r="AI209" i="1"/>
  <c r="AJ209" i="1" s="1"/>
  <c r="AM266" i="1"/>
  <c r="AM302" i="1"/>
  <c r="AK302" i="1"/>
  <c r="AI332" i="1"/>
  <c r="AJ332" i="1" s="1"/>
  <c r="AM375" i="1"/>
  <c r="AM98" i="1"/>
  <c r="AK98" i="1"/>
  <c r="AI119" i="1"/>
  <c r="AJ119" i="1" s="1"/>
  <c r="AI255" i="1"/>
  <c r="AJ255" i="1" s="1"/>
  <c r="AM319" i="1"/>
  <c r="AM122" i="1"/>
  <c r="AK122" i="1"/>
  <c r="AM200" i="1"/>
  <c r="AK200" i="1"/>
  <c r="AI250" i="1"/>
  <c r="AJ250" i="1" s="1"/>
  <c r="AM348" i="1"/>
  <c r="AK348" i="1"/>
  <c r="AM379" i="1"/>
  <c r="AK390" i="1"/>
  <c r="AM390" i="1"/>
  <c r="AM290" i="1"/>
  <c r="AK290" i="1"/>
  <c r="AM263" i="1"/>
  <c r="AK263" i="1"/>
  <c r="AK326" i="1"/>
  <c r="AM326" i="1"/>
  <c r="AM86" i="1"/>
  <c r="AK86" i="1"/>
  <c r="AK384" i="1"/>
  <c r="AM384" i="1"/>
  <c r="AM261" i="1"/>
  <c r="AK261" i="1"/>
  <c r="T419" i="1"/>
  <c r="AK233" i="1"/>
  <c r="AM233" i="1"/>
  <c r="AK324" i="1"/>
  <c r="AM324" i="1"/>
  <c r="AM256" i="1"/>
  <c r="AK256" i="1"/>
  <c r="V271" i="1"/>
  <c r="W271" i="1" s="1"/>
  <c r="AK271" i="1" s="1"/>
  <c r="V418" i="1"/>
  <c r="W418" i="1" s="1"/>
  <c r="AK418" i="1" s="1"/>
  <c r="AM150" i="1"/>
  <c r="AK150" i="1"/>
  <c r="AM176" i="1"/>
  <c r="AK176" i="1"/>
  <c r="AM46" i="1"/>
  <c r="AK46" i="1"/>
  <c r="V86" i="1"/>
  <c r="W86" i="1" s="1"/>
  <c r="V94" i="1"/>
  <c r="W94" i="1" s="1"/>
  <c r="AK94" i="1" s="1"/>
  <c r="AM278" i="1"/>
  <c r="AM382" i="1"/>
  <c r="AK382" i="1"/>
  <c r="V350" i="1"/>
  <c r="W350" i="1" s="1"/>
  <c r="W190" i="1"/>
  <c r="AK190" i="1" s="1"/>
  <c r="AM190" i="1"/>
  <c r="W195" i="1"/>
  <c r="AK195" i="1" s="1"/>
  <c r="AM195" i="1"/>
  <c r="AM115" i="1"/>
  <c r="AK115" i="1"/>
  <c r="AM50" i="1"/>
  <c r="AK50" i="1"/>
  <c r="AM361" i="1"/>
  <c r="AK361" i="1"/>
  <c r="AM404" i="1"/>
  <c r="AK404" i="1"/>
  <c r="V25" i="1"/>
  <c r="W25" i="1" s="1"/>
  <c r="AK25" i="1" s="1"/>
  <c r="AI109" i="1"/>
  <c r="AJ109" i="1" s="1"/>
  <c r="AK234" i="1"/>
  <c r="AM234" i="1"/>
  <c r="AM44" i="1"/>
  <c r="AK44" i="1"/>
  <c r="AM63" i="1"/>
  <c r="AI44" i="1"/>
  <c r="AJ44" i="1" s="1"/>
  <c r="AM152" i="1"/>
  <c r="AK152" i="1"/>
  <c r="AI197" i="1"/>
  <c r="AJ197" i="1" s="1"/>
  <c r="V201" i="1"/>
  <c r="W201" i="1" s="1"/>
  <c r="V198" i="1"/>
  <c r="W198" i="1" s="1"/>
  <c r="AK198" i="1" s="1"/>
  <c r="AK235" i="1"/>
  <c r="AM235" i="1"/>
  <c r="AK312" i="1"/>
  <c r="AM312" i="1"/>
  <c r="AI336" i="1"/>
  <c r="AJ336" i="1" s="1"/>
  <c r="AM396" i="1"/>
  <c r="AK396" i="1"/>
  <c r="AK373" i="1"/>
  <c r="AM373" i="1"/>
  <c r="AI353" i="1"/>
  <c r="AJ353" i="1" s="1"/>
  <c r="AM407" i="1"/>
  <c r="AK407" i="1"/>
  <c r="V409" i="1"/>
  <c r="W409" i="1" s="1"/>
  <c r="AK409" i="1" s="1"/>
  <c r="AM95" i="1"/>
  <c r="AM106" i="1"/>
  <c r="AK106" i="1"/>
  <c r="AM130" i="1"/>
  <c r="AK130" i="1"/>
  <c r="AI204" i="1"/>
  <c r="AJ204" i="1" s="1"/>
  <c r="V314" i="1"/>
  <c r="W314" i="1" s="1"/>
  <c r="AI284" i="1"/>
  <c r="AJ284" i="1" s="1"/>
  <c r="AI294" i="1"/>
  <c r="AJ294" i="1" s="1"/>
  <c r="AI365" i="1"/>
  <c r="AJ365" i="1" s="1"/>
  <c r="AM53" i="1"/>
  <c r="V96" i="1"/>
  <c r="W96" i="1" s="1"/>
  <c r="AK96" i="1" s="1"/>
  <c r="AM54" i="1"/>
  <c r="AK54" i="1"/>
  <c r="AM163" i="1"/>
  <c r="AI70" i="1"/>
  <c r="AJ70" i="1" s="1"/>
  <c r="AI117" i="1"/>
  <c r="AJ117" i="1" s="1"/>
  <c r="V237" i="1"/>
  <c r="W237" i="1" s="1"/>
  <c r="AK237" i="1" s="1"/>
  <c r="AK239" i="1"/>
  <c r="AM239" i="1"/>
  <c r="AI221" i="1"/>
  <c r="AJ221" i="1" s="1"/>
  <c r="AM304" i="1"/>
  <c r="AK304" i="1"/>
  <c r="AI313" i="1"/>
  <c r="AJ313" i="1" s="1"/>
  <c r="AI320" i="1"/>
  <c r="AJ320" i="1" s="1"/>
  <c r="V342" i="1"/>
  <c r="W342" i="1" s="1"/>
  <c r="AK342" i="1" s="1"/>
  <c r="AI340" i="1"/>
  <c r="AJ340" i="1" s="1"/>
  <c r="V397" i="1"/>
  <c r="W397" i="1" s="1"/>
  <c r="AK397" i="1" s="1"/>
  <c r="AI94" i="1"/>
  <c r="AJ94" i="1" s="1"/>
  <c r="AI72" i="1"/>
  <c r="AJ72" i="1" s="1"/>
  <c r="AM100" i="1"/>
  <c r="AK100" i="1"/>
  <c r="AI192" i="1"/>
  <c r="AJ192" i="1" s="1"/>
  <c r="V202" i="1"/>
  <c r="W202" i="1" s="1"/>
  <c r="AK202" i="1" s="1"/>
  <c r="AI217" i="1"/>
  <c r="AJ217" i="1" s="1"/>
  <c r="AI328" i="1"/>
  <c r="AJ328" i="1" s="1"/>
  <c r="V298" i="1"/>
  <c r="W298" i="1" s="1"/>
  <c r="AI381" i="1"/>
  <c r="AJ381" i="1" s="1"/>
  <c r="AI136" i="1"/>
  <c r="AJ136" i="1" s="1"/>
  <c r="AK169" i="1"/>
  <c r="AM169" i="1"/>
  <c r="AM24" i="1"/>
  <c r="AM56" i="1"/>
  <c r="AK56" i="1"/>
  <c r="AI26" i="1"/>
  <c r="AJ26" i="1" s="1"/>
  <c r="AM164" i="1"/>
  <c r="AK164" i="1"/>
  <c r="AI101" i="1"/>
  <c r="AJ101" i="1" s="1"/>
  <c r="AM213" i="1"/>
  <c r="AI335" i="1"/>
  <c r="AJ335" i="1" s="1"/>
  <c r="V322" i="1"/>
  <c r="W322" i="1" s="1"/>
  <c r="AK322" i="1" s="1"/>
  <c r="AI369" i="1"/>
  <c r="AJ369" i="1" s="1"/>
  <c r="AM401" i="1"/>
  <c r="AK401" i="1"/>
  <c r="W126" i="1"/>
  <c r="AK126" i="1" s="1"/>
  <c r="AM126" i="1"/>
  <c r="W143" i="1"/>
  <c r="AK143" i="1" s="1"/>
  <c r="AM143" i="1"/>
  <c r="W186" i="1"/>
  <c r="AK186" i="1" s="1"/>
  <c r="AM186" i="1"/>
  <c r="W191" i="1"/>
  <c r="AK191" i="1" s="1"/>
  <c r="AM191" i="1"/>
  <c r="W249" i="1"/>
  <c r="AK249" i="1" s="1"/>
  <c r="AM249" i="1"/>
  <c r="W394" i="1"/>
  <c r="AK394" i="1" s="1"/>
  <c r="AM394" i="1"/>
  <c r="AM153" i="1"/>
  <c r="AM89" i="1"/>
  <c r="AM222" i="1"/>
  <c r="AM167" i="1"/>
  <c r="AK167" i="1"/>
  <c r="AK226" i="1"/>
  <c r="AM226" i="1"/>
  <c r="AM366" i="1"/>
  <c r="AM386" i="1"/>
  <c r="AK386" i="1"/>
  <c r="AM88" i="1"/>
  <c r="AK88" i="1"/>
  <c r="AI160" i="1"/>
  <c r="AJ160" i="1" s="1"/>
  <c r="AM32" i="1"/>
  <c r="AM58" i="1"/>
  <c r="AK58" i="1"/>
  <c r="AM207" i="1"/>
  <c r="AK207" i="1"/>
  <c r="AM154" i="1"/>
  <c r="AK154" i="1"/>
  <c r="AK236" i="1"/>
  <c r="AM236" i="1"/>
  <c r="AI296" i="1"/>
  <c r="AJ296" i="1" s="1"/>
  <c r="AI288" i="1"/>
  <c r="AJ288" i="1" s="1"/>
  <c r="AI316" i="1"/>
  <c r="AJ316" i="1" s="1"/>
  <c r="AM356" i="1"/>
  <c r="AM337" i="1"/>
  <c r="AK337" i="1"/>
  <c r="AM413" i="1"/>
  <c r="AM12" i="1"/>
  <c r="AM112" i="1"/>
  <c r="AI28" i="1"/>
  <c r="AJ28" i="1" s="1"/>
  <c r="AM205" i="1"/>
  <c r="AK205" i="1"/>
  <c r="AM80" i="1"/>
  <c r="AK80" i="1"/>
  <c r="AI175" i="1"/>
  <c r="AJ175" i="1" s="1"/>
  <c r="AI146" i="1"/>
  <c r="AJ146" i="1" s="1"/>
  <c r="AI174" i="1"/>
  <c r="AJ174" i="1" s="1"/>
  <c r="AM259" i="1"/>
  <c r="AK259" i="1"/>
  <c r="AI286" i="1"/>
  <c r="AJ286" i="1" s="1"/>
  <c r="AI306" i="1"/>
  <c r="AJ306" i="1" s="1"/>
  <c r="AM405" i="1"/>
  <c r="AK405" i="1"/>
  <c r="AM192" i="1" l="1"/>
  <c r="AM298" i="1"/>
  <c r="AJ419" i="1"/>
  <c r="AM350" i="1"/>
  <c r="AM322" i="1"/>
  <c r="AM110" i="1"/>
  <c r="AM334" i="1"/>
  <c r="AI419" i="1"/>
  <c r="AM397" i="1"/>
  <c r="AM314" i="1"/>
  <c r="AM284" i="1"/>
  <c r="AM418" i="1"/>
  <c r="AM300" i="1"/>
  <c r="AM320" i="1"/>
  <c r="AM96" i="1"/>
  <c r="AM395" i="1"/>
  <c r="AM237" i="1"/>
  <c r="AM197" i="1"/>
  <c r="AM333" i="1"/>
  <c r="AM72" i="1"/>
  <c r="AM202" i="1"/>
  <c r="V419" i="1"/>
  <c r="W4" i="1"/>
  <c r="AM4" i="1"/>
  <c r="AM419" i="1" s="1"/>
  <c r="AM138" i="1"/>
  <c r="AM229" i="1"/>
  <c r="AM90" i="1"/>
  <c r="AM82" i="1"/>
  <c r="AM23" i="1"/>
  <c r="AM267" i="1"/>
  <c r="W419" i="1" l="1"/>
  <c r="AK4" i="1"/>
  <c r="AK419" i="1" s="1"/>
  <c r="Z2" i="1" s="1"/>
  <c r="P2" i="1" l="1"/>
  <c r="O2" i="1"/>
</calcChain>
</file>

<file path=xl/sharedStrings.xml><?xml version="1.0" encoding="utf-8"?>
<sst xmlns="http://schemas.openxmlformats.org/spreadsheetml/2006/main" count="1709" uniqueCount="535">
  <si>
    <t>T/O</t>
  </si>
  <si>
    <t>F/C</t>
  </si>
  <si>
    <t>T/O CHANGE</t>
  </si>
  <si>
    <t>OPENING</t>
  </si>
  <si>
    <t>AVE T/O</t>
  </si>
  <si>
    <t>BEV FROM LAST COUNT</t>
  </si>
  <si>
    <t>FOOD FROM LAST COUNT</t>
  </si>
  <si>
    <t>F/C PURCHASES</t>
  </si>
  <si>
    <t>DEMAND BASE</t>
  </si>
  <si>
    <t>CLOSING</t>
  </si>
  <si>
    <t>FOOD COST</t>
  </si>
  <si>
    <t>ccnt</t>
  </si>
  <si>
    <t>Category</t>
  </si>
  <si>
    <t>name</t>
  </si>
  <si>
    <t>unit</t>
  </si>
  <si>
    <t>OpeningQty</t>
  </si>
  <si>
    <t>Opening</t>
  </si>
  <si>
    <t>PurchasesQty</t>
  </si>
  <si>
    <t>Purchases</t>
  </si>
  <si>
    <t>ClosingQty</t>
  </si>
  <si>
    <t>Closing</t>
  </si>
  <si>
    <t>UsageQty</t>
  </si>
  <si>
    <t>Usage</t>
  </si>
  <si>
    <t>USAGE %</t>
  </si>
  <si>
    <t>OPENING COST PRICE</t>
  </si>
  <si>
    <t>PURCHASE COST PRICE</t>
  </si>
  <si>
    <t>CLOSING COST PRICE</t>
  </si>
  <si>
    <t>COST PRICE</t>
  </si>
  <si>
    <t>COST PRICE CHANGE</t>
  </si>
  <si>
    <t>CP INCREASE %</t>
  </si>
  <si>
    <t>REORDER POINT</t>
  </si>
  <si>
    <t>USAGE / DAY</t>
  </si>
  <si>
    <t>ORDER QTY</t>
  </si>
  <si>
    <t>ORDER COST</t>
  </si>
  <si>
    <t>USAGE / DAY 2</t>
  </si>
  <si>
    <t>USAGE INCREASE</t>
  </si>
  <si>
    <t>DATA POINT</t>
  </si>
  <si>
    <t>EXPECTED DEMAND</t>
  </si>
  <si>
    <t>DELIVERY DAY</t>
  </si>
  <si>
    <t>AVE INVENTORY</t>
  </si>
  <si>
    <t>Inventory Turnover Rate</t>
  </si>
  <si>
    <t>Days of Inventory Remaining</t>
  </si>
  <si>
    <t>INVENTORY DAYS REM</t>
  </si>
  <si>
    <t>FORECASTED DEMAND</t>
  </si>
  <si>
    <t>SAFETY STOCK</t>
  </si>
  <si>
    <t>ORDER QTY2</t>
  </si>
  <si>
    <t>ORDER QTY2 COST</t>
  </si>
  <si>
    <t>re-order cost</t>
  </si>
  <si>
    <t>DEMAND %</t>
  </si>
  <si>
    <t>DAYS OF INVENTORY</t>
  </si>
  <si>
    <t>BEV</t>
  </si>
  <si>
    <t>Beer &amp; Ciders</t>
  </si>
  <si>
    <t>amstel</t>
  </si>
  <si>
    <t>EACH</t>
  </si>
  <si>
    <t>carling black label</t>
  </si>
  <si>
    <t>castle</t>
  </si>
  <si>
    <t>castle free</t>
  </si>
  <si>
    <t>castle lite</t>
  </si>
  <si>
    <t>corona 355ml</t>
  </si>
  <si>
    <t>draught castle lite keg 1lt</t>
  </si>
  <si>
    <t>LITER</t>
  </si>
  <si>
    <t>draught heineken keg 1lt</t>
  </si>
  <si>
    <t>LT</t>
  </si>
  <si>
    <t>flying fish lemon</t>
  </si>
  <si>
    <t>hansa</t>
  </si>
  <si>
    <t>heineken</t>
  </si>
  <si>
    <t>heineken non alc</t>
  </si>
  <si>
    <t>hunters dry</t>
  </si>
  <si>
    <t>hunters gold</t>
  </si>
  <si>
    <t>savanna light</t>
  </si>
  <si>
    <t>savannah dry</t>
  </si>
  <si>
    <t>savannah lemon 0</t>
  </si>
  <si>
    <t>windhoek draught botle can</t>
  </si>
  <si>
    <t>windhoek lager</t>
  </si>
  <si>
    <t>Cold Bev</t>
  </si>
  <si>
    <t>chocolate sauce decadent 1lt</t>
  </si>
  <si>
    <t>LITRE</t>
  </si>
  <si>
    <t>juice cocktail 350ml</t>
  </si>
  <si>
    <t>juice mango 350ml</t>
  </si>
  <si>
    <t>juice orange 350ml</t>
  </si>
  <si>
    <t>large appletiser</t>
  </si>
  <si>
    <t>large bos i/tea lemon</t>
  </si>
  <si>
    <t>large bos i/tea peach</t>
  </si>
  <si>
    <t>large coca cola</t>
  </si>
  <si>
    <t>large coke zero</t>
  </si>
  <si>
    <t>large creme soda</t>
  </si>
  <si>
    <t>large fanta orange</t>
  </si>
  <si>
    <t>large grapetiser red</t>
  </si>
  <si>
    <t>large sprite</t>
  </si>
  <si>
    <t>large sprite zero</t>
  </si>
  <si>
    <t>rose kola tonic tot</t>
  </si>
  <si>
    <t>TOT</t>
  </si>
  <si>
    <t>roses lime tot</t>
  </si>
  <si>
    <t>roses passion fruit tot</t>
  </si>
  <si>
    <t>slo jo clas choc flav pwdr 1kg</t>
  </si>
  <si>
    <t>Kg</t>
  </si>
  <si>
    <t>slo jo strawberry daiquri frui</t>
  </si>
  <si>
    <t xml:space="preserve">slojo mojito mint syrup 1l </t>
  </si>
  <si>
    <t>LTR</t>
  </si>
  <si>
    <t>slojo watermelon syrup 1lt</t>
  </si>
  <si>
    <t>small dry lemon</t>
  </si>
  <si>
    <t>small f&amp;l grapefruit tonic</t>
  </si>
  <si>
    <t xml:space="preserve">small f&amp;l sf indian tonic </t>
  </si>
  <si>
    <t>small lemonade</t>
  </si>
  <si>
    <t>small red bull</t>
  </si>
  <si>
    <t>small soda water</t>
  </si>
  <si>
    <t>small tomato cocktail</t>
  </si>
  <si>
    <t>small tonic water</t>
  </si>
  <si>
    <t>smalll ginger ale</t>
  </si>
  <si>
    <t>sparklng ginger flavourd drink</t>
  </si>
  <si>
    <t>sparklng grapefruit flav drink</t>
  </si>
  <si>
    <t>sparklng peach flavoured drink</t>
  </si>
  <si>
    <t>sparklng rose flavoured drink</t>
  </si>
  <si>
    <t>syrup cranberry prt 1lt</t>
  </si>
  <si>
    <t>syrup ms banana prt 1lt</t>
  </si>
  <si>
    <t>syrup ms bubble gum prt 1lt</t>
  </si>
  <si>
    <t>syrup ms chocolate prt 1lt</t>
  </si>
  <si>
    <t>syrup ms strawberry prt 1lt</t>
  </si>
  <si>
    <t>syrup ocean's limeade 1lt</t>
  </si>
  <si>
    <t>syrup pina colada (1l)</t>
  </si>
  <si>
    <t>syrup white peach fruit 1lt</t>
  </si>
  <si>
    <t>water sparkling small</t>
  </si>
  <si>
    <t>water still large</t>
  </si>
  <si>
    <t>water still small</t>
  </si>
  <si>
    <t>Hot Bev</t>
  </si>
  <si>
    <t>chocolate white kg</t>
  </si>
  <si>
    <t>KG</t>
  </si>
  <si>
    <t>coffee decaf ground ob 1kg</t>
  </si>
  <si>
    <t>coffee espresso beans ob 1kg</t>
  </si>
  <si>
    <t>hot chocolate</t>
  </si>
  <si>
    <t>sugar sachet's brown ob case</t>
  </si>
  <si>
    <t>CASE</t>
  </si>
  <si>
    <t>sugar sachet's white ob case</t>
  </si>
  <si>
    <t>tea five roses tagless prt eac</t>
  </si>
  <si>
    <t>tea rooibos tagless prt each</t>
  </si>
  <si>
    <t>Spirits</t>
  </si>
  <si>
    <t>amarula tot</t>
  </si>
  <si>
    <t>angostura bitters 118ml</t>
  </si>
  <si>
    <t>BTL</t>
  </si>
  <si>
    <t>bacardi tot</t>
  </si>
  <si>
    <t>bells tot</t>
  </si>
  <si>
    <t>brandy 1920 tot</t>
  </si>
  <si>
    <t>cane mainstay tot</t>
  </si>
  <si>
    <t>cape velvet tot</t>
  </si>
  <si>
    <t>captain morgan tot</t>
  </si>
  <si>
    <t>frangelico tot</t>
  </si>
  <si>
    <t>gordons gin tot</t>
  </si>
  <si>
    <t>grappa tot</t>
  </si>
  <si>
    <t>j &amp; b tot</t>
  </si>
  <si>
    <t>jack daniels tot</t>
  </si>
  <si>
    <t>jagermeister tot</t>
  </si>
  <si>
    <t>jameson irish tot</t>
  </si>
  <si>
    <t>johnnie walker black label tot</t>
  </si>
  <si>
    <t>johnnie walker red label tot</t>
  </si>
  <si>
    <t>kahlua tot</t>
  </si>
  <si>
    <t>klipdrif red tot</t>
  </si>
  <si>
    <t>malibu tot</t>
  </si>
  <si>
    <t>peppermint tot</t>
  </si>
  <si>
    <t>pienaar &amp; son empire gin</t>
  </si>
  <si>
    <t>port alesverloren tot</t>
  </si>
  <si>
    <t>red heart tot</t>
  </si>
  <si>
    <t>richelieu tot</t>
  </si>
  <si>
    <t>sherry old brown tot</t>
  </si>
  <si>
    <t>smirnoff vodka tot</t>
  </si>
  <si>
    <t>spiced gold tot</t>
  </si>
  <si>
    <t>strawberry liquor tot</t>
  </si>
  <si>
    <t>stroh tot</t>
  </si>
  <si>
    <t>tanqueray gin tot</t>
  </si>
  <si>
    <t>teq jose cuervo gold tot</t>
  </si>
  <si>
    <t>teq jose silver tot</t>
  </si>
  <si>
    <t>Wine</t>
  </si>
  <si>
    <t>alvi's drift blnc de blnc brut</t>
  </si>
  <si>
    <t>alvi's drift chenin blanc btl</t>
  </si>
  <si>
    <t>arniston bay rose 750ml</t>
  </si>
  <si>
    <t>arniston bay sauv blanc 750ml</t>
  </si>
  <si>
    <t>arniston bay shiraz 750ml</t>
  </si>
  <si>
    <t>beyerskloof pinotage btl</t>
  </si>
  <si>
    <t>de grendal rose btl</t>
  </si>
  <si>
    <t>diemersdal sauv blanc btl</t>
  </si>
  <si>
    <t>diemersdal unwooded card 750ml</t>
  </si>
  <si>
    <t>durbanville hills chard btl</t>
  </si>
  <si>
    <t>durbanville hills spark wine</t>
  </si>
  <si>
    <t>durbaville hills sav blanc bt</t>
  </si>
  <si>
    <t>graca btl</t>
  </si>
  <si>
    <t>graca rose btl</t>
  </si>
  <si>
    <t>graham beck brut mcc</t>
  </si>
  <si>
    <t>jc le roux domaine btl</t>
  </si>
  <si>
    <t>ken forester old vintage res</t>
  </si>
  <si>
    <t>ea</t>
  </si>
  <si>
    <t>laborie chardonnay 750ml</t>
  </si>
  <si>
    <t>lavenir pinotage</t>
  </si>
  <si>
    <t>marras swart shiraz btl</t>
  </si>
  <si>
    <t>marras swartland chen btl</t>
  </si>
  <si>
    <t>ned baronne btl</t>
  </si>
  <si>
    <t>ned stein 750ml</t>
  </si>
  <si>
    <t>nederburg rose btl</t>
  </si>
  <si>
    <t>nitida sauv blanc btl</t>
  </si>
  <si>
    <t>ob dry white 750ml</t>
  </si>
  <si>
    <t>ob red 750ml</t>
  </si>
  <si>
    <t>ob rose 750ml</t>
  </si>
  <si>
    <t>pierre jourdan tranquille btl</t>
  </si>
  <si>
    <t>pongracz</t>
  </si>
  <si>
    <t>robertson sweet red 750ml</t>
  </si>
  <si>
    <t>robertsons sweet rose btl</t>
  </si>
  <si>
    <t>rupert &amp; roth classique</t>
  </si>
  <si>
    <t>secateurs chenin btl</t>
  </si>
  <si>
    <t>simonsig chenin btl</t>
  </si>
  <si>
    <t>simonsig rose 750ml</t>
  </si>
  <si>
    <t>stellenrust chen blanc 750ml</t>
  </si>
  <si>
    <t>two oceans cab merlot btl</t>
  </si>
  <si>
    <t>two oceans sauv blanc btl</t>
  </si>
  <si>
    <t>v loveren river red btl</t>
  </si>
  <si>
    <t>van loveren colombar 750ml</t>
  </si>
  <si>
    <t>van lovern sav blnc 750ml</t>
  </si>
  <si>
    <t>wolftrap red btl</t>
  </si>
  <si>
    <t>EXP</t>
  </si>
  <si>
    <t>Administration Costs</t>
  </si>
  <si>
    <t>administration costs</t>
  </si>
  <si>
    <t>interest paid</t>
  </si>
  <si>
    <t>Basic Rent</t>
  </si>
  <si>
    <t>basic rent</t>
  </si>
  <si>
    <t>Bonus &amp; Incentives</t>
  </si>
  <si>
    <t>incentives</t>
  </si>
  <si>
    <t>Cashup Variance</t>
  </si>
  <si>
    <t>cashup variance</t>
  </si>
  <si>
    <t>Cleaning &amp; Laundry</t>
  </si>
  <si>
    <t>auto rinse (25lt)</t>
  </si>
  <si>
    <t>auto wash ( 25lt)</t>
  </si>
  <si>
    <t>bacterex - 200 x15g sachet</t>
  </si>
  <si>
    <t>best - 25l</t>
  </si>
  <si>
    <t>best - 5l</t>
  </si>
  <si>
    <t>blk abrasive scouring pads 10</t>
  </si>
  <si>
    <t>cleaning materials</t>
  </si>
  <si>
    <t>folded paper towels</t>
  </si>
  <si>
    <t>green pads</t>
  </si>
  <si>
    <t>PACK</t>
  </si>
  <si>
    <t>haccp cloth green 50</t>
  </si>
  <si>
    <t>PKT</t>
  </si>
  <si>
    <t>haccp cloth red 50</t>
  </si>
  <si>
    <t>hygen f29 - 5l</t>
  </si>
  <si>
    <t>mop caps 100</t>
  </si>
  <si>
    <t>ob50 p - 5l</t>
  </si>
  <si>
    <t>ovenklean plus- 5l</t>
  </si>
  <si>
    <t>paper towels (roll)</t>
  </si>
  <si>
    <t>refresher wipes</t>
  </si>
  <si>
    <t>CS</t>
  </si>
  <si>
    <t>refuse bags pkt 200</t>
  </si>
  <si>
    <t>steriklens - 6x1lkk</t>
  </si>
  <si>
    <t>toilet paper 2 ply</t>
  </si>
  <si>
    <t>towel tidy fold 1 ply 20 x 100</t>
  </si>
  <si>
    <t>Computer Repairs</t>
  </si>
  <si>
    <t>computer repairs</t>
  </si>
  <si>
    <t>Cutlery &amp; Crockery</t>
  </si>
  <si>
    <t>beer glass</t>
  </si>
  <si>
    <t>bread basket 24cm</t>
  </si>
  <si>
    <t>glass 140ml liquid dessert cas</t>
  </si>
  <si>
    <t>sauce bowls 6.5cm</t>
  </si>
  <si>
    <t>wine glasses 300ml</t>
  </si>
  <si>
    <t>Deposit</t>
  </si>
  <si>
    <t xml:space="preserve">clean drum deposits </t>
  </si>
  <si>
    <t>Discounts &amp; Returns</t>
  </si>
  <si>
    <t>crate deposit</t>
  </si>
  <si>
    <t>discounts</t>
  </si>
  <si>
    <t>draught keg deposit</t>
  </si>
  <si>
    <t>Franchise Cost</t>
  </si>
  <si>
    <t>marketing fees</t>
  </si>
  <si>
    <t>Freight &amp; Delivery</t>
  </si>
  <si>
    <t>delivery</t>
  </si>
  <si>
    <t>Gas</t>
  </si>
  <si>
    <t>gas</t>
  </si>
  <si>
    <t>Occupational Cost</t>
  </si>
  <si>
    <t>electricity</t>
  </si>
  <si>
    <t>rates &amp; taxes</t>
  </si>
  <si>
    <t>refuse removal</t>
  </si>
  <si>
    <t>repairs &amp; maintenance</t>
  </si>
  <si>
    <t>security alarms</t>
  </si>
  <si>
    <t>security guards</t>
  </si>
  <si>
    <t>storage costs</t>
  </si>
  <si>
    <t>waste water sewage</t>
  </si>
  <si>
    <t>Operational Cost</t>
  </si>
  <si>
    <t>cutlery &amp; crockery</t>
  </si>
  <si>
    <t>laundry</t>
  </si>
  <si>
    <t>motor parking</t>
  </si>
  <si>
    <t>pest contol</t>
  </si>
  <si>
    <t>promotions</t>
  </si>
  <si>
    <t>stationary</t>
  </si>
  <si>
    <t>Packaging &amp; Consumab</t>
  </si>
  <si>
    <t>bags butcher 15 x 25</t>
  </si>
  <si>
    <t>PACKET</t>
  </si>
  <si>
    <t>carrier bags 1000's pkt plasti</t>
  </si>
  <si>
    <t>cream bombs disposable 10's</t>
  </si>
  <si>
    <t>fomo no. 41 sleeve x 75</t>
  </si>
  <si>
    <t>fomo no. 6 sleeve x 125</t>
  </si>
  <si>
    <t>ob table overlay 800x800</t>
  </si>
  <si>
    <t>Cs</t>
  </si>
  <si>
    <t>ocean basket 500ml tubs &amp; lids</t>
  </si>
  <si>
    <t>ocean basket earth straws cs</t>
  </si>
  <si>
    <t>platter  box one  (100)</t>
  </si>
  <si>
    <t>platter box two  (100)</t>
  </si>
  <si>
    <t>salad tub 500ml one piece x 25</t>
  </si>
  <si>
    <t>serviettes ob logo case</t>
  </si>
  <si>
    <t>take away box (100)</t>
  </si>
  <si>
    <t>taw coffee cup</t>
  </si>
  <si>
    <t>taw coffee lids</t>
  </si>
  <si>
    <t>tub &amp; lid 35ml (250's)</t>
  </si>
  <si>
    <t>Staff Cost</t>
  </si>
  <si>
    <t>staff first aid</t>
  </si>
  <si>
    <t>training</t>
  </si>
  <si>
    <t>uniforms</t>
  </si>
  <si>
    <t>Staff Meals Managers</t>
  </si>
  <si>
    <t>staff meals managers</t>
  </si>
  <si>
    <t>Staff Transport</t>
  </si>
  <si>
    <t>staff transport</t>
  </si>
  <si>
    <t>Stationary</t>
  </si>
  <si>
    <t>thermal till rolls</t>
  </si>
  <si>
    <t>Travel Exp</t>
  </si>
  <si>
    <t>travel exp</t>
  </si>
  <si>
    <t>Wages UIF,RSC,ETC</t>
  </si>
  <si>
    <t>i.o.u</t>
  </si>
  <si>
    <t>MONTH</t>
  </si>
  <si>
    <t>soda water 1lt</t>
  </si>
  <si>
    <t>Water</t>
  </si>
  <si>
    <t>water</t>
  </si>
  <si>
    <t>water sparkling large</t>
  </si>
  <si>
    <t>FOOD</t>
  </si>
  <si>
    <t>Calamari</t>
  </si>
  <si>
    <t>boston squid bulk kg</t>
  </si>
  <si>
    <t>calamari heads prt 55g</t>
  </si>
  <si>
    <t>calamari strip 0%glaze 50x110g</t>
  </si>
  <si>
    <t>calamari tubes prt 110g</t>
  </si>
  <si>
    <t>Condiments</t>
  </si>
  <si>
    <t xml:space="preserve">almonds flakes liberty select </t>
  </si>
  <si>
    <t>canderel sticks regular each</t>
  </si>
  <si>
    <t>cape malay curry spice</t>
  </si>
  <si>
    <t>capers in brine with added vin</t>
  </si>
  <si>
    <t>chopsticks disposable each</t>
  </si>
  <si>
    <t>dill cucumber whole 2.5kg</t>
  </si>
  <si>
    <t>dried peaches</t>
  </si>
  <si>
    <t>garlic crushed prt kg</t>
  </si>
  <si>
    <t>garlic granules 1.1kg</t>
  </si>
  <si>
    <t>herby lemon sauce 6x250ml</t>
  </si>
  <si>
    <t>lemon juice 100% (2x5lt)</t>
  </si>
  <si>
    <t>mayonaise kg</t>
  </si>
  <si>
    <t>mediterranean salsa prt kg</t>
  </si>
  <si>
    <t>mediterranean sauce  6x1l</t>
  </si>
  <si>
    <t xml:space="preserve">ob aoili &amp; apricot curry (1l) </t>
  </si>
  <si>
    <t>Ltr</t>
  </si>
  <si>
    <t>ob cape malay creamy compnd</t>
  </si>
  <si>
    <t>ob paprika onion crumb 4x750g</t>
  </si>
  <si>
    <t>orange vinaigrette 5l inner</t>
  </si>
  <si>
    <t>peri peri sauce ob 125ml</t>
  </si>
  <si>
    <t>ponzu sauce 6x 250ml</t>
  </si>
  <si>
    <t>royal kalahari salt&amp;pepp 400g</t>
  </si>
  <si>
    <t>spicy summer sauce (6x1kg) ob</t>
  </si>
  <si>
    <t>staffords stuffed green olives</t>
  </si>
  <si>
    <t>sweet chili mayo 6x250ml</t>
  </si>
  <si>
    <t>sweet chilli sauce 375ml</t>
  </si>
  <si>
    <t>sweet soy 6x250ml</t>
  </si>
  <si>
    <t>sweets ob  per case</t>
  </si>
  <si>
    <t>tabasco green 60ml</t>
  </si>
  <si>
    <t>tabasco red 60ml</t>
  </si>
  <si>
    <t>tomato sauce 1lt</t>
  </si>
  <si>
    <t>vinegar balsamic 1lt</t>
  </si>
  <si>
    <t>vinegar sachets 400x5ml</t>
  </si>
  <si>
    <t>vinegar white prt 1lt</t>
  </si>
  <si>
    <t>zesty mayo 6x250ml</t>
  </si>
  <si>
    <t>Dairy</t>
  </si>
  <si>
    <t>butter mini prt kg</t>
  </si>
  <si>
    <t>cream prt 1lt</t>
  </si>
  <si>
    <t>halloumi cheese prt kg</t>
  </si>
  <si>
    <t>herb butter 10 x (10 x 25g)</t>
  </si>
  <si>
    <t>kiri cream cheese 10x12x18g</t>
  </si>
  <si>
    <t>margarine romi prt 500g</t>
  </si>
  <si>
    <t>milk fresh prt 1lt</t>
  </si>
  <si>
    <t>yogurt prt 1lt</t>
  </si>
  <si>
    <t>Desserts</t>
  </si>
  <si>
    <t>apple crumble tart (30x121g)</t>
  </si>
  <si>
    <t xml:space="preserve">biscuit tots 2 x 1kg </t>
  </si>
  <si>
    <t>cape malva pudding (24x122g)</t>
  </si>
  <si>
    <t>Each</t>
  </si>
  <si>
    <t>chocolate lava cake prt each</t>
  </si>
  <si>
    <t>dulce de leche portion 1l</t>
  </si>
  <si>
    <t>greek baklava prt each</t>
  </si>
  <si>
    <t>ice cream prt 1lt</t>
  </si>
  <si>
    <t>maringues mni roste multi colr</t>
  </si>
  <si>
    <t>ob koeksister bites (1 x 500g)</t>
  </si>
  <si>
    <t>slo jo dekadent freezo powder</t>
  </si>
  <si>
    <t>kg</t>
  </si>
  <si>
    <t>slo jo white chocolate powder</t>
  </si>
  <si>
    <t>slo-jo chocolate fudge sauc1lt</t>
  </si>
  <si>
    <t>staffords lemon curd 500g</t>
  </si>
  <si>
    <t>Dry Goods</t>
  </si>
  <si>
    <t>cajun spice ob prt kg</t>
  </si>
  <si>
    <t>dry mix ob prt 1.65kg</t>
  </si>
  <si>
    <t>fish spice ob kg</t>
  </si>
  <si>
    <t>flour cake kg</t>
  </si>
  <si>
    <t>honey 500ml</t>
  </si>
  <si>
    <t>ob batter mix 12x0.666kg</t>
  </si>
  <si>
    <t>ob chip spice (4x1kg)</t>
  </si>
  <si>
    <t>paprika dusting</t>
  </si>
  <si>
    <t>pepper corn black kg</t>
  </si>
  <si>
    <t>salt coarse kg</t>
  </si>
  <si>
    <t>salt fine kg</t>
  </si>
  <si>
    <t>spicemate ob prt kg</t>
  </si>
  <si>
    <t>sugar white portion kg</t>
  </si>
  <si>
    <t>Fish</t>
  </si>
  <si>
    <t>frozen seabream (1x10kg)</t>
  </si>
  <si>
    <t>ob select 100g prt</t>
  </si>
  <si>
    <t>ob select 200g prt</t>
  </si>
  <si>
    <t>ob select bulk kg</t>
  </si>
  <si>
    <t>Hake</t>
  </si>
  <si>
    <t>hake 100g prt</t>
  </si>
  <si>
    <t>hake 200g prt</t>
  </si>
  <si>
    <t>hake baby whole each</t>
  </si>
  <si>
    <t>hake fillets 3/4 (1x5kg)</t>
  </si>
  <si>
    <t>hake postada 300g prt</t>
  </si>
  <si>
    <t>Kingklip</t>
  </si>
  <si>
    <t>kingklip 200g prt</t>
  </si>
  <si>
    <t>kingklip 300g prt</t>
  </si>
  <si>
    <t>kingklip fillets 1x10kg</t>
  </si>
  <si>
    <t>Mussels</t>
  </si>
  <si>
    <t>mussel half shell bulk kg</t>
  </si>
  <si>
    <t>mussel half shell prt each</t>
  </si>
  <si>
    <t>Oil</t>
  </si>
  <si>
    <t>kemfry (31x200gr sachets)</t>
  </si>
  <si>
    <t>oil ob palm prt 1lt</t>
  </si>
  <si>
    <t>olive oil  extra virgin 1lt</t>
  </si>
  <si>
    <t>willow crk lemn flav olive oil</t>
  </si>
  <si>
    <t>Oysters</t>
  </si>
  <si>
    <t>oyster prt each</t>
  </si>
  <si>
    <t>Prawns</t>
  </si>
  <si>
    <t>prawn king argentina shrimps l</t>
  </si>
  <si>
    <t>prawn king prt each</t>
  </si>
  <si>
    <t>prawn prince each</t>
  </si>
  <si>
    <t>prawn prince vannamei ob</t>
  </si>
  <si>
    <t xml:space="preserve">prawn queen 21/25 20% </t>
  </si>
  <si>
    <t>prawn queen each</t>
  </si>
  <si>
    <t>prawn sushi each</t>
  </si>
  <si>
    <t>Recipe</t>
  </si>
  <si>
    <t>rcp avo crema</t>
  </si>
  <si>
    <t>rcp battermix prep</t>
  </si>
  <si>
    <t>rcp bread rolls ob each cooked</t>
  </si>
  <si>
    <t>rcp brined zucchini</t>
  </si>
  <si>
    <t>rcp chilli sauce prt 1lt</t>
  </si>
  <si>
    <t>rcp chunky med salsa prt kg</t>
  </si>
  <si>
    <t>rcp coronation sauce halaal</t>
  </si>
  <si>
    <t>rcp couscous lemon &amp; herb base</t>
  </si>
  <si>
    <t>rcp creamy garlic sauce 1lt</t>
  </si>
  <si>
    <t>rcp creamy lemon sauce prt 1lt</t>
  </si>
  <si>
    <t>rcp crunchy onion crumbs</t>
  </si>
  <si>
    <t>rcp garlic rehydrate prt kg</t>
  </si>
  <si>
    <t>rcp garlic sauce prt 1ltr</t>
  </si>
  <si>
    <t>rcp grilled veg kg</t>
  </si>
  <si>
    <t>rcp lemon &amp; herb couscous</t>
  </si>
  <si>
    <t>eprt</t>
  </si>
  <si>
    <t>rcp ob mix portion 1lt</t>
  </si>
  <si>
    <t xml:space="preserve">rcp pickled carrots prt kg </t>
  </si>
  <si>
    <t>rcp pickled cucumber</t>
  </si>
  <si>
    <t xml:space="preserve">rcp pickled red onions prt kg </t>
  </si>
  <si>
    <t>rcp ponzu sauce sushi prt 1lt</t>
  </si>
  <si>
    <t xml:space="preserve">rcp rice sushi cooked prt kg </t>
  </si>
  <si>
    <t xml:space="preserve">rcp salad dressing prt 1ltr </t>
  </si>
  <si>
    <t xml:space="preserve">rcp salad mix prt kg </t>
  </si>
  <si>
    <t>rcp sweet chill mayo prt 1ltr</t>
  </si>
  <si>
    <t>rcp sweet soy prt 1lt</t>
  </si>
  <si>
    <t xml:space="preserve">rcp tartare sauce prt 1ltr </t>
  </si>
  <si>
    <t>rcp vegetable ribbons</t>
  </si>
  <si>
    <t xml:space="preserve">rcp wasabi mix sushi prt kg </t>
  </si>
  <si>
    <t>rcp zesty mayo sauce prt 1l</t>
  </si>
  <si>
    <t>Salad</t>
  </si>
  <si>
    <t>falafel prt each</t>
  </si>
  <si>
    <t>falalfel balls</t>
  </si>
  <si>
    <t>feta cheese prt kg</t>
  </si>
  <si>
    <t>oil ob salad  prt 1lt</t>
  </si>
  <si>
    <t>olives ob prt kg</t>
  </si>
  <si>
    <t>tarama kg</t>
  </si>
  <si>
    <t>tzatziki kg</t>
  </si>
  <si>
    <t>Sole</t>
  </si>
  <si>
    <t>sole 550+ -portion kg</t>
  </si>
  <si>
    <t>sole dressed wc  400-600g</t>
  </si>
  <si>
    <t>Starch</t>
  </si>
  <si>
    <t>bread mix prt 1.35kg</t>
  </si>
  <si>
    <t>chip kg</t>
  </si>
  <si>
    <t>couscous martino  1kg  inner</t>
  </si>
  <si>
    <t>ob  25 x 4,5" broiche bun</t>
  </si>
  <si>
    <t>quinoa 50x100g</t>
  </si>
  <si>
    <t>rcp rice cooked prt kg</t>
  </si>
  <si>
    <t>rice noodles 2kg inner</t>
  </si>
  <si>
    <t>rice ob uncooked prt kg</t>
  </si>
  <si>
    <t>rice uncooked kg</t>
  </si>
  <si>
    <t>wrap tortilla portion each</t>
  </si>
  <si>
    <t>Sushi</t>
  </si>
  <si>
    <t>caviar prt kg</t>
  </si>
  <si>
    <t>ginger pickled prt kg</t>
  </si>
  <si>
    <t>kikkoman regular dispens 150ml</t>
  </si>
  <si>
    <t>each</t>
  </si>
  <si>
    <t>kikomn tamari glt fr soy 6x150</t>
  </si>
  <si>
    <t>mayo japanese 450g</t>
  </si>
  <si>
    <t>rice sushi uncooked kg</t>
  </si>
  <si>
    <t>salmon norwegian blk</t>
  </si>
  <si>
    <t>salmon prt kg</t>
  </si>
  <si>
    <t>seaweed roasted each</t>
  </si>
  <si>
    <t>sesame prt kg</t>
  </si>
  <si>
    <t>soy sauce green 150ml</t>
  </si>
  <si>
    <t>soy sauce green prt 1lt</t>
  </si>
  <si>
    <t>soy sauce red 150ml</t>
  </si>
  <si>
    <t>soy sauce red prt 1lt</t>
  </si>
  <si>
    <t>soy sauce sachets 100 x 5ml</t>
  </si>
  <si>
    <t>vinegar rice 1lt</t>
  </si>
  <si>
    <t>wasabi powder prt kg</t>
  </si>
  <si>
    <t>Vegetables</t>
  </si>
  <si>
    <t>avocado prt kg</t>
  </si>
  <si>
    <t>baby marrow prt kg</t>
  </si>
  <si>
    <t>butternut kg bulk</t>
  </si>
  <si>
    <t>butternut prt kg</t>
  </si>
  <si>
    <t>carrots kg</t>
  </si>
  <si>
    <t>chillies veg kg</t>
  </si>
  <si>
    <t>chives veg prt kg</t>
  </si>
  <si>
    <t>cucumber prt kg</t>
  </si>
  <si>
    <t>dill veg prt kg</t>
  </si>
  <si>
    <t>green pepper kg</t>
  </si>
  <si>
    <t>lemons veg prt kg</t>
  </si>
  <si>
    <t>lettuce rocket prt kg</t>
  </si>
  <si>
    <t>mccain sweet potato fries</t>
  </si>
  <si>
    <t>med veg kg</t>
  </si>
  <si>
    <t>mint sprigs veg kg</t>
  </si>
  <si>
    <t>onions prt kg</t>
  </si>
  <si>
    <t>onions red portion kg</t>
  </si>
  <si>
    <t>origanum prt kg</t>
  </si>
  <si>
    <t>parsley veg prt kg</t>
  </si>
  <si>
    <t>red pepper kg</t>
  </si>
  <si>
    <t>spring onions prt kg</t>
  </si>
  <si>
    <t>sweet potato prt kg</t>
  </si>
  <si>
    <t>tomatoes cherry  kg</t>
  </si>
  <si>
    <t>tomatoes prt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</si>
</sst>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&quot;* #,##0.00_);_(&quot;R&quot;* \(#,##0.00\);_(&quot;R&quot;* &quot;-&quot;??_);_(@_)"/>
    <numFmt numFmtId="165" formatCode="_(* #,##0.00_);_(* \(#,##0.00\);_(* &quot;-&quot;??_);_(@_)"/>
    <numFmt numFmtId="166" formatCode="0.0%"/>
    <numFmt numFmtId="167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64" fontId="0" fillId="2" borderId="0" xfId="2" applyFont="1" applyFill="1" applyAlignment="1">
      <alignment wrapText="1"/>
    </xf>
    <xf numFmtId="164" fontId="0" fillId="0" borderId="0" xfId="0" applyNumberFormat="1" applyAlignment="1">
      <alignment wrapText="1"/>
    </xf>
    <xf numFmtId="9" fontId="0" fillId="0" borderId="0" xfId="3" applyFont="1"/>
    <xf numFmtId="14" fontId="0" fillId="2" borderId="0" xfId="0" applyNumberFormat="1" applyFill="1" applyAlignment="1">
      <alignment wrapText="1"/>
    </xf>
    <xf numFmtId="164" fontId="0" fillId="0" borderId="0" xfId="2" applyFont="1" applyAlignment="1">
      <alignment wrapText="1"/>
    </xf>
    <xf numFmtId="165" fontId="0" fillId="0" borderId="0" xfId="1" applyFont="1" applyAlignment="1">
      <alignment wrapText="1"/>
    </xf>
    <xf numFmtId="166" fontId="0" fillId="0" borderId="0" xfId="3" applyNumberFormat="1" applyFont="1" applyAlignment="1">
      <alignment wrapText="1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2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1" applyFont="1" applyAlignment="1">
      <alignment horizontal="center" vertical="center" wrapText="1"/>
    </xf>
    <xf numFmtId="167" fontId="0" fillId="0" borderId="0" xfId="3" applyNumberFormat="1" applyFont="1"/>
    <xf numFmtId="2" fontId="0" fillId="0" borderId="0" xfId="0" applyNumberFormat="1"/>
    <xf numFmtId="166" fontId="0" fillId="0" borderId="0" xfId="3" applyNumberFormat="1" applyFont="1"/>
    <xf numFmtId="167" fontId="0" fillId="0" borderId="0" xfId="0" applyNumberFormat="1"/>
    <xf numFmtId="166" fontId="0" fillId="0" borderId="0" xfId="0" applyNumberFormat="1"/>
    <xf numFmtId="9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6" formatCode="0.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7" formatCode="0.0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800a2a1cac5adf40/Desktop/ASK%20GROUP/OB%20GROVE%20CONTROL/2025/00%20STOCK%20ORDERING/STOCK%20ORDERING%202025.xlsx" TargetMode="External"/><Relationship Id="rId1" Type="http://schemas.openxmlformats.org/officeDocument/2006/relationships/externalLinkPath" Target="/800a2a1cac5adf40/Desktop/ASK%20GROUP/OB%20GROVE%20CONTROL/2025/00%20STOCK%20ORDERING/STOCK%20ORDERING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S"/>
      <sheetName val="Stock Usage 08 - 22 MAR"/>
      <sheetName val="Stock Usage 28 - 15 MAR"/>
      <sheetName val="Stock Usage 22 FEB - 8 MAR"/>
      <sheetName val="Stock Usage 28 - 8 MAR"/>
      <sheetName val="Stock Usage 15-28 FEB"/>
      <sheetName val="Stock Usage 15-22 FEB"/>
      <sheetName val="Stock Usage 8 - 15 FEB"/>
      <sheetName val="Stock Usage 31 JAN - 8 FEB"/>
      <sheetName val="Stock Usage 31 DEC - 31 JAN"/>
      <sheetName val="Stock Usage 25-31 JAN"/>
      <sheetName val="Stock Usage 18-25 JAN"/>
      <sheetName val="Stock Usage 11 - 18 JAN"/>
      <sheetName val="Stock Usage 31 DEC - 11 JAN"/>
      <sheetName val="Stock Usage 28 DEC - 04 JAN"/>
      <sheetName val="Stock Usage 21-28 DEC"/>
      <sheetName val="Stock Usage 14-21 DEC"/>
      <sheetName val="Stock Usage  7-14 DEC"/>
      <sheetName val="Stock Usage 30 NOV - 7 DEC"/>
      <sheetName val="Stock Usage 16 - 30 NOV"/>
      <sheetName val="Stock Usage 09 - 23 NOV"/>
      <sheetName val="Stock Usage 31 OCT - 16 NOV"/>
      <sheetName val="Stock Usage 19 OCT - 09 NOV"/>
      <sheetName val="Stock Usage 12 OCT - 02 NOV"/>
      <sheetName val="Stock Usage1 - 31 OCT"/>
      <sheetName val="Stock Usage 5 - 26 OCT"/>
      <sheetName val="Stock Usage 30 SEP - 19 OCT"/>
      <sheetName val="Stock Usage 21 SEP - 12 OCT"/>
      <sheetName val="Stock Usage 21 SEP - 5 OCT"/>
      <sheetName val="Stock Usage 14 - 30 SEP"/>
      <sheetName val="Stock Usage 7 - 21 SEP"/>
      <sheetName val="Stock Usage 31 AUG - 14 SEP"/>
      <sheetName val="Stock Usage 21 AUG - 7 SEP"/>
      <sheetName val="Stock Usage 21 AUG - 4 SEP"/>
      <sheetName val="Stock Usage 14 - 31 AUG"/>
      <sheetName val="Stock Usage 31 JULY - 17 AUG"/>
      <sheetName val="Stock Usage 27 JULY - 10 AUG"/>
      <sheetName val="Stock Usage 20 JULY - 3 AUG"/>
      <sheetName val="Stock Usage 13 - 27 JULY"/>
      <sheetName val="Stock Usage 6 - 20 JULY"/>
      <sheetName val="Stock Usage 30 JUNE - 13 JULY"/>
      <sheetName val="Stock Usage 22 JUNE - 6 JULY"/>
      <sheetName val="Stock Usage 31 MAY - 30 JUNE"/>
      <sheetName val="Stock Usage 31 MAY - 26 JUNE"/>
      <sheetName val="Stock Usage 31 MAY - 22 JUNE"/>
      <sheetName val="Stock Usage 31 MAY - 15 JUNE"/>
      <sheetName val="Stock Usage 22 MAY - 12 JUNE"/>
      <sheetName val="Stock Usage 22 MAY - 8 JUNE"/>
      <sheetName val="Stock Usage 18 MAY - 5 JU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0AD4D8-E6A7-4069-BC84-51E5E9F533B3}" name="Table50" displayName="Table50" ref="A3:AM419" totalsRowCount="1" headerRowDxfId="27">
  <autoFilter ref="A3:AM418" xr:uid="{EC876DEB-1290-489A-92FD-37E4B07E8E85}">
    <filterColumn colId="0">
      <filters>
        <filter val="BEV"/>
        <filter val="FOOD"/>
      </filters>
    </filterColumn>
  </autoFilter>
  <tableColumns count="39">
    <tableColumn id="1" xr3:uid="{3380EFF3-55EB-426F-9CB4-F76E6D5E548E}" name="ccnt"/>
    <tableColumn id="2" xr3:uid="{4F5C7CEA-AD33-4CDA-9C18-5EC98CF3A4A0}" name="Category"/>
    <tableColumn id="3" xr3:uid="{9627DEB3-5EDC-4CAC-9C5E-0E96FEC44936}" name="name"/>
    <tableColumn id="4" xr3:uid="{CEE3EE2C-288D-4BA7-A0FE-F8C2E8B60C0E}" name="unit"/>
    <tableColumn id="5" xr3:uid="{BFD22F49-F529-403E-8942-0A4423CF258B}" name="OpeningQty" totalsRowFunction="sum"/>
    <tableColumn id="6" xr3:uid="{327F1965-099F-4C3C-ADEF-25E114973101}" name="Opening" totalsRowFunction="sum"/>
    <tableColumn id="7" xr3:uid="{E3EBA9F4-F8E4-4A9D-AC3D-8E3C62EA2DB8}" name="PurchasesQty" totalsRowFunction="sum"/>
    <tableColumn id="8" xr3:uid="{4BB20B47-7D13-477B-8498-31C6A4BE7427}" name="Purchases" totalsRowFunction="sum"/>
    <tableColumn id="9" xr3:uid="{30D1E903-44B6-43A4-9618-B313A2944D39}" name="ClosingQty" totalsRowFunction="sum"/>
    <tableColumn id="10" xr3:uid="{4F81D8F1-FB5E-4B83-B9AC-6EE7ED828F2F}" name="Closing" totalsRowFunction="sum"/>
    <tableColumn id="11" xr3:uid="{E132117A-487B-4452-AA12-08FF283F5142}" name="UsageQty" totalsRowFunction="sum">
      <calculatedColumnFormula>Table50[[#This Row],[OpeningQty]]+Table50[[#This Row],[PurchasesQty]]-Table50[[#This Row],[ClosingQty]]</calculatedColumnFormula>
    </tableColumn>
    <tableColumn id="12" xr3:uid="{EFF6658F-346E-4053-952A-8A0ED3274C24}" name="Usage" totalsRowFunction="sum"/>
    <tableColumn id="13" xr3:uid="{F8EA576E-9D13-46B5-8B8A-3314B5454727}" name="USAGE %" totalsRowFunction="sum" totalsRowDxfId="26">
      <calculatedColumnFormula>Table50[[#This Row],[Usage]]/$L$1</calculatedColumnFormula>
    </tableColumn>
    <tableColumn id="14" xr3:uid="{5148F4E8-7B9D-4EBD-8E23-7187E9684B66}" name="OPENING COST PRICE" totalsRowFunction="sum" totalsRowDxfId="25">
      <calculatedColumnFormula>IFERROR(Table50[[#This Row],[Opening]]/Table50[[#This Row],[OpeningQty]],0)</calculatedColumnFormula>
    </tableColumn>
    <tableColumn id="15" xr3:uid="{765D8FA3-A81D-4581-BBAC-920EBAED132F}" name="PURCHASE COST PRICE" totalsRowFunction="sum" totalsRowDxfId="24">
      <calculatedColumnFormula>IFERROR(Table50[[#This Row],[Purchases]]/Table50[[#This Row],[PurchasesQty]],0)</calculatedColumnFormula>
    </tableColumn>
    <tableColumn id="16" xr3:uid="{D9D43FC8-86E4-4A62-B891-B4885FAE7B2E}" name="CLOSING COST PRICE" totalsRowFunction="sum" totalsRowDxfId="23">
      <calculatedColumnFormula>IFERROR(Table50[[#This Row],[Closing]]/Table50[[#This Row],[ClosingQty]],0)</calculatedColumnFormula>
    </tableColumn>
    <tableColumn id="17" xr3:uid="{20DBB283-FDBA-4733-AF4B-18B3007C7A7B}" name="COST PRICE" totalsRowFunction="sum" totalsRowDxfId="22">
      <calculatedColumnFormula>IFERROR(AVERAGEIF(Table50[[#This Row],[OPENING COST PRICE]:[CLOSING COST PRICE]],"&gt;0"),0)</calculatedColumnFormula>
    </tableColumn>
    <tableColumn id="18" xr3:uid="{98F8DFCE-9FA8-4A28-9F92-82FBA9746E0B}" name="COST PRICE CHANGE" totalsRowFunction="sum" totalsRowDxfId="21">
      <calculatedColumnFormula>IFERROR(Table50[[#This Row],[COST PRICE]]-IFERROR(Table50[[#This Row],[Usage]]/Table50[[#This Row],[UsageQty]],Table50[[#This Row],[COST PRICE]]),0)</calculatedColumnFormula>
    </tableColumn>
    <tableColumn id="19" xr3:uid="{C39D1CB4-6C4C-4C5A-B28F-80CEC972A202}" name="CP INCREASE %" totalsRowFunction="sum" totalsRowDxfId="20">
      <calculatedColumnFormula>IFERROR(Table50[[#This Row],[COST PRICE CHANGE]]/Table50[[#This Row],[OPENING COST PRICE]],0)</calculatedColumnFormula>
    </tableColumn>
    <tableColumn id="20" xr3:uid="{82EA39BF-0BD0-40AA-9C36-4B32BE7FBDB9}" name="REORDER POINT" totalsRowFunction="sum" totalsRowDxfId="19">
      <calculatedColumnFormula>Table50[[#This Row],[ClosingQty]]-(Table50[[#This Row],[USAGE / DAY]]*(IF(Table50[[#This Row],[ccnt]]="BEV",Table50[[#This Row],[DELIVERY DAY]],Table50[[#This Row],[DELIVERY DAY]])))</calculatedColumnFormula>
    </tableColumn>
    <tableColumn id="21" xr3:uid="{5FCB0D63-0431-4D88-84FE-EFE049CF8D5B}" name="USAGE / DAY" totalsRowFunction="sum" totalsRowDxfId="18">
      <calculatedColumnFormula>ROUNDUP(Table50[[#This Row],[UsageQty]]/Table50[[#This Row],[DATA POINT]],2)</calculatedColumnFormula>
    </tableColumn>
    <tableColumn id="22" xr3:uid="{BF3779DB-D26E-4462-AA0E-7200DB50ADE9}" name="ORDER QTY" totalsRowFunction="sum" totalsRowDxfId="17">
      <calculatedColumnFormula>IF(Table50[[#This Row],[USAGE / DAY]]*Table50[[#This Row],[EXPECTED DEMAND]]&gt;Table50[[#This Row],[REORDER POINT]],_xlfn.CEILING.MATH((Table50[[#This Row],[USAGE / DAY]]*Table50[[#This Row],[EXPECTED DEMAND]])-Table50[[#This Row],[REORDER POINT]],1),"NO ORDER")</calculatedColumnFormula>
    </tableColumn>
    <tableColumn id="23" xr3:uid="{4EAD61F5-0BA5-4524-9721-F33D4E5144C9}" name="ORDER COST" totalsRowFunction="sum" totalsRowDxfId="16">
      <calculatedColumnFormula>IFERROR(Table50[[#This Row],[ORDER QTY]]*Table50[[#This Row],[COST PRICE]],0)</calculatedColumnFormula>
    </tableColumn>
    <tableColumn id="24" xr3:uid="{B512F601-A966-4B68-B260-62ADE9442715}" name="USAGE / DAY 2" totalsRowFunction="sum" totalsRowDxfId="15">
      <calculatedColumnFormula>IFERROR(VLOOKUP(C4,[1]!Table48[[#All],[name]:[USAGE / DAY]],18,FALSE),1)</calculatedColumnFormula>
    </tableColumn>
    <tableColumn id="25" xr3:uid="{F67EB2CB-20FF-4E8A-AE69-3B6C09844AAC}" name="USAGE INCREASE" totalsRowFunction="average" totalsRowDxfId="14">
      <calculatedColumnFormula>IFERROR((Table50[[#This Row],[USAGE / DAY]]-Table50[[#This Row],[USAGE / DAY 2]])/Table50[[#This Row],[USAGE / DAY 2]],0)</calculatedColumnFormula>
    </tableColumn>
    <tableColumn id="26" xr3:uid="{6631EB46-3358-40CE-AE54-AE1E863205D5}" name="DATA POINT" totalsRowFunction="sum" totalsRowDxfId="13">
      <calculatedColumnFormula>_xlfn.DAYS($V$2,$V$1)</calculatedColumnFormula>
    </tableColumn>
    <tableColumn id="27" xr3:uid="{6120C245-B663-46D2-BB06-8256F49FF736}" name="EXPECTED DEMAND" totalsRowFunction="sum" totalsRowDxfId="12">
      <calculatedColumnFormula>($R$2*$R$1)+$R$2</calculatedColumnFormula>
    </tableColumn>
    <tableColumn id="28" xr3:uid="{FABEF290-6AAB-4888-874A-4F73DCB1D67E}" name="DELIVERY DAY" totalsRowFunction="sum" totalsRowDxfId="11">
      <calculatedColumnFormula>IFERROR(IF(Table50[[#This Row],[ccnt]]="BEV",$AB$2,IF(Table50[[#This Row],[ccnt]]="FOOD",$AC$2,"ENTER # FROM LAST COUNT")),"ENTER # FROM LAST COUNT")</calculatedColumnFormula>
    </tableColumn>
    <tableColumn id="29" xr3:uid="{6AD232D0-F5A5-4173-8A53-DDED6757CEC6}" name="AVE INVENTORY" totalsRowFunction="sum" totalsRowDxfId="10">
      <calculatedColumnFormula>(Table50[[#This Row],[OpeningQty]]+Table50[[#This Row],[ClosingQty]])/2</calculatedColumnFormula>
    </tableColumn>
    <tableColumn id="30" xr3:uid="{B46A376F-8BC1-44B5-B504-78A7CA8EA6D8}" name="Inventory Turnover Rate" totalsRowFunction="sum" totalsRowDxfId="9">
      <calculatedColumnFormula>IFERROR(Table50[[#This Row],[UsageQty]]/Table50[[#This Row],[AVE INVENTORY]],0)</calculatedColumnFormula>
    </tableColumn>
    <tableColumn id="31" xr3:uid="{9A45A87A-3C7B-4664-A3AF-8E85D14CA926}" name="Days of Inventory Remaining" totalsRowFunction="sum" totalsRowDxfId="8">
      <calculatedColumnFormula>IFERROR(Table50[[#This Row],[DATA POINT]]/Table50[[#This Row],[Inventory Turnover Rate]],0)</calculatedColumnFormula>
    </tableColumn>
    <tableColumn id="32" xr3:uid="{377901FA-7674-4EF3-B126-112D83E899A0}" name="INVENTORY DAYS REM" totalsRowFunction="sum" totalsRowDxfId="7">
      <calculatedColumnFormula>Table50[[#This Row],[ClosingQty]]/Table50[[#This Row],[USAGE / DAY]]</calculatedColumnFormula>
    </tableColumn>
    <tableColumn id="33" xr3:uid="{D05BDA59-6697-4675-A76B-7BE561257ABE}" name="FORECASTED DEMAND" totalsRowFunction="sum" totalsRowDxfId="6">
      <calculatedColumnFormula>Table50[[#This Row],[USAGE / DAY]]*7</calculatedColumnFormula>
    </tableColumn>
    <tableColumn id="34" xr3:uid="{F33D4868-520A-48F8-9D4F-5E8C95033ABB}" name="SAFETY STOCK" totalsRowFunction="sum" totalsRowDxfId="5">
      <calculatedColumnFormula>Table50[[#This Row],[USAGE / DAY]]*3</calculatedColumnFormula>
    </tableColumn>
    <tableColumn id="35" xr3:uid="{F8B91A33-BA9B-44C0-8D8B-C7F8454D8D28}" name="ORDER QTY2" totalsRowFunction="sum" totalsRowDxfId="4">
      <calculatedColumnFormula>IF(Table50[[#This Row],[FORECASTED DEMAND]]+Table50[[#This Row],[SAFETY STOCK]]-Table50[[#This Row],[ClosingQty]]&gt;0,Table50[[#This Row],[FORECASTED DEMAND]]+Table50[[#This Row],[SAFETY STOCK]]-Table50[[#This Row],[ClosingQty]],"NO ORDER")</calculatedColumnFormula>
    </tableColumn>
    <tableColumn id="36" xr3:uid="{B8CCCD02-2FCC-4910-B0E5-B24F765545C7}" name="ORDER QTY2 COST" totalsRowFunction="sum" totalsRowDxfId="3">
      <calculatedColumnFormula>IFERROR(Table50[[#This Row],[ORDER QTY2]]*Table50[[#This Row],[COST PRICE]],0)</calculatedColumnFormula>
    </tableColumn>
    <tableColumn id="37" xr3:uid="{0BF76255-9669-43A6-A8C6-F651CF112FCF}" name="re-order cost" totalsRowFunction="sum" totalsRowDxfId="2">
      <calculatedColumnFormula>(Table50[[#This Row],[REORDER POINT]]*Table50[[#This Row],[COST PRICE]])+Table50[[#This Row],[ORDER COST]]</calculatedColumnFormula>
    </tableColumn>
    <tableColumn id="38" xr3:uid="{047738D6-411D-40E1-882D-7C258D222CDA}" name="DEMAND %" totalsRowFunction="sum" totalsRowDxfId="1">
      <calculatedColumnFormula>$AL$2</calculatedColumnFormula>
    </tableColumn>
    <tableColumn id="39" xr3:uid="{5DF9A640-207C-4C68-A250-1981C6D07500}" name="DAYS OF INVENTORY" totalsRowFunction="sum" totalsRowDxfId="0">
      <calculatedColumnFormula>IFERROR((Table50[[#This Row],[REORDER POINT]]+Table50[[#This Row],[ORDER QTY]])/(Table50[[#This Row],[USAGE / DAY]]*Table50[[#This Row],[DEMAND %]]),Table50[[#This Row],[REORDER POINT]]/Table50[[#This Row],[USAGE / DAY]])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2A8F-5994-4A17-BD93-424437B799AF}">
  <dimension ref="A1:AM419"/>
  <sheetViews>
    <sheetView tabSelected="1" zoomScale="70" zoomScaleNormal="70" workbookViewId="0">
      <pane xSplit="4" topLeftCell="R1" activePane="topRight" state="frozen"/>
      <selection pane="topRight" activeCell="V27" sqref="V27"/>
    </sheetView>
  </sheetViews>
  <sheetFormatPr defaultRowHeight="15" x14ac:dyDescent="0.25"/>
  <cols>
    <col min="1" max="1" width="6.7109375" customWidth="1"/>
    <col min="2" max="2" width="13.7109375" customWidth="1"/>
    <col min="3" max="3" width="18.5703125" customWidth="1"/>
    <col min="5" max="5" width="17" customWidth="1"/>
    <col min="6" max="6" width="13" customWidth="1"/>
    <col min="7" max="7" width="19.42578125" customWidth="1"/>
    <col min="8" max="8" width="15.5703125" customWidth="1"/>
    <col min="9" max="9" width="15.7109375" customWidth="1"/>
    <col min="10" max="10" width="11.85546875" customWidth="1"/>
    <col min="11" max="11" width="14.42578125" customWidth="1"/>
    <col min="12" max="12" width="14.5703125" bestFit="1" customWidth="1"/>
    <col min="13" max="13" width="16.85546875" bestFit="1" customWidth="1"/>
    <col min="14" max="14" width="13.28515625" customWidth="1"/>
    <col min="15" max="16" width="20.140625" bestFit="1" customWidth="1"/>
    <col min="17" max="21" width="13.28515625" customWidth="1"/>
    <col min="22" max="22" width="14.28515625" customWidth="1"/>
    <col min="23" max="23" width="13.85546875" customWidth="1"/>
    <col min="24" max="31" width="14.28515625" customWidth="1"/>
    <col min="32" max="32" width="14.7109375" customWidth="1"/>
    <col min="33" max="33" width="14.28515625" customWidth="1"/>
    <col min="34" max="39" width="14.7109375" customWidth="1"/>
  </cols>
  <sheetData>
    <row r="1" spans="1:39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 t="s">
        <v>0</v>
      </c>
      <c r="L1" s="2">
        <f>658414.8</f>
        <v>658414.80000000005</v>
      </c>
      <c r="M1" s="1">
        <f>48000*7</f>
        <v>336000</v>
      </c>
      <c r="N1" s="1" t="s">
        <v>1</v>
      </c>
      <c r="O1" s="2">
        <f>503623/1.15</f>
        <v>437933.04347826092</v>
      </c>
      <c r="P1" s="3">
        <f>O1/8</f>
        <v>54741.630434782615</v>
      </c>
      <c r="Q1" t="s">
        <v>2</v>
      </c>
      <c r="R1" s="4">
        <f>(P1-X1)/X1</f>
        <v>0.16398177271676839</v>
      </c>
      <c r="S1" s="4"/>
      <c r="T1" s="1"/>
      <c r="U1" s="1" t="s">
        <v>3</v>
      </c>
      <c r="V1" s="5">
        <v>45724</v>
      </c>
      <c r="W1" s="1" t="s">
        <v>4</v>
      </c>
      <c r="X1" s="6">
        <f>L1/Z4</f>
        <v>47029.628571428577</v>
      </c>
      <c r="Y1" s="6">
        <f>X1*X2</f>
        <v>17712.480714285706</v>
      </c>
      <c r="Z1" s="7">
        <f>Table50[[#Totals],[Usage]]/_xlfn.DAYS($V$2,$V$1)</f>
        <v>17712.480714285706</v>
      </c>
      <c r="AA1" s="1"/>
      <c r="AB1" s="1" t="s">
        <v>5</v>
      </c>
      <c r="AC1" s="1" t="s">
        <v>6</v>
      </c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30" x14ac:dyDescent="0.25">
      <c r="A2" s="1"/>
      <c r="B2" s="1"/>
      <c r="C2" s="1"/>
      <c r="D2" s="1"/>
      <c r="E2" s="1"/>
      <c r="F2" s="1"/>
      <c r="G2" s="1"/>
      <c r="H2" s="8">
        <f>Table50[[#Totals],[Purchases]]/L1</f>
        <v>0.43777582156415684</v>
      </c>
      <c r="I2" s="8"/>
      <c r="J2" s="8"/>
      <c r="K2" s="8"/>
      <c r="L2" s="8">
        <f>Table50[[#Totals],[Usage]]/L1</f>
        <v>0.37662386993730979</v>
      </c>
      <c r="M2" s="1"/>
      <c r="N2" s="1" t="s">
        <v>7</v>
      </c>
      <c r="O2" s="8">
        <f>Table50[[#Totals],[ORDER COST]]/O1</f>
        <v>0.23808173780038072</v>
      </c>
      <c r="P2" s="6">
        <f>Table50[[#Totals],[ORDER COST]]</f>
        <v>104263.86003151405</v>
      </c>
      <c r="Q2" s="1" t="s">
        <v>8</v>
      </c>
      <c r="R2" s="1">
        <v>8</v>
      </c>
      <c r="S2" s="1"/>
      <c r="T2" s="1"/>
      <c r="U2" s="1" t="s">
        <v>9</v>
      </c>
      <c r="V2" s="5">
        <v>45738</v>
      </c>
      <c r="W2" s="1" t="s">
        <v>10</v>
      </c>
      <c r="X2" s="8">
        <f>L2</f>
        <v>0.37662386993730979</v>
      </c>
      <c r="Y2" s="1"/>
      <c r="Z2" s="7">
        <f>Table50[[#Totals],[re-order cost]]/(Table50[[#Totals],[Usage]]/Z4)</f>
        <v>13.469807122907831</v>
      </c>
      <c r="AA2" s="1"/>
      <c r="AB2" s="9">
        <v>3</v>
      </c>
      <c r="AC2" s="9">
        <v>5</v>
      </c>
      <c r="AD2" s="1"/>
      <c r="AE2" s="1"/>
      <c r="AF2" s="1"/>
      <c r="AG2" s="1"/>
      <c r="AH2" s="1"/>
      <c r="AI2" s="1"/>
      <c r="AJ2" s="1"/>
      <c r="AK2" s="1"/>
      <c r="AL2" s="1">
        <v>100</v>
      </c>
      <c r="AM2" s="1"/>
    </row>
    <row r="3" spans="1:39" ht="24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s="10" t="s">
        <v>23</v>
      </c>
      <c r="N3" s="10" t="s">
        <v>24</v>
      </c>
      <c r="O3" s="10" t="s">
        <v>25</v>
      </c>
      <c r="P3" s="10" t="s">
        <v>26</v>
      </c>
      <c r="Q3" s="10" t="s">
        <v>27</v>
      </c>
      <c r="R3" s="11" t="s">
        <v>28</v>
      </c>
      <c r="S3" s="11" t="s">
        <v>29</v>
      </c>
      <c r="T3" s="10" t="s">
        <v>30</v>
      </c>
      <c r="U3" s="10" t="s">
        <v>31</v>
      </c>
      <c r="V3" s="10" t="s">
        <v>32</v>
      </c>
      <c r="W3" s="10" t="s">
        <v>33</v>
      </c>
      <c r="X3" s="10" t="s">
        <v>34</v>
      </c>
      <c r="Y3" s="12" t="s">
        <v>35</v>
      </c>
      <c r="Z3" s="10" t="s">
        <v>36</v>
      </c>
      <c r="AA3" s="10" t="s">
        <v>37</v>
      </c>
      <c r="AB3" s="10" t="s">
        <v>38</v>
      </c>
      <c r="AC3" s="10" t="s">
        <v>39</v>
      </c>
      <c r="AD3" s="13" t="s">
        <v>40</v>
      </c>
      <c r="AE3" s="13" t="s">
        <v>41</v>
      </c>
      <c r="AF3" s="10" t="s">
        <v>42</v>
      </c>
      <c r="AG3" s="10" t="s">
        <v>43</v>
      </c>
      <c r="AH3" s="10" t="s">
        <v>44</v>
      </c>
      <c r="AI3" s="10" t="s">
        <v>45</v>
      </c>
      <c r="AJ3" s="10" t="s">
        <v>46</v>
      </c>
      <c r="AK3" s="10" t="s">
        <v>47</v>
      </c>
      <c r="AL3" s="10" t="s">
        <v>48</v>
      </c>
      <c r="AM3" s="10" t="s">
        <v>49</v>
      </c>
    </row>
    <row r="4" spans="1:39" x14ac:dyDescent="0.25">
      <c r="A4" t="s">
        <v>50</v>
      </c>
      <c r="B4" t="s">
        <v>51</v>
      </c>
      <c r="C4" t="s">
        <v>52</v>
      </c>
      <c r="D4" t="s">
        <v>53</v>
      </c>
      <c r="E4">
        <v>0</v>
      </c>
      <c r="F4">
        <v>0</v>
      </c>
      <c r="G4">
        <v>24</v>
      </c>
      <c r="H4">
        <v>263.89</v>
      </c>
      <c r="I4">
        <v>25</v>
      </c>
      <c r="J4">
        <v>275</v>
      </c>
      <c r="K4">
        <f>Table50[[#This Row],[OpeningQty]]+Table50[[#This Row],[PurchasesQty]]-Table50[[#This Row],[ClosingQty]]</f>
        <v>-1</v>
      </c>
      <c r="L4">
        <v>-11.11</v>
      </c>
      <c r="M4" s="14">
        <f>Table50[[#This Row],[Usage]]/$L$1</f>
        <v>-1.6873861280153482E-5</v>
      </c>
      <c r="N4" s="15">
        <f>IFERROR(Table50[[#This Row],[Opening]]/Table50[[#This Row],[OpeningQty]],0)</f>
        <v>0</v>
      </c>
      <c r="O4" s="15">
        <f>IFERROR(Table50[[#This Row],[Purchases]]/Table50[[#This Row],[PurchasesQty]],0)</f>
        <v>10.995416666666666</v>
      </c>
      <c r="P4" s="15">
        <f>IFERROR(Table50[[#This Row],[Closing]]/Table50[[#This Row],[ClosingQty]],0)</f>
        <v>11</v>
      </c>
      <c r="Q4" s="15">
        <f>IFERROR(AVERAGEIF(Table50[[#This Row],[OPENING COST PRICE]:[CLOSING COST PRICE]],"&gt;0"),0)</f>
        <v>10.997708333333332</v>
      </c>
      <c r="R4" s="15">
        <f>IFERROR(Table50[[#This Row],[COST PRICE]]-IFERROR(Table50[[#This Row],[Usage]]/Table50[[#This Row],[UsageQty]],Table50[[#This Row],[COST PRICE]]),0)</f>
        <v>-0.11229166666666757</v>
      </c>
      <c r="S4" s="16">
        <f>IFERROR(Table50[[#This Row],[COST PRICE CHANGE]]/Table50[[#This Row],[OPENING COST PRICE]],0)</f>
        <v>0</v>
      </c>
      <c r="T4" s="15">
        <f>Table50[[#This Row],[ClosingQty]]-(Table50[[#This Row],[USAGE / DAY]]*(IF(Table50[[#This Row],[ccnt]]="BEV",Table50[[#This Row],[DELIVERY DAY]],Table50[[#This Row],[DELIVERY DAY]])))</f>
        <v>25.24</v>
      </c>
      <c r="U4" s="15">
        <f>ROUNDUP(Table50[[#This Row],[UsageQty]]/Table50[[#This Row],[DATA POINT]],2)</f>
        <v>-0.08</v>
      </c>
      <c r="V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" s="15">
        <f>IFERROR(Table50[[#This Row],[ORDER QTY]]*Table50[[#This Row],[COST PRICE]],0)</f>
        <v>0</v>
      </c>
      <c r="X4" s="15">
        <f>IFERROR(VLOOKUP(C4,[1]!Table49[[#All],[name]:[USAGE / DAY]],19,FALSE),1)</f>
        <v>0.27</v>
      </c>
      <c r="Y4" s="4">
        <f>IFERROR((Table50[[#This Row],[USAGE / DAY]]-Table50[[#This Row],[USAGE / DAY 2]])/Table50[[#This Row],[USAGE / DAY 2]],0)</f>
        <v>-1.2962962962962963</v>
      </c>
      <c r="Z4" s="15">
        <f t="shared" ref="Z4:Z67" si="0">_xlfn.DAYS($V$2,$V$1)</f>
        <v>14</v>
      </c>
      <c r="AA4" s="15">
        <f t="shared" ref="AA4:AA67" si="1">($R$2*$R$1)+$R$2</f>
        <v>9.311854181734148</v>
      </c>
      <c r="AB4" s="15">
        <f>IFERROR(IF(Table50[[#This Row],[ccnt]]="BEV",$AB$2,IF(Table50[[#This Row],[ccnt]]="FOOD",$AC$2,"ENTER # FROM LAST COUNT")),"ENTER # FROM LAST COUNT")</f>
        <v>3</v>
      </c>
      <c r="AC4" s="15">
        <f>(Table50[[#This Row],[OpeningQty]]+Table50[[#This Row],[ClosingQty]])/2</f>
        <v>12.5</v>
      </c>
      <c r="AD4" s="15">
        <f>IFERROR(Table50[[#This Row],[UsageQty]]/Table50[[#This Row],[AVE INVENTORY]],0)</f>
        <v>-0.08</v>
      </c>
      <c r="AE4" s="15">
        <f>IFERROR(Table50[[#This Row],[DATA POINT]]/Table50[[#This Row],[Inventory Turnover Rate]],0)</f>
        <v>-175</v>
      </c>
      <c r="AF4" s="15">
        <f>Table50[[#This Row],[ClosingQty]]/Table50[[#This Row],[USAGE / DAY]]</f>
        <v>-312.5</v>
      </c>
      <c r="AG4" s="15">
        <f>Table50[[#This Row],[USAGE / DAY]]*7</f>
        <v>-0.56000000000000005</v>
      </c>
      <c r="AH4" s="15">
        <f>Table50[[#This Row],[USAGE / DAY]]*3</f>
        <v>-0.24</v>
      </c>
      <c r="AI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" s="15">
        <f>IFERROR(Table50[[#This Row],[ORDER QTY2]]*Table50[[#This Row],[COST PRICE]],0)</f>
        <v>0</v>
      </c>
      <c r="AK4" s="15">
        <f>(Table50[[#This Row],[REORDER POINT]]*Table50[[#This Row],[COST PRICE]])+Table50[[#This Row],[ORDER COST]]</f>
        <v>277.58215833333327</v>
      </c>
      <c r="AL4" s="15">
        <f t="shared" ref="AL4:AL67" si="2">$AL$2</f>
        <v>100</v>
      </c>
      <c r="AM4" s="15">
        <f>IFERROR((Table50[[#This Row],[REORDER POINT]]+Table50[[#This Row],[ORDER QTY]])/(Table50[[#This Row],[USAGE / DAY]]*Table50[[#This Row],[DEMAND %]]),Table50[[#This Row],[REORDER POINT]]/Table50[[#This Row],[USAGE / DAY]])</f>
        <v>-315.5</v>
      </c>
    </row>
    <row r="5" spans="1:39" x14ac:dyDescent="0.25">
      <c r="A5" t="s">
        <v>50</v>
      </c>
      <c r="B5" t="s">
        <v>51</v>
      </c>
      <c r="C5" t="s">
        <v>54</v>
      </c>
      <c r="D5" t="s">
        <v>53</v>
      </c>
      <c r="E5">
        <v>18</v>
      </c>
      <c r="F5">
        <v>184.5</v>
      </c>
      <c r="G5">
        <v>24</v>
      </c>
      <c r="H5">
        <v>260.69</v>
      </c>
      <c r="I5">
        <v>17</v>
      </c>
      <c r="J5">
        <v>184.62</v>
      </c>
      <c r="K5">
        <f>Table50[[#This Row],[OpeningQty]]+Table50[[#This Row],[PurchasesQty]]-Table50[[#This Row],[ClosingQty]]</f>
        <v>25</v>
      </c>
      <c r="L5">
        <v>260.57</v>
      </c>
      <c r="M5" s="14">
        <f>Table50[[#This Row],[Usage]]/$L$1</f>
        <v>3.9575355839510288E-4</v>
      </c>
      <c r="N5" s="15">
        <f>IFERROR(Table50[[#This Row],[Opening]]/Table50[[#This Row],[OpeningQty]],0)</f>
        <v>10.25</v>
      </c>
      <c r="O5" s="15">
        <f>IFERROR(Table50[[#This Row],[Purchases]]/Table50[[#This Row],[PurchasesQty]],0)</f>
        <v>10.862083333333333</v>
      </c>
      <c r="P5" s="15">
        <f>IFERROR(Table50[[#This Row],[Closing]]/Table50[[#This Row],[ClosingQty]],0)</f>
        <v>10.86</v>
      </c>
      <c r="Q5" s="15">
        <f>IFERROR(AVERAGEIF(Table50[[#This Row],[OPENING COST PRICE]:[CLOSING COST PRICE]],"&gt;0"),0)</f>
        <v>10.65736111111111</v>
      </c>
      <c r="R5" s="15">
        <f>IFERROR(Table50[[#This Row],[COST PRICE]]-IFERROR(Table50[[#This Row],[Usage]]/Table50[[#This Row],[UsageQty]],Table50[[#This Row],[COST PRICE]]),0)</f>
        <v>0.234561111111109</v>
      </c>
      <c r="S5" s="16">
        <f>IFERROR(Table50[[#This Row],[COST PRICE CHANGE]]/Table50[[#This Row],[OPENING COST PRICE]],0)</f>
        <v>2.2884010840108195E-2</v>
      </c>
      <c r="T5" s="15">
        <f>Table50[[#This Row],[ClosingQty]]-(Table50[[#This Row],[USAGE / DAY]]*(IF(Table50[[#This Row],[ccnt]]="BEV",Table50[[#This Row],[DELIVERY DAY]],Table50[[#This Row],[DELIVERY DAY]])))</f>
        <v>11.629999999999999</v>
      </c>
      <c r="U5" s="15">
        <f>ROUNDUP(Table50[[#This Row],[UsageQty]]/Table50[[#This Row],[DATA POINT]],2)</f>
        <v>1.79</v>
      </c>
      <c r="V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6</v>
      </c>
      <c r="W5" s="15">
        <f>IFERROR(Table50[[#This Row],[ORDER QTY]]*Table50[[#This Row],[COST PRICE]],0)</f>
        <v>63.944166666666661</v>
      </c>
      <c r="X5" s="15">
        <f>IFERROR(VLOOKUP(C5,[1]!Table49[[#All],[name]:[USAGE / DAY]],19,FALSE),1)</f>
        <v>1.54</v>
      </c>
      <c r="Y5" s="4">
        <f>IFERROR((Table50[[#This Row],[USAGE / DAY]]-Table50[[#This Row],[USAGE / DAY 2]])/Table50[[#This Row],[USAGE / DAY 2]],0)</f>
        <v>0.16233766233766234</v>
      </c>
      <c r="Z5" s="15">
        <f t="shared" si="0"/>
        <v>14</v>
      </c>
      <c r="AA5" s="15">
        <f t="shared" si="1"/>
        <v>9.311854181734148</v>
      </c>
      <c r="AB5" s="15">
        <f>IFERROR(IF(Table50[[#This Row],[ccnt]]="BEV",$AB$2,IF(Table50[[#This Row],[ccnt]]="FOOD",$AC$2,"ENTER # FROM LAST COUNT")),"ENTER # FROM LAST COUNT")</f>
        <v>3</v>
      </c>
      <c r="AC5" s="15">
        <f>(Table50[[#This Row],[OpeningQty]]+Table50[[#This Row],[ClosingQty]])/2</f>
        <v>17.5</v>
      </c>
      <c r="AD5" s="15">
        <f>IFERROR(Table50[[#This Row],[UsageQty]]/Table50[[#This Row],[AVE INVENTORY]],0)</f>
        <v>1.4285714285714286</v>
      </c>
      <c r="AE5" s="15">
        <f>IFERROR(Table50[[#This Row],[DATA POINT]]/Table50[[#This Row],[Inventory Turnover Rate]],0)</f>
        <v>9.7999999999999989</v>
      </c>
      <c r="AF5" s="15">
        <f>Table50[[#This Row],[ClosingQty]]/Table50[[#This Row],[USAGE / DAY]]</f>
        <v>9.4972067039106136</v>
      </c>
      <c r="AG5" s="15">
        <f>Table50[[#This Row],[USAGE / DAY]]*7</f>
        <v>12.530000000000001</v>
      </c>
      <c r="AH5" s="15">
        <f>Table50[[#This Row],[USAGE / DAY]]*3</f>
        <v>5.37</v>
      </c>
      <c r="AI5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0.90000000000000213</v>
      </c>
      <c r="AJ5" s="15">
        <f>IFERROR(Table50[[#This Row],[ORDER QTY2]]*Table50[[#This Row],[COST PRICE]],0)</f>
        <v>9.5916250000000218</v>
      </c>
      <c r="AK5" s="15">
        <f>(Table50[[#This Row],[REORDER POINT]]*Table50[[#This Row],[COST PRICE]])+Table50[[#This Row],[ORDER COST]]</f>
        <v>187.88927638888885</v>
      </c>
      <c r="AL5" s="15">
        <f t="shared" si="2"/>
        <v>100</v>
      </c>
      <c r="AM5" s="15">
        <f>IFERROR((Table50[[#This Row],[REORDER POINT]]+Table50[[#This Row],[ORDER QTY]])/(Table50[[#This Row],[USAGE / DAY]]*Table50[[#This Row],[DEMAND %]]),Table50[[#This Row],[REORDER POINT]]/Table50[[#This Row],[USAGE / DAY]])</f>
        <v>9.8491620111731834E-2</v>
      </c>
    </row>
    <row r="6" spans="1:39" x14ac:dyDescent="0.25">
      <c r="A6" t="s">
        <v>50</v>
      </c>
      <c r="B6" t="s">
        <v>51</v>
      </c>
      <c r="C6" t="s">
        <v>55</v>
      </c>
      <c r="D6" t="s">
        <v>53</v>
      </c>
      <c r="E6">
        <v>19</v>
      </c>
      <c r="F6">
        <v>176.51</v>
      </c>
      <c r="G6">
        <v>0</v>
      </c>
      <c r="H6">
        <v>0</v>
      </c>
      <c r="I6">
        <v>9</v>
      </c>
      <c r="J6">
        <v>83.61</v>
      </c>
      <c r="K6">
        <f>Table50[[#This Row],[OpeningQty]]+Table50[[#This Row],[PurchasesQty]]-Table50[[#This Row],[ClosingQty]]</f>
        <v>10</v>
      </c>
      <c r="L6">
        <v>92.9</v>
      </c>
      <c r="M6" s="14">
        <f>Table50[[#This Row],[Usage]]/$L$1</f>
        <v>1.4109646380974425E-4</v>
      </c>
      <c r="N6" s="15">
        <f>IFERROR(Table50[[#This Row],[Opening]]/Table50[[#This Row],[OpeningQty]],0)</f>
        <v>9.2899999999999991</v>
      </c>
      <c r="O6" s="15">
        <f>IFERROR(Table50[[#This Row],[Purchases]]/Table50[[#This Row],[PurchasesQty]],0)</f>
        <v>0</v>
      </c>
      <c r="P6" s="15">
        <f>IFERROR(Table50[[#This Row],[Closing]]/Table50[[#This Row],[ClosingQty]],0)</f>
        <v>9.2899999999999991</v>
      </c>
      <c r="Q6" s="15">
        <f>IFERROR(AVERAGEIF(Table50[[#This Row],[OPENING COST PRICE]:[CLOSING COST PRICE]],"&gt;0"),0)</f>
        <v>9.2899999999999991</v>
      </c>
      <c r="R6" s="15">
        <f>IFERROR(Table50[[#This Row],[COST PRICE]]-IFERROR(Table50[[#This Row],[Usage]]/Table50[[#This Row],[UsageQty]],Table50[[#This Row],[COST PRICE]]),0)</f>
        <v>-1.7763568394002505E-15</v>
      </c>
      <c r="S6" s="16">
        <f>IFERROR(Table50[[#This Row],[COST PRICE CHANGE]]/Table50[[#This Row],[OPENING COST PRICE]],0)</f>
        <v>-1.912117157589075E-16</v>
      </c>
      <c r="T6" s="15">
        <f>Table50[[#This Row],[ClosingQty]]-(Table50[[#This Row],[USAGE / DAY]]*(IF(Table50[[#This Row],[ccnt]]="BEV",Table50[[#This Row],[DELIVERY DAY]],Table50[[#This Row],[DELIVERY DAY]])))</f>
        <v>6.84</v>
      </c>
      <c r="U6" s="15">
        <f>ROUNDUP(Table50[[#This Row],[UsageQty]]/Table50[[#This Row],[DATA POINT]],2)</f>
        <v>0.72</v>
      </c>
      <c r="V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6" s="15">
        <f>IFERROR(Table50[[#This Row],[ORDER QTY]]*Table50[[#This Row],[COST PRICE]],0)</f>
        <v>0</v>
      </c>
      <c r="X6" s="15">
        <f>IFERROR(VLOOKUP(C6,[1]!Table49[[#All],[name]:[USAGE / DAY]],19,FALSE),1)</f>
        <v>0.8</v>
      </c>
      <c r="Y6" s="4">
        <f>IFERROR((Table50[[#This Row],[USAGE / DAY]]-Table50[[#This Row],[USAGE / DAY 2]])/Table50[[#This Row],[USAGE / DAY 2]],0)</f>
        <v>-0.10000000000000009</v>
      </c>
      <c r="Z6" s="15">
        <f t="shared" si="0"/>
        <v>14</v>
      </c>
      <c r="AA6" s="15">
        <f t="shared" si="1"/>
        <v>9.311854181734148</v>
      </c>
      <c r="AB6" s="15">
        <f>IFERROR(IF(Table50[[#This Row],[ccnt]]="BEV",$AB$2,IF(Table50[[#This Row],[ccnt]]="FOOD",$AC$2,"ENTER # FROM LAST COUNT")),"ENTER # FROM LAST COUNT")</f>
        <v>3</v>
      </c>
      <c r="AC6" s="15">
        <f>(Table50[[#This Row],[OpeningQty]]+Table50[[#This Row],[ClosingQty]])/2</f>
        <v>14</v>
      </c>
      <c r="AD6" s="15">
        <f>IFERROR(Table50[[#This Row],[UsageQty]]/Table50[[#This Row],[AVE INVENTORY]],0)</f>
        <v>0.7142857142857143</v>
      </c>
      <c r="AE6" s="15">
        <f>IFERROR(Table50[[#This Row],[DATA POINT]]/Table50[[#This Row],[Inventory Turnover Rate]],0)</f>
        <v>19.599999999999998</v>
      </c>
      <c r="AF6" s="15">
        <f>Table50[[#This Row],[ClosingQty]]/Table50[[#This Row],[USAGE / DAY]]</f>
        <v>12.5</v>
      </c>
      <c r="AG6" s="15">
        <f>Table50[[#This Row],[USAGE / DAY]]*7</f>
        <v>5.04</v>
      </c>
      <c r="AH6" s="15">
        <f>Table50[[#This Row],[USAGE / DAY]]*3</f>
        <v>2.16</v>
      </c>
      <c r="AI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6" s="15">
        <f>IFERROR(Table50[[#This Row],[ORDER QTY2]]*Table50[[#This Row],[COST PRICE]],0)</f>
        <v>0</v>
      </c>
      <c r="AK6" s="15">
        <f>(Table50[[#This Row],[REORDER POINT]]*Table50[[#This Row],[COST PRICE]])+Table50[[#This Row],[ORDER COST]]</f>
        <v>63.543599999999991</v>
      </c>
      <c r="AL6" s="15">
        <f t="shared" si="2"/>
        <v>100</v>
      </c>
      <c r="AM6" s="15">
        <f>IFERROR((Table50[[#This Row],[REORDER POINT]]+Table50[[#This Row],[ORDER QTY]])/(Table50[[#This Row],[USAGE / DAY]]*Table50[[#This Row],[DEMAND %]]),Table50[[#This Row],[REORDER POINT]]/Table50[[#This Row],[USAGE / DAY]])</f>
        <v>9.5</v>
      </c>
    </row>
    <row r="7" spans="1:39" x14ac:dyDescent="0.25">
      <c r="A7" t="s">
        <v>50</v>
      </c>
      <c r="B7" t="s">
        <v>51</v>
      </c>
      <c r="C7" t="s">
        <v>56</v>
      </c>
      <c r="D7" t="s">
        <v>53</v>
      </c>
      <c r="E7">
        <v>18</v>
      </c>
      <c r="F7">
        <v>157.13999999999999</v>
      </c>
      <c r="G7">
        <v>12</v>
      </c>
      <c r="H7">
        <v>112.28</v>
      </c>
      <c r="I7">
        <v>30</v>
      </c>
      <c r="J7">
        <v>280.8</v>
      </c>
      <c r="K7">
        <f>Table50[[#This Row],[OpeningQty]]+Table50[[#This Row],[PurchasesQty]]-Table50[[#This Row],[ClosingQty]]</f>
        <v>0</v>
      </c>
      <c r="L7">
        <v>-11.38</v>
      </c>
      <c r="M7" s="14">
        <f>Table50[[#This Row],[Usage]]/$L$1</f>
        <v>-1.7283937116844882E-5</v>
      </c>
      <c r="N7" s="15">
        <f>IFERROR(Table50[[#This Row],[Opening]]/Table50[[#This Row],[OpeningQty]],0)</f>
        <v>8.7299999999999986</v>
      </c>
      <c r="O7" s="15">
        <f>IFERROR(Table50[[#This Row],[Purchases]]/Table50[[#This Row],[PurchasesQty]],0)</f>
        <v>9.3566666666666674</v>
      </c>
      <c r="P7" s="15">
        <f>IFERROR(Table50[[#This Row],[Closing]]/Table50[[#This Row],[ClosingQty]],0)</f>
        <v>9.3600000000000012</v>
      </c>
      <c r="Q7" s="15">
        <f>IFERROR(AVERAGEIF(Table50[[#This Row],[OPENING COST PRICE]:[CLOSING COST PRICE]],"&gt;0"),0)</f>
        <v>9.1488888888888891</v>
      </c>
      <c r="R7" s="15">
        <f>IFERROR(Table50[[#This Row],[COST PRICE]]-IFERROR(Table50[[#This Row],[Usage]]/Table50[[#This Row],[UsageQty]],Table50[[#This Row],[COST PRICE]]),0)</f>
        <v>0</v>
      </c>
      <c r="S7" s="16">
        <f>IFERROR(Table50[[#This Row],[COST PRICE CHANGE]]/Table50[[#This Row],[OPENING COST PRICE]],0)</f>
        <v>0</v>
      </c>
      <c r="T7" s="15">
        <f>Table50[[#This Row],[ClosingQty]]-(Table50[[#This Row],[USAGE / DAY]]*(IF(Table50[[#This Row],[ccnt]]="BEV",Table50[[#This Row],[DELIVERY DAY]],Table50[[#This Row],[DELIVERY DAY]])))</f>
        <v>30</v>
      </c>
      <c r="U7" s="15">
        <f>ROUNDUP(Table50[[#This Row],[UsageQty]]/Table50[[#This Row],[DATA POINT]],2)</f>
        <v>0</v>
      </c>
      <c r="V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7" s="15">
        <f>IFERROR(Table50[[#This Row],[ORDER QTY]]*Table50[[#This Row],[COST PRICE]],0)</f>
        <v>0</v>
      </c>
      <c r="X7" s="15">
        <f>IFERROR(VLOOKUP(C7,[1]!Table49[[#All],[name]:[USAGE / DAY]],19,FALSE),1)</f>
        <v>0</v>
      </c>
      <c r="Y7" s="4">
        <f>IFERROR((Table50[[#This Row],[USAGE / DAY]]-Table50[[#This Row],[USAGE / DAY 2]])/Table50[[#This Row],[USAGE / DAY 2]],0)</f>
        <v>0</v>
      </c>
      <c r="Z7" s="15">
        <f t="shared" si="0"/>
        <v>14</v>
      </c>
      <c r="AA7" s="15">
        <f t="shared" si="1"/>
        <v>9.311854181734148</v>
      </c>
      <c r="AB7" s="15">
        <f>IFERROR(IF(Table50[[#This Row],[ccnt]]="BEV",$AB$2,IF(Table50[[#This Row],[ccnt]]="FOOD",$AC$2,"ENTER # FROM LAST COUNT")),"ENTER # FROM LAST COUNT")</f>
        <v>3</v>
      </c>
      <c r="AC7" s="15">
        <f>(Table50[[#This Row],[OpeningQty]]+Table50[[#This Row],[ClosingQty]])/2</f>
        <v>24</v>
      </c>
      <c r="AD7" s="15">
        <f>IFERROR(Table50[[#This Row],[UsageQty]]/Table50[[#This Row],[AVE INVENTORY]],0)</f>
        <v>0</v>
      </c>
      <c r="AE7" s="15">
        <f>IFERROR(Table50[[#This Row],[DATA POINT]]/Table50[[#This Row],[Inventory Turnover Rate]],0)</f>
        <v>0</v>
      </c>
      <c r="AF7" s="15" t="e">
        <f>Table50[[#This Row],[ClosingQty]]/Table50[[#This Row],[USAGE / DAY]]</f>
        <v>#DIV/0!</v>
      </c>
      <c r="AG7" s="15">
        <f>Table50[[#This Row],[USAGE / DAY]]*7</f>
        <v>0</v>
      </c>
      <c r="AH7" s="15">
        <f>Table50[[#This Row],[USAGE / DAY]]*3</f>
        <v>0</v>
      </c>
      <c r="AI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7" s="15">
        <f>IFERROR(Table50[[#This Row],[ORDER QTY2]]*Table50[[#This Row],[COST PRICE]],0)</f>
        <v>0</v>
      </c>
      <c r="AK7" s="15">
        <f>(Table50[[#This Row],[REORDER POINT]]*Table50[[#This Row],[COST PRICE]])+Table50[[#This Row],[ORDER COST]]</f>
        <v>274.4666666666667</v>
      </c>
      <c r="AL7" s="15">
        <f t="shared" si="2"/>
        <v>100</v>
      </c>
      <c r="AM7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8" spans="1:39" x14ac:dyDescent="0.25">
      <c r="A8" t="s">
        <v>50</v>
      </c>
      <c r="B8" t="s">
        <v>51</v>
      </c>
      <c r="C8" t="s">
        <v>57</v>
      </c>
      <c r="D8" t="s">
        <v>53</v>
      </c>
      <c r="E8">
        <v>16</v>
      </c>
      <c r="F8">
        <v>186.24</v>
      </c>
      <c r="G8">
        <v>20</v>
      </c>
      <c r="H8">
        <v>260.69</v>
      </c>
      <c r="I8">
        <v>16</v>
      </c>
      <c r="J8">
        <v>173.76</v>
      </c>
      <c r="K8">
        <f>Table50[[#This Row],[OpeningQty]]+Table50[[#This Row],[PurchasesQty]]-Table50[[#This Row],[ClosingQty]]</f>
        <v>20</v>
      </c>
      <c r="L8">
        <v>273.17</v>
      </c>
      <c r="M8" s="14">
        <f>Table50[[#This Row],[Usage]]/$L$1</f>
        <v>4.1489043077403483E-4</v>
      </c>
      <c r="N8" s="15">
        <f>IFERROR(Table50[[#This Row],[Opening]]/Table50[[#This Row],[OpeningQty]],0)</f>
        <v>11.64</v>
      </c>
      <c r="O8" s="15">
        <f>IFERROR(Table50[[#This Row],[Purchases]]/Table50[[#This Row],[PurchasesQty]],0)</f>
        <v>13.0345</v>
      </c>
      <c r="P8" s="15">
        <f>IFERROR(Table50[[#This Row],[Closing]]/Table50[[#This Row],[ClosingQty]],0)</f>
        <v>10.86</v>
      </c>
      <c r="Q8" s="15">
        <f>IFERROR(AVERAGEIF(Table50[[#This Row],[OPENING COST PRICE]:[CLOSING COST PRICE]],"&gt;0"),0)</f>
        <v>11.844833333333334</v>
      </c>
      <c r="R8" s="15">
        <f>IFERROR(Table50[[#This Row],[COST PRICE]]-IFERROR(Table50[[#This Row],[Usage]]/Table50[[#This Row],[UsageQty]],Table50[[#This Row],[COST PRICE]]),0)</f>
        <v>-1.8136666666666663</v>
      </c>
      <c r="S8" s="16">
        <f>IFERROR(Table50[[#This Row],[COST PRICE CHANGE]]/Table50[[#This Row],[OPENING COST PRICE]],0)</f>
        <v>-0.15581328751431842</v>
      </c>
      <c r="T8" s="15">
        <f>Table50[[#This Row],[ClosingQty]]-(Table50[[#This Row],[USAGE / DAY]]*(IF(Table50[[#This Row],[ccnt]]="BEV",Table50[[#This Row],[DELIVERY DAY]],Table50[[#This Row],[DELIVERY DAY]])))</f>
        <v>11.71</v>
      </c>
      <c r="U8" s="15">
        <f>ROUNDUP(Table50[[#This Row],[UsageQty]]/Table50[[#This Row],[DATA POINT]],2)</f>
        <v>1.43</v>
      </c>
      <c r="V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8" s="15">
        <f>IFERROR(Table50[[#This Row],[ORDER QTY]]*Table50[[#This Row],[COST PRICE]],0)</f>
        <v>23.689666666666668</v>
      </c>
      <c r="X8" s="15">
        <f>IFERROR(VLOOKUP(C8,[1]!Table49[[#All],[name]:[USAGE / DAY]],19,FALSE),1)</f>
        <v>2.0699999999999998</v>
      </c>
      <c r="Y8" s="4">
        <f>IFERROR((Table50[[#This Row],[USAGE / DAY]]-Table50[[#This Row],[USAGE / DAY 2]])/Table50[[#This Row],[USAGE / DAY 2]],0)</f>
        <v>-0.30917874396135264</v>
      </c>
      <c r="Z8" s="15">
        <f t="shared" si="0"/>
        <v>14</v>
      </c>
      <c r="AA8" s="15">
        <f t="shared" si="1"/>
        <v>9.311854181734148</v>
      </c>
      <c r="AB8" s="15">
        <f>IFERROR(IF(Table50[[#This Row],[ccnt]]="BEV",$AB$2,IF(Table50[[#This Row],[ccnt]]="FOOD",$AC$2,"ENTER # FROM LAST COUNT")),"ENTER # FROM LAST COUNT")</f>
        <v>3</v>
      </c>
      <c r="AC8" s="15">
        <f>(Table50[[#This Row],[OpeningQty]]+Table50[[#This Row],[ClosingQty]])/2</f>
        <v>16</v>
      </c>
      <c r="AD8" s="15">
        <f>IFERROR(Table50[[#This Row],[UsageQty]]/Table50[[#This Row],[AVE INVENTORY]],0)</f>
        <v>1.25</v>
      </c>
      <c r="AE8" s="15">
        <f>IFERROR(Table50[[#This Row],[DATA POINT]]/Table50[[#This Row],[Inventory Turnover Rate]],0)</f>
        <v>11.2</v>
      </c>
      <c r="AF8" s="15">
        <f>Table50[[#This Row],[ClosingQty]]/Table50[[#This Row],[USAGE / DAY]]</f>
        <v>11.18881118881119</v>
      </c>
      <c r="AG8" s="15">
        <f>Table50[[#This Row],[USAGE / DAY]]*7</f>
        <v>10.01</v>
      </c>
      <c r="AH8" s="15">
        <f>Table50[[#This Row],[USAGE / DAY]]*3</f>
        <v>4.29</v>
      </c>
      <c r="AI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" s="15">
        <f>IFERROR(Table50[[#This Row],[ORDER QTY2]]*Table50[[#This Row],[COST PRICE]],0)</f>
        <v>0</v>
      </c>
      <c r="AK8" s="15">
        <f>(Table50[[#This Row],[REORDER POINT]]*Table50[[#This Row],[COST PRICE]])+Table50[[#This Row],[ORDER COST]]</f>
        <v>162.39266500000002</v>
      </c>
      <c r="AL8" s="15">
        <f t="shared" si="2"/>
        <v>100</v>
      </c>
      <c r="AM8" s="15">
        <f>IFERROR((Table50[[#This Row],[REORDER POINT]]+Table50[[#This Row],[ORDER QTY]])/(Table50[[#This Row],[USAGE / DAY]]*Table50[[#This Row],[DEMAND %]]),Table50[[#This Row],[REORDER POINT]]/Table50[[#This Row],[USAGE / DAY]])</f>
        <v>9.5874125874125873E-2</v>
      </c>
    </row>
    <row r="9" spans="1:39" x14ac:dyDescent="0.25">
      <c r="A9" t="s">
        <v>50</v>
      </c>
      <c r="B9" t="s">
        <v>51</v>
      </c>
      <c r="C9" t="s">
        <v>58</v>
      </c>
      <c r="D9" t="s">
        <v>53</v>
      </c>
      <c r="E9">
        <v>13</v>
      </c>
      <c r="F9">
        <v>170.95</v>
      </c>
      <c r="G9">
        <v>24</v>
      </c>
      <c r="H9">
        <v>315.64999999999998</v>
      </c>
      <c r="I9">
        <v>8</v>
      </c>
      <c r="J9">
        <v>105.2</v>
      </c>
      <c r="K9">
        <f>Table50[[#This Row],[OpeningQty]]+Table50[[#This Row],[PurchasesQty]]-Table50[[#This Row],[ClosingQty]]</f>
        <v>29</v>
      </c>
      <c r="L9">
        <v>381.4</v>
      </c>
      <c r="M9" s="14">
        <f>Table50[[#This Row],[Usage]]/$L$1</f>
        <v>5.7927008931147955E-4</v>
      </c>
      <c r="N9" s="15">
        <f>IFERROR(Table50[[#This Row],[Opening]]/Table50[[#This Row],[OpeningQty]],0)</f>
        <v>13.149999999999999</v>
      </c>
      <c r="O9" s="15">
        <f>IFERROR(Table50[[#This Row],[Purchases]]/Table50[[#This Row],[PurchasesQty]],0)</f>
        <v>13.152083333333332</v>
      </c>
      <c r="P9" s="15">
        <f>IFERROR(Table50[[#This Row],[Closing]]/Table50[[#This Row],[ClosingQty]],0)</f>
        <v>13.15</v>
      </c>
      <c r="Q9" s="15">
        <f>IFERROR(AVERAGEIF(Table50[[#This Row],[OPENING COST PRICE]:[CLOSING COST PRICE]],"&gt;0"),0)</f>
        <v>13.150694444444442</v>
      </c>
      <c r="R9" s="15">
        <f>IFERROR(Table50[[#This Row],[COST PRICE]]-IFERROR(Table50[[#This Row],[Usage]]/Table50[[#This Row],[UsageQty]],Table50[[#This Row],[COST PRICE]]),0)</f>
        <v>-1.0296934865916541E-3</v>
      </c>
      <c r="S9" s="16">
        <f>IFERROR(Table50[[#This Row],[COST PRICE CHANGE]]/Table50[[#This Row],[OPENING COST PRICE]],0)</f>
        <v>-7.8303687193281688E-5</v>
      </c>
      <c r="T9" s="15">
        <f>Table50[[#This Row],[ClosingQty]]-(Table50[[#This Row],[USAGE / DAY]]*(IF(Table50[[#This Row],[ccnt]]="BEV",Table50[[#This Row],[DELIVERY DAY]],Table50[[#This Row],[DELIVERY DAY]])))</f>
        <v>1.7600000000000016</v>
      </c>
      <c r="U9" s="15">
        <f>ROUNDUP(Table50[[#This Row],[UsageQty]]/Table50[[#This Row],[DATA POINT]],2)</f>
        <v>2.0799999999999996</v>
      </c>
      <c r="V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18</v>
      </c>
      <c r="W9" s="15">
        <f>IFERROR(Table50[[#This Row],[ORDER QTY]]*Table50[[#This Row],[COST PRICE]],0)</f>
        <v>236.71249999999995</v>
      </c>
      <c r="X9" s="15">
        <f>IFERROR(VLOOKUP(C9,[1]!Table49[[#All],[name]:[USAGE / DAY]],19,FALSE),1)</f>
        <v>1.87</v>
      </c>
      <c r="Y9" s="4">
        <f>IFERROR((Table50[[#This Row],[USAGE / DAY]]-Table50[[#This Row],[USAGE / DAY 2]])/Table50[[#This Row],[USAGE / DAY 2]],0)</f>
        <v>0.11229946524064145</v>
      </c>
      <c r="Z9" s="15">
        <f t="shared" si="0"/>
        <v>14</v>
      </c>
      <c r="AA9" s="15">
        <f t="shared" si="1"/>
        <v>9.311854181734148</v>
      </c>
      <c r="AB9" s="15">
        <f>IFERROR(IF(Table50[[#This Row],[ccnt]]="BEV",$AB$2,IF(Table50[[#This Row],[ccnt]]="FOOD",$AC$2,"ENTER # FROM LAST COUNT")),"ENTER # FROM LAST COUNT")</f>
        <v>3</v>
      </c>
      <c r="AC9" s="15">
        <f>(Table50[[#This Row],[OpeningQty]]+Table50[[#This Row],[ClosingQty]])/2</f>
        <v>10.5</v>
      </c>
      <c r="AD9" s="15">
        <f>IFERROR(Table50[[#This Row],[UsageQty]]/Table50[[#This Row],[AVE INVENTORY]],0)</f>
        <v>2.7619047619047619</v>
      </c>
      <c r="AE9" s="15">
        <f>IFERROR(Table50[[#This Row],[DATA POINT]]/Table50[[#This Row],[Inventory Turnover Rate]],0)</f>
        <v>5.068965517241379</v>
      </c>
      <c r="AF9" s="15">
        <f>Table50[[#This Row],[ClosingQty]]/Table50[[#This Row],[USAGE / DAY]]</f>
        <v>3.8461538461538467</v>
      </c>
      <c r="AG9" s="15">
        <f>Table50[[#This Row],[USAGE / DAY]]*7</f>
        <v>14.559999999999997</v>
      </c>
      <c r="AH9" s="15">
        <f>Table50[[#This Row],[USAGE / DAY]]*3</f>
        <v>6.2399999999999984</v>
      </c>
      <c r="AI9" s="15">
        <f>IF(Table50[[#This Row],[FORECASTED DEMAND]]+Table50[[#This Row],[SAFETY STOCK]]-Table50[[#This Row],[ClosingQty]]&gt;0,Table50[[#This Row],[FORECASTED DEMAND]]+Table50[[#This Row],[SAFETY STOCK]]-Table50[[#This Row],[ClosingQty]],"NO ORDER")</f>
        <v>12.799999999999997</v>
      </c>
      <c r="AJ9" s="15">
        <f>IFERROR(Table50[[#This Row],[ORDER QTY2]]*Table50[[#This Row],[COST PRICE]],0)</f>
        <v>168.32888888888883</v>
      </c>
      <c r="AK9" s="15">
        <f>(Table50[[#This Row],[REORDER POINT]]*Table50[[#This Row],[COST PRICE]])+Table50[[#This Row],[ORDER COST]]</f>
        <v>259.85772222222221</v>
      </c>
      <c r="AL9" s="15">
        <f t="shared" si="2"/>
        <v>100</v>
      </c>
      <c r="AM9" s="15">
        <f>IFERROR((Table50[[#This Row],[REORDER POINT]]+Table50[[#This Row],[ORDER QTY]])/(Table50[[#This Row],[USAGE / DAY]]*Table50[[#This Row],[DEMAND %]]),Table50[[#This Row],[REORDER POINT]]/Table50[[#This Row],[USAGE / DAY]])</f>
        <v>9.5000000000000015E-2</v>
      </c>
    </row>
    <row r="10" spans="1:39" x14ac:dyDescent="0.25">
      <c r="A10" t="s">
        <v>50</v>
      </c>
      <c r="B10" t="s">
        <v>51</v>
      </c>
      <c r="C10" t="s">
        <v>59</v>
      </c>
      <c r="D10" t="s">
        <v>60</v>
      </c>
      <c r="E10">
        <v>52</v>
      </c>
      <c r="F10">
        <v>1586</v>
      </c>
      <c r="G10">
        <v>100</v>
      </c>
      <c r="H10">
        <v>2670.21</v>
      </c>
      <c r="I10">
        <v>90.16</v>
      </c>
      <c r="J10">
        <v>2422.6</v>
      </c>
      <c r="K10">
        <f>Table50[[#This Row],[OpeningQty]]+Table50[[#This Row],[PurchasesQty]]-Table50[[#This Row],[ClosingQty]]</f>
        <v>61.84</v>
      </c>
      <c r="L10">
        <v>1833.61</v>
      </c>
      <c r="M10" s="14">
        <f>Table50[[#This Row],[Usage]]/$L$1</f>
        <v>2.7848857589470948E-3</v>
      </c>
      <c r="N10" s="15">
        <f>IFERROR(Table50[[#This Row],[Opening]]/Table50[[#This Row],[OpeningQty]],0)</f>
        <v>30.5</v>
      </c>
      <c r="O10" s="15">
        <f>IFERROR(Table50[[#This Row],[Purchases]]/Table50[[#This Row],[PurchasesQty]],0)</f>
        <v>26.702100000000002</v>
      </c>
      <c r="P10" s="15">
        <f>IFERROR(Table50[[#This Row],[Closing]]/Table50[[#This Row],[ClosingQty]],0)</f>
        <v>26.870008873114465</v>
      </c>
      <c r="Q10" s="15">
        <f>IFERROR(AVERAGEIF(Table50[[#This Row],[OPENING COST PRICE]:[CLOSING COST PRICE]],"&gt;0"),0)</f>
        <v>28.024036291038158</v>
      </c>
      <c r="R10" s="15">
        <f>IFERROR(Table50[[#This Row],[COST PRICE]]-IFERROR(Table50[[#This Row],[Usage]]/Table50[[#This Row],[UsageQty]],Table50[[#This Row],[COST PRICE]]),0)</f>
        <v>-1.6268369301778804</v>
      </c>
      <c r="S10" s="16">
        <f>IFERROR(Table50[[#This Row],[COST PRICE CHANGE]]/Table50[[#This Row],[OPENING COST PRICE]],0)</f>
        <v>-5.3338915743537066E-2</v>
      </c>
      <c r="T10" s="15">
        <f>Table50[[#This Row],[ClosingQty]]-(Table50[[#This Row],[USAGE / DAY]]*(IF(Table50[[#This Row],[ccnt]]="BEV",Table50[[#This Row],[DELIVERY DAY]],Table50[[#This Row],[DELIVERY DAY]])))</f>
        <v>76.899999999999991</v>
      </c>
      <c r="U10" s="15">
        <f>ROUNDUP(Table50[[#This Row],[UsageQty]]/Table50[[#This Row],[DATA POINT]],2)</f>
        <v>4.42</v>
      </c>
      <c r="V1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0" s="15">
        <f>IFERROR(Table50[[#This Row],[ORDER QTY]]*Table50[[#This Row],[COST PRICE]],0)</f>
        <v>0</v>
      </c>
      <c r="X10" s="15">
        <f>IFERROR(VLOOKUP(C10,[1]!Table49[[#All],[name]:[USAGE / DAY]],19,FALSE),1)</f>
        <v>4.4000000000000004</v>
      </c>
      <c r="Y10" s="4">
        <f>IFERROR((Table50[[#This Row],[USAGE / DAY]]-Table50[[#This Row],[USAGE / DAY 2]])/Table50[[#This Row],[USAGE / DAY 2]],0)</f>
        <v>4.5454545454544481E-3</v>
      </c>
      <c r="Z10" s="15">
        <f t="shared" si="0"/>
        <v>14</v>
      </c>
      <c r="AA10" s="15">
        <f t="shared" si="1"/>
        <v>9.311854181734148</v>
      </c>
      <c r="AB10" s="15">
        <f>IFERROR(IF(Table50[[#This Row],[ccnt]]="BEV",$AB$2,IF(Table50[[#This Row],[ccnt]]="FOOD",$AC$2,"ENTER # FROM LAST COUNT")),"ENTER # FROM LAST COUNT")</f>
        <v>3</v>
      </c>
      <c r="AC10" s="15">
        <f>(Table50[[#This Row],[OpeningQty]]+Table50[[#This Row],[ClosingQty]])/2</f>
        <v>71.08</v>
      </c>
      <c r="AD10" s="15">
        <f>IFERROR(Table50[[#This Row],[UsageQty]]/Table50[[#This Row],[AVE INVENTORY]],0)</f>
        <v>0.87000562746201471</v>
      </c>
      <c r="AE10" s="15">
        <f>IFERROR(Table50[[#This Row],[DATA POINT]]/Table50[[#This Row],[Inventory Turnover Rate]],0)</f>
        <v>16.091849935316947</v>
      </c>
      <c r="AF10" s="15">
        <f>Table50[[#This Row],[ClosingQty]]/Table50[[#This Row],[USAGE / DAY]]</f>
        <v>20.398190045248867</v>
      </c>
      <c r="AG10" s="15">
        <f>Table50[[#This Row],[USAGE / DAY]]*7</f>
        <v>30.939999999999998</v>
      </c>
      <c r="AH10" s="15">
        <f>Table50[[#This Row],[USAGE / DAY]]*3</f>
        <v>13.26</v>
      </c>
      <c r="AI1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" s="15">
        <f>IFERROR(Table50[[#This Row],[ORDER QTY2]]*Table50[[#This Row],[COST PRICE]],0)</f>
        <v>0</v>
      </c>
      <c r="AK10" s="15">
        <f>(Table50[[#This Row],[REORDER POINT]]*Table50[[#This Row],[COST PRICE]])+Table50[[#This Row],[ORDER COST]]</f>
        <v>2155.0483907808339</v>
      </c>
      <c r="AL10" s="15">
        <f t="shared" si="2"/>
        <v>100</v>
      </c>
      <c r="AM10" s="15">
        <f>IFERROR((Table50[[#This Row],[REORDER POINT]]+Table50[[#This Row],[ORDER QTY]])/(Table50[[#This Row],[USAGE / DAY]]*Table50[[#This Row],[DEMAND %]]),Table50[[#This Row],[REORDER POINT]]/Table50[[#This Row],[USAGE / DAY]])</f>
        <v>17.398190045248867</v>
      </c>
    </row>
    <row r="11" spans="1:39" x14ac:dyDescent="0.25">
      <c r="A11" t="s">
        <v>50</v>
      </c>
      <c r="B11" t="s">
        <v>51</v>
      </c>
      <c r="C11" t="s">
        <v>61</v>
      </c>
      <c r="D11" t="s">
        <v>62</v>
      </c>
      <c r="E11">
        <v>20</v>
      </c>
      <c r="F11">
        <v>784.4</v>
      </c>
      <c r="G11">
        <v>46</v>
      </c>
      <c r="H11">
        <v>1626.94</v>
      </c>
      <c r="I11">
        <v>35</v>
      </c>
      <c r="J11">
        <v>1372.7</v>
      </c>
      <c r="K11">
        <f>Table50[[#This Row],[OpeningQty]]+Table50[[#This Row],[PurchasesQty]]-Table50[[#This Row],[ClosingQty]]</f>
        <v>31</v>
      </c>
      <c r="L11">
        <v>1038.6400000000001</v>
      </c>
      <c r="M11" s="14">
        <f>Table50[[#This Row],[Usage]]/$L$1</f>
        <v>1.5774858037820535E-3</v>
      </c>
      <c r="N11" s="15">
        <f>IFERROR(Table50[[#This Row],[Opening]]/Table50[[#This Row],[OpeningQty]],0)</f>
        <v>39.22</v>
      </c>
      <c r="O11" s="15">
        <f>IFERROR(Table50[[#This Row],[Purchases]]/Table50[[#This Row],[PurchasesQty]],0)</f>
        <v>35.368260869565219</v>
      </c>
      <c r="P11" s="15">
        <f>IFERROR(Table50[[#This Row],[Closing]]/Table50[[#This Row],[ClosingQty]],0)</f>
        <v>39.22</v>
      </c>
      <c r="Q11" s="15">
        <f>IFERROR(AVERAGEIF(Table50[[#This Row],[OPENING COST PRICE]:[CLOSING COST PRICE]],"&gt;0"),0)</f>
        <v>37.936086956521741</v>
      </c>
      <c r="R11" s="15">
        <f>IFERROR(Table50[[#This Row],[COST PRICE]]-IFERROR(Table50[[#This Row],[Usage]]/Table50[[#This Row],[UsageQty]],Table50[[#This Row],[COST PRICE]]),0)</f>
        <v>4.4315708274894803</v>
      </c>
      <c r="S11" s="16">
        <f>IFERROR(Table50[[#This Row],[COST PRICE CHANGE]]/Table50[[#This Row],[OPENING COST PRICE]],0)</f>
        <v>0.11299262691202143</v>
      </c>
      <c r="T11" s="15">
        <f>Table50[[#This Row],[ClosingQty]]-(Table50[[#This Row],[USAGE / DAY]]*(IF(Table50[[#This Row],[ccnt]]="BEV",Table50[[#This Row],[DELIVERY DAY]],Table50[[#This Row],[DELIVERY DAY]])))</f>
        <v>28.34</v>
      </c>
      <c r="U11" s="15">
        <f>ROUNDUP(Table50[[#This Row],[UsageQty]]/Table50[[#This Row],[DATA POINT]],2)</f>
        <v>2.2199999999999998</v>
      </c>
      <c r="V1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1" s="15">
        <f>IFERROR(Table50[[#This Row],[ORDER QTY]]*Table50[[#This Row],[COST PRICE]],0)</f>
        <v>0</v>
      </c>
      <c r="X11" s="15">
        <f>IFERROR(VLOOKUP(C11,[1]!Table49[[#All],[name]:[USAGE / DAY]],19,FALSE),1)</f>
        <v>2.67</v>
      </c>
      <c r="Y11" s="4">
        <f>IFERROR((Table50[[#This Row],[USAGE / DAY]]-Table50[[#This Row],[USAGE / DAY 2]])/Table50[[#This Row],[USAGE / DAY 2]],0)</f>
        <v>-0.16853932584269671</v>
      </c>
      <c r="Z11" s="15">
        <f t="shared" si="0"/>
        <v>14</v>
      </c>
      <c r="AA11" s="15">
        <f t="shared" si="1"/>
        <v>9.311854181734148</v>
      </c>
      <c r="AB11" s="15">
        <f>IFERROR(IF(Table50[[#This Row],[ccnt]]="BEV",$AB$2,IF(Table50[[#This Row],[ccnt]]="FOOD",$AC$2,"ENTER # FROM LAST COUNT")),"ENTER # FROM LAST COUNT")</f>
        <v>3</v>
      </c>
      <c r="AC11" s="15">
        <f>(Table50[[#This Row],[OpeningQty]]+Table50[[#This Row],[ClosingQty]])/2</f>
        <v>27.5</v>
      </c>
      <c r="AD11" s="15">
        <f>IFERROR(Table50[[#This Row],[UsageQty]]/Table50[[#This Row],[AVE INVENTORY]],0)</f>
        <v>1.1272727272727272</v>
      </c>
      <c r="AE11" s="15">
        <f>IFERROR(Table50[[#This Row],[DATA POINT]]/Table50[[#This Row],[Inventory Turnover Rate]],0)</f>
        <v>12.419354838709678</v>
      </c>
      <c r="AF11" s="15">
        <f>Table50[[#This Row],[ClosingQty]]/Table50[[#This Row],[USAGE / DAY]]</f>
        <v>15.765765765765767</v>
      </c>
      <c r="AG11" s="15">
        <f>Table50[[#This Row],[USAGE / DAY]]*7</f>
        <v>15.54</v>
      </c>
      <c r="AH11" s="15">
        <f>Table50[[#This Row],[USAGE / DAY]]*3</f>
        <v>6.6599999999999993</v>
      </c>
      <c r="AI1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1" s="15">
        <f>IFERROR(Table50[[#This Row],[ORDER QTY2]]*Table50[[#This Row],[COST PRICE]],0)</f>
        <v>0</v>
      </c>
      <c r="AK11" s="15">
        <f>(Table50[[#This Row],[REORDER POINT]]*Table50[[#This Row],[COST PRICE]])+Table50[[#This Row],[ORDER COST]]</f>
        <v>1075.1087043478262</v>
      </c>
      <c r="AL11" s="15">
        <f t="shared" si="2"/>
        <v>100</v>
      </c>
      <c r="AM11" s="15">
        <f>IFERROR((Table50[[#This Row],[REORDER POINT]]+Table50[[#This Row],[ORDER QTY]])/(Table50[[#This Row],[USAGE / DAY]]*Table50[[#This Row],[DEMAND %]]),Table50[[#This Row],[REORDER POINT]]/Table50[[#This Row],[USAGE / DAY]])</f>
        <v>12.765765765765767</v>
      </c>
    </row>
    <row r="12" spans="1:39" x14ac:dyDescent="0.25">
      <c r="A12" t="s">
        <v>50</v>
      </c>
      <c r="B12" t="s">
        <v>51</v>
      </c>
      <c r="C12" t="s">
        <v>63</v>
      </c>
      <c r="D12" t="s">
        <v>53</v>
      </c>
      <c r="E12">
        <v>23</v>
      </c>
      <c r="F12">
        <v>247.48</v>
      </c>
      <c r="G12">
        <v>0</v>
      </c>
      <c r="H12">
        <v>0</v>
      </c>
      <c r="I12">
        <v>8</v>
      </c>
      <c r="J12">
        <v>86.08</v>
      </c>
      <c r="K12">
        <f>Table50[[#This Row],[OpeningQty]]+Table50[[#This Row],[PurchasesQty]]-Table50[[#This Row],[ClosingQty]]</f>
        <v>15</v>
      </c>
      <c r="L12">
        <v>161.4</v>
      </c>
      <c r="M12" s="14">
        <f>Table50[[#This Row],[Usage]]/$L$1</f>
        <v>2.4513422237774728E-4</v>
      </c>
      <c r="N12" s="15">
        <f>IFERROR(Table50[[#This Row],[Opening]]/Table50[[#This Row],[OpeningQty]],0)</f>
        <v>10.76</v>
      </c>
      <c r="O12" s="15">
        <f>IFERROR(Table50[[#This Row],[Purchases]]/Table50[[#This Row],[PurchasesQty]],0)</f>
        <v>0</v>
      </c>
      <c r="P12" s="15">
        <f>IFERROR(Table50[[#This Row],[Closing]]/Table50[[#This Row],[ClosingQty]],0)</f>
        <v>10.76</v>
      </c>
      <c r="Q12" s="15">
        <f>IFERROR(AVERAGEIF(Table50[[#This Row],[OPENING COST PRICE]:[CLOSING COST PRICE]],"&gt;0"),0)</f>
        <v>10.76</v>
      </c>
      <c r="R12" s="15">
        <f>IFERROR(Table50[[#This Row],[COST PRICE]]-IFERROR(Table50[[#This Row],[Usage]]/Table50[[#This Row],[UsageQty]],Table50[[#This Row],[COST PRICE]]),0)</f>
        <v>0</v>
      </c>
      <c r="S12" s="16">
        <f>IFERROR(Table50[[#This Row],[COST PRICE CHANGE]]/Table50[[#This Row],[OPENING COST PRICE]],0)</f>
        <v>0</v>
      </c>
      <c r="T12" s="15">
        <f>Table50[[#This Row],[ClosingQty]]-(Table50[[#This Row],[USAGE / DAY]]*(IF(Table50[[#This Row],[ccnt]]="BEV",Table50[[#This Row],[DELIVERY DAY]],Table50[[#This Row],[DELIVERY DAY]])))</f>
        <v>4.76</v>
      </c>
      <c r="U12" s="15">
        <f>ROUNDUP(Table50[[#This Row],[UsageQty]]/Table50[[#This Row],[DATA POINT]],2)</f>
        <v>1.08</v>
      </c>
      <c r="V1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6</v>
      </c>
      <c r="W12" s="15">
        <f>IFERROR(Table50[[#This Row],[ORDER QTY]]*Table50[[#This Row],[COST PRICE]],0)</f>
        <v>64.56</v>
      </c>
      <c r="X12" s="15">
        <f>IFERROR(VLOOKUP(C12,[1]!Table49[[#All],[name]:[USAGE / DAY]],19,FALSE),1)</f>
        <v>0.8</v>
      </c>
      <c r="Y12" s="4">
        <f>IFERROR((Table50[[#This Row],[USAGE / DAY]]-Table50[[#This Row],[USAGE / DAY 2]])/Table50[[#This Row],[USAGE / DAY 2]],0)</f>
        <v>0.35000000000000003</v>
      </c>
      <c r="Z12" s="15">
        <f t="shared" si="0"/>
        <v>14</v>
      </c>
      <c r="AA12" s="15">
        <f t="shared" si="1"/>
        <v>9.311854181734148</v>
      </c>
      <c r="AB12" s="15">
        <f>IFERROR(IF(Table50[[#This Row],[ccnt]]="BEV",$AB$2,IF(Table50[[#This Row],[ccnt]]="FOOD",$AC$2,"ENTER # FROM LAST COUNT")),"ENTER # FROM LAST COUNT")</f>
        <v>3</v>
      </c>
      <c r="AC12" s="15">
        <f>(Table50[[#This Row],[OpeningQty]]+Table50[[#This Row],[ClosingQty]])/2</f>
        <v>15.5</v>
      </c>
      <c r="AD12" s="15">
        <f>IFERROR(Table50[[#This Row],[UsageQty]]/Table50[[#This Row],[AVE INVENTORY]],0)</f>
        <v>0.967741935483871</v>
      </c>
      <c r="AE12" s="15">
        <f>IFERROR(Table50[[#This Row],[DATA POINT]]/Table50[[#This Row],[Inventory Turnover Rate]],0)</f>
        <v>14.466666666666667</v>
      </c>
      <c r="AF12" s="15">
        <f>Table50[[#This Row],[ClosingQty]]/Table50[[#This Row],[USAGE / DAY]]</f>
        <v>7.4074074074074066</v>
      </c>
      <c r="AG12" s="15">
        <f>Table50[[#This Row],[USAGE / DAY]]*7</f>
        <v>7.5600000000000005</v>
      </c>
      <c r="AH12" s="15">
        <f>Table50[[#This Row],[USAGE / DAY]]*3</f>
        <v>3.24</v>
      </c>
      <c r="AI12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2.8000000000000007</v>
      </c>
      <c r="AJ12" s="15">
        <f>IFERROR(Table50[[#This Row],[ORDER QTY2]]*Table50[[#This Row],[COST PRICE]],0)</f>
        <v>30.128000000000007</v>
      </c>
      <c r="AK12" s="15">
        <f>(Table50[[#This Row],[REORDER POINT]]*Table50[[#This Row],[COST PRICE]])+Table50[[#This Row],[ORDER COST]]</f>
        <v>115.77760000000001</v>
      </c>
      <c r="AL12" s="15">
        <f t="shared" si="2"/>
        <v>100</v>
      </c>
      <c r="AM12" s="15">
        <f>IFERROR((Table50[[#This Row],[REORDER POINT]]+Table50[[#This Row],[ORDER QTY]])/(Table50[[#This Row],[USAGE / DAY]]*Table50[[#This Row],[DEMAND %]]),Table50[[#This Row],[REORDER POINT]]/Table50[[#This Row],[USAGE / DAY]])</f>
        <v>9.9629629629629624E-2</v>
      </c>
    </row>
    <row r="13" spans="1:39" x14ac:dyDescent="0.25">
      <c r="A13" t="s">
        <v>50</v>
      </c>
      <c r="B13" t="s">
        <v>51</v>
      </c>
      <c r="C13" t="s">
        <v>64</v>
      </c>
      <c r="D13" t="s">
        <v>53</v>
      </c>
      <c r="E13">
        <v>11</v>
      </c>
      <c r="F13">
        <v>102.19</v>
      </c>
      <c r="G13">
        <v>0</v>
      </c>
      <c r="H13">
        <v>0</v>
      </c>
      <c r="I13">
        <v>11</v>
      </c>
      <c r="J13">
        <v>102.19</v>
      </c>
      <c r="K13">
        <f>Table50[[#This Row],[OpeningQty]]+Table50[[#This Row],[PurchasesQty]]-Table50[[#This Row],[ClosingQty]]</f>
        <v>0</v>
      </c>
      <c r="L13">
        <v>0</v>
      </c>
      <c r="M13" s="14">
        <f>Table50[[#This Row],[Usage]]/$L$1</f>
        <v>0</v>
      </c>
      <c r="N13" s="15">
        <f>IFERROR(Table50[[#This Row],[Opening]]/Table50[[#This Row],[OpeningQty]],0)</f>
        <v>9.2899999999999991</v>
      </c>
      <c r="O13" s="15">
        <f>IFERROR(Table50[[#This Row],[Purchases]]/Table50[[#This Row],[PurchasesQty]],0)</f>
        <v>0</v>
      </c>
      <c r="P13" s="15">
        <f>IFERROR(Table50[[#This Row],[Closing]]/Table50[[#This Row],[ClosingQty]],0)</f>
        <v>9.2899999999999991</v>
      </c>
      <c r="Q13" s="15">
        <f>IFERROR(AVERAGEIF(Table50[[#This Row],[OPENING COST PRICE]:[CLOSING COST PRICE]],"&gt;0"),0)</f>
        <v>9.2899999999999991</v>
      </c>
      <c r="R13" s="15">
        <f>IFERROR(Table50[[#This Row],[COST PRICE]]-IFERROR(Table50[[#This Row],[Usage]]/Table50[[#This Row],[UsageQty]],Table50[[#This Row],[COST PRICE]]),0)</f>
        <v>0</v>
      </c>
      <c r="S13" s="16">
        <f>IFERROR(Table50[[#This Row],[COST PRICE CHANGE]]/Table50[[#This Row],[OPENING COST PRICE]],0)</f>
        <v>0</v>
      </c>
      <c r="T13" s="15">
        <f>Table50[[#This Row],[ClosingQty]]-(Table50[[#This Row],[USAGE / DAY]]*(IF(Table50[[#This Row],[ccnt]]="BEV",Table50[[#This Row],[DELIVERY DAY]],Table50[[#This Row],[DELIVERY DAY]])))</f>
        <v>11</v>
      </c>
      <c r="U13" s="15">
        <f>ROUNDUP(Table50[[#This Row],[UsageQty]]/Table50[[#This Row],[DATA POINT]],2)</f>
        <v>0</v>
      </c>
      <c r="V1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3" s="15">
        <f>IFERROR(Table50[[#This Row],[ORDER QTY]]*Table50[[#This Row],[COST PRICE]],0)</f>
        <v>0</v>
      </c>
      <c r="X13" s="15">
        <f>IFERROR(VLOOKUP(C13,[1]!Table49[[#All],[name]:[USAGE / DAY]],19,FALSE),1)</f>
        <v>6.9999999999999993E-2</v>
      </c>
      <c r="Y13" s="4">
        <f>IFERROR((Table50[[#This Row],[USAGE / DAY]]-Table50[[#This Row],[USAGE / DAY 2]])/Table50[[#This Row],[USAGE / DAY 2]],0)</f>
        <v>-1</v>
      </c>
      <c r="Z13" s="15">
        <f t="shared" si="0"/>
        <v>14</v>
      </c>
      <c r="AA13" s="15">
        <f t="shared" si="1"/>
        <v>9.311854181734148</v>
      </c>
      <c r="AB13" s="15">
        <f>IFERROR(IF(Table50[[#This Row],[ccnt]]="BEV",$AB$2,IF(Table50[[#This Row],[ccnt]]="FOOD",$AC$2,"ENTER # FROM LAST COUNT")),"ENTER # FROM LAST COUNT")</f>
        <v>3</v>
      </c>
      <c r="AC13" s="15">
        <f>(Table50[[#This Row],[OpeningQty]]+Table50[[#This Row],[ClosingQty]])/2</f>
        <v>11</v>
      </c>
      <c r="AD13" s="15">
        <f>IFERROR(Table50[[#This Row],[UsageQty]]/Table50[[#This Row],[AVE INVENTORY]],0)</f>
        <v>0</v>
      </c>
      <c r="AE13" s="15">
        <f>IFERROR(Table50[[#This Row],[DATA POINT]]/Table50[[#This Row],[Inventory Turnover Rate]],0)</f>
        <v>0</v>
      </c>
      <c r="AF13" s="15" t="e">
        <f>Table50[[#This Row],[ClosingQty]]/Table50[[#This Row],[USAGE / DAY]]</f>
        <v>#DIV/0!</v>
      </c>
      <c r="AG13" s="15">
        <f>Table50[[#This Row],[USAGE / DAY]]*7</f>
        <v>0</v>
      </c>
      <c r="AH13" s="15">
        <f>Table50[[#This Row],[USAGE / DAY]]*3</f>
        <v>0</v>
      </c>
      <c r="AI1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3" s="15">
        <f>IFERROR(Table50[[#This Row],[ORDER QTY2]]*Table50[[#This Row],[COST PRICE]],0)</f>
        <v>0</v>
      </c>
      <c r="AK13" s="15">
        <f>(Table50[[#This Row],[REORDER POINT]]*Table50[[#This Row],[COST PRICE]])+Table50[[#This Row],[ORDER COST]]</f>
        <v>102.19</v>
      </c>
      <c r="AL13" s="15">
        <f t="shared" si="2"/>
        <v>100</v>
      </c>
      <c r="AM13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4" spans="1:39" x14ac:dyDescent="0.25">
      <c r="A14" t="s">
        <v>50</v>
      </c>
      <c r="B14" t="s">
        <v>51</v>
      </c>
      <c r="C14" t="s">
        <v>65</v>
      </c>
      <c r="D14" t="s">
        <v>53</v>
      </c>
      <c r="E14">
        <v>25</v>
      </c>
      <c r="F14">
        <v>314.5</v>
      </c>
      <c r="G14">
        <v>0</v>
      </c>
      <c r="H14">
        <v>0</v>
      </c>
      <c r="I14">
        <v>10</v>
      </c>
      <c r="J14">
        <v>125.8</v>
      </c>
      <c r="K14">
        <f>Table50[[#This Row],[OpeningQty]]+Table50[[#This Row],[PurchasesQty]]-Table50[[#This Row],[ClosingQty]]</f>
        <v>15</v>
      </c>
      <c r="L14">
        <v>188.7</v>
      </c>
      <c r="M14" s="14">
        <f>Table50[[#This Row],[Usage]]/$L$1</f>
        <v>2.865974458654331E-4</v>
      </c>
      <c r="N14" s="15">
        <f>IFERROR(Table50[[#This Row],[Opening]]/Table50[[#This Row],[OpeningQty]],0)</f>
        <v>12.58</v>
      </c>
      <c r="O14" s="15">
        <f>IFERROR(Table50[[#This Row],[Purchases]]/Table50[[#This Row],[PurchasesQty]],0)</f>
        <v>0</v>
      </c>
      <c r="P14" s="15">
        <f>IFERROR(Table50[[#This Row],[Closing]]/Table50[[#This Row],[ClosingQty]],0)</f>
        <v>12.58</v>
      </c>
      <c r="Q14" s="15">
        <f>IFERROR(AVERAGEIF(Table50[[#This Row],[OPENING COST PRICE]:[CLOSING COST PRICE]],"&gt;0"),0)</f>
        <v>12.58</v>
      </c>
      <c r="R14" s="15">
        <f>IFERROR(Table50[[#This Row],[COST PRICE]]-IFERROR(Table50[[#This Row],[Usage]]/Table50[[#This Row],[UsageQty]],Table50[[#This Row],[COST PRICE]]),0)</f>
        <v>0</v>
      </c>
      <c r="S14" s="16">
        <f>IFERROR(Table50[[#This Row],[COST PRICE CHANGE]]/Table50[[#This Row],[OPENING COST PRICE]],0)</f>
        <v>0</v>
      </c>
      <c r="T14" s="15">
        <f>Table50[[#This Row],[ClosingQty]]-(Table50[[#This Row],[USAGE / DAY]]*(IF(Table50[[#This Row],[ccnt]]="BEV",Table50[[#This Row],[DELIVERY DAY]],Table50[[#This Row],[DELIVERY DAY]])))</f>
        <v>6.76</v>
      </c>
      <c r="U14" s="15">
        <f>ROUNDUP(Table50[[#This Row],[UsageQty]]/Table50[[#This Row],[DATA POINT]],2)</f>
        <v>1.08</v>
      </c>
      <c r="V1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14" s="15">
        <f>IFERROR(Table50[[#This Row],[ORDER QTY]]*Table50[[#This Row],[COST PRICE]],0)</f>
        <v>50.32</v>
      </c>
      <c r="X14" s="15">
        <f>IFERROR(VLOOKUP(C14,[1]!Table49[[#All],[name]:[USAGE / DAY]],19,FALSE),1)</f>
        <v>0.54</v>
      </c>
      <c r="Y14" s="4">
        <f>IFERROR((Table50[[#This Row],[USAGE / DAY]]-Table50[[#This Row],[USAGE / DAY 2]])/Table50[[#This Row],[USAGE / DAY 2]],0)</f>
        <v>1</v>
      </c>
      <c r="Z14" s="15">
        <f t="shared" si="0"/>
        <v>14</v>
      </c>
      <c r="AA14" s="15">
        <f t="shared" si="1"/>
        <v>9.311854181734148</v>
      </c>
      <c r="AB14" s="15">
        <f>IFERROR(IF(Table50[[#This Row],[ccnt]]="BEV",$AB$2,IF(Table50[[#This Row],[ccnt]]="FOOD",$AC$2,"ENTER # FROM LAST COUNT")),"ENTER # FROM LAST COUNT")</f>
        <v>3</v>
      </c>
      <c r="AC14" s="15">
        <f>(Table50[[#This Row],[OpeningQty]]+Table50[[#This Row],[ClosingQty]])/2</f>
        <v>17.5</v>
      </c>
      <c r="AD14" s="15">
        <f>IFERROR(Table50[[#This Row],[UsageQty]]/Table50[[#This Row],[AVE INVENTORY]],0)</f>
        <v>0.8571428571428571</v>
      </c>
      <c r="AE14" s="15">
        <f>IFERROR(Table50[[#This Row],[DATA POINT]]/Table50[[#This Row],[Inventory Turnover Rate]],0)</f>
        <v>16.333333333333336</v>
      </c>
      <c r="AF14" s="15">
        <f>Table50[[#This Row],[ClosingQty]]/Table50[[#This Row],[USAGE / DAY]]</f>
        <v>9.2592592592592595</v>
      </c>
      <c r="AG14" s="15">
        <f>Table50[[#This Row],[USAGE / DAY]]*7</f>
        <v>7.5600000000000005</v>
      </c>
      <c r="AH14" s="15">
        <f>Table50[[#This Row],[USAGE / DAY]]*3</f>
        <v>3.24</v>
      </c>
      <c r="AI14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0.80000000000000071</v>
      </c>
      <c r="AJ14" s="15">
        <f>IFERROR(Table50[[#This Row],[ORDER QTY2]]*Table50[[#This Row],[COST PRICE]],0)</f>
        <v>10.064000000000009</v>
      </c>
      <c r="AK14" s="15">
        <f>(Table50[[#This Row],[REORDER POINT]]*Table50[[#This Row],[COST PRICE]])+Table50[[#This Row],[ORDER COST]]</f>
        <v>135.36080000000001</v>
      </c>
      <c r="AL14" s="15">
        <f t="shared" si="2"/>
        <v>100</v>
      </c>
      <c r="AM14" s="15">
        <f>IFERROR((Table50[[#This Row],[REORDER POINT]]+Table50[[#This Row],[ORDER QTY]])/(Table50[[#This Row],[USAGE / DAY]]*Table50[[#This Row],[DEMAND %]]),Table50[[#This Row],[REORDER POINT]]/Table50[[#This Row],[USAGE / DAY]])</f>
        <v>9.9629629629629624E-2</v>
      </c>
    </row>
    <row r="15" spans="1:39" x14ac:dyDescent="0.25">
      <c r="A15" t="s">
        <v>50</v>
      </c>
      <c r="B15" t="s">
        <v>51</v>
      </c>
      <c r="C15" t="s">
        <v>66</v>
      </c>
      <c r="D15" t="s">
        <v>53</v>
      </c>
      <c r="E15">
        <v>12</v>
      </c>
      <c r="F15">
        <v>144</v>
      </c>
      <c r="G15">
        <v>0</v>
      </c>
      <c r="H15">
        <v>0</v>
      </c>
      <c r="I15">
        <v>6</v>
      </c>
      <c r="J15">
        <v>72</v>
      </c>
      <c r="K15">
        <f>Table50[[#This Row],[OpeningQty]]+Table50[[#This Row],[PurchasesQty]]-Table50[[#This Row],[ClosingQty]]</f>
        <v>6</v>
      </c>
      <c r="L15">
        <v>72</v>
      </c>
      <c r="M15" s="14">
        <f>Table50[[#This Row],[Usage]]/$L$1</f>
        <v>1.0935355645103967E-4</v>
      </c>
      <c r="N15" s="15">
        <f>IFERROR(Table50[[#This Row],[Opening]]/Table50[[#This Row],[OpeningQty]],0)</f>
        <v>12</v>
      </c>
      <c r="O15" s="15">
        <f>IFERROR(Table50[[#This Row],[Purchases]]/Table50[[#This Row],[PurchasesQty]],0)</f>
        <v>0</v>
      </c>
      <c r="P15" s="15">
        <f>IFERROR(Table50[[#This Row],[Closing]]/Table50[[#This Row],[ClosingQty]],0)</f>
        <v>12</v>
      </c>
      <c r="Q15" s="15">
        <f>IFERROR(AVERAGEIF(Table50[[#This Row],[OPENING COST PRICE]:[CLOSING COST PRICE]],"&gt;0"),0)</f>
        <v>12</v>
      </c>
      <c r="R15" s="15">
        <f>IFERROR(Table50[[#This Row],[COST PRICE]]-IFERROR(Table50[[#This Row],[Usage]]/Table50[[#This Row],[UsageQty]],Table50[[#This Row],[COST PRICE]]),0)</f>
        <v>0</v>
      </c>
      <c r="S15" s="16">
        <f>IFERROR(Table50[[#This Row],[COST PRICE CHANGE]]/Table50[[#This Row],[OPENING COST PRICE]],0)</f>
        <v>0</v>
      </c>
      <c r="T15" s="15">
        <f>Table50[[#This Row],[ClosingQty]]-(Table50[[#This Row],[USAGE / DAY]]*(IF(Table50[[#This Row],[ccnt]]="BEV",Table50[[#This Row],[DELIVERY DAY]],Table50[[#This Row],[DELIVERY DAY]])))</f>
        <v>4.71</v>
      </c>
      <c r="U15" s="15">
        <f>ROUNDUP(Table50[[#This Row],[UsageQty]]/Table50[[#This Row],[DATA POINT]],2)</f>
        <v>0.43</v>
      </c>
      <c r="V1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5" s="15">
        <f>IFERROR(Table50[[#This Row],[ORDER QTY]]*Table50[[#This Row],[COST PRICE]],0)</f>
        <v>0</v>
      </c>
      <c r="X15" s="15">
        <f>IFERROR(VLOOKUP(C15,[1]!Table49[[#All],[name]:[USAGE / DAY]],19,FALSE),1)</f>
        <v>0.6</v>
      </c>
      <c r="Y15" s="4">
        <f>IFERROR((Table50[[#This Row],[USAGE / DAY]]-Table50[[#This Row],[USAGE / DAY 2]])/Table50[[#This Row],[USAGE / DAY 2]],0)</f>
        <v>-0.28333333333333333</v>
      </c>
      <c r="Z15" s="15">
        <f t="shared" si="0"/>
        <v>14</v>
      </c>
      <c r="AA15" s="15">
        <f t="shared" si="1"/>
        <v>9.311854181734148</v>
      </c>
      <c r="AB15" s="15">
        <f>IFERROR(IF(Table50[[#This Row],[ccnt]]="BEV",$AB$2,IF(Table50[[#This Row],[ccnt]]="FOOD",$AC$2,"ENTER # FROM LAST COUNT")),"ENTER # FROM LAST COUNT")</f>
        <v>3</v>
      </c>
      <c r="AC15" s="15">
        <f>(Table50[[#This Row],[OpeningQty]]+Table50[[#This Row],[ClosingQty]])/2</f>
        <v>9</v>
      </c>
      <c r="AD15" s="15">
        <f>IFERROR(Table50[[#This Row],[UsageQty]]/Table50[[#This Row],[AVE INVENTORY]],0)</f>
        <v>0.66666666666666663</v>
      </c>
      <c r="AE15" s="15">
        <f>IFERROR(Table50[[#This Row],[DATA POINT]]/Table50[[#This Row],[Inventory Turnover Rate]],0)</f>
        <v>21</v>
      </c>
      <c r="AF15" s="15">
        <f>Table50[[#This Row],[ClosingQty]]/Table50[[#This Row],[USAGE / DAY]]</f>
        <v>13.953488372093023</v>
      </c>
      <c r="AG15" s="15">
        <f>Table50[[#This Row],[USAGE / DAY]]*7</f>
        <v>3.01</v>
      </c>
      <c r="AH15" s="15">
        <f>Table50[[#This Row],[USAGE / DAY]]*3</f>
        <v>1.29</v>
      </c>
      <c r="AI1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5" s="15">
        <f>IFERROR(Table50[[#This Row],[ORDER QTY2]]*Table50[[#This Row],[COST PRICE]],0)</f>
        <v>0</v>
      </c>
      <c r="AK15" s="15">
        <f>(Table50[[#This Row],[REORDER POINT]]*Table50[[#This Row],[COST PRICE]])+Table50[[#This Row],[ORDER COST]]</f>
        <v>56.519999999999996</v>
      </c>
      <c r="AL15" s="15">
        <f t="shared" si="2"/>
        <v>100</v>
      </c>
      <c r="AM15" s="15">
        <f>IFERROR((Table50[[#This Row],[REORDER POINT]]+Table50[[#This Row],[ORDER QTY]])/(Table50[[#This Row],[USAGE / DAY]]*Table50[[#This Row],[DEMAND %]]),Table50[[#This Row],[REORDER POINT]]/Table50[[#This Row],[USAGE / DAY]])</f>
        <v>10.953488372093023</v>
      </c>
    </row>
    <row r="16" spans="1:39" x14ac:dyDescent="0.25">
      <c r="A16" t="s">
        <v>50</v>
      </c>
      <c r="B16" t="s">
        <v>51</v>
      </c>
      <c r="C16" t="s">
        <v>67</v>
      </c>
      <c r="D16" t="s">
        <v>53</v>
      </c>
      <c r="E16">
        <v>24</v>
      </c>
      <c r="F16">
        <v>306.72000000000003</v>
      </c>
      <c r="G16">
        <v>0</v>
      </c>
      <c r="H16">
        <v>0</v>
      </c>
      <c r="I16">
        <v>14</v>
      </c>
      <c r="J16">
        <v>178.92</v>
      </c>
      <c r="K16">
        <f>Table50[[#This Row],[OpeningQty]]+Table50[[#This Row],[PurchasesQty]]-Table50[[#This Row],[ClosingQty]]</f>
        <v>10</v>
      </c>
      <c r="L16">
        <v>127.8</v>
      </c>
      <c r="M16" s="14">
        <f>Table50[[#This Row],[Usage]]/$L$1</f>
        <v>1.9410256270059541E-4</v>
      </c>
      <c r="N16" s="15">
        <f>IFERROR(Table50[[#This Row],[Opening]]/Table50[[#This Row],[OpeningQty]],0)</f>
        <v>12.780000000000001</v>
      </c>
      <c r="O16" s="15">
        <f>IFERROR(Table50[[#This Row],[Purchases]]/Table50[[#This Row],[PurchasesQty]],0)</f>
        <v>0</v>
      </c>
      <c r="P16" s="15">
        <f>IFERROR(Table50[[#This Row],[Closing]]/Table50[[#This Row],[ClosingQty]],0)</f>
        <v>12.78</v>
      </c>
      <c r="Q16" s="15">
        <f>IFERROR(AVERAGEIF(Table50[[#This Row],[OPENING COST PRICE]:[CLOSING COST PRICE]],"&gt;0"),0)</f>
        <v>12.780000000000001</v>
      </c>
      <c r="R16" s="15">
        <f>IFERROR(Table50[[#This Row],[COST PRICE]]-IFERROR(Table50[[#This Row],[Usage]]/Table50[[#This Row],[UsageQty]],Table50[[#This Row],[COST PRICE]]),0)</f>
        <v>1.7763568394002505E-15</v>
      </c>
      <c r="S16" s="16">
        <f>IFERROR(Table50[[#This Row],[COST PRICE CHANGE]]/Table50[[#This Row],[OPENING COST PRICE]],0)</f>
        <v>1.3899505785604462E-16</v>
      </c>
      <c r="T16" s="15">
        <f>Table50[[#This Row],[ClosingQty]]-(Table50[[#This Row],[USAGE / DAY]]*(IF(Table50[[#This Row],[ccnt]]="BEV",Table50[[#This Row],[DELIVERY DAY]],Table50[[#This Row],[DELIVERY DAY]])))</f>
        <v>11.84</v>
      </c>
      <c r="U16" s="15">
        <f>ROUNDUP(Table50[[#This Row],[UsageQty]]/Table50[[#This Row],[DATA POINT]],2)</f>
        <v>0.72</v>
      </c>
      <c r="V1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6" s="15">
        <f>IFERROR(Table50[[#This Row],[ORDER QTY]]*Table50[[#This Row],[COST PRICE]],0)</f>
        <v>0</v>
      </c>
      <c r="X16" s="15">
        <f>IFERROR(VLOOKUP(C16,[1]!Table49[[#All],[name]:[USAGE / DAY]],19,FALSE),1)</f>
        <v>0.74</v>
      </c>
      <c r="Y16" s="4">
        <f>IFERROR((Table50[[#This Row],[USAGE / DAY]]-Table50[[#This Row],[USAGE / DAY 2]])/Table50[[#This Row],[USAGE / DAY 2]],0)</f>
        <v>-2.7027027027027053E-2</v>
      </c>
      <c r="Z16" s="15">
        <f t="shared" si="0"/>
        <v>14</v>
      </c>
      <c r="AA16" s="15">
        <f t="shared" si="1"/>
        <v>9.311854181734148</v>
      </c>
      <c r="AB16" s="15">
        <f>IFERROR(IF(Table50[[#This Row],[ccnt]]="BEV",$AB$2,IF(Table50[[#This Row],[ccnt]]="FOOD",$AC$2,"ENTER # FROM LAST COUNT")),"ENTER # FROM LAST COUNT")</f>
        <v>3</v>
      </c>
      <c r="AC16" s="15">
        <f>(Table50[[#This Row],[OpeningQty]]+Table50[[#This Row],[ClosingQty]])/2</f>
        <v>19</v>
      </c>
      <c r="AD16" s="15">
        <f>IFERROR(Table50[[#This Row],[UsageQty]]/Table50[[#This Row],[AVE INVENTORY]],0)</f>
        <v>0.52631578947368418</v>
      </c>
      <c r="AE16" s="15">
        <f>IFERROR(Table50[[#This Row],[DATA POINT]]/Table50[[#This Row],[Inventory Turnover Rate]],0)</f>
        <v>26.6</v>
      </c>
      <c r="AF16" s="15">
        <f>Table50[[#This Row],[ClosingQty]]/Table50[[#This Row],[USAGE / DAY]]</f>
        <v>19.444444444444446</v>
      </c>
      <c r="AG16" s="15">
        <f>Table50[[#This Row],[USAGE / DAY]]*7</f>
        <v>5.04</v>
      </c>
      <c r="AH16" s="15">
        <f>Table50[[#This Row],[USAGE / DAY]]*3</f>
        <v>2.16</v>
      </c>
      <c r="AI1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6" s="15">
        <f>IFERROR(Table50[[#This Row],[ORDER QTY2]]*Table50[[#This Row],[COST PRICE]],0)</f>
        <v>0</v>
      </c>
      <c r="AK16" s="15">
        <f>(Table50[[#This Row],[REORDER POINT]]*Table50[[#This Row],[COST PRICE]])+Table50[[#This Row],[ORDER COST]]</f>
        <v>151.3152</v>
      </c>
      <c r="AL16" s="15">
        <f t="shared" si="2"/>
        <v>100</v>
      </c>
      <c r="AM16" s="15">
        <f>IFERROR((Table50[[#This Row],[REORDER POINT]]+Table50[[#This Row],[ORDER QTY]])/(Table50[[#This Row],[USAGE / DAY]]*Table50[[#This Row],[DEMAND %]]),Table50[[#This Row],[REORDER POINT]]/Table50[[#This Row],[USAGE / DAY]])</f>
        <v>16.444444444444446</v>
      </c>
    </row>
    <row r="17" spans="1:39" x14ac:dyDescent="0.25">
      <c r="A17" t="s">
        <v>50</v>
      </c>
      <c r="B17" t="s">
        <v>51</v>
      </c>
      <c r="C17" t="s">
        <v>68</v>
      </c>
      <c r="D17" t="s">
        <v>53</v>
      </c>
      <c r="E17">
        <v>12</v>
      </c>
      <c r="F17">
        <v>159.24</v>
      </c>
      <c r="G17">
        <v>24</v>
      </c>
      <c r="H17">
        <v>303.68</v>
      </c>
      <c r="I17">
        <v>25</v>
      </c>
      <c r="J17">
        <v>316.25</v>
      </c>
      <c r="K17">
        <f>Table50[[#This Row],[OpeningQty]]+Table50[[#This Row],[PurchasesQty]]-Table50[[#This Row],[ClosingQty]]</f>
        <v>11</v>
      </c>
      <c r="L17">
        <v>146.66999999999999</v>
      </c>
      <c r="M17" s="14">
        <f>Table50[[#This Row],[Usage]]/$L$1</f>
        <v>2.2276230728713871E-4</v>
      </c>
      <c r="N17" s="15">
        <f>IFERROR(Table50[[#This Row],[Opening]]/Table50[[#This Row],[OpeningQty]],0)</f>
        <v>13.270000000000001</v>
      </c>
      <c r="O17" s="15">
        <f>IFERROR(Table50[[#This Row],[Purchases]]/Table50[[#This Row],[PurchasesQty]],0)</f>
        <v>12.653333333333334</v>
      </c>
      <c r="P17" s="15">
        <f>IFERROR(Table50[[#This Row],[Closing]]/Table50[[#This Row],[ClosingQty]],0)</f>
        <v>12.65</v>
      </c>
      <c r="Q17" s="15">
        <f>IFERROR(AVERAGEIF(Table50[[#This Row],[OPENING COST PRICE]:[CLOSING COST PRICE]],"&gt;0"),0)</f>
        <v>12.857777777777779</v>
      </c>
      <c r="R17" s="15">
        <f>IFERROR(Table50[[#This Row],[COST PRICE]]-IFERROR(Table50[[#This Row],[Usage]]/Table50[[#This Row],[UsageQty]],Table50[[#This Row],[COST PRICE]]),0)</f>
        <v>-0.47585858585858354</v>
      </c>
      <c r="S17" s="16">
        <f>IFERROR(Table50[[#This Row],[COST PRICE CHANGE]]/Table50[[#This Row],[OPENING COST PRICE]],0)</f>
        <v>-3.5859727645710888E-2</v>
      </c>
      <c r="T17" s="15">
        <f>Table50[[#This Row],[ClosingQty]]-(Table50[[#This Row],[USAGE / DAY]]*(IF(Table50[[#This Row],[ccnt]]="BEV",Table50[[#This Row],[DELIVERY DAY]],Table50[[#This Row],[DELIVERY DAY]])))</f>
        <v>22.63</v>
      </c>
      <c r="U17" s="15">
        <f>ROUNDUP(Table50[[#This Row],[UsageQty]]/Table50[[#This Row],[DATA POINT]],2)</f>
        <v>0.79</v>
      </c>
      <c r="V1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7" s="15">
        <f>IFERROR(Table50[[#This Row],[ORDER QTY]]*Table50[[#This Row],[COST PRICE]],0)</f>
        <v>0</v>
      </c>
      <c r="X17" s="15">
        <f>IFERROR(VLOOKUP(C17,[1]!Table49[[#All],[name]:[USAGE / DAY]],19,FALSE),1)</f>
        <v>0.74</v>
      </c>
      <c r="Y17" s="4">
        <f>IFERROR((Table50[[#This Row],[USAGE / DAY]]-Table50[[#This Row],[USAGE / DAY 2]])/Table50[[#This Row],[USAGE / DAY 2]],0)</f>
        <v>6.7567567567567627E-2</v>
      </c>
      <c r="Z17" s="15">
        <f t="shared" si="0"/>
        <v>14</v>
      </c>
      <c r="AA17" s="15">
        <f t="shared" si="1"/>
        <v>9.311854181734148</v>
      </c>
      <c r="AB17" s="15">
        <f>IFERROR(IF(Table50[[#This Row],[ccnt]]="BEV",$AB$2,IF(Table50[[#This Row],[ccnt]]="FOOD",$AC$2,"ENTER # FROM LAST COUNT")),"ENTER # FROM LAST COUNT")</f>
        <v>3</v>
      </c>
      <c r="AC17" s="15">
        <f>(Table50[[#This Row],[OpeningQty]]+Table50[[#This Row],[ClosingQty]])/2</f>
        <v>18.5</v>
      </c>
      <c r="AD17" s="15">
        <f>IFERROR(Table50[[#This Row],[UsageQty]]/Table50[[#This Row],[AVE INVENTORY]],0)</f>
        <v>0.59459459459459463</v>
      </c>
      <c r="AE17" s="15">
        <f>IFERROR(Table50[[#This Row],[DATA POINT]]/Table50[[#This Row],[Inventory Turnover Rate]],0)</f>
        <v>23.545454545454543</v>
      </c>
      <c r="AF17" s="15">
        <f>Table50[[#This Row],[ClosingQty]]/Table50[[#This Row],[USAGE / DAY]]</f>
        <v>31.645569620253163</v>
      </c>
      <c r="AG17" s="15">
        <f>Table50[[#This Row],[USAGE / DAY]]*7</f>
        <v>5.53</v>
      </c>
      <c r="AH17" s="15">
        <f>Table50[[#This Row],[USAGE / DAY]]*3</f>
        <v>2.37</v>
      </c>
      <c r="AI1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7" s="15">
        <f>IFERROR(Table50[[#This Row],[ORDER QTY2]]*Table50[[#This Row],[COST PRICE]],0)</f>
        <v>0</v>
      </c>
      <c r="AK17" s="15">
        <f>(Table50[[#This Row],[REORDER POINT]]*Table50[[#This Row],[COST PRICE]])+Table50[[#This Row],[ORDER COST]]</f>
        <v>290.97151111111111</v>
      </c>
      <c r="AL17" s="15">
        <f t="shared" si="2"/>
        <v>100</v>
      </c>
      <c r="AM17" s="15">
        <f>IFERROR((Table50[[#This Row],[REORDER POINT]]+Table50[[#This Row],[ORDER QTY]])/(Table50[[#This Row],[USAGE / DAY]]*Table50[[#This Row],[DEMAND %]]),Table50[[#This Row],[REORDER POINT]]/Table50[[#This Row],[USAGE / DAY]])</f>
        <v>28.645569620253163</v>
      </c>
    </row>
    <row r="18" spans="1:39" x14ac:dyDescent="0.25">
      <c r="A18" t="s">
        <v>50</v>
      </c>
      <c r="B18" t="s">
        <v>51</v>
      </c>
      <c r="C18" t="s">
        <v>69</v>
      </c>
      <c r="D18" t="s">
        <v>53</v>
      </c>
      <c r="E18">
        <v>25</v>
      </c>
      <c r="F18">
        <v>364.25</v>
      </c>
      <c r="G18">
        <v>24</v>
      </c>
      <c r="H18">
        <v>347.62</v>
      </c>
      <c r="I18">
        <v>27</v>
      </c>
      <c r="J18">
        <v>393.39</v>
      </c>
      <c r="K18">
        <f>Table50[[#This Row],[OpeningQty]]+Table50[[#This Row],[PurchasesQty]]-Table50[[#This Row],[ClosingQty]]</f>
        <v>22</v>
      </c>
      <c r="L18">
        <v>318.48</v>
      </c>
      <c r="M18" s="14">
        <f>Table50[[#This Row],[Usage]]/$L$1</f>
        <v>4.8370723136843217E-4</v>
      </c>
      <c r="N18" s="15">
        <f>IFERROR(Table50[[#This Row],[Opening]]/Table50[[#This Row],[OpeningQty]],0)</f>
        <v>14.57</v>
      </c>
      <c r="O18" s="15">
        <f>IFERROR(Table50[[#This Row],[Purchases]]/Table50[[#This Row],[PurchasesQty]],0)</f>
        <v>14.484166666666667</v>
      </c>
      <c r="P18" s="15">
        <f>IFERROR(Table50[[#This Row],[Closing]]/Table50[[#This Row],[ClosingQty]],0)</f>
        <v>14.57</v>
      </c>
      <c r="Q18" s="15">
        <f>IFERROR(AVERAGEIF(Table50[[#This Row],[OPENING COST PRICE]:[CLOSING COST PRICE]],"&gt;0"),0)</f>
        <v>14.541388888888889</v>
      </c>
      <c r="R18" s="15">
        <f>IFERROR(Table50[[#This Row],[COST PRICE]]-IFERROR(Table50[[#This Row],[Usage]]/Table50[[#This Row],[UsageQty]],Table50[[#This Row],[COST PRICE]]),0)</f>
        <v>6.5025252525252597E-2</v>
      </c>
      <c r="S18" s="16">
        <f>IFERROR(Table50[[#This Row],[COST PRICE CHANGE]]/Table50[[#This Row],[OPENING COST PRICE]],0)</f>
        <v>4.4629548747599588E-3</v>
      </c>
      <c r="T18" s="15">
        <f>Table50[[#This Row],[ClosingQty]]-(Table50[[#This Row],[USAGE / DAY]]*(IF(Table50[[#This Row],[ccnt]]="BEV",Table50[[#This Row],[DELIVERY DAY]],Table50[[#This Row],[DELIVERY DAY]])))</f>
        <v>22.259999999999998</v>
      </c>
      <c r="U18" s="15">
        <f>ROUNDUP(Table50[[#This Row],[UsageQty]]/Table50[[#This Row],[DATA POINT]],2)</f>
        <v>1.58</v>
      </c>
      <c r="V1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8" s="15">
        <f>IFERROR(Table50[[#This Row],[ORDER QTY]]*Table50[[#This Row],[COST PRICE]],0)</f>
        <v>0</v>
      </c>
      <c r="X18" s="15">
        <f>IFERROR(VLOOKUP(C18,[1]!Table49[[#All],[name]:[USAGE / DAY]],19,FALSE),1)</f>
        <v>1.34</v>
      </c>
      <c r="Y18" s="4">
        <f>IFERROR((Table50[[#This Row],[USAGE / DAY]]-Table50[[#This Row],[USAGE / DAY 2]])/Table50[[#This Row],[USAGE / DAY 2]],0)</f>
        <v>0.17910447761194029</v>
      </c>
      <c r="Z18" s="15">
        <f t="shared" si="0"/>
        <v>14</v>
      </c>
      <c r="AA18" s="15">
        <f t="shared" si="1"/>
        <v>9.311854181734148</v>
      </c>
      <c r="AB18" s="15">
        <f>IFERROR(IF(Table50[[#This Row],[ccnt]]="BEV",$AB$2,IF(Table50[[#This Row],[ccnt]]="FOOD",$AC$2,"ENTER # FROM LAST COUNT")),"ENTER # FROM LAST COUNT")</f>
        <v>3</v>
      </c>
      <c r="AC18" s="15">
        <f>(Table50[[#This Row],[OpeningQty]]+Table50[[#This Row],[ClosingQty]])/2</f>
        <v>26</v>
      </c>
      <c r="AD18" s="15">
        <f>IFERROR(Table50[[#This Row],[UsageQty]]/Table50[[#This Row],[AVE INVENTORY]],0)</f>
        <v>0.84615384615384615</v>
      </c>
      <c r="AE18" s="15">
        <f>IFERROR(Table50[[#This Row],[DATA POINT]]/Table50[[#This Row],[Inventory Turnover Rate]],0)</f>
        <v>16.545454545454547</v>
      </c>
      <c r="AF18" s="15">
        <f>Table50[[#This Row],[ClosingQty]]/Table50[[#This Row],[USAGE / DAY]]</f>
        <v>17.088607594936708</v>
      </c>
      <c r="AG18" s="15">
        <f>Table50[[#This Row],[USAGE / DAY]]*7</f>
        <v>11.06</v>
      </c>
      <c r="AH18" s="15">
        <f>Table50[[#This Row],[USAGE / DAY]]*3</f>
        <v>4.74</v>
      </c>
      <c r="AI1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8" s="15">
        <f>IFERROR(Table50[[#This Row],[ORDER QTY2]]*Table50[[#This Row],[COST PRICE]],0)</f>
        <v>0</v>
      </c>
      <c r="AK18" s="15">
        <f>(Table50[[#This Row],[REORDER POINT]]*Table50[[#This Row],[COST PRICE]])+Table50[[#This Row],[ORDER COST]]</f>
        <v>323.69131666666664</v>
      </c>
      <c r="AL18" s="15">
        <f t="shared" si="2"/>
        <v>100</v>
      </c>
      <c r="AM18" s="15">
        <f>IFERROR((Table50[[#This Row],[REORDER POINT]]+Table50[[#This Row],[ORDER QTY]])/(Table50[[#This Row],[USAGE / DAY]]*Table50[[#This Row],[DEMAND %]]),Table50[[#This Row],[REORDER POINT]]/Table50[[#This Row],[USAGE / DAY]])</f>
        <v>14.088607594936708</v>
      </c>
    </row>
    <row r="19" spans="1:39" x14ac:dyDescent="0.25">
      <c r="A19" t="s">
        <v>50</v>
      </c>
      <c r="B19" t="s">
        <v>51</v>
      </c>
      <c r="C19" t="s">
        <v>70</v>
      </c>
      <c r="D19" t="s">
        <v>53</v>
      </c>
      <c r="E19">
        <v>27</v>
      </c>
      <c r="F19">
        <v>377.73</v>
      </c>
      <c r="G19">
        <v>60</v>
      </c>
      <c r="H19">
        <v>881.72</v>
      </c>
      <c r="I19">
        <v>17</v>
      </c>
      <c r="J19">
        <v>258.39999999999998</v>
      </c>
      <c r="K19">
        <f>Table50[[#This Row],[OpeningQty]]+Table50[[#This Row],[PurchasesQty]]-Table50[[#This Row],[ClosingQty]]</f>
        <v>70</v>
      </c>
      <c r="L19">
        <v>1001.05</v>
      </c>
      <c r="M19" s="14">
        <f>Table50[[#This Row],[Usage]]/$L$1</f>
        <v>1.5203941345182396E-3</v>
      </c>
      <c r="N19" s="15">
        <f>IFERROR(Table50[[#This Row],[Opening]]/Table50[[#This Row],[OpeningQty]],0)</f>
        <v>13.99</v>
      </c>
      <c r="O19" s="15">
        <f>IFERROR(Table50[[#This Row],[Purchases]]/Table50[[#This Row],[PurchasesQty]],0)</f>
        <v>14.695333333333334</v>
      </c>
      <c r="P19" s="15">
        <f>IFERROR(Table50[[#This Row],[Closing]]/Table50[[#This Row],[ClosingQty]],0)</f>
        <v>15.2</v>
      </c>
      <c r="Q19" s="15">
        <f>IFERROR(AVERAGEIF(Table50[[#This Row],[OPENING COST PRICE]:[CLOSING COST PRICE]],"&gt;0"),0)</f>
        <v>14.628444444444446</v>
      </c>
      <c r="R19" s="15">
        <f>IFERROR(Table50[[#This Row],[COST PRICE]]-IFERROR(Table50[[#This Row],[Usage]]/Table50[[#This Row],[UsageQty]],Table50[[#This Row],[COST PRICE]]),0)</f>
        <v>0.32773015873016043</v>
      </c>
      <c r="S19" s="16">
        <f>IFERROR(Table50[[#This Row],[COST PRICE CHANGE]]/Table50[[#This Row],[OPENING COST PRICE]],0)</f>
        <v>2.3426029930676228E-2</v>
      </c>
      <c r="T19" s="15">
        <f>Table50[[#This Row],[ClosingQty]]-(Table50[[#This Row],[USAGE / DAY]]*(IF(Table50[[#This Row],[ccnt]]="BEV",Table50[[#This Row],[DELIVERY DAY]],Table50[[#This Row],[DELIVERY DAY]])))</f>
        <v>2</v>
      </c>
      <c r="U19" s="15">
        <f>ROUNDUP(Table50[[#This Row],[UsageQty]]/Table50[[#This Row],[DATA POINT]],2)</f>
        <v>5</v>
      </c>
      <c r="V1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45</v>
      </c>
      <c r="W19" s="15">
        <f>IFERROR(Table50[[#This Row],[ORDER QTY]]*Table50[[#This Row],[COST PRICE]],0)</f>
        <v>658.28000000000009</v>
      </c>
      <c r="X19" s="15">
        <f>IFERROR(VLOOKUP(C19,[1]!Table49[[#All],[name]:[USAGE / DAY]],19,FALSE),1)</f>
        <v>4.2</v>
      </c>
      <c r="Y19" s="4">
        <f>IFERROR((Table50[[#This Row],[USAGE / DAY]]-Table50[[#This Row],[USAGE / DAY 2]])/Table50[[#This Row],[USAGE / DAY 2]],0)</f>
        <v>0.19047619047619044</v>
      </c>
      <c r="Z19" s="15">
        <f t="shared" si="0"/>
        <v>14</v>
      </c>
      <c r="AA19" s="15">
        <f t="shared" si="1"/>
        <v>9.311854181734148</v>
      </c>
      <c r="AB19" s="15">
        <f>IFERROR(IF(Table50[[#This Row],[ccnt]]="BEV",$AB$2,IF(Table50[[#This Row],[ccnt]]="FOOD",$AC$2,"ENTER # FROM LAST COUNT")),"ENTER # FROM LAST COUNT")</f>
        <v>3</v>
      </c>
      <c r="AC19" s="15">
        <f>(Table50[[#This Row],[OpeningQty]]+Table50[[#This Row],[ClosingQty]])/2</f>
        <v>22</v>
      </c>
      <c r="AD19" s="15">
        <f>IFERROR(Table50[[#This Row],[UsageQty]]/Table50[[#This Row],[AVE INVENTORY]],0)</f>
        <v>3.1818181818181817</v>
      </c>
      <c r="AE19" s="15">
        <f>IFERROR(Table50[[#This Row],[DATA POINT]]/Table50[[#This Row],[Inventory Turnover Rate]],0)</f>
        <v>4.4000000000000004</v>
      </c>
      <c r="AF19" s="15">
        <f>Table50[[#This Row],[ClosingQty]]/Table50[[#This Row],[USAGE / DAY]]</f>
        <v>3.4</v>
      </c>
      <c r="AG19" s="15">
        <f>Table50[[#This Row],[USAGE / DAY]]*7</f>
        <v>35</v>
      </c>
      <c r="AH19" s="15">
        <f>Table50[[#This Row],[USAGE / DAY]]*3</f>
        <v>15</v>
      </c>
      <c r="AI19" s="15">
        <f>IF(Table50[[#This Row],[FORECASTED DEMAND]]+Table50[[#This Row],[SAFETY STOCK]]-Table50[[#This Row],[ClosingQty]]&gt;0,Table50[[#This Row],[FORECASTED DEMAND]]+Table50[[#This Row],[SAFETY STOCK]]-Table50[[#This Row],[ClosingQty]],"NO ORDER")</f>
        <v>33</v>
      </c>
      <c r="AJ19" s="15">
        <f>IFERROR(Table50[[#This Row],[ORDER QTY2]]*Table50[[#This Row],[COST PRICE]],0)</f>
        <v>482.73866666666669</v>
      </c>
      <c r="AK19" s="15">
        <f>(Table50[[#This Row],[REORDER POINT]]*Table50[[#This Row],[COST PRICE]])+Table50[[#This Row],[ORDER COST]]</f>
        <v>687.53688888888894</v>
      </c>
      <c r="AL19" s="15">
        <f t="shared" si="2"/>
        <v>100</v>
      </c>
      <c r="AM19" s="15">
        <f>IFERROR((Table50[[#This Row],[REORDER POINT]]+Table50[[#This Row],[ORDER QTY]])/(Table50[[#This Row],[USAGE / DAY]]*Table50[[#This Row],[DEMAND %]]),Table50[[#This Row],[REORDER POINT]]/Table50[[#This Row],[USAGE / DAY]])</f>
        <v>9.4E-2</v>
      </c>
    </row>
    <row r="20" spans="1:39" x14ac:dyDescent="0.25">
      <c r="A20" t="s">
        <v>50</v>
      </c>
      <c r="B20" t="s">
        <v>51</v>
      </c>
      <c r="C20" t="s">
        <v>71</v>
      </c>
      <c r="D20" t="s">
        <v>53</v>
      </c>
      <c r="E20">
        <v>14</v>
      </c>
      <c r="F20">
        <v>195.86</v>
      </c>
      <c r="G20">
        <v>0</v>
      </c>
      <c r="H20">
        <v>0</v>
      </c>
      <c r="I20">
        <v>8</v>
      </c>
      <c r="J20">
        <v>111.92</v>
      </c>
      <c r="K20">
        <f>Table50[[#This Row],[OpeningQty]]+Table50[[#This Row],[PurchasesQty]]-Table50[[#This Row],[ClosingQty]]</f>
        <v>6</v>
      </c>
      <c r="L20">
        <v>83.94</v>
      </c>
      <c r="M20" s="14">
        <f>Table50[[#This Row],[Usage]]/$L$1</f>
        <v>1.2748802122917042E-4</v>
      </c>
      <c r="N20" s="15">
        <f>IFERROR(Table50[[#This Row],[Opening]]/Table50[[#This Row],[OpeningQty]],0)</f>
        <v>13.99</v>
      </c>
      <c r="O20" s="15">
        <f>IFERROR(Table50[[#This Row],[Purchases]]/Table50[[#This Row],[PurchasesQty]],0)</f>
        <v>0</v>
      </c>
      <c r="P20" s="15">
        <f>IFERROR(Table50[[#This Row],[Closing]]/Table50[[#This Row],[ClosingQty]],0)</f>
        <v>13.99</v>
      </c>
      <c r="Q20" s="15">
        <f>IFERROR(AVERAGEIF(Table50[[#This Row],[OPENING COST PRICE]:[CLOSING COST PRICE]],"&gt;0"),0)</f>
        <v>13.99</v>
      </c>
      <c r="R20" s="15">
        <f>IFERROR(Table50[[#This Row],[COST PRICE]]-IFERROR(Table50[[#This Row],[Usage]]/Table50[[#This Row],[UsageQty]],Table50[[#This Row],[COST PRICE]]),0)</f>
        <v>0</v>
      </c>
      <c r="S20" s="16">
        <f>IFERROR(Table50[[#This Row],[COST PRICE CHANGE]]/Table50[[#This Row],[OPENING COST PRICE]],0)</f>
        <v>0</v>
      </c>
      <c r="T20" s="15">
        <f>Table50[[#This Row],[ClosingQty]]-(Table50[[#This Row],[USAGE / DAY]]*(IF(Table50[[#This Row],[ccnt]]="BEV",Table50[[#This Row],[DELIVERY DAY]],Table50[[#This Row],[DELIVERY DAY]])))</f>
        <v>6.71</v>
      </c>
      <c r="U20" s="15">
        <f>ROUNDUP(Table50[[#This Row],[UsageQty]]/Table50[[#This Row],[DATA POINT]],2)</f>
        <v>0.43</v>
      </c>
      <c r="V2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0" s="15">
        <f>IFERROR(Table50[[#This Row],[ORDER QTY]]*Table50[[#This Row],[COST PRICE]],0)</f>
        <v>0</v>
      </c>
      <c r="X20" s="15">
        <f>IFERROR(VLOOKUP(C20,[1]!Table49[[#All],[name]:[USAGE / DAY]],19,FALSE),1)</f>
        <v>0.74</v>
      </c>
      <c r="Y20" s="4">
        <f>IFERROR((Table50[[#This Row],[USAGE / DAY]]-Table50[[#This Row],[USAGE / DAY 2]])/Table50[[#This Row],[USAGE / DAY 2]],0)</f>
        <v>-0.41891891891891891</v>
      </c>
      <c r="Z20" s="15">
        <f t="shared" si="0"/>
        <v>14</v>
      </c>
      <c r="AA20" s="15">
        <f t="shared" si="1"/>
        <v>9.311854181734148</v>
      </c>
      <c r="AB20" s="15">
        <f>IFERROR(IF(Table50[[#This Row],[ccnt]]="BEV",$AB$2,IF(Table50[[#This Row],[ccnt]]="FOOD",$AC$2,"ENTER # FROM LAST COUNT")),"ENTER # FROM LAST COUNT")</f>
        <v>3</v>
      </c>
      <c r="AC20" s="15">
        <f>(Table50[[#This Row],[OpeningQty]]+Table50[[#This Row],[ClosingQty]])/2</f>
        <v>11</v>
      </c>
      <c r="AD20" s="15">
        <f>IFERROR(Table50[[#This Row],[UsageQty]]/Table50[[#This Row],[AVE INVENTORY]],0)</f>
        <v>0.54545454545454541</v>
      </c>
      <c r="AE20" s="15">
        <f>IFERROR(Table50[[#This Row],[DATA POINT]]/Table50[[#This Row],[Inventory Turnover Rate]],0)</f>
        <v>25.666666666666668</v>
      </c>
      <c r="AF20" s="15">
        <f>Table50[[#This Row],[ClosingQty]]/Table50[[#This Row],[USAGE / DAY]]</f>
        <v>18.604651162790699</v>
      </c>
      <c r="AG20" s="15">
        <f>Table50[[#This Row],[USAGE / DAY]]*7</f>
        <v>3.01</v>
      </c>
      <c r="AH20" s="15">
        <f>Table50[[#This Row],[USAGE / DAY]]*3</f>
        <v>1.29</v>
      </c>
      <c r="AI2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0" s="15">
        <f>IFERROR(Table50[[#This Row],[ORDER QTY2]]*Table50[[#This Row],[COST PRICE]],0)</f>
        <v>0</v>
      </c>
      <c r="AK20" s="15">
        <f>(Table50[[#This Row],[REORDER POINT]]*Table50[[#This Row],[COST PRICE]])+Table50[[#This Row],[ORDER COST]]</f>
        <v>93.872900000000001</v>
      </c>
      <c r="AL20" s="15">
        <f t="shared" si="2"/>
        <v>100</v>
      </c>
      <c r="AM20" s="15">
        <f>IFERROR((Table50[[#This Row],[REORDER POINT]]+Table50[[#This Row],[ORDER QTY]])/(Table50[[#This Row],[USAGE / DAY]]*Table50[[#This Row],[DEMAND %]]),Table50[[#This Row],[REORDER POINT]]/Table50[[#This Row],[USAGE / DAY]])</f>
        <v>15.604651162790697</v>
      </c>
    </row>
    <row r="21" spans="1:39" x14ac:dyDescent="0.25">
      <c r="A21" t="s">
        <v>50</v>
      </c>
      <c r="B21" t="s">
        <v>51</v>
      </c>
      <c r="C21" t="s">
        <v>72</v>
      </c>
      <c r="D21" t="s">
        <v>53</v>
      </c>
      <c r="E21">
        <v>28</v>
      </c>
      <c r="F21">
        <v>379.12</v>
      </c>
      <c r="G21">
        <v>18</v>
      </c>
      <c r="H21">
        <v>335.3</v>
      </c>
      <c r="I21">
        <v>17</v>
      </c>
      <c r="J21">
        <v>237.49</v>
      </c>
      <c r="K21">
        <f>Table50[[#This Row],[OpeningQty]]+Table50[[#This Row],[PurchasesQty]]-Table50[[#This Row],[ClosingQty]]</f>
        <v>29</v>
      </c>
      <c r="L21">
        <v>476.93</v>
      </c>
      <c r="M21" s="14">
        <f>Table50[[#This Row],[Usage]]/$L$1</f>
        <v>7.2436099553047713E-4</v>
      </c>
      <c r="N21" s="15">
        <f>IFERROR(Table50[[#This Row],[Opening]]/Table50[[#This Row],[OpeningQty]],0)</f>
        <v>13.540000000000001</v>
      </c>
      <c r="O21" s="15">
        <f>IFERROR(Table50[[#This Row],[Purchases]]/Table50[[#This Row],[PurchasesQty]],0)</f>
        <v>18.62777777777778</v>
      </c>
      <c r="P21" s="15">
        <f>IFERROR(Table50[[#This Row],[Closing]]/Table50[[#This Row],[ClosingQty]],0)</f>
        <v>13.97</v>
      </c>
      <c r="Q21" s="15">
        <f>IFERROR(AVERAGEIF(Table50[[#This Row],[OPENING COST PRICE]:[CLOSING COST PRICE]],"&gt;0"),0)</f>
        <v>15.379259259259259</v>
      </c>
      <c r="R21" s="15">
        <f>IFERROR(Table50[[#This Row],[COST PRICE]]-IFERROR(Table50[[#This Row],[Usage]]/Table50[[#This Row],[UsageQty]],Table50[[#This Row],[COST PRICE]]),0)</f>
        <v>-1.066602809706259</v>
      </c>
      <c r="S21" s="16">
        <f>IFERROR(Table50[[#This Row],[COST PRICE CHANGE]]/Table50[[#This Row],[OPENING COST PRICE]],0)</f>
        <v>-7.8774210465750283E-2</v>
      </c>
      <c r="T21" s="15">
        <f>Table50[[#This Row],[ClosingQty]]-(Table50[[#This Row],[USAGE / DAY]]*(IF(Table50[[#This Row],[ccnt]]="BEV",Table50[[#This Row],[DELIVERY DAY]],Table50[[#This Row],[DELIVERY DAY]])))</f>
        <v>10.760000000000002</v>
      </c>
      <c r="U21" s="15">
        <f>ROUNDUP(Table50[[#This Row],[UsageQty]]/Table50[[#This Row],[DATA POINT]],2)</f>
        <v>2.0799999999999996</v>
      </c>
      <c r="V2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9</v>
      </c>
      <c r="W21" s="15">
        <f>IFERROR(Table50[[#This Row],[ORDER QTY]]*Table50[[#This Row],[COST PRICE]],0)</f>
        <v>138.41333333333333</v>
      </c>
      <c r="X21" s="15">
        <f>IFERROR(VLOOKUP(C21,[1]!Table49[[#All],[name]:[USAGE / DAY]],19,FALSE),1)</f>
        <v>2.1399999999999997</v>
      </c>
      <c r="Y21" s="4">
        <f>IFERROR((Table50[[#This Row],[USAGE / DAY]]-Table50[[#This Row],[USAGE / DAY 2]])/Table50[[#This Row],[USAGE / DAY 2]],0)</f>
        <v>-2.8037383177570121E-2</v>
      </c>
      <c r="Z21" s="15">
        <f t="shared" si="0"/>
        <v>14</v>
      </c>
      <c r="AA21" s="15">
        <f t="shared" si="1"/>
        <v>9.311854181734148</v>
      </c>
      <c r="AB21" s="15">
        <f>IFERROR(IF(Table50[[#This Row],[ccnt]]="BEV",$AB$2,IF(Table50[[#This Row],[ccnt]]="FOOD",$AC$2,"ENTER # FROM LAST COUNT")),"ENTER # FROM LAST COUNT")</f>
        <v>3</v>
      </c>
      <c r="AC21" s="15">
        <f>(Table50[[#This Row],[OpeningQty]]+Table50[[#This Row],[ClosingQty]])/2</f>
        <v>22.5</v>
      </c>
      <c r="AD21" s="15">
        <f>IFERROR(Table50[[#This Row],[UsageQty]]/Table50[[#This Row],[AVE INVENTORY]],0)</f>
        <v>1.288888888888889</v>
      </c>
      <c r="AE21" s="15">
        <f>IFERROR(Table50[[#This Row],[DATA POINT]]/Table50[[#This Row],[Inventory Turnover Rate]],0)</f>
        <v>10.86206896551724</v>
      </c>
      <c r="AF21" s="15">
        <f>Table50[[#This Row],[ClosingQty]]/Table50[[#This Row],[USAGE / DAY]]</f>
        <v>8.1730769230769251</v>
      </c>
      <c r="AG21" s="15">
        <f>Table50[[#This Row],[USAGE / DAY]]*7</f>
        <v>14.559999999999997</v>
      </c>
      <c r="AH21" s="15">
        <f>Table50[[#This Row],[USAGE / DAY]]*3</f>
        <v>6.2399999999999984</v>
      </c>
      <c r="AI21" s="15">
        <f>IF(Table50[[#This Row],[FORECASTED DEMAND]]+Table50[[#This Row],[SAFETY STOCK]]-Table50[[#This Row],[ClosingQty]]&gt;0,Table50[[#This Row],[FORECASTED DEMAND]]+Table50[[#This Row],[SAFETY STOCK]]-Table50[[#This Row],[ClosingQty]],"NO ORDER")</f>
        <v>3.7999999999999972</v>
      </c>
      <c r="AJ21" s="15">
        <f>IFERROR(Table50[[#This Row],[ORDER QTY2]]*Table50[[#This Row],[COST PRICE]],0)</f>
        <v>58.441185185185141</v>
      </c>
      <c r="AK21" s="15">
        <f>(Table50[[#This Row],[REORDER POINT]]*Table50[[#This Row],[COST PRICE]])+Table50[[#This Row],[ORDER COST]]</f>
        <v>303.89416296296298</v>
      </c>
      <c r="AL21" s="15">
        <f t="shared" si="2"/>
        <v>100</v>
      </c>
      <c r="AM21" s="15">
        <f>IFERROR((Table50[[#This Row],[REORDER POINT]]+Table50[[#This Row],[ORDER QTY]])/(Table50[[#This Row],[USAGE / DAY]]*Table50[[#This Row],[DEMAND %]]),Table50[[#This Row],[REORDER POINT]]/Table50[[#This Row],[USAGE / DAY]])</f>
        <v>9.5000000000000015E-2</v>
      </c>
    </row>
    <row r="22" spans="1:39" x14ac:dyDescent="0.25">
      <c r="A22" t="s">
        <v>50</v>
      </c>
      <c r="B22" t="s">
        <v>51</v>
      </c>
      <c r="C22" t="s">
        <v>73</v>
      </c>
      <c r="D22" t="s">
        <v>53</v>
      </c>
      <c r="E22">
        <v>22</v>
      </c>
      <c r="F22">
        <v>307.33999999999997</v>
      </c>
      <c r="G22">
        <v>0</v>
      </c>
      <c r="H22">
        <v>0</v>
      </c>
      <c r="I22">
        <v>18</v>
      </c>
      <c r="J22">
        <v>251.46</v>
      </c>
      <c r="K22">
        <f>Table50[[#This Row],[OpeningQty]]+Table50[[#This Row],[PurchasesQty]]-Table50[[#This Row],[ClosingQty]]</f>
        <v>4</v>
      </c>
      <c r="L22">
        <v>55.88</v>
      </c>
      <c r="M22" s="14">
        <f>Table50[[#This Row],[Usage]]/$L$1</f>
        <v>8.4870510201168022E-5</v>
      </c>
      <c r="N22" s="15">
        <f>IFERROR(Table50[[#This Row],[Opening]]/Table50[[#This Row],[OpeningQty]],0)</f>
        <v>13.969999999999999</v>
      </c>
      <c r="O22" s="15">
        <f>IFERROR(Table50[[#This Row],[Purchases]]/Table50[[#This Row],[PurchasesQty]],0)</f>
        <v>0</v>
      </c>
      <c r="P22" s="15">
        <f>IFERROR(Table50[[#This Row],[Closing]]/Table50[[#This Row],[ClosingQty]],0)</f>
        <v>13.97</v>
      </c>
      <c r="Q22" s="15">
        <f>IFERROR(AVERAGEIF(Table50[[#This Row],[OPENING COST PRICE]:[CLOSING COST PRICE]],"&gt;0"),0)</f>
        <v>13.969999999999999</v>
      </c>
      <c r="R22" s="15">
        <f>IFERROR(Table50[[#This Row],[COST PRICE]]-IFERROR(Table50[[#This Row],[Usage]]/Table50[[#This Row],[UsageQty]],Table50[[#This Row],[COST PRICE]]),0)</f>
        <v>-1.7763568394002505E-15</v>
      </c>
      <c r="S22" s="16">
        <f>IFERROR(Table50[[#This Row],[COST PRICE CHANGE]]/Table50[[#This Row],[OPENING COST PRICE]],0)</f>
        <v>-1.2715510661419117E-16</v>
      </c>
      <c r="T22" s="15">
        <f>Table50[[#This Row],[ClosingQty]]-(Table50[[#This Row],[USAGE / DAY]]*(IF(Table50[[#This Row],[ccnt]]="BEV",Table50[[#This Row],[DELIVERY DAY]],Table50[[#This Row],[DELIVERY DAY]])))</f>
        <v>17.13</v>
      </c>
      <c r="U22" s="15">
        <f>ROUNDUP(Table50[[#This Row],[UsageQty]]/Table50[[#This Row],[DATA POINT]],2)</f>
        <v>0.29000000000000004</v>
      </c>
      <c r="V2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2" s="15">
        <f>IFERROR(Table50[[#This Row],[ORDER QTY]]*Table50[[#This Row],[COST PRICE]],0)</f>
        <v>0</v>
      </c>
      <c r="X22" s="15">
        <f>IFERROR(VLOOKUP(C22,[1]!Table49[[#All],[name]:[USAGE / DAY]],19,FALSE),1)</f>
        <v>0.4</v>
      </c>
      <c r="Y22" s="4">
        <f>IFERROR((Table50[[#This Row],[USAGE / DAY]]-Table50[[#This Row],[USAGE / DAY 2]])/Table50[[#This Row],[USAGE / DAY 2]],0)</f>
        <v>-0.27499999999999997</v>
      </c>
      <c r="Z22" s="15">
        <f t="shared" si="0"/>
        <v>14</v>
      </c>
      <c r="AA22" s="15">
        <f t="shared" si="1"/>
        <v>9.311854181734148</v>
      </c>
      <c r="AB22" s="15">
        <f>IFERROR(IF(Table50[[#This Row],[ccnt]]="BEV",$AB$2,IF(Table50[[#This Row],[ccnt]]="FOOD",$AC$2,"ENTER # FROM LAST COUNT")),"ENTER # FROM LAST COUNT")</f>
        <v>3</v>
      </c>
      <c r="AC22" s="15">
        <f>(Table50[[#This Row],[OpeningQty]]+Table50[[#This Row],[ClosingQty]])/2</f>
        <v>20</v>
      </c>
      <c r="AD22" s="15">
        <f>IFERROR(Table50[[#This Row],[UsageQty]]/Table50[[#This Row],[AVE INVENTORY]],0)</f>
        <v>0.2</v>
      </c>
      <c r="AE22" s="15">
        <f>IFERROR(Table50[[#This Row],[DATA POINT]]/Table50[[#This Row],[Inventory Turnover Rate]],0)</f>
        <v>70</v>
      </c>
      <c r="AF22" s="15">
        <f>Table50[[#This Row],[ClosingQty]]/Table50[[#This Row],[USAGE / DAY]]</f>
        <v>62.068965517241374</v>
      </c>
      <c r="AG22" s="15">
        <f>Table50[[#This Row],[USAGE / DAY]]*7</f>
        <v>2.0300000000000002</v>
      </c>
      <c r="AH22" s="15">
        <f>Table50[[#This Row],[USAGE / DAY]]*3</f>
        <v>0.87000000000000011</v>
      </c>
      <c r="AI2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2" s="15">
        <f>IFERROR(Table50[[#This Row],[ORDER QTY2]]*Table50[[#This Row],[COST PRICE]],0)</f>
        <v>0</v>
      </c>
      <c r="AK22" s="15">
        <f>(Table50[[#This Row],[REORDER POINT]]*Table50[[#This Row],[COST PRICE]])+Table50[[#This Row],[ORDER COST]]</f>
        <v>239.30609999999996</v>
      </c>
      <c r="AL22" s="15">
        <f t="shared" si="2"/>
        <v>100</v>
      </c>
      <c r="AM22" s="15">
        <f>IFERROR((Table50[[#This Row],[REORDER POINT]]+Table50[[#This Row],[ORDER QTY]])/(Table50[[#This Row],[USAGE / DAY]]*Table50[[#This Row],[DEMAND %]]),Table50[[#This Row],[REORDER POINT]]/Table50[[#This Row],[USAGE / DAY]])</f>
        <v>59.068965517241367</v>
      </c>
    </row>
    <row r="23" spans="1:39" x14ac:dyDescent="0.25">
      <c r="A23" t="s">
        <v>50</v>
      </c>
      <c r="B23" t="s">
        <v>74</v>
      </c>
      <c r="C23" t="s">
        <v>75</v>
      </c>
      <c r="D23" t="s">
        <v>76</v>
      </c>
      <c r="E23">
        <v>2</v>
      </c>
      <c r="F23">
        <v>298.2</v>
      </c>
      <c r="G23">
        <v>0</v>
      </c>
      <c r="H23">
        <v>0</v>
      </c>
      <c r="I23">
        <v>0</v>
      </c>
      <c r="J23">
        <v>0</v>
      </c>
      <c r="K23">
        <f>Table50[[#This Row],[OpeningQty]]+Table50[[#This Row],[PurchasesQty]]-Table50[[#This Row],[ClosingQty]]</f>
        <v>2</v>
      </c>
      <c r="L23">
        <v>298.2</v>
      </c>
      <c r="M23" s="14">
        <f>Table50[[#This Row],[Usage]]/$L$1</f>
        <v>4.529059796347226E-4</v>
      </c>
      <c r="N23" s="15">
        <f>IFERROR(Table50[[#This Row],[Opening]]/Table50[[#This Row],[OpeningQty]],0)</f>
        <v>149.1</v>
      </c>
      <c r="O23" s="15">
        <f>IFERROR(Table50[[#This Row],[Purchases]]/Table50[[#This Row],[PurchasesQty]],0)</f>
        <v>0</v>
      </c>
      <c r="P23" s="15">
        <f>IFERROR(Table50[[#This Row],[Closing]]/Table50[[#This Row],[ClosingQty]],0)</f>
        <v>0</v>
      </c>
      <c r="Q23" s="15">
        <f>IFERROR(AVERAGEIF(Table50[[#This Row],[OPENING COST PRICE]:[CLOSING COST PRICE]],"&gt;0"),0)</f>
        <v>149.1</v>
      </c>
      <c r="R23" s="15">
        <f>IFERROR(Table50[[#This Row],[COST PRICE]]-IFERROR(Table50[[#This Row],[Usage]]/Table50[[#This Row],[UsageQty]],Table50[[#This Row],[COST PRICE]]),0)</f>
        <v>0</v>
      </c>
      <c r="S23" s="16">
        <f>IFERROR(Table50[[#This Row],[COST PRICE CHANGE]]/Table50[[#This Row],[OPENING COST PRICE]],0)</f>
        <v>0</v>
      </c>
      <c r="T23" s="15">
        <f>Table50[[#This Row],[ClosingQty]]-(Table50[[#This Row],[USAGE / DAY]]*(IF(Table50[[#This Row],[ccnt]]="BEV",Table50[[#This Row],[DELIVERY DAY]],Table50[[#This Row],[DELIVERY DAY]])))</f>
        <v>-0.45000000000000007</v>
      </c>
      <c r="U23" s="15">
        <f>ROUNDUP(Table50[[#This Row],[UsageQty]]/Table50[[#This Row],[DATA POINT]],2)</f>
        <v>0.15000000000000002</v>
      </c>
      <c r="V2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23" s="15">
        <f>IFERROR(Table50[[#This Row],[ORDER QTY]]*Table50[[#This Row],[COST PRICE]],0)</f>
        <v>298.2</v>
      </c>
      <c r="X23" s="15">
        <f>IFERROR(VLOOKUP(C23,[1]!Table49[[#All],[name]:[USAGE / DAY]],19,FALSE),1)</f>
        <v>1</v>
      </c>
      <c r="Y23" s="4">
        <f>IFERROR((Table50[[#This Row],[USAGE / DAY]]-Table50[[#This Row],[USAGE / DAY 2]])/Table50[[#This Row],[USAGE / DAY 2]],0)</f>
        <v>-0.85</v>
      </c>
      <c r="Z23" s="15">
        <f t="shared" si="0"/>
        <v>14</v>
      </c>
      <c r="AA23" s="15">
        <f t="shared" si="1"/>
        <v>9.311854181734148</v>
      </c>
      <c r="AB23" s="15">
        <f>IFERROR(IF(Table50[[#This Row],[ccnt]]="BEV",$AB$2,IF(Table50[[#This Row],[ccnt]]="FOOD",$AC$2,"ENTER # FROM LAST COUNT")),"ENTER # FROM LAST COUNT")</f>
        <v>3</v>
      </c>
      <c r="AC23" s="15">
        <f>(Table50[[#This Row],[OpeningQty]]+Table50[[#This Row],[ClosingQty]])/2</f>
        <v>1</v>
      </c>
      <c r="AD23" s="15">
        <f>IFERROR(Table50[[#This Row],[UsageQty]]/Table50[[#This Row],[AVE INVENTORY]],0)</f>
        <v>2</v>
      </c>
      <c r="AE23" s="15">
        <f>IFERROR(Table50[[#This Row],[DATA POINT]]/Table50[[#This Row],[Inventory Turnover Rate]],0)</f>
        <v>7</v>
      </c>
      <c r="AF23" s="15">
        <f>Table50[[#This Row],[ClosingQty]]/Table50[[#This Row],[USAGE / DAY]]</f>
        <v>0</v>
      </c>
      <c r="AG23" s="15">
        <f>Table50[[#This Row],[USAGE / DAY]]*7</f>
        <v>1.0500000000000003</v>
      </c>
      <c r="AH23" s="15">
        <f>Table50[[#This Row],[USAGE / DAY]]*3</f>
        <v>0.45000000000000007</v>
      </c>
      <c r="AI23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23" s="15">
        <f>IFERROR(Table50[[#This Row],[ORDER QTY2]]*Table50[[#This Row],[COST PRICE]],0)</f>
        <v>223.65000000000006</v>
      </c>
      <c r="AK23" s="15">
        <f>(Table50[[#This Row],[REORDER POINT]]*Table50[[#This Row],[COST PRICE]])+Table50[[#This Row],[ORDER COST]]</f>
        <v>231.10499999999996</v>
      </c>
      <c r="AL23" s="15">
        <f t="shared" si="2"/>
        <v>100</v>
      </c>
      <c r="AM23" s="15">
        <f>IFERROR((Table50[[#This Row],[REORDER POINT]]+Table50[[#This Row],[ORDER QTY]])/(Table50[[#This Row],[USAGE / DAY]]*Table50[[#This Row],[DEMAND %]]),Table50[[#This Row],[REORDER POINT]]/Table50[[#This Row],[USAGE / DAY]])</f>
        <v>0.1033333333333333</v>
      </c>
    </row>
    <row r="24" spans="1:39" x14ac:dyDescent="0.25">
      <c r="A24" t="s">
        <v>50</v>
      </c>
      <c r="B24" t="s">
        <v>74</v>
      </c>
      <c r="C24" t="s">
        <v>77</v>
      </c>
      <c r="D24" t="s">
        <v>53</v>
      </c>
      <c r="E24">
        <v>11</v>
      </c>
      <c r="F24">
        <v>167.2</v>
      </c>
      <c r="G24">
        <v>36</v>
      </c>
      <c r="H24">
        <v>547.20000000000005</v>
      </c>
      <c r="I24">
        <v>26</v>
      </c>
      <c r="J24">
        <v>395.2</v>
      </c>
      <c r="K24">
        <f>Table50[[#This Row],[OpeningQty]]+Table50[[#This Row],[PurchasesQty]]-Table50[[#This Row],[ClosingQty]]</f>
        <v>21</v>
      </c>
      <c r="L24">
        <v>319.2</v>
      </c>
      <c r="M24" s="14">
        <f>Table50[[#This Row],[Usage]]/$L$1</f>
        <v>4.8480076693294252E-4</v>
      </c>
      <c r="N24" s="15">
        <f>IFERROR(Table50[[#This Row],[Opening]]/Table50[[#This Row],[OpeningQty]],0)</f>
        <v>15.2</v>
      </c>
      <c r="O24" s="15">
        <f>IFERROR(Table50[[#This Row],[Purchases]]/Table50[[#This Row],[PurchasesQty]],0)</f>
        <v>15.200000000000001</v>
      </c>
      <c r="P24" s="15">
        <f>IFERROR(Table50[[#This Row],[Closing]]/Table50[[#This Row],[ClosingQty]],0)</f>
        <v>15.2</v>
      </c>
      <c r="Q24" s="15">
        <f>IFERROR(AVERAGEIF(Table50[[#This Row],[OPENING COST PRICE]:[CLOSING COST PRICE]],"&gt;0"),0)</f>
        <v>15.199999999999998</v>
      </c>
      <c r="R24" s="15">
        <f>IFERROR(Table50[[#This Row],[COST PRICE]]-IFERROR(Table50[[#This Row],[Usage]]/Table50[[#This Row],[UsageQty]],Table50[[#This Row],[COST PRICE]]),0)</f>
        <v>-1.7763568394002505E-15</v>
      </c>
      <c r="S24" s="16">
        <f>IFERROR(Table50[[#This Row],[COST PRICE CHANGE]]/Table50[[#This Row],[OPENING COST PRICE]],0)</f>
        <v>-1.1686558153949016E-16</v>
      </c>
      <c r="T24" s="15">
        <f>Table50[[#This Row],[ClosingQty]]-(Table50[[#This Row],[USAGE / DAY]]*(IF(Table50[[#This Row],[ccnt]]="BEV",Table50[[#This Row],[DELIVERY DAY]],Table50[[#This Row],[DELIVERY DAY]])))</f>
        <v>21.5</v>
      </c>
      <c r="U24" s="15">
        <f>ROUNDUP(Table50[[#This Row],[UsageQty]]/Table50[[#This Row],[DATA POINT]],2)</f>
        <v>1.5</v>
      </c>
      <c r="V2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4" s="15">
        <f>IFERROR(Table50[[#This Row],[ORDER QTY]]*Table50[[#This Row],[COST PRICE]],0)</f>
        <v>0</v>
      </c>
      <c r="X24" s="15">
        <f>IFERROR(VLOOKUP(C24,[1]!Table49[[#All],[name]:[USAGE / DAY]],19,FALSE),1)</f>
        <v>1.6</v>
      </c>
      <c r="Y24" s="4">
        <f>IFERROR((Table50[[#This Row],[USAGE / DAY]]-Table50[[#This Row],[USAGE / DAY 2]])/Table50[[#This Row],[USAGE / DAY 2]],0)</f>
        <v>-6.2500000000000056E-2</v>
      </c>
      <c r="Z24" s="15">
        <f t="shared" si="0"/>
        <v>14</v>
      </c>
      <c r="AA24" s="15">
        <f t="shared" si="1"/>
        <v>9.311854181734148</v>
      </c>
      <c r="AB24" s="15">
        <f>IFERROR(IF(Table50[[#This Row],[ccnt]]="BEV",$AB$2,IF(Table50[[#This Row],[ccnt]]="FOOD",$AC$2,"ENTER # FROM LAST COUNT")),"ENTER # FROM LAST COUNT")</f>
        <v>3</v>
      </c>
      <c r="AC24" s="15">
        <f>(Table50[[#This Row],[OpeningQty]]+Table50[[#This Row],[ClosingQty]])/2</f>
        <v>18.5</v>
      </c>
      <c r="AD24" s="15">
        <f>IFERROR(Table50[[#This Row],[UsageQty]]/Table50[[#This Row],[AVE INVENTORY]],0)</f>
        <v>1.1351351351351351</v>
      </c>
      <c r="AE24" s="15">
        <f>IFERROR(Table50[[#This Row],[DATA POINT]]/Table50[[#This Row],[Inventory Turnover Rate]],0)</f>
        <v>12.333333333333334</v>
      </c>
      <c r="AF24" s="15">
        <f>Table50[[#This Row],[ClosingQty]]/Table50[[#This Row],[USAGE / DAY]]</f>
        <v>17.333333333333332</v>
      </c>
      <c r="AG24" s="15">
        <f>Table50[[#This Row],[USAGE / DAY]]*7</f>
        <v>10.5</v>
      </c>
      <c r="AH24" s="15">
        <f>Table50[[#This Row],[USAGE / DAY]]*3</f>
        <v>4.5</v>
      </c>
      <c r="AI2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4" s="15">
        <f>IFERROR(Table50[[#This Row],[ORDER QTY2]]*Table50[[#This Row],[COST PRICE]],0)</f>
        <v>0</v>
      </c>
      <c r="AK24" s="15">
        <f>(Table50[[#This Row],[REORDER POINT]]*Table50[[#This Row],[COST PRICE]])+Table50[[#This Row],[ORDER COST]]</f>
        <v>326.79999999999995</v>
      </c>
      <c r="AL24" s="15">
        <f t="shared" si="2"/>
        <v>100</v>
      </c>
      <c r="AM24" s="15">
        <f>IFERROR((Table50[[#This Row],[REORDER POINT]]+Table50[[#This Row],[ORDER QTY]])/(Table50[[#This Row],[USAGE / DAY]]*Table50[[#This Row],[DEMAND %]]),Table50[[#This Row],[REORDER POINT]]/Table50[[#This Row],[USAGE / DAY]])</f>
        <v>14.333333333333334</v>
      </c>
    </row>
    <row r="25" spans="1:39" x14ac:dyDescent="0.25">
      <c r="A25" t="s">
        <v>50</v>
      </c>
      <c r="B25" t="s">
        <v>74</v>
      </c>
      <c r="C25" t="s">
        <v>78</v>
      </c>
      <c r="D25" t="s">
        <v>53</v>
      </c>
      <c r="E25">
        <v>15</v>
      </c>
      <c r="F25">
        <v>228</v>
      </c>
      <c r="G25">
        <v>42</v>
      </c>
      <c r="H25">
        <v>638.4</v>
      </c>
      <c r="I25">
        <v>26</v>
      </c>
      <c r="J25">
        <v>395.2</v>
      </c>
      <c r="K25">
        <f>Table50[[#This Row],[OpeningQty]]+Table50[[#This Row],[PurchasesQty]]-Table50[[#This Row],[ClosingQty]]</f>
        <v>31</v>
      </c>
      <c r="L25">
        <v>471.2</v>
      </c>
      <c r="M25" s="14">
        <f>Table50[[#This Row],[Usage]]/$L$1</f>
        <v>7.1565827499624852E-4</v>
      </c>
      <c r="N25" s="15">
        <f>IFERROR(Table50[[#This Row],[Opening]]/Table50[[#This Row],[OpeningQty]],0)</f>
        <v>15.2</v>
      </c>
      <c r="O25" s="15">
        <f>IFERROR(Table50[[#This Row],[Purchases]]/Table50[[#This Row],[PurchasesQty]],0)</f>
        <v>15.2</v>
      </c>
      <c r="P25" s="15">
        <f>IFERROR(Table50[[#This Row],[Closing]]/Table50[[#This Row],[ClosingQty]],0)</f>
        <v>15.2</v>
      </c>
      <c r="Q25" s="15">
        <f>IFERROR(AVERAGEIF(Table50[[#This Row],[OPENING COST PRICE]:[CLOSING COST PRICE]],"&gt;0"),0)</f>
        <v>15.199999999999998</v>
      </c>
      <c r="R25" s="15">
        <f>IFERROR(Table50[[#This Row],[COST PRICE]]-IFERROR(Table50[[#This Row],[Usage]]/Table50[[#This Row],[UsageQty]],Table50[[#This Row],[COST PRICE]]),0)</f>
        <v>-1.7763568394002505E-15</v>
      </c>
      <c r="S25" s="16">
        <f>IFERROR(Table50[[#This Row],[COST PRICE CHANGE]]/Table50[[#This Row],[OPENING COST PRICE]],0)</f>
        <v>-1.1686558153949016E-16</v>
      </c>
      <c r="T25" s="15">
        <f>Table50[[#This Row],[ClosingQty]]-(Table50[[#This Row],[USAGE / DAY]]*(IF(Table50[[#This Row],[ccnt]]="BEV",Table50[[#This Row],[DELIVERY DAY]],Table50[[#This Row],[DELIVERY DAY]])))</f>
        <v>19.34</v>
      </c>
      <c r="U25" s="15">
        <f>ROUNDUP(Table50[[#This Row],[UsageQty]]/Table50[[#This Row],[DATA POINT]],2)</f>
        <v>2.2199999999999998</v>
      </c>
      <c r="V2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25" s="15">
        <f>IFERROR(Table50[[#This Row],[ORDER QTY]]*Table50[[#This Row],[COST PRICE]],0)</f>
        <v>30.399999999999995</v>
      </c>
      <c r="X25" s="15">
        <f>IFERROR(VLOOKUP(C25,[1]!Table49[[#All],[name]:[USAGE / DAY]],19,FALSE),1)</f>
        <v>2.4699999999999998</v>
      </c>
      <c r="Y25" s="4">
        <f>IFERROR((Table50[[#This Row],[USAGE / DAY]]-Table50[[#This Row],[USAGE / DAY 2]])/Table50[[#This Row],[USAGE / DAY 2]],0)</f>
        <v>-0.10121457489878544</v>
      </c>
      <c r="Z25" s="15">
        <f t="shared" si="0"/>
        <v>14</v>
      </c>
      <c r="AA25" s="15">
        <f t="shared" si="1"/>
        <v>9.311854181734148</v>
      </c>
      <c r="AB25" s="15">
        <f>IFERROR(IF(Table50[[#This Row],[ccnt]]="BEV",$AB$2,IF(Table50[[#This Row],[ccnt]]="FOOD",$AC$2,"ENTER # FROM LAST COUNT")),"ENTER # FROM LAST COUNT")</f>
        <v>3</v>
      </c>
      <c r="AC25" s="15">
        <f>(Table50[[#This Row],[OpeningQty]]+Table50[[#This Row],[ClosingQty]])/2</f>
        <v>20.5</v>
      </c>
      <c r="AD25" s="15">
        <f>IFERROR(Table50[[#This Row],[UsageQty]]/Table50[[#This Row],[AVE INVENTORY]],0)</f>
        <v>1.5121951219512195</v>
      </c>
      <c r="AE25" s="15">
        <f>IFERROR(Table50[[#This Row],[DATA POINT]]/Table50[[#This Row],[Inventory Turnover Rate]],0)</f>
        <v>9.258064516129032</v>
      </c>
      <c r="AF25" s="15">
        <f>Table50[[#This Row],[ClosingQty]]/Table50[[#This Row],[USAGE / DAY]]</f>
        <v>11.711711711711713</v>
      </c>
      <c r="AG25" s="15">
        <f>Table50[[#This Row],[USAGE / DAY]]*7</f>
        <v>15.54</v>
      </c>
      <c r="AH25" s="15">
        <f>Table50[[#This Row],[USAGE / DAY]]*3</f>
        <v>6.6599999999999993</v>
      </c>
      <c r="AI2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" s="15">
        <f>IFERROR(Table50[[#This Row],[ORDER QTY2]]*Table50[[#This Row],[COST PRICE]],0)</f>
        <v>0</v>
      </c>
      <c r="AK25" s="15">
        <f>(Table50[[#This Row],[REORDER POINT]]*Table50[[#This Row],[COST PRICE]])+Table50[[#This Row],[ORDER COST]]</f>
        <v>324.36799999999994</v>
      </c>
      <c r="AL25" s="15">
        <f t="shared" si="2"/>
        <v>100</v>
      </c>
      <c r="AM25" s="15">
        <f>IFERROR((Table50[[#This Row],[REORDER POINT]]+Table50[[#This Row],[ORDER QTY]])/(Table50[[#This Row],[USAGE / DAY]]*Table50[[#This Row],[DEMAND %]]),Table50[[#This Row],[REORDER POINT]]/Table50[[#This Row],[USAGE / DAY]])</f>
        <v>9.6126126126126143E-2</v>
      </c>
    </row>
    <row r="26" spans="1:39" x14ac:dyDescent="0.25">
      <c r="A26" t="s">
        <v>50</v>
      </c>
      <c r="B26" t="s">
        <v>74</v>
      </c>
      <c r="C26" t="s">
        <v>79</v>
      </c>
      <c r="D26" t="s">
        <v>53</v>
      </c>
      <c r="E26">
        <v>14</v>
      </c>
      <c r="F26">
        <v>212.8</v>
      </c>
      <c r="G26">
        <v>36</v>
      </c>
      <c r="H26">
        <v>547.20000000000005</v>
      </c>
      <c r="I26">
        <v>24</v>
      </c>
      <c r="J26">
        <v>364.8</v>
      </c>
      <c r="K26">
        <f>Table50[[#This Row],[OpeningQty]]+Table50[[#This Row],[PurchasesQty]]-Table50[[#This Row],[ClosingQty]]</f>
        <v>26</v>
      </c>
      <c r="L26">
        <v>395.2</v>
      </c>
      <c r="M26" s="14">
        <f>Table50[[#This Row],[Usage]]/$L$1</f>
        <v>6.0022952096459555E-4</v>
      </c>
      <c r="N26" s="15">
        <f>IFERROR(Table50[[#This Row],[Opening]]/Table50[[#This Row],[OpeningQty]],0)</f>
        <v>15.200000000000001</v>
      </c>
      <c r="O26" s="15">
        <f>IFERROR(Table50[[#This Row],[Purchases]]/Table50[[#This Row],[PurchasesQty]],0)</f>
        <v>15.200000000000001</v>
      </c>
      <c r="P26" s="15">
        <f>IFERROR(Table50[[#This Row],[Closing]]/Table50[[#This Row],[ClosingQty]],0)</f>
        <v>15.200000000000001</v>
      </c>
      <c r="Q26" s="15">
        <f>IFERROR(AVERAGEIF(Table50[[#This Row],[OPENING COST PRICE]:[CLOSING COST PRICE]],"&gt;0"),0)</f>
        <v>15.200000000000001</v>
      </c>
      <c r="R26" s="15">
        <f>IFERROR(Table50[[#This Row],[COST PRICE]]-IFERROR(Table50[[#This Row],[Usage]]/Table50[[#This Row],[UsageQty]],Table50[[#This Row],[COST PRICE]]),0)</f>
        <v>1.7763568394002505E-15</v>
      </c>
      <c r="S26" s="16">
        <f>IFERROR(Table50[[#This Row],[COST PRICE CHANGE]]/Table50[[#This Row],[OPENING COST PRICE]],0)</f>
        <v>1.1686558153949016E-16</v>
      </c>
      <c r="T26" s="15">
        <f>Table50[[#This Row],[ClosingQty]]-(Table50[[#This Row],[USAGE / DAY]]*(IF(Table50[[#This Row],[ccnt]]="BEV",Table50[[#This Row],[DELIVERY DAY]],Table50[[#This Row],[DELIVERY DAY]])))</f>
        <v>18.420000000000002</v>
      </c>
      <c r="U26" s="15">
        <f>ROUNDUP(Table50[[#This Row],[UsageQty]]/Table50[[#This Row],[DATA POINT]],2)</f>
        <v>1.86</v>
      </c>
      <c r="V2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6" s="15">
        <f>IFERROR(Table50[[#This Row],[ORDER QTY]]*Table50[[#This Row],[COST PRICE]],0)</f>
        <v>0</v>
      </c>
      <c r="X26" s="15">
        <f>IFERROR(VLOOKUP(C26,[1]!Table49[[#All],[name]:[USAGE / DAY]],19,FALSE),1)</f>
        <v>1.87</v>
      </c>
      <c r="Y26" s="4">
        <f>IFERROR((Table50[[#This Row],[USAGE / DAY]]-Table50[[#This Row],[USAGE / DAY 2]])/Table50[[#This Row],[USAGE / DAY 2]],0)</f>
        <v>-5.3475935828877046E-3</v>
      </c>
      <c r="Z26" s="15">
        <f t="shared" si="0"/>
        <v>14</v>
      </c>
      <c r="AA26" s="15">
        <f t="shared" si="1"/>
        <v>9.311854181734148</v>
      </c>
      <c r="AB26" s="15">
        <f>IFERROR(IF(Table50[[#This Row],[ccnt]]="BEV",$AB$2,IF(Table50[[#This Row],[ccnt]]="FOOD",$AC$2,"ENTER # FROM LAST COUNT")),"ENTER # FROM LAST COUNT")</f>
        <v>3</v>
      </c>
      <c r="AC26" s="15">
        <f>(Table50[[#This Row],[OpeningQty]]+Table50[[#This Row],[ClosingQty]])/2</f>
        <v>19</v>
      </c>
      <c r="AD26" s="15">
        <f>IFERROR(Table50[[#This Row],[UsageQty]]/Table50[[#This Row],[AVE INVENTORY]],0)</f>
        <v>1.368421052631579</v>
      </c>
      <c r="AE26" s="15">
        <f>IFERROR(Table50[[#This Row],[DATA POINT]]/Table50[[#This Row],[Inventory Turnover Rate]],0)</f>
        <v>10.23076923076923</v>
      </c>
      <c r="AF26" s="15">
        <f>Table50[[#This Row],[ClosingQty]]/Table50[[#This Row],[USAGE / DAY]]</f>
        <v>12.903225806451612</v>
      </c>
      <c r="AG26" s="15">
        <f>Table50[[#This Row],[USAGE / DAY]]*7</f>
        <v>13.020000000000001</v>
      </c>
      <c r="AH26" s="15">
        <f>Table50[[#This Row],[USAGE / DAY]]*3</f>
        <v>5.58</v>
      </c>
      <c r="AI2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" s="15">
        <f>IFERROR(Table50[[#This Row],[ORDER QTY2]]*Table50[[#This Row],[COST PRICE]],0)</f>
        <v>0</v>
      </c>
      <c r="AK26" s="15">
        <f>(Table50[[#This Row],[REORDER POINT]]*Table50[[#This Row],[COST PRICE]])+Table50[[#This Row],[ORDER COST]]</f>
        <v>279.98400000000004</v>
      </c>
      <c r="AL26" s="15">
        <f t="shared" si="2"/>
        <v>100</v>
      </c>
      <c r="AM26" s="15">
        <f>IFERROR((Table50[[#This Row],[REORDER POINT]]+Table50[[#This Row],[ORDER QTY]])/(Table50[[#This Row],[USAGE / DAY]]*Table50[[#This Row],[DEMAND %]]),Table50[[#This Row],[REORDER POINT]]/Table50[[#This Row],[USAGE / DAY]])</f>
        <v>9.9032258064516139</v>
      </c>
    </row>
    <row r="27" spans="1:39" x14ac:dyDescent="0.25">
      <c r="A27" t="s">
        <v>50</v>
      </c>
      <c r="B27" t="s">
        <v>74</v>
      </c>
      <c r="C27" t="s">
        <v>80</v>
      </c>
      <c r="D27" t="s">
        <v>53</v>
      </c>
      <c r="E27">
        <v>28</v>
      </c>
      <c r="F27">
        <v>431.48</v>
      </c>
      <c r="G27">
        <v>72</v>
      </c>
      <c r="H27">
        <v>1035.6300000000001</v>
      </c>
      <c r="I27">
        <v>45</v>
      </c>
      <c r="J27">
        <v>647.1</v>
      </c>
      <c r="K27">
        <f>Table50[[#This Row],[OpeningQty]]+Table50[[#This Row],[PurchasesQty]]-Table50[[#This Row],[ClosingQty]]</f>
        <v>55</v>
      </c>
      <c r="L27">
        <v>820.01</v>
      </c>
      <c r="M27" s="14">
        <f>Table50[[#This Row],[Usage]]/$L$1</f>
        <v>1.2454306920196812E-3</v>
      </c>
      <c r="N27" s="15">
        <f>IFERROR(Table50[[#This Row],[Opening]]/Table50[[#This Row],[OpeningQty]],0)</f>
        <v>15.41</v>
      </c>
      <c r="O27" s="15">
        <f>IFERROR(Table50[[#This Row],[Purchases]]/Table50[[#This Row],[PurchasesQty]],0)</f>
        <v>14.383750000000001</v>
      </c>
      <c r="P27" s="15">
        <f>IFERROR(Table50[[#This Row],[Closing]]/Table50[[#This Row],[ClosingQty]],0)</f>
        <v>14.38</v>
      </c>
      <c r="Q27" s="15">
        <f>IFERROR(AVERAGEIF(Table50[[#This Row],[OPENING COST PRICE]:[CLOSING COST PRICE]],"&gt;0"),0)</f>
        <v>14.724583333333335</v>
      </c>
      <c r="R27" s="15">
        <f>IFERROR(Table50[[#This Row],[COST PRICE]]-IFERROR(Table50[[#This Row],[Usage]]/Table50[[#This Row],[UsageQty]],Table50[[#This Row],[COST PRICE]]),0)</f>
        <v>-0.18468939393939188</v>
      </c>
      <c r="S27" s="16">
        <f>IFERROR(Table50[[#This Row],[COST PRICE CHANGE]]/Table50[[#This Row],[OPENING COST PRICE]],0)</f>
        <v>-1.1985035297819071E-2</v>
      </c>
      <c r="T27" s="15">
        <f>Table50[[#This Row],[ClosingQty]]-(Table50[[#This Row],[USAGE / DAY]]*(IF(Table50[[#This Row],[ccnt]]="BEV",Table50[[#This Row],[DELIVERY DAY]],Table50[[#This Row],[DELIVERY DAY]])))</f>
        <v>33.21</v>
      </c>
      <c r="U27" s="15">
        <f>ROUNDUP(Table50[[#This Row],[UsageQty]]/Table50[[#This Row],[DATA POINT]],2)</f>
        <v>3.9299999999999997</v>
      </c>
      <c r="V2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27" s="15">
        <f>IFERROR(Table50[[#This Row],[ORDER QTY]]*Table50[[#This Row],[COST PRICE]],0)</f>
        <v>58.898333333333341</v>
      </c>
      <c r="X27" s="15">
        <f>IFERROR(VLOOKUP(C27,[1]!Table49[[#All],[name]:[USAGE / DAY]],19,FALSE),1)</f>
        <v>5.34</v>
      </c>
      <c r="Y27" s="4">
        <f>IFERROR((Table50[[#This Row],[USAGE / DAY]]-Table50[[#This Row],[USAGE / DAY 2]])/Table50[[#This Row],[USAGE / DAY 2]],0)</f>
        <v>-0.26404494382022475</v>
      </c>
      <c r="Z27" s="15">
        <f t="shared" si="0"/>
        <v>14</v>
      </c>
      <c r="AA27" s="15">
        <f t="shared" si="1"/>
        <v>9.311854181734148</v>
      </c>
      <c r="AB27" s="15">
        <f>IFERROR(IF(Table50[[#This Row],[ccnt]]="BEV",$AB$2,IF(Table50[[#This Row],[ccnt]]="FOOD",$AC$2,"ENTER # FROM LAST COUNT")),"ENTER # FROM LAST COUNT")</f>
        <v>3</v>
      </c>
      <c r="AC27" s="15">
        <f>(Table50[[#This Row],[OpeningQty]]+Table50[[#This Row],[ClosingQty]])/2</f>
        <v>36.5</v>
      </c>
      <c r="AD27" s="15">
        <f>IFERROR(Table50[[#This Row],[UsageQty]]/Table50[[#This Row],[AVE INVENTORY]],0)</f>
        <v>1.5068493150684932</v>
      </c>
      <c r="AE27" s="15">
        <f>IFERROR(Table50[[#This Row],[DATA POINT]]/Table50[[#This Row],[Inventory Turnover Rate]],0)</f>
        <v>9.290909090909091</v>
      </c>
      <c r="AF27" s="15">
        <f>Table50[[#This Row],[ClosingQty]]/Table50[[#This Row],[USAGE / DAY]]</f>
        <v>11.450381679389313</v>
      </c>
      <c r="AG27" s="15">
        <f>Table50[[#This Row],[USAGE / DAY]]*7</f>
        <v>27.509999999999998</v>
      </c>
      <c r="AH27" s="15">
        <f>Table50[[#This Row],[USAGE / DAY]]*3</f>
        <v>11.79</v>
      </c>
      <c r="AI2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7" s="15">
        <f>IFERROR(Table50[[#This Row],[ORDER QTY2]]*Table50[[#This Row],[COST PRICE]],0)</f>
        <v>0</v>
      </c>
      <c r="AK27" s="15">
        <f>(Table50[[#This Row],[REORDER POINT]]*Table50[[#This Row],[COST PRICE]])+Table50[[#This Row],[ORDER COST]]</f>
        <v>547.90174583333339</v>
      </c>
      <c r="AL27" s="15">
        <f t="shared" si="2"/>
        <v>100</v>
      </c>
      <c r="AM27" s="15">
        <f>IFERROR((Table50[[#This Row],[REORDER POINT]]+Table50[[#This Row],[ORDER QTY]])/(Table50[[#This Row],[USAGE / DAY]]*Table50[[#This Row],[DEMAND %]]),Table50[[#This Row],[REORDER POINT]]/Table50[[#This Row],[USAGE / DAY]])</f>
        <v>9.4681933842239191E-2</v>
      </c>
    </row>
    <row r="28" spans="1:39" x14ac:dyDescent="0.25">
      <c r="A28" t="s">
        <v>50</v>
      </c>
      <c r="B28" t="s">
        <v>74</v>
      </c>
      <c r="C28" t="s">
        <v>81</v>
      </c>
      <c r="D28" t="s">
        <v>53</v>
      </c>
      <c r="E28">
        <v>15</v>
      </c>
      <c r="F28">
        <v>169.05</v>
      </c>
      <c r="G28">
        <v>24</v>
      </c>
      <c r="H28">
        <v>286.94</v>
      </c>
      <c r="I28">
        <v>14</v>
      </c>
      <c r="J28">
        <v>167.44</v>
      </c>
      <c r="K28">
        <f>Table50[[#This Row],[OpeningQty]]+Table50[[#This Row],[PurchasesQty]]-Table50[[#This Row],[ClosingQty]]</f>
        <v>25</v>
      </c>
      <c r="L28">
        <v>288.55</v>
      </c>
      <c r="M28" s="14">
        <f>Table50[[#This Row],[Usage]]/$L$1</f>
        <v>4.3824956547149302E-4</v>
      </c>
      <c r="N28" s="15">
        <f>IFERROR(Table50[[#This Row],[Opening]]/Table50[[#This Row],[OpeningQty]],0)</f>
        <v>11.270000000000001</v>
      </c>
      <c r="O28" s="15">
        <f>IFERROR(Table50[[#This Row],[Purchases]]/Table50[[#This Row],[PurchasesQty]],0)</f>
        <v>11.955833333333333</v>
      </c>
      <c r="P28" s="15">
        <f>IFERROR(Table50[[#This Row],[Closing]]/Table50[[#This Row],[ClosingQty]],0)</f>
        <v>11.959999999999999</v>
      </c>
      <c r="Q28" s="15">
        <f>IFERROR(AVERAGEIF(Table50[[#This Row],[OPENING COST PRICE]:[CLOSING COST PRICE]],"&gt;0"),0)</f>
        <v>11.728611111111112</v>
      </c>
      <c r="R28" s="15">
        <f>IFERROR(Table50[[#This Row],[COST PRICE]]-IFERROR(Table50[[#This Row],[Usage]]/Table50[[#This Row],[UsageQty]],Table50[[#This Row],[COST PRICE]]),0)</f>
        <v>0.18661111111111239</v>
      </c>
      <c r="S28" s="16">
        <f>IFERROR(Table50[[#This Row],[COST PRICE CHANGE]]/Table50[[#This Row],[OPENING COST PRICE]],0)</f>
        <v>1.6558217489894621E-2</v>
      </c>
      <c r="T28" s="15">
        <f>Table50[[#This Row],[ClosingQty]]-(Table50[[#This Row],[USAGE / DAY]]*(IF(Table50[[#This Row],[ccnt]]="BEV",Table50[[#This Row],[DELIVERY DAY]],Table50[[#This Row],[DELIVERY DAY]])))</f>
        <v>8.629999999999999</v>
      </c>
      <c r="U28" s="15">
        <f>ROUNDUP(Table50[[#This Row],[UsageQty]]/Table50[[#This Row],[DATA POINT]],2)</f>
        <v>1.79</v>
      </c>
      <c r="V2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9</v>
      </c>
      <c r="W28" s="15">
        <f>IFERROR(Table50[[#This Row],[ORDER QTY]]*Table50[[#This Row],[COST PRICE]],0)</f>
        <v>105.5575</v>
      </c>
      <c r="X28" s="15">
        <f>IFERROR(VLOOKUP(C28,[1]!Table49[[#All],[name]:[USAGE / DAY]],19,FALSE),1)</f>
        <v>2</v>
      </c>
      <c r="Y28" s="4">
        <f>IFERROR((Table50[[#This Row],[USAGE / DAY]]-Table50[[#This Row],[USAGE / DAY 2]])/Table50[[#This Row],[USAGE / DAY 2]],0)</f>
        <v>-0.10499999999999998</v>
      </c>
      <c r="Z28" s="15">
        <f t="shared" si="0"/>
        <v>14</v>
      </c>
      <c r="AA28" s="15">
        <f t="shared" si="1"/>
        <v>9.311854181734148</v>
      </c>
      <c r="AB28" s="15">
        <f>IFERROR(IF(Table50[[#This Row],[ccnt]]="BEV",$AB$2,IF(Table50[[#This Row],[ccnt]]="FOOD",$AC$2,"ENTER # FROM LAST COUNT")),"ENTER # FROM LAST COUNT")</f>
        <v>3</v>
      </c>
      <c r="AC28" s="15">
        <f>(Table50[[#This Row],[OpeningQty]]+Table50[[#This Row],[ClosingQty]])/2</f>
        <v>14.5</v>
      </c>
      <c r="AD28" s="15">
        <f>IFERROR(Table50[[#This Row],[UsageQty]]/Table50[[#This Row],[AVE INVENTORY]],0)</f>
        <v>1.7241379310344827</v>
      </c>
      <c r="AE28" s="15">
        <f>IFERROR(Table50[[#This Row],[DATA POINT]]/Table50[[#This Row],[Inventory Turnover Rate]],0)</f>
        <v>8.120000000000001</v>
      </c>
      <c r="AF28" s="15">
        <f>Table50[[#This Row],[ClosingQty]]/Table50[[#This Row],[USAGE / DAY]]</f>
        <v>7.8212290502793298</v>
      </c>
      <c r="AG28" s="15">
        <f>Table50[[#This Row],[USAGE / DAY]]*7</f>
        <v>12.530000000000001</v>
      </c>
      <c r="AH28" s="15">
        <f>Table50[[#This Row],[USAGE / DAY]]*3</f>
        <v>5.37</v>
      </c>
      <c r="AI28" s="15">
        <f>IF(Table50[[#This Row],[FORECASTED DEMAND]]+Table50[[#This Row],[SAFETY STOCK]]-Table50[[#This Row],[ClosingQty]]&gt;0,Table50[[#This Row],[FORECASTED DEMAND]]+Table50[[#This Row],[SAFETY STOCK]]-Table50[[#This Row],[ClosingQty]],"NO ORDER")</f>
        <v>3.9000000000000021</v>
      </c>
      <c r="AJ28" s="15">
        <f>IFERROR(Table50[[#This Row],[ORDER QTY2]]*Table50[[#This Row],[COST PRICE]],0)</f>
        <v>45.741583333333359</v>
      </c>
      <c r="AK28" s="15">
        <f>(Table50[[#This Row],[REORDER POINT]]*Table50[[#This Row],[COST PRICE]])+Table50[[#This Row],[ORDER COST]]</f>
        <v>206.77541388888889</v>
      </c>
      <c r="AL28" s="15">
        <f t="shared" si="2"/>
        <v>100</v>
      </c>
      <c r="AM28" s="15">
        <f>IFERROR((Table50[[#This Row],[REORDER POINT]]+Table50[[#This Row],[ORDER QTY]])/(Table50[[#This Row],[USAGE / DAY]]*Table50[[#This Row],[DEMAND %]]),Table50[[#This Row],[REORDER POINT]]/Table50[[#This Row],[USAGE / DAY]])</f>
        <v>9.8491620111731834E-2</v>
      </c>
    </row>
    <row r="29" spans="1:39" x14ac:dyDescent="0.25">
      <c r="A29" t="s">
        <v>50</v>
      </c>
      <c r="B29" t="s">
        <v>74</v>
      </c>
      <c r="C29" t="s">
        <v>82</v>
      </c>
      <c r="D29" t="s">
        <v>53</v>
      </c>
      <c r="E29">
        <v>15</v>
      </c>
      <c r="F29">
        <v>169.05</v>
      </c>
      <c r="G29">
        <v>24</v>
      </c>
      <c r="H29">
        <v>286.94</v>
      </c>
      <c r="I29">
        <v>13</v>
      </c>
      <c r="J29">
        <v>155.47999999999999</v>
      </c>
      <c r="K29">
        <f>Table50[[#This Row],[OpeningQty]]+Table50[[#This Row],[PurchasesQty]]-Table50[[#This Row],[ClosingQty]]</f>
        <v>26</v>
      </c>
      <c r="L29">
        <v>300.51</v>
      </c>
      <c r="M29" s="14">
        <f>Table50[[#This Row],[Usage]]/$L$1</f>
        <v>4.5641440623752684E-4</v>
      </c>
      <c r="N29" s="15">
        <f>IFERROR(Table50[[#This Row],[Opening]]/Table50[[#This Row],[OpeningQty]],0)</f>
        <v>11.270000000000001</v>
      </c>
      <c r="O29" s="15">
        <f>IFERROR(Table50[[#This Row],[Purchases]]/Table50[[#This Row],[PurchasesQty]],0)</f>
        <v>11.955833333333333</v>
      </c>
      <c r="P29" s="15">
        <f>IFERROR(Table50[[#This Row],[Closing]]/Table50[[#This Row],[ClosingQty]],0)</f>
        <v>11.959999999999999</v>
      </c>
      <c r="Q29" s="15">
        <f>IFERROR(AVERAGEIF(Table50[[#This Row],[OPENING COST PRICE]:[CLOSING COST PRICE]],"&gt;0"),0)</f>
        <v>11.728611111111112</v>
      </c>
      <c r="R29" s="15">
        <f>IFERROR(Table50[[#This Row],[COST PRICE]]-IFERROR(Table50[[#This Row],[Usage]]/Table50[[#This Row],[UsageQty]],Table50[[#This Row],[COST PRICE]]),0)</f>
        <v>0.17053418803418907</v>
      </c>
      <c r="S29" s="16">
        <f>IFERROR(Table50[[#This Row],[COST PRICE CHANGE]]/Table50[[#This Row],[OPENING COST PRICE]],0)</f>
        <v>1.5131693703122364E-2</v>
      </c>
      <c r="T29" s="15">
        <f>Table50[[#This Row],[ClosingQty]]-(Table50[[#This Row],[USAGE / DAY]]*(IF(Table50[[#This Row],[ccnt]]="BEV",Table50[[#This Row],[DELIVERY DAY]],Table50[[#This Row],[DELIVERY DAY]])))</f>
        <v>7.42</v>
      </c>
      <c r="U29" s="15">
        <f>ROUNDUP(Table50[[#This Row],[UsageQty]]/Table50[[#This Row],[DATA POINT]],2)</f>
        <v>1.86</v>
      </c>
      <c r="V2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10</v>
      </c>
      <c r="W29" s="15">
        <f>IFERROR(Table50[[#This Row],[ORDER QTY]]*Table50[[#This Row],[COST PRICE]],0)</f>
        <v>117.28611111111113</v>
      </c>
      <c r="X29" s="15">
        <f>IFERROR(VLOOKUP(C29,[1]!Table49[[#All],[name]:[USAGE / DAY]],19,FALSE),1)</f>
        <v>2.5399999999999996</v>
      </c>
      <c r="Y29" s="4">
        <f>IFERROR((Table50[[#This Row],[USAGE / DAY]]-Table50[[#This Row],[USAGE / DAY 2]])/Table50[[#This Row],[USAGE / DAY 2]],0)</f>
        <v>-0.26771653543307072</v>
      </c>
      <c r="Z29" s="15">
        <f t="shared" si="0"/>
        <v>14</v>
      </c>
      <c r="AA29" s="15">
        <f t="shared" si="1"/>
        <v>9.311854181734148</v>
      </c>
      <c r="AB29" s="15">
        <f>IFERROR(IF(Table50[[#This Row],[ccnt]]="BEV",$AB$2,IF(Table50[[#This Row],[ccnt]]="FOOD",$AC$2,"ENTER # FROM LAST COUNT")),"ENTER # FROM LAST COUNT")</f>
        <v>3</v>
      </c>
      <c r="AC29" s="15">
        <f>(Table50[[#This Row],[OpeningQty]]+Table50[[#This Row],[ClosingQty]])/2</f>
        <v>14</v>
      </c>
      <c r="AD29" s="15">
        <f>IFERROR(Table50[[#This Row],[UsageQty]]/Table50[[#This Row],[AVE INVENTORY]],0)</f>
        <v>1.8571428571428572</v>
      </c>
      <c r="AE29" s="15">
        <f>IFERROR(Table50[[#This Row],[DATA POINT]]/Table50[[#This Row],[Inventory Turnover Rate]],0)</f>
        <v>7.5384615384615383</v>
      </c>
      <c r="AF29" s="15">
        <f>Table50[[#This Row],[ClosingQty]]/Table50[[#This Row],[USAGE / DAY]]</f>
        <v>6.989247311827957</v>
      </c>
      <c r="AG29" s="15">
        <f>Table50[[#This Row],[USAGE / DAY]]*7</f>
        <v>13.020000000000001</v>
      </c>
      <c r="AH29" s="15">
        <f>Table50[[#This Row],[USAGE / DAY]]*3</f>
        <v>5.58</v>
      </c>
      <c r="AI29" s="15">
        <f>IF(Table50[[#This Row],[FORECASTED DEMAND]]+Table50[[#This Row],[SAFETY STOCK]]-Table50[[#This Row],[ClosingQty]]&gt;0,Table50[[#This Row],[FORECASTED DEMAND]]+Table50[[#This Row],[SAFETY STOCK]]-Table50[[#This Row],[ClosingQty]],"NO ORDER")</f>
        <v>5.6000000000000014</v>
      </c>
      <c r="AJ29" s="15">
        <f>IFERROR(Table50[[#This Row],[ORDER QTY2]]*Table50[[#This Row],[COST PRICE]],0)</f>
        <v>65.680222222222241</v>
      </c>
      <c r="AK29" s="15">
        <f>(Table50[[#This Row],[REORDER POINT]]*Table50[[#This Row],[COST PRICE]])+Table50[[#This Row],[ORDER COST]]</f>
        <v>204.31240555555559</v>
      </c>
      <c r="AL29" s="15">
        <f t="shared" si="2"/>
        <v>100</v>
      </c>
      <c r="AM29" s="15">
        <f>IFERROR((Table50[[#This Row],[REORDER POINT]]+Table50[[#This Row],[ORDER QTY]])/(Table50[[#This Row],[USAGE / DAY]]*Table50[[#This Row],[DEMAND %]]),Table50[[#This Row],[REORDER POINT]]/Table50[[#This Row],[USAGE / DAY]])</f>
        <v>9.3655913978494626E-2</v>
      </c>
    </row>
    <row r="30" spans="1:39" x14ac:dyDescent="0.25">
      <c r="A30" t="s">
        <v>50</v>
      </c>
      <c r="B30" t="s">
        <v>74</v>
      </c>
      <c r="C30" t="s">
        <v>83</v>
      </c>
      <c r="D30" t="s">
        <v>53</v>
      </c>
      <c r="E30">
        <v>118</v>
      </c>
      <c r="F30">
        <v>1118.6400000000001</v>
      </c>
      <c r="G30">
        <v>240</v>
      </c>
      <c r="H30">
        <v>2274.5</v>
      </c>
      <c r="I30">
        <v>116</v>
      </c>
      <c r="J30">
        <v>1099.68</v>
      </c>
      <c r="K30">
        <f>Table50[[#This Row],[OpeningQty]]+Table50[[#This Row],[PurchasesQty]]-Table50[[#This Row],[ClosingQty]]</f>
        <v>242</v>
      </c>
      <c r="L30">
        <v>2293.46</v>
      </c>
      <c r="M30" s="14">
        <f>Table50[[#This Row],[Usage]]/$L$1</f>
        <v>3.4833056608083533E-3</v>
      </c>
      <c r="N30" s="15">
        <f>IFERROR(Table50[[#This Row],[Opening]]/Table50[[#This Row],[OpeningQty]],0)</f>
        <v>9.48</v>
      </c>
      <c r="O30" s="15">
        <f>IFERROR(Table50[[#This Row],[Purchases]]/Table50[[#This Row],[PurchasesQty]],0)</f>
        <v>9.4770833333333329</v>
      </c>
      <c r="P30" s="15">
        <f>IFERROR(Table50[[#This Row],[Closing]]/Table50[[#This Row],[ClosingQty]],0)</f>
        <v>9.48</v>
      </c>
      <c r="Q30" s="15">
        <f>IFERROR(AVERAGEIF(Table50[[#This Row],[OPENING COST PRICE]:[CLOSING COST PRICE]],"&gt;0"),0)</f>
        <v>9.4790277777777785</v>
      </c>
      <c r="R30" s="15">
        <f>IFERROR(Table50[[#This Row],[COST PRICE]]-IFERROR(Table50[[#This Row],[Usage]]/Table50[[#This Row],[UsageQty]],Table50[[#This Row],[COST PRICE]]),0)</f>
        <v>1.9203397612486128E-3</v>
      </c>
      <c r="S30" s="16">
        <f>IFERROR(Table50[[#This Row],[COST PRICE CHANGE]]/Table50[[#This Row],[OPENING COST PRICE]],0)</f>
        <v>2.0256748536377772E-4</v>
      </c>
      <c r="T30" s="15">
        <f>Table50[[#This Row],[ClosingQty]]-(Table50[[#This Row],[USAGE / DAY]]*(IF(Table50[[#This Row],[ccnt]]="BEV",Table50[[#This Row],[DELIVERY DAY]],Table50[[#This Row],[DELIVERY DAY]])))</f>
        <v>64.13</v>
      </c>
      <c r="U30" s="15">
        <f>ROUNDUP(Table50[[#This Row],[UsageQty]]/Table50[[#This Row],[DATA POINT]],2)</f>
        <v>17.290000000000003</v>
      </c>
      <c r="V3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97</v>
      </c>
      <c r="W30" s="15">
        <f>IFERROR(Table50[[#This Row],[ORDER QTY]]*Table50[[#This Row],[COST PRICE]],0)</f>
        <v>919.46569444444447</v>
      </c>
      <c r="X30" s="15">
        <f>IFERROR(VLOOKUP(C30,[1]!Table49[[#All],[name]:[USAGE / DAY]],19,FALSE),1)</f>
        <v>20.2</v>
      </c>
      <c r="Y30" s="4">
        <f>IFERROR((Table50[[#This Row],[USAGE / DAY]]-Table50[[#This Row],[USAGE / DAY 2]])/Table50[[#This Row],[USAGE / DAY 2]],0)</f>
        <v>-0.14405940594059388</v>
      </c>
      <c r="Z30" s="15">
        <f t="shared" si="0"/>
        <v>14</v>
      </c>
      <c r="AA30" s="15">
        <f t="shared" si="1"/>
        <v>9.311854181734148</v>
      </c>
      <c r="AB30" s="15">
        <f>IFERROR(IF(Table50[[#This Row],[ccnt]]="BEV",$AB$2,IF(Table50[[#This Row],[ccnt]]="FOOD",$AC$2,"ENTER # FROM LAST COUNT")),"ENTER # FROM LAST COUNT")</f>
        <v>3</v>
      </c>
      <c r="AC30" s="15">
        <f>(Table50[[#This Row],[OpeningQty]]+Table50[[#This Row],[ClosingQty]])/2</f>
        <v>117</v>
      </c>
      <c r="AD30" s="15">
        <f>IFERROR(Table50[[#This Row],[UsageQty]]/Table50[[#This Row],[AVE INVENTORY]],0)</f>
        <v>2.0683760683760686</v>
      </c>
      <c r="AE30" s="15">
        <f>IFERROR(Table50[[#This Row],[DATA POINT]]/Table50[[#This Row],[Inventory Turnover Rate]],0)</f>
        <v>6.768595041322313</v>
      </c>
      <c r="AF30" s="15">
        <f>Table50[[#This Row],[ClosingQty]]/Table50[[#This Row],[USAGE / DAY]]</f>
        <v>6.7090803932909182</v>
      </c>
      <c r="AG30" s="15">
        <f>Table50[[#This Row],[USAGE / DAY]]*7</f>
        <v>121.03000000000002</v>
      </c>
      <c r="AH30" s="15">
        <f>Table50[[#This Row],[USAGE / DAY]]*3</f>
        <v>51.870000000000005</v>
      </c>
      <c r="AI30" s="15">
        <f>IF(Table50[[#This Row],[FORECASTED DEMAND]]+Table50[[#This Row],[SAFETY STOCK]]-Table50[[#This Row],[ClosingQty]]&gt;0,Table50[[#This Row],[FORECASTED DEMAND]]+Table50[[#This Row],[SAFETY STOCK]]-Table50[[#This Row],[ClosingQty]],"NO ORDER")</f>
        <v>56.900000000000034</v>
      </c>
      <c r="AJ30" s="15">
        <f>IFERROR(Table50[[#This Row],[ORDER QTY2]]*Table50[[#This Row],[COST PRICE]],0)</f>
        <v>539.35668055555595</v>
      </c>
      <c r="AK30" s="15">
        <f>(Table50[[#This Row],[REORDER POINT]]*Table50[[#This Row],[COST PRICE]])+Table50[[#This Row],[ORDER COST]]</f>
        <v>1527.3557458333335</v>
      </c>
      <c r="AL30" s="15">
        <f t="shared" si="2"/>
        <v>100</v>
      </c>
      <c r="AM30" s="15">
        <f>IFERROR((Table50[[#This Row],[REORDER POINT]]+Table50[[#This Row],[ORDER QTY]])/(Table50[[#This Row],[USAGE / DAY]]*Table50[[#This Row],[DEMAND %]]),Table50[[#This Row],[REORDER POINT]]/Table50[[#This Row],[USAGE / DAY]])</f>
        <v>9.3192596876807393E-2</v>
      </c>
    </row>
    <row r="31" spans="1:39" x14ac:dyDescent="0.25">
      <c r="A31" t="s">
        <v>50</v>
      </c>
      <c r="B31" t="s">
        <v>74</v>
      </c>
      <c r="C31" t="s">
        <v>84</v>
      </c>
      <c r="D31" t="s">
        <v>53</v>
      </c>
      <c r="E31">
        <v>48</v>
      </c>
      <c r="F31">
        <v>455.04</v>
      </c>
      <c r="G31">
        <v>144</v>
      </c>
      <c r="H31">
        <v>1364.7</v>
      </c>
      <c r="I31">
        <v>52</v>
      </c>
      <c r="J31">
        <v>492.96</v>
      </c>
      <c r="K31">
        <f>Table50[[#This Row],[OpeningQty]]+Table50[[#This Row],[PurchasesQty]]-Table50[[#This Row],[ClosingQty]]</f>
        <v>140</v>
      </c>
      <c r="L31">
        <v>1326.78</v>
      </c>
      <c r="M31" s="14">
        <f>Table50[[#This Row],[Usage]]/$L$1</f>
        <v>2.0151126615015336E-3</v>
      </c>
      <c r="N31" s="15">
        <f>IFERROR(Table50[[#This Row],[Opening]]/Table50[[#This Row],[OpeningQty]],0)</f>
        <v>9.48</v>
      </c>
      <c r="O31" s="15">
        <f>IFERROR(Table50[[#This Row],[Purchases]]/Table50[[#This Row],[PurchasesQty]],0)</f>
        <v>9.4770833333333329</v>
      </c>
      <c r="P31" s="15">
        <f>IFERROR(Table50[[#This Row],[Closing]]/Table50[[#This Row],[ClosingQty]],0)</f>
        <v>9.48</v>
      </c>
      <c r="Q31" s="15">
        <f>IFERROR(AVERAGEIF(Table50[[#This Row],[OPENING COST PRICE]:[CLOSING COST PRICE]],"&gt;0"),0)</f>
        <v>9.4790277777777785</v>
      </c>
      <c r="R31" s="15">
        <f>IFERROR(Table50[[#This Row],[COST PRICE]]-IFERROR(Table50[[#This Row],[Usage]]/Table50[[#This Row],[UsageQty]],Table50[[#This Row],[COST PRICE]]),0)</f>
        <v>2.0277777777781836E-3</v>
      </c>
      <c r="S31" s="16">
        <f>IFERROR(Table50[[#This Row],[COST PRICE CHANGE]]/Table50[[#This Row],[OPENING COST PRICE]],0)</f>
        <v>2.1390060947027253E-4</v>
      </c>
      <c r="T31" s="15">
        <f>Table50[[#This Row],[ClosingQty]]-(Table50[[#This Row],[USAGE / DAY]]*(IF(Table50[[#This Row],[ccnt]]="BEV",Table50[[#This Row],[DELIVERY DAY]],Table50[[#This Row],[DELIVERY DAY]])))</f>
        <v>22</v>
      </c>
      <c r="U31" s="15">
        <f>ROUNDUP(Table50[[#This Row],[UsageQty]]/Table50[[#This Row],[DATA POINT]],2)</f>
        <v>10</v>
      </c>
      <c r="V3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72</v>
      </c>
      <c r="W31" s="15">
        <f>IFERROR(Table50[[#This Row],[ORDER QTY]]*Table50[[#This Row],[COST PRICE]],0)</f>
        <v>682.49</v>
      </c>
      <c r="X31" s="15">
        <f>IFERROR(VLOOKUP(C31,[1]!Table49[[#All],[name]:[USAGE / DAY]],19,FALSE),1)</f>
        <v>11.14</v>
      </c>
      <c r="Y31" s="4">
        <f>IFERROR((Table50[[#This Row],[USAGE / DAY]]-Table50[[#This Row],[USAGE / DAY 2]])/Table50[[#This Row],[USAGE / DAY 2]],0)</f>
        <v>-0.10233393177737886</v>
      </c>
      <c r="Z31" s="15">
        <f t="shared" si="0"/>
        <v>14</v>
      </c>
      <c r="AA31" s="15">
        <f t="shared" si="1"/>
        <v>9.311854181734148</v>
      </c>
      <c r="AB31" s="15">
        <f>IFERROR(IF(Table50[[#This Row],[ccnt]]="BEV",$AB$2,IF(Table50[[#This Row],[ccnt]]="FOOD",$AC$2,"ENTER # FROM LAST COUNT")),"ENTER # FROM LAST COUNT")</f>
        <v>3</v>
      </c>
      <c r="AC31" s="15">
        <f>(Table50[[#This Row],[OpeningQty]]+Table50[[#This Row],[ClosingQty]])/2</f>
        <v>50</v>
      </c>
      <c r="AD31" s="15">
        <f>IFERROR(Table50[[#This Row],[UsageQty]]/Table50[[#This Row],[AVE INVENTORY]],0)</f>
        <v>2.8</v>
      </c>
      <c r="AE31" s="15">
        <f>IFERROR(Table50[[#This Row],[DATA POINT]]/Table50[[#This Row],[Inventory Turnover Rate]],0)</f>
        <v>5</v>
      </c>
      <c r="AF31" s="15">
        <f>Table50[[#This Row],[ClosingQty]]/Table50[[#This Row],[USAGE / DAY]]</f>
        <v>5.2</v>
      </c>
      <c r="AG31" s="15">
        <f>Table50[[#This Row],[USAGE / DAY]]*7</f>
        <v>70</v>
      </c>
      <c r="AH31" s="15">
        <f>Table50[[#This Row],[USAGE / DAY]]*3</f>
        <v>30</v>
      </c>
      <c r="AI31" s="15">
        <f>IF(Table50[[#This Row],[FORECASTED DEMAND]]+Table50[[#This Row],[SAFETY STOCK]]-Table50[[#This Row],[ClosingQty]]&gt;0,Table50[[#This Row],[FORECASTED DEMAND]]+Table50[[#This Row],[SAFETY STOCK]]-Table50[[#This Row],[ClosingQty]],"NO ORDER")</f>
        <v>48</v>
      </c>
      <c r="AJ31" s="15">
        <f>IFERROR(Table50[[#This Row],[ORDER QTY2]]*Table50[[#This Row],[COST PRICE]],0)</f>
        <v>454.99333333333334</v>
      </c>
      <c r="AK31" s="15">
        <f>(Table50[[#This Row],[REORDER POINT]]*Table50[[#This Row],[COST PRICE]])+Table50[[#This Row],[ORDER COST]]</f>
        <v>891.0286111111111</v>
      </c>
      <c r="AL31" s="15">
        <f t="shared" si="2"/>
        <v>100</v>
      </c>
      <c r="AM31" s="15">
        <f>IFERROR((Table50[[#This Row],[REORDER POINT]]+Table50[[#This Row],[ORDER QTY]])/(Table50[[#This Row],[USAGE / DAY]]*Table50[[#This Row],[DEMAND %]]),Table50[[#This Row],[REORDER POINT]]/Table50[[#This Row],[USAGE / DAY]])</f>
        <v>9.4E-2</v>
      </c>
    </row>
    <row r="32" spans="1:39" x14ac:dyDescent="0.25">
      <c r="A32" t="s">
        <v>50</v>
      </c>
      <c r="B32" t="s">
        <v>74</v>
      </c>
      <c r="C32" t="s">
        <v>85</v>
      </c>
      <c r="D32" t="s">
        <v>53</v>
      </c>
      <c r="E32">
        <v>14</v>
      </c>
      <c r="F32">
        <v>132.72</v>
      </c>
      <c r="G32">
        <v>48</v>
      </c>
      <c r="H32">
        <v>454.9</v>
      </c>
      <c r="I32">
        <v>24</v>
      </c>
      <c r="J32">
        <v>227.52</v>
      </c>
      <c r="K32">
        <f>Table50[[#This Row],[OpeningQty]]+Table50[[#This Row],[PurchasesQty]]-Table50[[#This Row],[ClosingQty]]</f>
        <v>38</v>
      </c>
      <c r="L32">
        <v>360.1</v>
      </c>
      <c r="M32" s="14">
        <f>Table50[[#This Row],[Usage]]/$L$1</f>
        <v>5.4691966219471376E-4</v>
      </c>
      <c r="N32" s="15">
        <f>IFERROR(Table50[[#This Row],[Opening]]/Table50[[#This Row],[OpeningQty]],0)</f>
        <v>9.48</v>
      </c>
      <c r="O32" s="15">
        <f>IFERROR(Table50[[#This Row],[Purchases]]/Table50[[#This Row],[PurchasesQty]],0)</f>
        <v>9.4770833333333329</v>
      </c>
      <c r="P32" s="15">
        <f>IFERROR(Table50[[#This Row],[Closing]]/Table50[[#This Row],[ClosingQty]],0)</f>
        <v>9.48</v>
      </c>
      <c r="Q32" s="15">
        <f>IFERROR(AVERAGEIF(Table50[[#This Row],[OPENING COST PRICE]:[CLOSING COST PRICE]],"&gt;0"),0)</f>
        <v>9.4790277777777785</v>
      </c>
      <c r="R32" s="15">
        <f>IFERROR(Table50[[#This Row],[COST PRICE]]-IFERROR(Table50[[#This Row],[Usage]]/Table50[[#This Row],[UsageQty]],Table50[[#This Row],[COST PRICE]]),0)</f>
        <v>2.7119883040942483E-3</v>
      </c>
      <c r="S32" s="16">
        <f>IFERROR(Table50[[#This Row],[COST PRICE CHANGE]]/Table50[[#This Row],[OPENING COST PRICE]],0)</f>
        <v>2.8607471562175612E-4</v>
      </c>
      <c r="T32" s="15">
        <f>Table50[[#This Row],[ClosingQty]]-(Table50[[#This Row],[USAGE / DAY]]*(IF(Table50[[#This Row],[ccnt]]="BEV",Table50[[#This Row],[DELIVERY DAY]],Table50[[#This Row],[DELIVERY DAY]])))</f>
        <v>15.84</v>
      </c>
      <c r="U32" s="15">
        <f>ROUNDUP(Table50[[#This Row],[UsageQty]]/Table50[[#This Row],[DATA POINT]],2)</f>
        <v>2.7199999999999998</v>
      </c>
      <c r="V3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10</v>
      </c>
      <c r="W32" s="15">
        <f>IFERROR(Table50[[#This Row],[ORDER QTY]]*Table50[[#This Row],[COST PRICE]],0)</f>
        <v>94.790277777777789</v>
      </c>
      <c r="X32" s="15">
        <f>IFERROR(VLOOKUP(C32,[1]!Table49[[#All],[name]:[USAGE / DAY]],19,FALSE),1)</f>
        <v>3.5399999999999996</v>
      </c>
      <c r="Y32" s="4">
        <f>IFERROR((Table50[[#This Row],[USAGE / DAY]]-Table50[[#This Row],[USAGE / DAY 2]])/Table50[[#This Row],[USAGE / DAY 2]],0)</f>
        <v>-0.23163841807909602</v>
      </c>
      <c r="Z32" s="15">
        <f t="shared" si="0"/>
        <v>14</v>
      </c>
      <c r="AA32" s="15">
        <f t="shared" si="1"/>
        <v>9.311854181734148</v>
      </c>
      <c r="AB32" s="15">
        <f>IFERROR(IF(Table50[[#This Row],[ccnt]]="BEV",$AB$2,IF(Table50[[#This Row],[ccnt]]="FOOD",$AC$2,"ENTER # FROM LAST COUNT")),"ENTER # FROM LAST COUNT")</f>
        <v>3</v>
      </c>
      <c r="AC32" s="15">
        <f>(Table50[[#This Row],[OpeningQty]]+Table50[[#This Row],[ClosingQty]])/2</f>
        <v>19</v>
      </c>
      <c r="AD32" s="15">
        <f>IFERROR(Table50[[#This Row],[UsageQty]]/Table50[[#This Row],[AVE INVENTORY]],0)</f>
        <v>2</v>
      </c>
      <c r="AE32" s="15">
        <f>IFERROR(Table50[[#This Row],[DATA POINT]]/Table50[[#This Row],[Inventory Turnover Rate]],0)</f>
        <v>7</v>
      </c>
      <c r="AF32" s="15">
        <f>Table50[[#This Row],[ClosingQty]]/Table50[[#This Row],[USAGE / DAY]]</f>
        <v>8.8235294117647065</v>
      </c>
      <c r="AG32" s="15">
        <f>Table50[[#This Row],[USAGE / DAY]]*7</f>
        <v>19.04</v>
      </c>
      <c r="AH32" s="15">
        <f>Table50[[#This Row],[USAGE / DAY]]*3</f>
        <v>8.16</v>
      </c>
      <c r="AI32" s="15">
        <f>IF(Table50[[#This Row],[FORECASTED DEMAND]]+Table50[[#This Row],[SAFETY STOCK]]-Table50[[#This Row],[ClosingQty]]&gt;0,Table50[[#This Row],[FORECASTED DEMAND]]+Table50[[#This Row],[SAFETY STOCK]]-Table50[[#This Row],[ClosingQty]],"NO ORDER")</f>
        <v>3.1999999999999993</v>
      </c>
      <c r="AJ32" s="15">
        <f>IFERROR(Table50[[#This Row],[ORDER QTY2]]*Table50[[#This Row],[COST PRICE]],0)</f>
        <v>30.332888888888885</v>
      </c>
      <c r="AK32" s="15">
        <f>(Table50[[#This Row],[REORDER POINT]]*Table50[[#This Row],[COST PRICE]])+Table50[[#This Row],[ORDER COST]]</f>
        <v>244.93807777777781</v>
      </c>
      <c r="AL32" s="15">
        <f t="shared" si="2"/>
        <v>100</v>
      </c>
      <c r="AM32" s="15">
        <f>IFERROR((Table50[[#This Row],[REORDER POINT]]+Table50[[#This Row],[ORDER QTY]])/(Table50[[#This Row],[USAGE / DAY]]*Table50[[#This Row],[DEMAND %]]),Table50[[#This Row],[REORDER POINT]]/Table50[[#This Row],[USAGE / DAY]])</f>
        <v>9.5000000000000001E-2</v>
      </c>
    </row>
    <row r="33" spans="1:39" x14ac:dyDescent="0.25">
      <c r="A33" t="s">
        <v>50</v>
      </c>
      <c r="B33" t="s">
        <v>74</v>
      </c>
      <c r="C33" t="s">
        <v>86</v>
      </c>
      <c r="D33" t="s">
        <v>53</v>
      </c>
      <c r="E33">
        <v>14</v>
      </c>
      <c r="F33">
        <v>132.72</v>
      </c>
      <c r="G33">
        <v>24</v>
      </c>
      <c r="H33">
        <v>227.45</v>
      </c>
      <c r="I33">
        <v>24</v>
      </c>
      <c r="J33">
        <v>227.52</v>
      </c>
      <c r="K33">
        <f>Table50[[#This Row],[OpeningQty]]+Table50[[#This Row],[PurchasesQty]]-Table50[[#This Row],[ClosingQty]]</f>
        <v>14</v>
      </c>
      <c r="L33">
        <v>132.65</v>
      </c>
      <c r="M33" s="14">
        <f>Table50[[#This Row],[Usage]]/$L$1</f>
        <v>2.0146873976708906E-4</v>
      </c>
      <c r="N33" s="15">
        <f>IFERROR(Table50[[#This Row],[Opening]]/Table50[[#This Row],[OpeningQty]],0)</f>
        <v>9.48</v>
      </c>
      <c r="O33" s="15">
        <f>IFERROR(Table50[[#This Row],[Purchases]]/Table50[[#This Row],[PurchasesQty]],0)</f>
        <v>9.4770833333333329</v>
      </c>
      <c r="P33" s="15">
        <f>IFERROR(Table50[[#This Row],[Closing]]/Table50[[#This Row],[ClosingQty]],0)</f>
        <v>9.48</v>
      </c>
      <c r="Q33" s="15">
        <f>IFERROR(AVERAGEIF(Table50[[#This Row],[OPENING COST PRICE]:[CLOSING COST PRICE]],"&gt;0"),0)</f>
        <v>9.4790277777777785</v>
      </c>
      <c r="R33" s="15">
        <f>IFERROR(Table50[[#This Row],[COST PRICE]]-IFERROR(Table50[[#This Row],[Usage]]/Table50[[#This Row],[UsageQty]],Table50[[#This Row],[COST PRICE]]),0)</f>
        <v>4.0277777777788515E-3</v>
      </c>
      <c r="S33" s="16">
        <f>IFERROR(Table50[[#This Row],[COST PRICE CHANGE]]/Table50[[#This Row],[OPENING COST PRICE]],0)</f>
        <v>4.2487107360536405E-4</v>
      </c>
      <c r="T33" s="15">
        <f>Table50[[#This Row],[ClosingQty]]-(Table50[[#This Row],[USAGE / DAY]]*(IF(Table50[[#This Row],[ccnt]]="BEV",Table50[[#This Row],[DELIVERY DAY]],Table50[[#This Row],[DELIVERY DAY]])))</f>
        <v>21</v>
      </c>
      <c r="U33" s="15">
        <f>ROUNDUP(Table50[[#This Row],[UsageQty]]/Table50[[#This Row],[DATA POINT]],2)</f>
        <v>1</v>
      </c>
      <c r="V3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3" s="15">
        <f>IFERROR(Table50[[#This Row],[ORDER QTY]]*Table50[[#This Row],[COST PRICE]],0)</f>
        <v>0</v>
      </c>
      <c r="X33" s="15">
        <f>IFERROR(VLOOKUP(C33,[1]!Table49[[#All],[name]:[USAGE / DAY]],19,FALSE),1)</f>
        <v>1.07</v>
      </c>
      <c r="Y33" s="4">
        <f>IFERROR((Table50[[#This Row],[USAGE / DAY]]-Table50[[#This Row],[USAGE / DAY 2]])/Table50[[#This Row],[USAGE / DAY 2]],0)</f>
        <v>-6.54205607476636E-2</v>
      </c>
      <c r="Z33" s="15">
        <f t="shared" si="0"/>
        <v>14</v>
      </c>
      <c r="AA33" s="15">
        <f t="shared" si="1"/>
        <v>9.311854181734148</v>
      </c>
      <c r="AB33" s="15">
        <f>IFERROR(IF(Table50[[#This Row],[ccnt]]="BEV",$AB$2,IF(Table50[[#This Row],[ccnt]]="FOOD",$AC$2,"ENTER # FROM LAST COUNT")),"ENTER # FROM LAST COUNT")</f>
        <v>3</v>
      </c>
      <c r="AC33" s="15">
        <f>(Table50[[#This Row],[OpeningQty]]+Table50[[#This Row],[ClosingQty]])/2</f>
        <v>19</v>
      </c>
      <c r="AD33" s="15">
        <f>IFERROR(Table50[[#This Row],[UsageQty]]/Table50[[#This Row],[AVE INVENTORY]],0)</f>
        <v>0.73684210526315785</v>
      </c>
      <c r="AE33" s="15">
        <f>IFERROR(Table50[[#This Row],[DATA POINT]]/Table50[[#This Row],[Inventory Turnover Rate]],0)</f>
        <v>19</v>
      </c>
      <c r="AF33" s="15">
        <f>Table50[[#This Row],[ClosingQty]]/Table50[[#This Row],[USAGE / DAY]]</f>
        <v>24</v>
      </c>
      <c r="AG33" s="15">
        <f>Table50[[#This Row],[USAGE / DAY]]*7</f>
        <v>7</v>
      </c>
      <c r="AH33" s="15">
        <f>Table50[[#This Row],[USAGE / DAY]]*3</f>
        <v>3</v>
      </c>
      <c r="AI3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3" s="15">
        <f>IFERROR(Table50[[#This Row],[ORDER QTY2]]*Table50[[#This Row],[COST PRICE]],0)</f>
        <v>0</v>
      </c>
      <c r="AK33" s="15">
        <f>(Table50[[#This Row],[REORDER POINT]]*Table50[[#This Row],[COST PRICE]])+Table50[[#This Row],[ORDER COST]]</f>
        <v>199.05958333333334</v>
      </c>
      <c r="AL33" s="15">
        <f t="shared" si="2"/>
        <v>100</v>
      </c>
      <c r="AM33" s="15">
        <f>IFERROR((Table50[[#This Row],[REORDER POINT]]+Table50[[#This Row],[ORDER QTY]])/(Table50[[#This Row],[USAGE / DAY]]*Table50[[#This Row],[DEMAND %]]),Table50[[#This Row],[REORDER POINT]]/Table50[[#This Row],[USAGE / DAY]])</f>
        <v>21</v>
      </c>
    </row>
    <row r="34" spans="1:39" x14ac:dyDescent="0.25">
      <c r="A34" t="s">
        <v>50</v>
      </c>
      <c r="B34" t="s">
        <v>74</v>
      </c>
      <c r="C34" t="s">
        <v>87</v>
      </c>
      <c r="D34" t="s">
        <v>53</v>
      </c>
      <c r="E34">
        <v>29</v>
      </c>
      <c r="F34">
        <v>417.02</v>
      </c>
      <c r="G34">
        <v>72</v>
      </c>
      <c r="H34">
        <v>1035.6300000000001</v>
      </c>
      <c r="I34">
        <v>30</v>
      </c>
      <c r="J34">
        <v>431.4</v>
      </c>
      <c r="K34">
        <f>Table50[[#This Row],[OpeningQty]]+Table50[[#This Row],[PurchasesQty]]-Table50[[#This Row],[ClosingQty]]</f>
        <v>71</v>
      </c>
      <c r="L34">
        <v>1021.25</v>
      </c>
      <c r="M34" s="14">
        <f>Table50[[#This Row],[Usage]]/$L$1</f>
        <v>1.551073882300337E-3</v>
      </c>
      <c r="N34" s="15">
        <f>IFERROR(Table50[[#This Row],[Opening]]/Table50[[#This Row],[OpeningQty]],0)</f>
        <v>14.379999999999999</v>
      </c>
      <c r="O34" s="15">
        <f>IFERROR(Table50[[#This Row],[Purchases]]/Table50[[#This Row],[PurchasesQty]],0)</f>
        <v>14.383750000000001</v>
      </c>
      <c r="P34" s="15">
        <f>IFERROR(Table50[[#This Row],[Closing]]/Table50[[#This Row],[ClosingQty]],0)</f>
        <v>14.379999999999999</v>
      </c>
      <c r="Q34" s="15">
        <f>IFERROR(AVERAGEIF(Table50[[#This Row],[OPENING COST PRICE]:[CLOSING COST PRICE]],"&gt;0"),0)</f>
        <v>14.38125</v>
      </c>
      <c r="R34" s="15">
        <f>IFERROR(Table50[[#This Row],[COST PRICE]]-IFERROR(Table50[[#This Row],[Usage]]/Table50[[#This Row],[UsageQty]],Table50[[#This Row],[COST PRICE]]),0)</f>
        <v>-2.5528169014084057E-3</v>
      </c>
      <c r="S34" s="16">
        <f>IFERROR(Table50[[#This Row],[COST PRICE CHANGE]]/Table50[[#This Row],[OPENING COST PRICE]],0)</f>
        <v>-1.7752551470155811E-4</v>
      </c>
      <c r="T34" s="15">
        <f>Table50[[#This Row],[ClosingQty]]-(Table50[[#This Row],[USAGE / DAY]]*(IF(Table50[[#This Row],[ccnt]]="BEV",Table50[[#This Row],[DELIVERY DAY]],Table50[[#This Row],[DELIVERY DAY]])))</f>
        <v>14.76</v>
      </c>
      <c r="U34" s="15">
        <f>ROUNDUP(Table50[[#This Row],[UsageQty]]/Table50[[#This Row],[DATA POINT]],2)</f>
        <v>5.08</v>
      </c>
      <c r="V3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33</v>
      </c>
      <c r="W34" s="15">
        <f>IFERROR(Table50[[#This Row],[ORDER QTY]]*Table50[[#This Row],[COST PRICE]],0)</f>
        <v>474.58125000000001</v>
      </c>
      <c r="X34" s="15">
        <f>IFERROR(VLOOKUP(C34,[1]!Table49[[#All],[name]:[USAGE / DAY]],19,FALSE),1)</f>
        <v>5.14</v>
      </c>
      <c r="Y34" s="4">
        <f>IFERROR((Table50[[#This Row],[USAGE / DAY]]-Table50[[#This Row],[USAGE / DAY 2]])/Table50[[#This Row],[USAGE / DAY 2]],0)</f>
        <v>-1.1673151750972686E-2</v>
      </c>
      <c r="Z34" s="15">
        <f t="shared" si="0"/>
        <v>14</v>
      </c>
      <c r="AA34" s="15">
        <f t="shared" si="1"/>
        <v>9.311854181734148</v>
      </c>
      <c r="AB34" s="15">
        <f>IFERROR(IF(Table50[[#This Row],[ccnt]]="BEV",$AB$2,IF(Table50[[#This Row],[ccnt]]="FOOD",$AC$2,"ENTER # FROM LAST COUNT")),"ENTER # FROM LAST COUNT")</f>
        <v>3</v>
      </c>
      <c r="AC34" s="15">
        <f>(Table50[[#This Row],[OpeningQty]]+Table50[[#This Row],[ClosingQty]])/2</f>
        <v>29.5</v>
      </c>
      <c r="AD34" s="15">
        <f>IFERROR(Table50[[#This Row],[UsageQty]]/Table50[[#This Row],[AVE INVENTORY]],0)</f>
        <v>2.406779661016949</v>
      </c>
      <c r="AE34" s="15">
        <f>IFERROR(Table50[[#This Row],[DATA POINT]]/Table50[[#This Row],[Inventory Turnover Rate]],0)</f>
        <v>5.8169014084507049</v>
      </c>
      <c r="AF34" s="15">
        <f>Table50[[#This Row],[ClosingQty]]/Table50[[#This Row],[USAGE / DAY]]</f>
        <v>5.9055118110236222</v>
      </c>
      <c r="AG34" s="15">
        <f>Table50[[#This Row],[USAGE / DAY]]*7</f>
        <v>35.56</v>
      </c>
      <c r="AH34" s="15">
        <f>Table50[[#This Row],[USAGE / DAY]]*3</f>
        <v>15.24</v>
      </c>
      <c r="AI34" s="15">
        <f>IF(Table50[[#This Row],[FORECASTED DEMAND]]+Table50[[#This Row],[SAFETY STOCK]]-Table50[[#This Row],[ClosingQty]]&gt;0,Table50[[#This Row],[FORECASTED DEMAND]]+Table50[[#This Row],[SAFETY STOCK]]-Table50[[#This Row],[ClosingQty]],"NO ORDER")</f>
        <v>20.800000000000004</v>
      </c>
      <c r="AJ34" s="15">
        <f>IFERROR(Table50[[#This Row],[ORDER QTY2]]*Table50[[#This Row],[COST PRICE]],0)</f>
        <v>299.13000000000005</v>
      </c>
      <c r="AK34" s="15">
        <f>(Table50[[#This Row],[REORDER POINT]]*Table50[[#This Row],[COST PRICE]])+Table50[[#This Row],[ORDER COST]]</f>
        <v>686.84850000000006</v>
      </c>
      <c r="AL34" s="15">
        <f t="shared" si="2"/>
        <v>100</v>
      </c>
      <c r="AM34" s="15">
        <f>IFERROR((Table50[[#This Row],[REORDER POINT]]+Table50[[#This Row],[ORDER QTY]])/(Table50[[#This Row],[USAGE / DAY]]*Table50[[#This Row],[DEMAND %]]),Table50[[#This Row],[REORDER POINT]]/Table50[[#This Row],[USAGE / DAY]])</f>
        <v>9.4015748031496066E-2</v>
      </c>
    </row>
    <row r="35" spans="1:39" x14ac:dyDescent="0.25">
      <c r="A35" t="s">
        <v>50</v>
      </c>
      <c r="B35" t="s">
        <v>74</v>
      </c>
      <c r="C35" t="s">
        <v>88</v>
      </c>
      <c r="D35" t="s">
        <v>53</v>
      </c>
      <c r="E35">
        <v>32</v>
      </c>
      <c r="F35">
        <v>303.36</v>
      </c>
      <c r="G35">
        <v>24</v>
      </c>
      <c r="H35">
        <v>227.45</v>
      </c>
      <c r="I35">
        <v>16</v>
      </c>
      <c r="J35">
        <v>151.68</v>
      </c>
      <c r="K35">
        <f>Table50[[#This Row],[OpeningQty]]+Table50[[#This Row],[PurchasesQty]]-Table50[[#This Row],[ClosingQty]]</f>
        <v>40</v>
      </c>
      <c r="L35">
        <v>379.13</v>
      </c>
      <c r="M35" s="14">
        <f>Table50[[#This Row],[Usage]]/$L$1</f>
        <v>5.7582241468448155E-4</v>
      </c>
      <c r="N35" s="15">
        <f>IFERROR(Table50[[#This Row],[Opening]]/Table50[[#This Row],[OpeningQty]],0)</f>
        <v>9.48</v>
      </c>
      <c r="O35" s="15">
        <f>IFERROR(Table50[[#This Row],[Purchases]]/Table50[[#This Row],[PurchasesQty]],0)</f>
        <v>9.4770833333333329</v>
      </c>
      <c r="P35" s="15">
        <f>IFERROR(Table50[[#This Row],[Closing]]/Table50[[#This Row],[ClosingQty]],0)</f>
        <v>9.48</v>
      </c>
      <c r="Q35" s="15">
        <f>IFERROR(AVERAGEIF(Table50[[#This Row],[OPENING COST PRICE]:[CLOSING COST PRICE]],"&gt;0"),0)</f>
        <v>9.4790277777777785</v>
      </c>
      <c r="R35" s="15">
        <f>IFERROR(Table50[[#This Row],[COST PRICE]]-IFERROR(Table50[[#This Row],[Usage]]/Table50[[#This Row],[UsageQty]],Table50[[#This Row],[COST PRICE]]),0)</f>
        <v>7.7777777777932045E-4</v>
      </c>
      <c r="S35" s="16">
        <f>IFERROR(Table50[[#This Row],[COST PRICE CHANGE]]/Table50[[#This Row],[OPENING COST PRICE]],0)</f>
        <v>8.2044069386004269E-5</v>
      </c>
      <c r="T35" s="15">
        <f>Table50[[#This Row],[ClosingQty]]-(Table50[[#This Row],[USAGE / DAY]]*(IF(Table50[[#This Row],[ccnt]]="BEV",Table50[[#This Row],[DELIVERY DAY]],Table50[[#This Row],[DELIVERY DAY]])))</f>
        <v>7.42</v>
      </c>
      <c r="U35" s="15">
        <f>ROUNDUP(Table50[[#This Row],[UsageQty]]/Table50[[#This Row],[DATA POINT]],2)</f>
        <v>2.86</v>
      </c>
      <c r="V3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20</v>
      </c>
      <c r="W35" s="15">
        <f>IFERROR(Table50[[#This Row],[ORDER QTY]]*Table50[[#This Row],[COST PRICE]],0)</f>
        <v>189.58055555555558</v>
      </c>
      <c r="X35" s="15">
        <f>IFERROR(VLOOKUP(C35,[1]!Table49[[#All],[name]:[USAGE / DAY]],19,FALSE),1)</f>
        <v>2.8699999999999997</v>
      </c>
      <c r="Y35" s="4">
        <f>IFERROR((Table50[[#This Row],[USAGE / DAY]]-Table50[[#This Row],[USAGE / DAY 2]])/Table50[[#This Row],[USAGE / DAY 2]],0)</f>
        <v>-3.4843205574912155E-3</v>
      </c>
      <c r="Z35" s="15">
        <f t="shared" si="0"/>
        <v>14</v>
      </c>
      <c r="AA35" s="15">
        <f t="shared" si="1"/>
        <v>9.311854181734148</v>
      </c>
      <c r="AB35" s="15">
        <f>IFERROR(IF(Table50[[#This Row],[ccnt]]="BEV",$AB$2,IF(Table50[[#This Row],[ccnt]]="FOOD",$AC$2,"ENTER # FROM LAST COUNT")),"ENTER # FROM LAST COUNT")</f>
        <v>3</v>
      </c>
      <c r="AC35" s="15">
        <f>(Table50[[#This Row],[OpeningQty]]+Table50[[#This Row],[ClosingQty]])/2</f>
        <v>24</v>
      </c>
      <c r="AD35" s="15">
        <f>IFERROR(Table50[[#This Row],[UsageQty]]/Table50[[#This Row],[AVE INVENTORY]],0)</f>
        <v>1.6666666666666667</v>
      </c>
      <c r="AE35" s="15">
        <f>IFERROR(Table50[[#This Row],[DATA POINT]]/Table50[[#This Row],[Inventory Turnover Rate]],0)</f>
        <v>8.4</v>
      </c>
      <c r="AF35" s="15">
        <f>Table50[[#This Row],[ClosingQty]]/Table50[[#This Row],[USAGE / DAY]]</f>
        <v>5.594405594405595</v>
      </c>
      <c r="AG35" s="15">
        <f>Table50[[#This Row],[USAGE / DAY]]*7</f>
        <v>20.02</v>
      </c>
      <c r="AH35" s="15">
        <f>Table50[[#This Row],[USAGE / DAY]]*3</f>
        <v>8.58</v>
      </c>
      <c r="AI35" s="15">
        <f>IF(Table50[[#This Row],[FORECASTED DEMAND]]+Table50[[#This Row],[SAFETY STOCK]]-Table50[[#This Row],[ClosingQty]]&gt;0,Table50[[#This Row],[FORECASTED DEMAND]]+Table50[[#This Row],[SAFETY STOCK]]-Table50[[#This Row],[ClosingQty]],"NO ORDER")</f>
        <v>12.600000000000001</v>
      </c>
      <c r="AJ35" s="15">
        <f>IFERROR(Table50[[#This Row],[ORDER QTY2]]*Table50[[#This Row],[COST PRICE]],0)</f>
        <v>119.43575000000003</v>
      </c>
      <c r="AK35" s="15">
        <f>(Table50[[#This Row],[REORDER POINT]]*Table50[[#This Row],[COST PRICE]])+Table50[[#This Row],[ORDER COST]]</f>
        <v>259.91494166666666</v>
      </c>
      <c r="AL35" s="15">
        <f t="shared" si="2"/>
        <v>100</v>
      </c>
      <c r="AM35" s="15">
        <f>IFERROR((Table50[[#This Row],[REORDER POINT]]+Table50[[#This Row],[ORDER QTY]])/(Table50[[#This Row],[USAGE / DAY]]*Table50[[#This Row],[DEMAND %]]),Table50[[#This Row],[REORDER POINT]]/Table50[[#This Row],[USAGE / DAY]])</f>
        <v>9.5874125874125873E-2</v>
      </c>
    </row>
    <row r="36" spans="1:39" x14ac:dyDescent="0.25">
      <c r="A36" t="s">
        <v>50</v>
      </c>
      <c r="B36" t="s">
        <v>74</v>
      </c>
      <c r="C36" t="s">
        <v>89</v>
      </c>
      <c r="D36" t="s">
        <v>53</v>
      </c>
      <c r="E36">
        <v>36</v>
      </c>
      <c r="F36">
        <v>341.28</v>
      </c>
      <c r="G36">
        <v>24</v>
      </c>
      <c r="H36">
        <v>227.45</v>
      </c>
      <c r="I36">
        <v>36</v>
      </c>
      <c r="J36">
        <v>341.28</v>
      </c>
      <c r="K36">
        <f>Table50[[#This Row],[OpeningQty]]+Table50[[#This Row],[PurchasesQty]]-Table50[[#This Row],[ClosingQty]]</f>
        <v>24</v>
      </c>
      <c r="L36">
        <v>227.45</v>
      </c>
      <c r="M36" s="14">
        <f>Table50[[#This Row],[Usage]]/$L$1</f>
        <v>3.4545092242762459E-4</v>
      </c>
      <c r="N36" s="15">
        <f>IFERROR(Table50[[#This Row],[Opening]]/Table50[[#This Row],[OpeningQty]],0)</f>
        <v>9.4799999999999986</v>
      </c>
      <c r="O36" s="15">
        <f>IFERROR(Table50[[#This Row],[Purchases]]/Table50[[#This Row],[PurchasesQty]],0)</f>
        <v>9.4770833333333329</v>
      </c>
      <c r="P36" s="15">
        <f>IFERROR(Table50[[#This Row],[Closing]]/Table50[[#This Row],[ClosingQty]],0)</f>
        <v>9.4799999999999986</v>
      </c>
      <c r="Q36" s="15">
        <f>IFERROR(AVERAGEIF(Table50[[#This Row],[OPENING COST PRICE]:[CLOSING COST PRICE]],"&gt;0"),0)</f>
        <v>9.4790277777777749</v>
      </c>
      <c r="R36" s="15">
        <f>IFERROR(Table50[[#This Row],[COST PRICE]]-IFERROR(Table50[[#This Row],[Usage]]/Table50[[#This Row],[UsageQty]],Table50[[#This Row],[COST PRICE]]),0)</f>
        <v>1.9444444444420839E-3</v>
      </c>
      <c r="S36" s="16">
        <f>IFERROR(Table50[[#This Row],[COST PRICE CHANGE]]/Table50[[#This Row],[OPENING COST PRICE]],0)</f>
        <v>2.0511017346435488E-4</v>
      </c>
      <c r="T36" s="15">
        <f>Table50[[#This Row],[ClosingQty]]-(Table50[[#This Row],[USAGE / DAY]]*(IF(Table50[[#This Row],[ccnt]]="BEV",Table50[[#This Row],[DELIVERY DAY]],Table50[[#This Row],[DELIVERY DAY]])))</f>
        <v>30.84</v>
      </c>
      <c r="U36" s="15">
        <f>ROUNDUP(Table50[[#This Row],[UsageQty]]/Table50[[#This Row],[DATA POINT]],2)</f>
        <v>1.72</v>
      </c>
      <c r="V3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6" s="15">
        <f>IFERROR(Table50[[#This Row],[ORDER QTY]]*Table50[[#This Row],[COST PRICE]],0)</f>
        <v>0</v>
      </c>
      <c r="X36" s="15">
        <f>IFERROR(VLOOKUP(C36,[1]!Table49[[#All],[name]:[USAGE / DAY]],19,FALSE),1)</f>
        <v>2.94</v>
      </c>
      <c r="Y36" s="4">
        <f>IFERROR((Table50[[#This Row],[USAGE / DAY]]-Table50[[#This Row],[USAGE / DAY 2]])/Table50[[#This Row],[USAGE / DAY 2]],0)</f>
        <v>-0.41496598639455784</v>
      </c>
      <c r="Z36" s="15">
        <f t="shared" si="0"/>
        <v>14</v>
      </c>
      <c r="AA36" s="15">
        <f t="shared" si="1"/>
        <v>9.311854181734148</v>
      </c>
      <c r="AB36" s="15">
        <f>IFERROR(IF(Table50[[#This Row],[ccnt]]="BEV",$AB$2,IF(Table50[[#This Row],[ccnt]]="FOOD",$AC$2,"ENTER # FROM LAST COUNT")),"ENTER # FROM LAST COUNT")</f>
        <v>3</v>
      </c>
      <c r="AC36" s="15">
        <f>(Table50[[#This Row],[OpeningQty]]+Table50[[#This Row],[ClosingQty]])/2</f>
        <v>36</v>
      </c>
      <c r="AD36" s="15">
        <f>IFERROR(Table50[[#This Row],[UsageQty]]/Table50[[#This Row],[AVE INVENTORY]],0)</f>
        <v>0.66666666666666663</v>
      </c>
      <c r="AE36" s="15">
        <f>IFERROR(Table50[[#This Row],[DATA POINT]]/Table50[[#This Row],[Inventory Turnover Rate]],0)</f>
        <v>21</v>
      </c>
      <c r="AF36" s="15">
        <f>Table50[[#This Row],[ClosingQty]]/Table50[[#This Row],[USAGE / DAY]]</f>
        <v>20.930232558139537</v>
      </c>
      <c r="AG36" s="15">
        <f>Table50[[#This Row],[USAGE / DAY]]*7</f>
        <v>12.04</v>
      </c>
      <c r="AH36" s="15">
        <f>Table50[[#This Row],[USAGE / DAY]]*3</f>
        <v>5.16</v>
      </c>
      <c r="AI3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6" s="15">
        <f>IFERROR(Table50[[#This Row],[ORDER QTY2]]*Table50[[#This Row],[COST PRICE]],0)</f>
        <v>0</v>
      </c>
      <c r="AK36" s="15">
        <f>(Table50[[#This Row],[REORDER POINT]]*Table50[[#This Row],[COST PRICE]])+Table50[[#This Row],[ORDER COST]]</f>
        <v>292.3332166666666</v>
      </c>
      <c r="AL36" s="15">
        <f t="shared" si="2"/>
        <v>100</v>
      </c>
      <c r="AM36" s="15">
        <f>IFERROR((Table50[[#This Row],[REORDER POINT]]+Table50[[#This Row],[ORDER QTY]])/(Table50[[#This Row],[USAGE / DAY]]*Table50[[#This Row],[DEMAND %]]),Table50[[#This Row],[REORDER POINT]]/Table50[[#This Row],[USAGE / DAY]])</f>
        <v>17.930232558139537</v>
      </c>
    </row>
    <row r="37" spans="1:39" x14ac:dyDescent="0.25">
      <c r="A37" t="s">
        <v>50</v>
      </c>
      <c r="B37" t="s">
        <v>74</v>
      </c>
      <c r="C37" t="s">
        <v>90</v>
      </c>
      <c r="D37" t="s">
        <v>91</v>
      </c>
      <c r="E37">
        <v>49</v>
      </c>
      <c r="F37">
        <v>60.76</v>
      </c>
      <c r="G37">
        <v>270</v>
      </c>
      <c r="H37">
        <v>378.81</v>
      </c>
      <c r="I37">
        <v>172</v>
      </c>
      <c r="J37">
        <v>240.8</v>
      </c>
      <c r="K37">
        <f>Table50[[#This Row],[OpeningQty]]+Table50[[#This Row],[PurchasesQty]]-Table50[[#This Row],[ClosingQty]]</f>
        <v>147</v>
      </c>
      <c r="L37">
        <v>198.77</v>
      </c>
      <c r="M37" s="14">
        <f>Table50[[#This Row],[Usage]]/$L$1</f>
        <v>3.0189175577462717E-4</v>
      </c>
      <c r="N37" s="15">
        <f>IFERROR(Table50[[#This Row],[Opening]]/Table50[[#This Row],[OpeningQty]],0)</f>
        <v>1.24</v>
      </c>
      <c r="O37" s="15">
        <f>IFERROR(Table50[[#This Row],[Purchases]]/Table50[[#This Row],[PurchasesQty]],0)</f>
        <v>1.403</v>
      </c>
      <c r="P37" s="15">
        <f>IFERROR(Table50[[#This Row],[Closing]]/Table50[[#This Row],[ClosingQty]],0)</f>
        <v>1.4000000000000001</v>
      </c>
      <c r="Q37" s="15">
        <f>IFERROR(AVERAGEIF(Table50[[#This Row],[OPENING COST PRICE]:[CLOSING COST PRICE]],"&gt;0"),0)</f>
        <v>1.3476666666666668</v>
      </c>
      <c r="R37" s="15">
        <f>IFERROR(Table50[[#This Row],[COST PRICE]]-IFERROR(Table50[[#This Row],[Usage]]/Table50[[#This Row],[UsageQty]],Table50[[#This Row],[COST PRICE]]),0)</f>
        <v>-4.5102040816324962E-3</v>
      </c>
      <c r="S37" s="16">
        <f>IFERROR(Table50[[#This Row],[COST PRICE CHANGE]]/Table50[[#This Row],[OPENING COST PRICE]],0)</f>
        <v>-3.6372613561552387E-3</v>
      </c>
      <c r="T37" s="15">
        <f>Table50[[#This Row],[ClosingQty]]-(Table50[[#This Row],[USAGE / DAY]]*(IF(Table50[[#This Row],[ccnt]]="BEV",Table50[[#This Row],[DELIVERY DAY]],Table50[[#This Row],[DELIVERY DAY]])))</f>
        <v>140.5</v>
      </c>
      <c r="U37" s="15">
        <f>ROUNDUP(Table50[[#This Row],[UsageQty]]/Table50[[#This Row],[DATA POINT]],2)</f>
        <v>10.5</v>
      </c>
      <c r="V3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7" s="15">
        <f>IFERROR(Table50[[#This Row],[ORDER QTY]]*Table50[[#This Row],[COST PRICE]],0)</f>
        <v>0</v>
      </c>
      <c r="X37" s="15">
        <f>IFERROR(VLOOKUP(C37,[1]!Table49[[#All],[name]:[USAGE / DAY]],19,FALSE),1)</f>
        <v>17.399999999999999</v>
      </c>
      <c r="Y37" s="4">
        <f>IFERROR((Table50[[#This Row],[USAGE / DAY]]-Table50[[#This Row],[USAGE / DAY 2]])/Table50[[#This Row],[USAGE / DAY 2]],0)</f>
        <v>-0.39655172413793099</v>
      </c>
      <c r="Z37" s="15">
        <f t="shared" si="0"/>
        <v>14</v>
      </c>
      <c r="AA37" s="15">
        <f t="shared" si="1"/>
        <v>9.311854181734148</v>
      </c>
      <c r="AB37" s="15">
        <f>IFERROR(IF(Table50[[#This Row],[ccnt]]="BEV",$AB$2,IF(Table50[[#This Row],[ccnt]]="FOOD",$AC$2,"ENTER # FROM LAST COUNT")),"ENTER # FROM LAST COUNT")</f>
        <v>3</v>
      </c>
      <c r="AC37" s="15">
        <f>(Table50[[#This Row],[OpeningQty]]+Table50[[#This Row],[ClosingQty]])/2</f>
        <v>110.5</v>
      </c>
      <c r="AD37" s="15">
        <f>IFERROR(Table50[[#This Row],[UsageQty]]/Table50[[#This Row],[AVE INVENTORY]],0)</f>
        <v>1.3303167420814479</v>
      </c>
      <c r="AE37" s="15">
        <f>IFERROR(Table50[[#This Row],[DATA POINT]]/Table50[[#This Row],[Inventory Turnover Rate]],0)</f>
        <v>10.523809523809524</v>
      </c>
      <c r="AF37" s="15">
        <f>Table50[[#This Row],[ClosingQty]]/Table50[[#This Row],[USAGE / DAY]]</f>
        <v>16.38095238095238</v>
      </c>
      <c r="AG37" s="15">
        <f>Table50[[#This Row],[USAGE / DAY]]*7</f>
        <v>73.5</v>
      </c>
      <c r="AH37" s="15">
        <f>Table50[[#This Row],[USAGE / DAY]]*3</f>
        <v>31.5</v>
      </c>
      <c r="AI3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7" s="15">
        <f>IFERROR(Table50[[#This Row],[ORDER QTY2]]*Table50[[#This Row],[COST PRICE]],0)</f>
        <v>0</v>
      </c>
      <c r="AK37" s="15">
        <f>(Table50[[#This Row],[REORDER POINT]]*Table50[[#This Row],[COST PRICE]])+Table50[[#This Row],[ORDER COST]]</f>
        <v>189.34716666666668</v>
      </c>
      <c r="AL37" s="15">
        <f t="shared" si="2"/>
        <v>100</v>
      </c>
      <c r="AM37" s="15">
        <f>IFERROR((Table50[[#This Row],[REORDER POINT]]+Table50[[#This Row],[ORDER QTY]])/(Table50[[#This Row],[USAGE / DAY]]*Table50[[#This Row],[DEMAND %]]),Table50[[#This Row],[REORDER POINT]]/Table50[[#This Row],[USAGE / DAY]])</f>
        <v>13.380952380952381</v>
      </c>
    </row>
    <row r="38" spans="1:39" x14ac:dyDescent="0.25">
      <c r="A38" t="s">
        <v>50</v>
      </c>
      <c r="B38" t="s">
        <v>74</v>
      </c>
      <c r="C38" t="s">
        <v>92</v>
      </c>
      <c r="D38" t="s">
        <v>91</v>
      </c>
      <c r="E38">
        <v>68</v>
      </c>
      <c r="F38">
        <v>95.2</v>
      </c>
      <c r="G38">
        <v>30</v>
      </c>
      <c r="H38">
        <v>42.09</v>
      </c>
      <c r="I38">
        <v>44</v>
      </c>
      <c r="J38">
        <v>61.6</v>
      </c>
      <c r="K38">
        <f>Table50[[#This Row],[OpeningQty]]+Table50[[#This Row],[PurchasesQty]]-Table50[[#This Row],[ClosingQty]]</f>
        <v>54</v>
      </c>
      <c r="L38">
        <v>75.69</v>
      </c>
      <c r="M38" s="14">
        <f>Table50[[#This Row],[Usage]]/$L$1</f>
        <v>1.1495792621915545E-4</v>
      </c>
      <c r="N38" s="15">
        <f>IFERROR(Table50[[#This Row],[Opening]]/Table50[[#This Row],[OpeningQty]],0)</f>
        <v>1.4000000000000001</v>
      </c>
      <c r="O38" s="15">
        <f>IFERROR(Table50[[#This Row],[Purchases]]/Table50[[#This Row],[PurchasesQty]],0)</f>
        <v>1.403</v>
      </c>
      <c r="P38" s="15">
        <f>IFERROR(Table50[[#This Row],[Closing]]/Table50[[#This Row],[ClosingQty]],0)</f>
        <v>1.4000000000000001</v>
      </c>
      <c r="Q38" s="15">
        <f>IFERROR(AVERAGEIF(Table50[[#This Row],[OPENING COST PRICE]:[CLOSING COST PRICE]],"&gt;0"),0)</f>
        <v>1.401</v>
      </c>
      <c r="R38" s="15">
        <f>IFERROR(Table50[[#This Row],[COST PRICE]]-IFERROR(Table50[[#This Row],[Usage]]/Table50[[#This Row],[UsageQty]],Table50[[#This Row],[COST PRICE]]),0)</f>
        <v>-6.6666666666659324E-4</v>
      </c>
      <c r="S38" s="16">
        <f>IFERROR(Table50[[#This Row],[COST PRICE CHANGE]]/Table50[[#This Row],[OPENING COST PRICE]],0)</f>
        <v>-4.7619047619042371E-4</v>
      </c>
      <c r="T38" s="15">
        <f>Table50[[#This Row],[ClosingQty]]-(Table50[[#This Row],[USAGE / DAY]]*(IF(Table50[[#This Row],[ccnt]]="BEV",Table50[[#This Row],[DELIVERY DAY]],Table50[[#This Row],[DELIVERY DAY]])))</f>
        <v>32.42</v>
      </c>
      <c r="U38" s="15">
        <f>ROUNDUP(Table50[[#This Row],[UsageQty]]/Table50[[#This Row],[DATA POINT]],2)</f>
        <v>3.86</v>
      </c>
      <c r="V3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38" s="15">
        <f>IFERROR(Table50[[#This Row],[ORDER QTY]]*Table50[[#This Row],[COST PRICE]],0)</f>
        <v>5.6040000000000001</v>
      </c>
      <c r="X38" s="15">
        <f>IFERROR(VLOOKUP(C38,[1]!Table49[[#All],[name]:[USAGE / DAY]],19,FALSE),1)</f>
        <v>3.8</v>
      </c>
      <c r="Y38" s="4">
        <f>IFERROR((Table50[[#This Row],[USAGE / DAY]]-Table50[[#This Row],[USAGE / DAY 2]])/Table50[[#This Row],[USAGE / DAY 2]],0)</f>
        <v>1.5789473684210541E-2</v>
      </c>
      <c r="Z38" s="15">
        <f t="shared" si="0"/>
        <v>14</v>
      </c>
      <c r="AA38" s="15">
        <f t="shared" si="1"/>
        <v>9.311854181734148</v>
      </c>
      <c r="AB38" s="15">
        <f>IFERROR(IF(Table50[[#This Row],[ccnt]]="BEV",$AB$2,IF(Table50[[#This Row],[ccnt]]="FOOD",$AC$2,"ENTER # FROM LAST COUNT")),"ENTER # FROM LAST COUNT")</f>
        <v>3</v>
      </c>
      <c r="AC38" s="15">
        <f>(Table50[[#This Row],[OpeningQty]]+Table50[[#This Row],[ClosingQty]])/2</f>
        <v>56</v>
      </c>
      <c r="AD38" s="15">
        <f>IFERROR(Table50[[#This Row],[UsageQty]]/Table50[[#This Row],[AVE INVENTORY]],0)</f>
        <v>0.9642857142857143</v>
      </c>
      <c r="AE38" s="15">
        <f>IFERROR(Table50[[#This Row],[DATA POINT]]/Table50[[#This Row],[Inventory Turnover Rate]],0)</f>
        <v>14.518518518518519</v>
      </c>
      <c r="AF38" s="15">
        <f>Table50[[#This Row],[ClosingQty]]/Table50[[#This Row],[USAGE / DAY]]</f>
        <v>11.398963730569948</v>
      </c>
      <c r="AG38" s="15">
        <f>Table50[[#This Row],[USAGE / DAY]]*7</f>
        <v>27.02</v>
      </c>
      <c r="AH38" s="15">
        <f>Table50[[#This Row],[USAGE / DAY]]*3</f>
        <v>11.58</v>
      </c>
      <c r="AI3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8" s="15">
        <f>IFERROR(Table50[[#This Row],[ORDER QTY2]]*Table50[[#This Row],[COST PRICE]],0)</f>
        <v>0</v>
      </c>
      <c r="AK38" s="15">
        <f>(Table50[[#This Row],[REORDER POINT]]*Table50[[#This Row],[COST PRICE]])+Table50[[#This Row],[ORDER COST]]</f>
        <v>51.024419999999999</v>
      </c>
      <c r="AL38" s="15">
        <f t="shared" si="2"/>
        <v>100</v>
      </c>
      <c r="AM38" s="15">
        <f>IFERROR((Table50[[#This Row],[REORDER POINT]]+Table50[[#This Row],[ORDER QTY]])/(Table50[[#This Row],[USAGE / DAY]]*Table50[[#This Row],[DEMAND %]]),Table50[[#This Row],[REORDER POINT]]/Table50[[#This Row],[USAGE / DAY]])</f>
        <v>9.4352331606217615E-2</v>
      </c>
    </row>
    <row r="39" spans="1:39" x14ac:dyDescent="0.25">
      <c r="A39" t="s">
        <v>50</v>
      </c>
      <c r="B39" t="s">
        <v>74</v>
      </c>
      <c r="C39" t="s">
        <v>93</v>
      </c>
      <c r="D39" t="s">
        <v>91</v>
      </c>
      <c r="E39">
        <v>76</v>
      </c>
      <c r="F39">
        <v>94.24</v>
      </c>
      <c r="G39">
        <v>330</v>
      </c>
      <c r="H39">
        <v>462.99</v>
      </c>
      <c r="I39">
        <v>156</v>
      </c>
      <c r="J39">
        <v>218.4</v>
      </c>
      <c r="K39">
        <f>Table50[[#This Row],[OpeningQty]]+Table50[[#This Row],[PurchasesQty]]-Table50[[#This Row],[ClosingQty]]</f>
        <v>250</v>
      </c>
      <c r="L39">
        <v>338.83</v>
      </c>
      <c r="M39" s="14">
        <f>Table50[[#This Row],[Usage]]/$L$1</f>
        <v>5.1461479905980231E-4</v>
      </c>
      <c r="N39" s="15">
        <f>IFERROR(Table50[[#This Row],[Opening]]/Table50[[#This Row],[OpeningQty]],0)</f>
        <v>1.24</v>
      </c>
      <c r="O39" s="15">
        <f>IFERROR(Table50[[#This Row],[Purchases]]/Table50[[#This Row],[PurchasesQty]],0)</f>
        <v>1.403</v>
      </c>
      <c r="P39" s="15">
        <f>IFERROR(Table50[[#This Row],[Closing]]/Table50[[#This Row],[ClosingQty]],0)</f>
        <v>1.4000000000000001</v>
      </c>
      <c r="Q39" s="15">
        <f>IFERROR(AVERAGEIF(Table50[[#This Row],[OPENING COST PRICE]:[CLOSING COST PRICE]],"&gt;0"),0)</f>
        <v>1.3476666666666668</v>
      </c>
      <c r="R39" s="15">
        <f>IFERROR(Table50[[#This Row],[COST PRICE]]-IFERROR(Table50[[#This Row],[Usage]]/Table50[[#This Row],[UsageQty]],Table50[[#This Row],[COST PRICE]]),0)</f>
        <v>-7.6533333333330678E-3</v>
      </c>
      <c r="S39" s="16">
        <f>IFERROR(Table50[[#This Row],[COST PRICE CHANGE]]/Table50[[#This Row],[OPENING COST PRICE]],0)</f>
        <v>-6.1720430107524739E-3</v>
      </c>
      <c r="T39" s="15">
        <f>Table50[[#This Row],[ClosingQty]]-(Table50[[#This Row],[USAGE / DAY]]*(IF(Table50[[#This Row],[ccnt]]="BEV",Table50[[#This Row],[DELIVERY DAY]],Table50[[#This Row],[DELIVERY DAY]])))</f>
        <v>102.41999999999999</v>
      </c>
      <c r="U39" s="15">
        <f>ROUNDUP(Table50[[#This Row],[UsageQty]]/Table50[[#This Row],[DATA POINT]],2)</f>
        <v>17.860000000000003</v>
      </c>
      <c r="V3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64</v>
      </c>
      <c r="W39" s="15">
        <f>IFERROR(Table50[[#This Row],[ORDER QTY]]*Table50[[#This Row],[COST PRICE]],0)</f>
        <v>86.250666666666675</v>
      </c>
      <c r="X39" s="15">
        <f>IFERROR(VLOOKUP(C39,[1]!Table49[[#All],[name]:[USAGE / DAY]],19,FALSE),1)</f>
        <v>24.2</v>
      </c>
      <c r="Y39" s="4">
        <f>IFERROR((Table50[[#This Row],[USAGE / DAY]]-Table50[[#This Row],[USAGE / DAY 2]])/Table50[[#This Row],[USAGE / DAY 2]],0)</f>
        <v>-0.26198347107438003</v>
      </c>
      <c r="Z39" s="15">
        <f t="shared" si="0"/>
        <v>14</v>
      </c>
      <c r="AA39" s="15">
        <f t="shared" si="1"/>
        <v>9.311854181734148</v>
      </c>
      <c r="AB39" s="15">
        <f>IFERROR(IF(Table50[[#This Row],[ccnt]]="BEV",$AB$2,IF(Table50[[#This Row],[ccnt]]="FOOD",$AC$2,"ENTER # FROM LAST COUNT")),"ENTER # FROM LAST COUNT")</f>
        <v>3</v>
      </c>
      <c r="AC39" s="15">
        <f>(Table50[[#This Row],[OpeningQty]]+Table50[[#This Row],[ClosingQty]])/2</f>
        <v>116</v>
      </c>
      <c r="AD39" s="15">
        <f>IFERROR(Table50[[#This Row],[UsageQty]]/Table50[[#This Row],[AVE INVENTORY]],0)</f>
        <v>2.1551724137931036</v>
      </c>
      <c r="AE39" s="15">
        <f>IFERROR(Table50[[#This Row],[DATA POINT]]/Table50[[#This Row],[Inventory Turnover Rate]],0)</f>
        <v>6.4959999999999996</v>
      </c>
      <c r="AF39" s="15">
        <f>Table50[[#This Row],[ClosingQty]]/Table50[[#This Row],[USAGE / DAY]]</f>
        <v>8.734602463605821</v>
      </c>
      <c r="AG39" s="15">
        <f>Table50[[#This Row],[USAGE / DAY]]*7</f>
        <v>125.02000000000002</v>
      </c>
      <c r="AH39" s="15">
        <f>Table50[[#This Row],[USAGE / DAY]]*3</f>
        <v>53.580000000000013</v>
      </c>
      <c r="AI39" s="15">
        <f>IF(Table50[[#This Row],[FORECASTED DEMAND]]+Table50[[#This Row],[SAFETY STOCK]]-Table50[[#This Row],[ClosingQty]]&gt;0,Table50[[#This Row],[FORECASTED DEMAND]]+Table50[[#This Row],[SAFETY STOCK]]-Table50[[#This Row],[ClosingQty]],"NO ORDER")</f>
        <v>22.600000000000023</v>
      </c>
      <c r="AJ39" s="15">
        <f>IFERROR(Table50[[#This Row],[ORDER QTY2]]*Table50[[#This Row],[COST PRICE]],0)</f>
        <v>30.457266666666701</v>
      </c>
      <c r="AK39" s="15">
        <f>(Table50[[#This Row],[REORDER POINT]]*Table50[[#This Row],[COST PRICE]])+Table50[[#This Row],[ORDER COST]]</f>
        <v>224.27868666666666</v>
      </c>
      <c r="AL39" s="15">
        <f t="shared" si="2"/>
        <v>100</v>
      </c>
      <c r="AM39" s="15">
        <f>IFERROR((Table50[[#This Row],[REORDER POINT]]+Table50[[#This Row],[ORDER QTY]])/(Table50[[#This Row],[USAGE / DAY]]*Table50[[#This Row],[DEMAND %]]),Table50[[#This Row],[REORDER POINT]]/Table50[[#This Row],[USAGE / DAY]])</f>
        <v>9.3180291153415432E-2</v>
      </c>
    </row>
    <row r="40" spans="1:39" x14ac:dyDescent="0.25">
      <c r="A40" t="s">
        <v>50</v>
      </c>
      <c r="B40" t="s">
        <v>74</v>
      </c>
      <c r="C40" t="s">
        <v>94</v>
      </c>
      <c r="D40" t="s">
        <v>95</v>
      </c>
      <c r="E40">
        <v>0</v>
      </c>
      <c r="F40">
        <v>0</v>
      </c>
      <c r="G40">
        <v>5</v>
      </c>
      <c r="H40">
        <v>700</v>
      </c>
      <c r="I40">
        <v>5</v>
      </c>
      <c r="J40">
        <v>700</v>
      </c>
      <c r="K40">
        <f>Table50[[#This Row],[OpeningQty]]+Table50[[#This Row],[PurchasesQty]]-Table50[[#This Row],[ClosingQty]]</f>
        <v>0</v>
      </c>
      <c r="L40">
        <v>0</v>
      </c>
      <c r="M40" s="14">
        <f>Table50[[#This Row],[Usage]]/$L$1</f>
        <v>0</v>
      </c>
      <c r="N40" s="15">
        <f>IFERROR(Table50[[#This Row],[Opening]]/Table50[[#This Row],[OpeningQty]],0)</f>
        <v>0</v>
      </c>
      <c r="O40" s="15">
        <f>IFERROR(Table50[[#This Row],[Purchases]]/Table50[[#This Row],[PurchasesQty]],0)</f>
        <v>140</v>
      </c>
      <c r="P40" s="15">
        <f>IFERROR(Table50[[#This Row],[Closing]]/Table50[[#This Row],[ClosingQty]],0)</f>
        <v>140</v>
      </c>
      <c r="Q40" s="15">
        <f>IFERROR(AVERAGEIF(Table50[[#This Row],[OPENING COST PRICE]:[CLOSING COST PRICE]],"&gt;0"),0)</f>
        <v>140</v>
      </c>
      <c r="R40" s="15">
        <f>IFERROR(Table50[[#This Row],[COST PRICE]]-IFERROR(Table50[[#This Row],[Usage]]/Table50[[#This Row],[UsageQty]],Table50[[#This Row],[COST PRICE]]),0)</f>
        <v>0</v>
      </c>
      <c r="S40" s="16">
        <f>IFERROR(Table50[[#This Row],[COST PRICE CHANGE]]/Table50[[#This Row],[OPENING COST PRICE]],0)</f>
        <v>0</v>
      </c>
      <c r="T40" s="15">
        <f>Table50[[#This Row],[ClosingQty]]-(Table50[[#This Row],[USAGE / DAY]]*(IF(Table50[[#This Row],[ccnt]]="BEV",Table50[[#This Row],[DELIVERY DAY]],Table50[[#This Row],[DELIVERY DAY]])))</f>
        <v>5</v>
      </c>
      <c r="U40" s="15">
        <f>ROUNDUP(Table50[[#This Row],[UsageQty]]/Table50[[#This Row],[DATA POINT]],2)</f>
        <v>0</v>
      </c>
      <c r="V4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0" s="15">
        <f>IFERROR(Table50[[#This Row],[ORDER QTY]]*Table50[[#This Row],[COST PRICE]],0)</f>
        <v>0</v>
      </c>
      <c r="X40" s="15">
        <f>IFERROR(VLOOKUP(C40,[1]!Table49[[#All],[name]:[USAGE / DAY]],19,FALSE),1)</f>
        <v>0.2</v>
      </c>
      <c r="Y40" s="4">
        <f>IFERROR((Table50[[#This Row],[USAGE / DAY]]-Table50[[#This Row],[USAGE / DAY 2]])/Table50[[#This Row],[USAGE / DAY 2]],0)</f>
        <v>-1</v>
      </c>
      <c r="Z40" s="15">
        <f t="shared" si="0"/>
        <v>14</v>
      </c>
      <c r="AA40" s="15">
        <f t="shared" si="1"/>
        <v>9.311854181734148</v>
      </c>
      <c r="AB40" s="15">
        <f>IFERROR(IF(Table50[[#This Row],[ccnt]]="BEV",$AB$2,IF(Table50[[#This Row],[ccnt]]="FOOD",$AC$2,"ENTER # FROM LAST COUNT")),"ENTER # FROM LAST COUNT")</f>
        <v>3</v>
      </c>
      <c r="AC40" s="15">
        <f>(Table50[[#This Row],[OpeningQty]]+Table50[[#This Row],[ClosingQty]])/2</f>
        <v>2.5</v>
      </c>
      <c r="AD40" s="15">
        <f>IFERROR(Table50[[#This Row],[UsageQty]]/Table50[[#This Row],[AVE INVENTORY]],0)</f>
        <v>0</v>
      </c>
      <c r="AE40" s="15">
        <f>IFERROR(Table50[[#This Row],[DATA POINT]]/Table50[[#This Row],[Inventory Turnover Rate]],0)</f>
        <v>0</v>
      </c>
      <c r="AF40" s="15" t="e">
        <f>Table50[[#This Row],[ClosingQty]]/Table50[[#This Row],[USAGE / DAY]]</f>
        <v>#DIV/0!</v>
      </c>
      <c r="AG40" s="15">
        <f>Table50[[#This Row],[USAGE / DAY]]*7</f>
        <v>0</v>
      </c>
      <c r="AH40" s="15">
        <f>Table50[[#This Row],[USAGE / DAY]]*3</f>
        <v>0</v>
      </c>
      <c r="AI4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0" s="15">
        <f>IFERROR(Table50[[#This Row],[ORDER QTY2]]*Table50[[#This Row],[COST PRICE]],0)</f>
        <v>0</v>
      </c>
      <c r="AK40" s="15">
        <f>(Table50[[#This Row],[REORDER POINT]]*Table50[[#This Row],[COST PRICE]])+Table50[[#This Row],[ORDER COST]]</f>
        <v>700</v>
      </c>
      <c r="AL40" s="15">
        <f t="shared" si="2"/>
        <v>100</v>
      </c>
      <c r="AM40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41" spans="1:39" x14ac:dyDescent="0.25">
      <c r="A41" t="s">
        <v>50</v>
      </c>
      <c r="B41" t="s">
        <v>74</v>
      </c>
      <c r="C41" t="s">
        <v>96</v>
      </c>
      <c r="D41" t="s">
        <v>76</v>
      </c>
      <c r="E41">
        <v>3.55</v>
      </c>
      <c r="F41">
        <v>397.6</v>
      </c>
      <c r="G41">
        <v>13</v>
      </c>
      <c r="H41">
        <v>1456</v>
      </c>
      <c r="I41">
        <v>9.42</v>
      </c>
      <c r="J41">
        <v>1055.04</v>
      </c>
      <c r="K41">
        <f>Table50[[#This Row],[OpeningQty]]+Table50[[#This Row],[PurchasesQty]]-Table50[[#This Row],[ClosingQty]]</f>
        <v>7.1300000000000008</v>
      </c>
      <c r="L41">
        <v>798.56</v>
      </c>
      <c r="M41" s="14">
        <f>Table50[[#This Row],[Usage]]/$L$1</f>
        <v>1.2128524449936421E-3</v>
      </c>
      <c r="N41" s="15">
        <f>IFERROR(Table50[[#This Row],[Opening]]/Table50[[#This Row],[OpeningQty]],0)</f>
        <v>112.00000000000001</v>
      </c>
      <c r="O41" s="15">
        <f>IFERROR(Table50[[#This Row],[Purchases]]/Table50[[#This Row],[PurchasesQty]],0)</f>
        <v>112</v>
      </c>
      <c r="P41" s="15">
        <f>IFERROR(Table50[[#This Row],[Closing]]/Table50[[#This Row],[ClosingQty]],0)</f>
        <v>112</v>
      </c>
      <c r="Q41" s="15">
        <f>IFERROR(AVERAGEIF(Table50[[#This Row],[OPENING COST PRICE]:[CLOSING COST PRICE]],"&gt;0"),0)</f>
        <v>112</v>
      </c>
      <c r="R41" s="15">
        <f>IFERROR(Table50[[#This Row],[COST PRICE]]-IFERROR(Table50[[#This Row],[Usage]]/Table50[[#This Row],[UsageQty]],Table50[[#This Row],[COST PRICE]]),0)</f>
        <v>1.4210854715202004E-14</v>
      </c>
      <c r="S41" s="16">
        <f>IFERROR(Table50[[#This Row],[COST PRICE CHANGE]]/Table50[[#This Row],[OPENING COST PRICE]],0)</f>
        <v>1.2688263138573217E-16</v>
      </c>
      <c r="T41" s="15">
        <f>Table50[[#This Row],[ClosingQty]]-(Table50[[#This Row],[USAGE / DAY]]*(IF(Table50[[#This Row],[ccnt]]="BEV",Table50[[#This Row],[DELIVERY DAY]],Table50[[#This Row],[DELIVERY DAY]])))</f>
        <v>7.89</v>
      </c>
      <c r="U41" s="15">
        <f>ROUNDUP(Table50[[#This Row],[UsageQty]]/Table50[[#This Row],[DATA POINT]],2)</f>
        <v>0.51</v>
      </c>
      <c r="V4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1" s="15">
        <f>IFERROR(Table50[[#This Row],[ORDER QTY]]*Table50[[#This Row],[COST PRICE]],0)</f>
        <v>0</v>
      </c>
      <c r="X41" s="15">
        <f>IFERROR(VLOOKUP(C41,[1]!Table49[[#All],[name]:[USAGE / DAY]],19,FALSE),1)</f>
        <v>0.75</v>
      </c>
      <c r="Y41" s="4">
        <f>IFERROR((Table50[[#This Row],[USAGE / DAY]]-Table50[[#This Row],[USAGE / DAY 2]])/Table50[[#This Row],[USAGE / DAY 2]],0)</f>
        <v>-0.32</v>
      </c>
      <c r="Z41" s="15">
        <f t="shared" si="0"/>
        <v>14</v>
      </c>
      <c r="AA41" s="15">
        <f t="shared" si="1"/>
        <v>9.311854181734148</v>
      </c>
      <c r="AB41" s="15">
        <f>IFERROR(IF(Table50[[#This Row],[ccnt]]="BEV",$AB$2,IF(Table50[[#This Row],[ccnt]]="FOOD",$AC$2,"ENTER # FROM LAST COUNT")),"ENTER # FROM LAST COUNT")</f>
        <v>3</v>
      </c>
      <c r="AC41" s="15">
        <f>(Table50[[#This Row],[OpeningQty]]+Table50[[#This Row],[ClosingQty]])/2</f>
        <v>6.4849999999999994</v>
      </c>
      <c r="AD41" s="15">
        <f>IFERROR(Table50[[#This Row],[UsageQty]]/Table50[[#This Row],[AVE INVENTORY]],0)</f>
        <v>1.0994602929838091</v>
      </c>
      <c r="AE41" s="15">
        <f>IFERROR(Table50[[#This Row],[DATA POINT]]/Table50[[#This Row],[Inventory Turnover Rate]],0)</f>
        <v>12.733520336605887</v>
      </c>
      <c r="AF41" s="15">
        <f>Table50[[#This Row],[ClosingQty]]/Table50[[#This Row],[USAGE / DAY]]</f>
        <v>18.470588235294116</v>
      </c>
      <c r="AG41" s="15">
        <f>Table50[[#This Row],[USAGE / DAY]]*7</f>
        <v>3.5700000000000003</v>
      </c>
      <c r="AH41" s="15">
        <f>Table50[[#This Row],[USAGE / DAY]]*3</f>
        <v>1.53</v>
      </c>
      <c r="AI4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1" s="15">
        <f>IFERROR(Table50[[#This Row],[ORDER QTY2]]*Table50[[#This Row],[COST PRICE]],0)</f>
        <v>0</v>
      </c>
      <c r="AK41" s="15">
        <f>(Table50[[#This Row],[REORDER POINT]]*Table50[[#This Row],[COST PRICE]])+Table50[[#This Row],[ORDER COST]]</f>
        <v>883.68</v>
      </c>
      <c r="AL41" s="15">
        <f t="shared" si="2"/>
        <v>100</v>
      </c>
      <c r="AM41" s="15">
        <f>IFERROR((Table50[[#This Row],[REORDER POINT]]+Table50[[#This Row],[ORDER QTY]])/(Table50[[#This Row],[USAGE / DAY]]*Table50[[#This Row],[DEMAND %]]),Table50[[#This Row],[REORDER POINT]]/Table50[[#This Row],[USAGE / DAY]])</f>
        <v>15.470588235294116</v>
      </c>
    </row>
    <row r="42" spans="1:39" x14ac:dyDescent="0.25">
      <c r="A42" t="s">
        <v>50</v>
      </c>
      <c r="B42" t="s">
        <v>74</v>
      </c>
      <c r="C42" t="s">
        <v>97</v>
      </c>
      <c r="D42" t="s">
        <v>98</v>
      </c>
      <c r="E42">
        <v>0</v>
      </c>
      <c r="F42">
        <v>0</v>
      </c>
      <c r="G42">
        <v>4</v>
      </c>
      <c r="H42">
        <v>488</v>
      </c>
      <c r="I42">
        <v>2.33</v>
      </c>
      <c r="J42">
        <v>284.26</v>
      </c>
      <c r="K42">
        <f>Table50[[#This Row],[OpeningQty]]+Table50[[#This Row],[PurchasesQty]]-Table50[[#This Row],[ClosingQty]]</f>
        <v>1.67</v>
      </c>
      <c r="L42">
        <v>203.74</v>
      </c>
      <c r="M42" s="14">
        <f>Table50[[#This Row],[Usage]]/$L$1</f>
        <v>3.0944018876853923E-4</v>
      </c>
      <c r="N42" s="15">
        <f>IFERROR(Table50[[#This Row],[Opening]]/Table50[[#This Row],[OpeningQty]],0)</f>
        <v>0</v>
      </c>
      <c r="O42" s="15">
        <f>IFERROR(Table50[[#This Row],[Purchases]]/Table50[[#This Row],[PurchasesQty]],0)</f>
        <v>122</v>
      </c>
      <c r="P42" s="15">
        <f>IFERROR(Table50[[#This Row],[Closing]]/Table50[[#This Row],[ClosingQty]],0)</f>
        <v>121.99999999999999</v>
      </c>
      <c r="Q42" s="15">
        <f>IFERROR(AVERAGEIF(Table50[[#This Row],[OPENING COST PRICE]:[CLOSING COST PRICE]],"&gt;0"),0)</f>
        <v>122</v>
      </c>
      <c r="R42" s="15">
        <f>IFERROR(Table50[[#This Row],[COST PRICE]]-IFERROR(Table50[[#This Row],[Usage]]/Table50[[#This Row],[UsageQty]],Table50[[#This Row],[COST PRICE]]),0)</f>
        <v>-1.4210854715202004E-14</v>
      </c>
      <c r="S42" s="16">
        <f>IFERROR(Table50[[#This Row],[COST PRICE CHANGE]]/Table50[[#This Row],[OPENING COST PRICE]],0)</f>
        <v>0</v>
      </c>
      <c r="T42" s="15">
        <f>Table50[[#This Row],[ClosingQty]]-(Table50[[#This Row],[USAGE / DAY]]*(IF(Table50[[#This Row],[ccnt]]="BEV",Table50[[#This Row],[DELIVERY DAY]],Table50[[#This Row],[DELIVERY DAY]])))</f>
        <v>1.9700000000000002</v>
      </c>
      <c r="U42" s="15">
        <f>ROUNDUP(Table50[[#This Row],[UsageQty]]/Table50[[#This Row],[DATA POINT]],2)</f>
        <v>0.12</v>
      </c>
      <c r="V4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2" s="15">
        <f>IFERROR(Table50[[#This Row],[ORDER QTY]]*Table50[[#This Row],[COST PRICE]],0)</f>
        <v>0</v>
      </c>
      <c r="X42" s="15">
        <f>IFERROR(VLOOKUP(C42,[1]!Table49[[#All],[name]:[USAGE / DAY]],19,FALSE),1)</f>
        <v>0.2</v>
      </c>
      <c r="Y42" s="4">
        <f>IFERROR((Table50[[#This Row],[USAGE / DAY]]-Table50[[#This Row],[USAGE / DAY 2]])/Table50[[#This Row],[USAGE / DAY 2]],0)</f>
        <v>-0.40000000000000008</v>
      </c>
      <c r="Z42" s="15">
        <f t="shared" si="0"/>
        <v>14</v>
      </c>
      <c r="AA42" s="15">
        <f t="shared" si="1"/>
        <v>9.311854181734148</v>
      </c>
      <c r="AB42" s="15">
        <f>IFERROR(IF(Table50[[#This Row],[ccnt]]="BEV",$AB$2,IF(Table50[[#This Row],[ccnt]]="FOOD",$AC$2,"ENTER # FROM LAST COUNT")),"ENTER # FROM LAST COUNT")</f>
        <v>3</v>
      </c>
      <c r="AC42" s="15">
        <f>(Table50[[#This Row],[OpeningQty]]+Table50[[#This Row],[ClosingQty]])/2</f>
        <v>1.165</v>
      </c>
      <c r="AD42" s="15">
        <f>IFERROR(Table50[[#This Row],[UsageQty]]/Table50[[#This Row],[AVE INVENTORY]],0)</f>
        <v>1.4334763948497853</v>
      </c>
      <c r="AE42" s="15">
        <f>IFERROR(Table50[[#This Row],[DATA POINT]]/Table50[[#This Row],[Inventory Turnover Rate]],0)</f>
        <v>9.7664670658682642</v>
      </c>
      <c r="AF42" s="15">
        <f>Table50[[#This Row],[ClosingQty]]/Table50[[#This Row],[USAGE / DAY]]</f>
        <v>19.416666666666668</v>
      </c>
      <c r="AG42" s="15">
        <f>Table50[[#This Row],[USAGE / DAY]]*7</f>
        <v>0.84</v>
      </c>
      <c r="AH42" s="15">
        <f>Table50[[#This Row],[USAGE / DAY]]*3</f>
        <v>0.36</v>
      </c>
      <c r="AI4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2" s="15">
        <f>IFERROR(Table50[[#This Row],[ORDER QTY2]]*Table50[[#This Row],[COST PRICE]],0)</f>
        <v>0</v>
      </c>
      <c r="AK42" s="15">
        <f>(Table50[[#This Row],[REORDER POINT]]*Table50[[#This Row],[COST PRICE]])+Table50[[#This Row],[ORDER COST]]</f>
        <v>240.34000000000003</v>
      </c>
      <c r="AL42" s="15">
        <f t="shared" si="2"/>
        <v>100</v>
      </c>
      <c r="AM42" s="15">
        <f>IFERROR((Table50[[#This Row],[REORDER POINT]]+Table50[[#This Row],[ORDER QTY]])/(Table50[[#This Row],[USAGE / DAY]]*Table50[[#This Row],[DEMAND %]]),Table50[[#This Row],[REORDER POINT]]/Table50[[#This Row],[USAGE / DAY]])</f>
        <v>16.416666666666668</v>
      </c>
    </row>
    <row r="43" spans="1:39" x14ac:dyDescent="0.25">
      <c r="A43" t="s">
        <v>50</v>
      </c>
      <c r="B43" t="s">
        <v>74</v>
      </c>
      <c r="C43" t="s">
        <v>99</v>
      </c>
      <c r="D43" t="s">
        <v>76</v>
      </c>
      <c r="E43">
        <v>2.96</v>
      </c>
      <c r="F43">
        <v>361.12</v>
      </c>
      <c r="G43">
        <v>2</v>
      </c>
      <c r="H43">
        <v>244</v>
      </c>
      <c r="I43">
        <v>0.71</v>
      </c>
      <c r="J43">
        <v>86.62</v>
      </c>
      <c r="K43">
        <f>Table50[[#This Row],[OpeningQty]]+Table50[[#This Row],[PurchasesQty]]-Table50[[#This Row],[ClosingQty]]</f>
        <v>4.25</v>
      </c>
      <c r="L43">
        <v>518.5</v>
      </c>
      <c r="M43" s="14">
        <f>Table50[[#This Row],[Usage]]/$L$1</f>
        <v>7.8749748638700095E-4</v>
      </c>
      <c r="N43" s="15">
        <f>IFERROR(Table50[[#This Row],[Opening]]/Table50[[#This Row],[OpeningQty]],0)</f>
        <v>122</v>
      </c>
      <c r="O43" s="15">
        <f>IFERROR(Table50[[#This Row],[Purchases]]/Table50[[#This Row],[PurchasesQty]],0)</f>
        <v>122</v>
      </c>
      <c r="P43" s="15">
        <f>IFERROR(Table50[[#This Row],[Closing]]/Table50[[#This Row],[ClosingQty]],0)</f>
        <v>122.00000000000001</v>
      </c>
      <c r="Q43" s="15">
        <f>IFERROR(AVERAGEIF(Table50[[#This Row],[OPENING COST PRICE]:[CLOSING COST PRICE]],"&gt;0"),0)</f>
        <v>122</v>
      </c>
      <c r="R43" s="15">
        <f>IFERROR(Table50[[#This Row],[COST PRICE]]-IFERROR(Table50[[#This Row],[Usage]]/Table50[[#This Row],[UsageQty]],Table50[[#This Row],[COST PRICE]]),0)</f>
        <v>0</v>
      </c>
      <c r="S43" s="16">
        <f>IFERROR(Table50[[#This Row],[COST PRICE CHANGE]]/Table50[[#This Row],[OPENING COST PRICE]],0)</f>
        <v>0</v>
      </c>
      <c r="T43" s="15">
        <f>Table50[[#This Row],[ClosingQty]]-(Table50[[#This Row],[USAGE / DAY]]*(IF(Table50[[#This Row],[ccnt]]="BEV",Table50[[#This Row],[DELIVERY DAY]],Table50[[#This Row],[DELIVERY DAY]])))</f>
        <v>-0.21999999999999997</v>
      </c>
      <c r="U43" s="15">
        <f>ROUNDUP(Table50[[#This Row],[UsageQty]]/Table50[[#This Row],[DATA POINT]],2)</f>
        <v>0.31</v>
      </c>
      <c r="V4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43" s="15">
        <f>IFERROR(Table50[[#This Row],[ORDER QTY]]*Table50[[#This Row],[COST PRICE]],0)</f>
        <v>488</v>
      </c>
      <c r="X43" s="15">
        <f>IFERROR(VLOOKUP(C43,[1]!Table49[[#All],[name]:[USAGE / DAY]],19,FALSE),1)</f>
        <v>0.31</v>
      </c>
      <c r="Y43" s="4">
        <f>IFERROR((Table50[[#This Row],[USAGE / DAY]]-Table50[[#This Row],[USAGE / DAY 2]])/Table50[[#This Row],[USAGE / DAY 2]],0)</f>
        <v>0</v>
      </c>
      <c r="Z43" s="15">
        <f t="shared" si="0"/>
        <v>14</v>
      </c>
      <c r="AA43" s="15">
        <f t="shared" si="1"/>
        <v>9.311854181734148</v>
      </c>
      <c r="AB43" s="15">
        <f>IFERROR(IF(Table50[[#This Row],[ccnt]]="BEV",$AB$2,IF(Table50[[#This Row],[ccnt]]="FOOD",$AC$2,"ENTER # FROM LAST COUNT")),"ENTER # FROM LAST COUNT")</f>
        <v>3</v>
      </c>
      <c r="AC43" s="15">
        <f>(Table50[[#This Row],[OpeningQty]]+Table50[[#This Row],[ClosingQty]])/2</f>
        <v>1.835</v>
      </c>
      <c r="AD43" s="15">
        <f>IFERROR(Table50[[#This Row],[UsageQty]]/Table50[[#This Row],[AVE INVENTORY]],0)</f>
        <v>2.3160762942779294</v>
      </c>
      <c r="AE43" s="15">
        <f>IFERROR(Table50[[#This Row],[DATA POINT]]/Table50[[#This Row],[Inventory Turnover Rate]],0)</f>
        <v>6.0447058823529405</v>
      </c>
      <c r="AF43" s="15">
        <f>Table50[[#This Row],[ClosingQty]]/Table50[[#This Row],[USAGE / DAY]]</f>
        <v>2.290322580645161</v>
      </c>
      <c r="AG43" s="15">
        <f>Table50[[#This Row],[USAGE / DAY]]*7</f>
        <v>2.17</v>
      </c>
      <c r="AH43" s="15">
        <f>Table50[[#This Row],[USAGE / DAY]]*3</f>
        <v>0.92999999999999994</v>
      </c>
      <c r="AI43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2.3899999999999997</v>
      </c>
      <c r="AJ43" s="15">
        <f>IFERROR(Table50[[#This Row],[ORDER QTY2]]*Table50[[#This Row],[COST PRICE]],0)</f>
        <v>291.58</v>
      </c>
      <c r="AK43" s="15">
        <f>(Table50[[#This Row],[REORDER POINT]]*Table50[[#This Row],[COST PRICE]])+Table50[[#This Row],[ORDER COST]]</f>
        <v>461.16</v>
      </c>
      <c r="AL43" s="15">
        <f t="shared" si="2"/>
        <v>100</v>
      </c>
      <c r="AM43" s="15">
        <f>IFERROR((Table50[[#This Row],[REORDER POINT]]+Table50[[#This Row],[ORDER QTY]])/(Table50[[#This Row],[USAGE / DAY]]*Table50[[#This Row],[DEMAND %]]),Table50[[#This Row],[REORDER POINT]]/Table50[[#This Row],[USAGE / DAY]])</f>
        <v>0.12193548387096775</v>
      </c>
    </row>
    <row r="44" spans="1:39" x14ac:dyDescent="0.25">
      <c r="A44" t="s">
        <v>50</v>
      </c>
      <c r="B44" t="s">
        <v>74</v>
      </c>
      <c r="C44" t="s">
        <v>100</v>
      </c>
      <c r="D44" t="s">
        <v>53</v>
      </c>
      <c r="E44">
        <v>21</v>
      </c>
      <c r="F44">
        <v>159.81</v>
      </c>
      <c r="G44">
        <v>0</v>
      </c>
      <c r="H44">
        <v>0</v>
      </c>
      <c r="I44">
        <v>12</v>
      </c>
      <c r="J44">
        <v>91.32</v>
      </c>
      <c r="K44">
        <f>Table50[[#This Row],[OpeningQty]]+Table50[[#This Row],[PurchasesQty]]-Table50[[#This Row],[ClosingQty]]</f>
        <v>9</v>
      </c>
      <c r="L44">
        <v>68.489999999999995</v>
      </c>
      <c r="M44" s="14">
        <f>Table50[[#This Row],[Usage]]/$L$1</f>
        <v>1.0402257057405148E-4</v>
      </c>
      <c r="N44" s="15">
        <f>IFERROR(Table50[[#This Row],[Opening]]/Table50[[#This Row],[OpeningQty]],0)</f>
        <v>7.61</v>
      </c>
      <c r="O44" s="15">
        <f>IFERROR(Table50[[#This Row],[Purchases]]/Table50[[#This Row],[PurchasesQty]],0)</f>
        <v>0</v>
      </c>
      <c r="P44" s="15">
        <f>IFERROR(Table50[[#This Row],[Closing]]/Table50[[#This Row],[ClosingQty]],0)</f>
        <v>7.6099999999999994</v>
      </c>
      <c r="Q44" s="15">
        <f>IFERROR(AVERAGEIF(Table50[[#This Row],[OPENING COST PRICE]:[CLOSING COST PRICE]],"&gt;0"),0)</f>
        <v>7.6099999999999994</v>
      </c>
      <c r="R44" s="15">
        <f>IFERROR(Table50[[#This Row],[COST PRICE]]-IFERROR(Table50[[#This Row],[Usage]]/Table50[[#This Row],[UsageQty]],Table50[[#This Row],[COST PRICE]]),0)</f>
        <v>0</v>
      </c>
      <c r="S44" s="16">
        <f>IFERROR(Table50[[#This Row],[COST PRICE CHANGE]]/Table50[[#This Row],[OPENING COST PRICE]],0)</f>
        <v>0</v>
      </c>
      <c r="T44" s="15">
        <f>Table50[[#This Row],[ClosingQty]]-(Table50[[#This Row],[USAGE / DAY]]*(IF(Table50[[#This Row],[ccnt]]="BEV",Table50[[#This Row],[DELIVERY DAY]],Table50[[#This Row],[DELIVERY DAY]])))</f>
        <v>10.050000000000001</v>
      </c>
      <c r="U44" s="15">
        <f>ROUNDUP(Table50[[#This Row],[UsageQty]]/Table50[[#This Row],[DATA POINT]],2)</f>
        <v>0.65</v>
      </c>
      <c r="V4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4" s="15">
        <f>IFERROR(Table50[[#This Row],[ORDER QTY]]*Table50[[#This Row],[COST PRICE]],0)</f>
        <v>0</v>
      </c>
      <c r="X44" s="15">
        <f>IFERROR(VLOOKUP(C44,[1]!Table49[[#All],[name]:[USAGE / DAY]],19,FALSE),1)</f>
        <v>0.8</v>
      </c>
      <c r="Y44" s="4">
        <f>IFERROR((Table50[[#This Row],[USAGE / DAY]]-Table50[[#This Row],[USAGE / DAY 2]])/Table50[[#This Row],[USAGE / DAY 2]],0)</f>
        <v>-0.18750000000000003</v>
      </c>
      <c r="Z44" s="15">
        <f t="shared" si="0"/>
        <v>14</v>
      </c>
      <c r="AA44" s="15">
        <f t="shared" si="1"/>
        <v>9.311854181734148</v>
      </c>
      <c r="AB44" s="15">
        <f>IFERROR(IF(Table50[[#This Row],[ccnt]]="BEV",$AB$2,IF(Table50[[#This Row],[ccnt]]="FOOD",$AC$2,"ENTER # FROM LAST COUNT")),"ENTER # FROM LAST COUNT")</f>
        <v>3</v>
      </c>
      <c r="AC44" s="15">
        <f>(Table50[[#This Row],[OpeningQty]]+Table50[[#This Row],[ClosingQty]])/2</f>
        <v>16.5</v>
      </c>
      <c r="AD44" s="15">
        <f>IFERROR(Table50[[#This Row],[UsageQty]]/Table50[[#This Row],[AVE INVENTORY]],0)</f>
        <v>0.54545454545454541</v>
      </c>
      <c r="AE44" s="15">
        <f>IFERROR(Table50[[#This Row],[DATA POINT]]/Table50[[#This Row],[Inventory Turnover Rate]],0)</f>
        <v>25.666666666666668</v>
      </c>
      <c r="AF44" s="15">
        <f>Table50[[#This Row],[ClosingQty]]/Table50[[#This Row],[USAGE / DAY]]</f>
        <v>18.46153846153846</v>
      </c>
      <c r="AG44" s="15">
        <f>Table50[[#This Row],[USAGE / DAY]]*7</f>
        <v>4.55</v>
      </c>
      <c r="AH44" s="15">
        <f>Table50[[#This Row],[USAGE / DAY]]*3</f>
        <v>1.9500000000000002</v>
      </c>
      <c r="AI4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4" s="15">
        <f>IFERROR(Table50[[#This Row],[ORDER QTY2]]*Table50[[#This Row],[COST PRICE]],0)</f>
        <v>0</v>
      </c>
      <c r="AK44" s="15">
        <f>(Table50[[#This Row],[REORDER POINT]]*Table50[[#This Row],[COST PRICE]])+Table50[[#This Row],[ORDER COST]]</f>
        <v>76.480500000000006</v>
      </c>
      <c r="AL44" s="15">
        <f t="shared" si="2"/>
        <v>100</v>
      </c>
      <c r="AM44" s="15">
        <f>IFERROR((Table50[[#This Row],[REORDER POINT]]+Table50[[#This Row],[ORDER QTY]])/(Table50[[#This Row],[USAGE / DAY]]*Table50[[#This Row],[DEMAND %]]),Table50[[#This Row],[REORDER POINT]]/Table50[[#This Row],[USAGE / DAY]])</f>
        <v>15.461538461538462</v>
      </c>
    </row>
    <row r="45" spans="1:39" x14ac:dyDescent="0.25">
      <c r="A45" t="s">
        <v>50</v>
      </c>
      <c r="B45" t="s">
        <v>74</v>
      </c>
      <c r="C45" t="s">
        <v>101</v>
      </c>
      <c r="D45" t="s">
        <v>53</v>
      </c>
      <c r="E45">
        <v>3</v>
      </c>
      <c r="F45">
        <v>19.68</v>
      </c>
      <c r="G45">
        <v>24</v>
      </c>
      <c r="H45">
        <v>156.71</v>
      </c>
      <c r="I45">
        <v>24</v>
      </c>
      <c r="J45">
        <v>157.44</v>
      </c>
      <c r="K45">
        <f>Table50[[#This Row],[OpeningQty]]+Table50[[#This Row],[PurchasesQty]]-Table50[[#This Row],[ClosingQty]]</f>
        <v>3</v>
      </c>
      <c r="L45">
        <v>18.95</v>
      </c>
      <c r="M45" s="14">
        <f>Table50[[#This Row],[Usage]]/$L$1</f>
        <v>2.8781248538155579E-5</v>
      </c>
      <c r="N45" s="15">
        <f>IFERROR(Table50[[#This Row],[Opening]]/Table50[[#This Row],[OpeningQty]],0)</f>
        <v>6.56</v>
      </c>
      <c r="O45" s="15">
        <f>IFERROR(Table50[[#This Row],[Purchases]]/Table50[[#This Row],[PurchasesQty]],0)</f>
        <v>6.529583333333334</v>
      </c>
      <c r="P45" s="15">
        <f>IFERROR(Table50[[#This Row],[Closing]]/Table50[[#This Row],[ClosingQty]],0)</f>
        <v>6.56</v>
      </c>
      <c r="Q45" s="15">
        <f>IFERROR(AVERAGEIF(Table50[[#This Row],[OPENING COST PRICE]:[CLOSING COST PRICE]],"&gt;0"),0)</f>
        <v>6.5498611111111105</v>
      </c>
      <c r="R45" s="15">
        <f>IFERROR(Table50[[#This Row],[COST PRICE]]-IFERROR(Table50[[#This Row],[Usage]]/Table50[[#This Row],[UsageQty]],Table50[[#This Row],[COST PRICE]]),0)</f>
        <v>0.23319444444444404</v>
      </c>
      <c r="S45" s="16">
        <f>IFERROR(Table50[[#This Row],[COST PRICE CHANGE]]/Table50[[#This Row],[OPENING COST PRICE]],0)</f>
        <v>3.5547933604335981E-2</v>
      </c>
      <c r="T45" s="15">
        <f>Table50[[#This Row],[ClosingQty]]-(Table50[[#This Row],[USAGE / DAY]]*(IF(Table50[[#This Row],[ccnt]]="BEV",Table50[[#This Row],[DELIVERY DAY]],Table50[[#This Row],[DELIVERY DAY]])))</f>
        <v>23.34</v>
      </c>
      <c r="U45" s="15">
        <f>ROUNDUP(Table50[[#This Row],[UsageQty]]/Table50[[#This Row],[DATA POINT]],2)</f>
        <v>0.22</v>
      </c>
      <c r="V4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5" s="15">
        <f>IFERROR(Table50[[#This Row],[ORDER QTY]]*Table50[[#This Row],[COST PRICE]],0)</f>
        <v>0</v>
      </c>
      <c r="X45" s="15">
        <f>IFERROR(VLOOKUP(C45,[1]!Table49[[#All],[name]:[USAGE / DAY]],19,FALSE),1)</f>
        <v>0.4</v>
      </c>
      <c r="Y45" s="4">
        <f>IFERROR((Table50[[#This Row],[USAGE / DAY]]-Table50[[#This Row],[USAGE / DAY 2]])/Table50[[#This Row],[USAGE / DAY 2]],0)</f>
        <v>-0.45</v>
      </c>
      <c r="Z45" s="15">
        <f t="shared" si="0"/>
        <v>14</v>
      </c>
      <c r="AA45" s="15">
        <f t="shared" si="1"/>
        <v>9.311854181734148</v>
      </c>
      <c r="AB45" s="15">
        <f>IFERROR(IF(Table50[[#This Row],[ccnt]]="BEV",$AB$2,IF(Table50[[#This Row],[ccnt]]="FOOD",$AC$2,"ENTER # FROM LAST COUNT")),"ENTER # FROM LAST COUNT")</f>
        <v>3</v>
      </c>
      <c r="AC45" s="15">
        <f>(Table50[[#This Row],[OpeningQty]]+Table50[[#This Row],[ClosingQty]])/2</f>
        <v>13.5</v>
      </c>
      <c r="AD45" s="15">
        <f>IFERROR(Table50[[#This Row],[UsageQty]]/Table50[[#This Row],[AVE INVENTORY]],0)</f>
        <v>0.22222222222222221</v>
      </c>
      <c r="AE45" s="15">
        <f>IFERROR(Table50[[#This Row],[DATA POINT]]/Table50[[#This Row],[Inventory Turnover Rate]],0)</f>
        <v>63</v>
      </c>
      <c r="AF45" s="15">
        <f>Table50[[#This Row],[ClosingQty]]/Table50[[#This Row],[USAGE / DAY]]</f>
        <v>109.09090909090909</v>
      </c>
      <c r="AG45" s="15">
        <f>Table50[[#This Row],[USAGE / DAY]]*7</f>
        <v>1.54</v>
      </c>
      <c r="AH45" s="15">
        <f>Table50[[#This Row],[USAGE / DAY]]*3</f>
        <v>0.66</v>
      </c>
      <c r="AI4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5" s="15">
        <f>IFERROR(Table50[[#This Row],[ORDER QTY2]]*Table50[[#This Row],[COST PRICE]],0)</f>
        <v>0</v>
      </c>
      <c r="AK45" s="15">
        <f>(Table50[[#This Row],[REORDER POINT]]*Table50[[#This Row],[COST PRICE]])+Table50[[#This Row],[ORDER COST]]</f>
        <v>152.87375833333331</v>
      </c>
      <c r="AL45" s="15">
        <f t="shared" si="2"/>
        <v>100</v>
      </c>
      <c r="AM45" s="15">
        <f>IFERROR((Table50[[#This Row],[REORDER POINT]]+Table50[[#This Row],[ORDER QTY]])/(Table50[[#This Row],[USAGE / DAY]]*Table50[[#This Row],[DEMAND %]]),Table50[[#This Row],[REORDER POINT]]/Table50[[#This Row],[USAGE / DAY]])</f>
        <v>106.09090909090909</v>
      </c>
    </row>
    <row r="46" spans="1:39" x14ac:dyDescent="0.25">
      <c r="A46" t="s">
        <v>50</v>
      </c>
      <c r="B46" t="s">
        <v>74</v>
      </c>
      <c r="C46" t="s">
        <v>102</v>
      </c>
      <c r="D46" t="s">
        <v>53</v>
      </c>
      <c r="E46">
        <v>24</v>
      </c>
      <c r="F46">
        <v>157.44</v>
      </c>
      <c r="G46">
        <v>0</v>
      </c>
      <c r="H46">
        <v>0</v>
      </c>
      <c r="I46">
        <v>24</v>
      </c>
      <c r="J46">
        <v>157.44</v>
      </c>
      <c r="K46">
        <f>Table50[[#This Row],[OpeningQty]]+Table50[[#This Row],[PurchasesQty]]-Table50[[#This Row],[ClosingQty]]</f>
        <v>0</v>
      </c>
      <c r="L46">
        <v>0</v>
      </c>
      <c r="M46" s="14">
        <f>Table50[[#This Row],[Usage]]/$L$1</f>
        <v>0</v>
      </c>
      <c r="N46" s="15">
        <f>IFERROR(Table50[[#This Row],[Opening]]/Table50[[#This Row],[OpeningQty]],0)</f>
        <v>6.56</v>
      </c>
      <c r="O46" s="15">
        <f>IFERROR(Table50[[#This Row],[Purchases]]/Table50[[#This Row],[PurchasesQty]],0)</f>
        <v>0</v>
      </c>
      <c r="P46" s="15">
        <f>IFERROR(Table50[[#This Row],[Closing]]/Table50[[#This Row],[ClosingQty]],0)</f>
        <v>6.56</v>
      </c>
      <c r="Q46" s="15">
        <f>IFERROR(AVERAGEIF(Table50[[#This Row],[OPENING COST PRICE]:[CLOSING COST PRICE]],"&gt;0"),0)</f>
        <v>6.56</v>
      </c>
      <c r="R46" s="15">
        <f>IFERROR(Table50[[#This Row],[COST PRICE]]-IFERROR(Table50[[#This Row],[Usage]]/Table50[[#This Row],[UsageQty]],Table50[[#This Row],[COST PRICE]]),0)</f>
        <v>0</v>
      </c>
      <c r="S46" s="16">
        <f>IFERROR(Table50[[#This Row],[COST PRICE CHANGE]]/Table50[[#This Row],[OPENING COST PRICE]],0)</f>
        <v>0</v>
      </c>
      <c r="T46" s="15">
        <f>Table50[[#This Row],[ClosingQty]]-(Table50[[#This Row],[USAGE / DAY]]*(IF(Table50[[#This Row],[ccnt]]="BEV",Table50[[#This Row],[DELIVERY DAY]],Table50[[#This Row],[DELIVERY DAY]])))</f>
        <v>24</v>
      </c>
      <c r="U46" s="15">
        <f>ROUNDUP(Table50[[#This Row],[UsageQty]]/Table50[[#This Row],[DATA POINT]],2)</f>
        <v>0</v>
      </c>
      <c r="V4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6" s="15">
        <f>IFERROR(Table50[[#This Row],[ORDER QTY]]*Table50[[#This Row],[COST PRICE]],0)</f>
        <v>0</v>
      </c>
      <c r="X46" s="15">
        <f>IFERROR(VLOOKUP(C46,[1]!Table49[[#All],[name]:[USAGE / DAY]],19,FALSE),1)</f>
        <v>0</v>
      </c>
      <c r="Y46" s="4">
        <f>IFERROR((Table50[[#This Row],[USAGE / DAY]]-Table50[[#This Row],[USAGE / DAY 2]])/Table50[[#This Row],[USAGE / DAY 2]],0)</f>
        <v>0</v>
      </c>
      <c r="Z46" s="15">
        <f t="shared" si="0"/>
        <v>14</v>
      </c>
      <c r="AA46" s="15">
        <f t="shared" si="1"/>
        <v>9.311854181734148</v>
      </c>
      <c r="AB46" s="15">
        <f>IFERROR(IF(Table50[[#This Row],[ccnt]]="BEV",$AB$2,IF(Table50[[#This Row],[ccnt]]="FOOD",$AC$2,"ENTER # FROM LAST COUNT")),"ENTER # FROM LAST COUNT")</f>
        <v>3</v>
      </c>
      <c r="AC46" s="15">
        <f>(Table50[[#This Row],[OpeningQty]]+Table50[[#This Row],[ClosingQty]])/2</f>
        <v>24</v>
      </c>
      <c r="AD46" s="15">
        <f>IFERROR(Table50[[#This Row],[UsageQty]]/Table50[[#This Row],[AVE INVENTORY]],0)</f>
        <v>0</v>
      </c>
      <c r="AE46" s="15">
        <f>IFERROR(Table50[[#This Row],[DATA POINT]]/Table50[[#This Row],[Inventory Turnover Rate]],0)</f>
        <v>0</v>
      </c>
      <c r="AF46" s="15" t="e">
        <f>Table50[[#This Row],[ClosingQty]]/Table50[[#This Row],[USAGE / DAY]]</f>
        <v>#DIV/0!</v>
      </c>
      <c r="AG46" s="15">
        <f>Table50[[#This Row],[USAGE / DAY]]*7</f>
        <v>0</v>
      </c>
      <c r="AH46" s="15">
        <f>Table50[[#This Row],[USAGE / DAY]]*3</f>
        <v>0</v>
      </c>
      <c r="AI4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6" s="15">
        <f>IFERROR(Table50[[#This Row],[ORDER QTY2]]*Table50[[#This Row],[COST PRICE]],0)</f>
        <v>0</v>
      </c>
      <c r="AK46" s="15">
        <f>(Table50[[#This Row],[REORDER POINT]]*Table50[[#This Row],[COST PRICE]])+Table50[[#This Row],[ORDER COST]]</f>
        <v>157.44</v>
      </c>
      <c r="AL46" s="15">
        <f t="shared" si="2"/>
        <v>100</v>
      </c>
      <c r="AM46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47" spans="1:39" x14ac:dyDescent="0.25">
      <c r="A47" t="s">
        <v>50</v>
      </c>
      <c r="B47" t="s">
        <v>74</v>
      </c>
      <c r="C47" t="s">
        <v>103</v>
      </c>
      <c r="D47" t="s">
        <v>53</v>
      </c>
      <c r="E47">
        <v>56</v>
      </c>
      <c r="F47">
        <v>426.16</v>
      </c>
      <c r="G47">
        <v>264</v>
      </c>
      <c r="H47">
        <v>2007.83</v>
      </c>
      <c r="I47">
        <v>97</v>
      </c>
      <c r="J47">
        <v>738.17</v>
      </c>
      <c r="K47">
        <f>Table50[[#This Row],[OpeningQty]]+Table50[[#This Row],[PurchasesQty]]-Table50[[#This Row],[ClosingQty]]</f>
        <v>223</v>
      </c>
      <c r="L47">
        <v>1695.82</v>
      </c>
      <c r="M47" s="14">
        <f>Table50[[#This Row],[Usage]]/$L$1</f>
        <v>2.5756103902889178E-3</v>
      </c>
      <c r="N47" s="15">
        <f>IFERROR(Table50[[#This Row],[Opening]]/Table50[[#This Row],[OpeningQty]],0)</f>
        <v>7.61</v>
      </c>
      <c r="O47" s="15">
        <f>IFERROR(Table50[[#This Row],[Purchases]]/Table50[[#This Row],[PurchasesQty]],0)</f>
        <v>7.6054166666666667</v>
      </c>
      <c r="P47" s="15">
        <f>IFERROR(Table50[[#This Row],[Closing]]/Table50[[#This Row],[ClosingQty]],0)</f>
        <v>7.6099999999999994</v>
      </c>
      <c r="Q47" s="15">
        <f>IFERROR(AVERAGEIF(Table50[[#This Row],[OPENING COST PRICE]:[CLOSING COST PRICE]],"&gt;0"),0)</f>
        <v>7.6084722222222219</v>
      </c>
      <c r="R47" s="15">
        <f>IFERROR(Table50[[#This Row],[COST PRICE]]-IFERROR(Table50[[#This Row],[Usage]]/Table50[[#This Row],[UsageQty]],Table50[[#This Row],[COST PRICE]]),0)</f>
        <v>3.8982311908322131E-3</v>
      </c>
      <c r="S47" s="16">
        <f>IFERROR(Table50[[#This Row],[COST PRICE CHANGE]]/Table50[[#This Row],[OPENING COST PRICE]],0)</f>
        <v>5.1225114202788611E-4</v>
      </c>
      <c r="T47" s="15">
        <f>Table50[[#This Row],[ClosingQty]]-(Table50[[#This Row],[USAGE / DAY]]*(IF(Table50[[#This Row],[ccnt]]="BEV",Table50[[#This Row],[DELIVERY DAY]],Table50[[#This Row],[DELIVERY DAY]])))</f>
        <v>49.21</v>
      </c>
      <c r="U47" s="15">
        <f>ROUNDUP(Table50[[#This Row],[UsageQty]]/Table50[[#This Row],[DATA POINT]],2)</f>
        <v>15.93</v>
      </c>
      <c r="V4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100</v>
      </c>
      <c r="W47" s="15">
        <f>IFERROR(Table50[[#This Row],[ORDER QTY]]*Table50[[#This Row],[COST PRICE]],0)</f>
        <v>760.84722222222217</v>
      </c>
      <c r="X47" s="15">
        <f>IFERROR(VLOOKUP(C47,[1]!Table49[[#All],[name]:[USAGE / DAY]],19,FALSE),1)</f>
        <v>19.470000000000002</v>
      </c>
      <c r="Y47" s="4">
        <f>IFERROR((Table50[[#This Row],[USAGE / DAY]]-Table50[[#This Row],[USAGE / DAY 2]])/Table50[[#This Row],[USAGE / DAY 2]],0)</f>
        <v>-0.18181818181818193</v>
      </c>
      <c r="Z47" s="15">
        <f t="shared" si="0"/>
        <v>14</v>
      </c>
      <c r="AA47" s="15">
        <f t="shared" si="1"/>
        <v>9.311854181734148</v>
      </c>
      <c r="AB47" s="15">
        <f>IFERROR(IF(Table50[[#This Row],[ccnt]]="BEV",$AB$2,IF(Table50[[#This Row],[ccnt]]="FOOD",$AC$2,"ENTER # FROM LAST COUNT")),"ENTER # FROM LAST COUNT")</f>
        <v>3</v>
      </c>
      <c r="AC47" s="15">
        <f>(Table50[[#This Row],[OpeningQty]]+Table50[[#This Row],[ClosingQty]])/2</f>
        <v>76.5</v>
      </c>
      <c r="AD47" s="15">
        <f>IFERROR(Table50[[#This Row],[UsageQty]]/Table50[[#This Row],[AVE INVENTORY]],0)</f>
        <v>2.9150326797385619</v>
      </c>
      <c r="AE47" s="15">
        <f>IFERROR(Table50[[#This Row],[DATA POINT]]/Table50[[#This Row],[Inventory Turnover Rate]],0)</f>
        <v>4.8026905829596416</v>
      </c>
      <c r="AF47" s="15">
        <f>Table50[[#This Row],[ClosingQty]]/Table50[[#This Row],[USAGE / DAY]]</f>
        <v>6.0891399874450727</v>
      </c>
      <c r="AG47" s="15">
        <f>Table50[[#This Row],[USAGE / DAY]]*7</f>
        <v>111.50999999999999</v>
      </c>
      <c r="AH47" s="15">
        <f>Table50[[#This Row],[USAGE / DAY]]*3</f>
        <v>47.79</v>
      </c>
      <c r="AI47" s="15">
        <f>IF(Table50[[#This Row],[FORECASTED DEMAND]]+Table50[[#This Row],[SAFETY STOCK]]-Table50[[#This Row],[ClosingQty]]&gt;0,Table50[[#This Row],[FORECASTED DEMAND]]+Table50[[#This Row],[SAFETY STOCK]]-Table50[[#This Row],[ClosingQty]],"NO ORDER")</f>
        <v>62.299999999999983</v>
      </c>
      <c r="AJ47" s="15">
        <f>IFERROR(Table50[[#This Row],[ORDER QTY2]]*Table50[[#This Row],[COST PRICE]],0)</f>
        <v>474.00781944444429</v>
      </c>
      <c r="AK47" s="15">
        <f>(Table50[[#This Row],[REORDER POINT]]*Table50[[#This Row],[COST PRICE]])+Table50[[#This Row],[ORDER COST]]</f>
        <v>1135.2601402777777</v>
      </c>
      <c r="AL47" s="15">
        <f t="shared" si="2"/>
        <v>100</v>
      </c>
      <c r="AM47" s="15">
        <f>IFERROR((Table50[[#This Row],[REORDER POINT]]+Table50[[#This Row],[ORDER QTY]])/(Table50[[#This Row],[USAGE / DAY]]*Table50[[#This Row],[DEMAND %]]),Table50[[#This Row],[REORDER POINT]]/Table50[[#This Row],[USAGE / DAY]])</f>
        <v>9.3666038920276209E-2</v>
      </c>
    </row>
    <row r="48" spans="1:39" x14ac:dyDescent="0.25">
      <c r="A48" t="s">
        <v>50</v>
      </c>
      <c r="B48" t="s">
        <v>74</v>
      </c>
      <c r="C48" t="s">
        <v>104</v>
      </c>
      <c r="D48" t="s">
        <v>53</v>
      </c>
      <c r="E48">
        <v>18</v>
      </c>
      <c r="F48">
        <v>244.26</v>
      </c>
      <c r="G48">
        <v>0</v>
      </c>
      <c r="H48">
        <v>0</v>
      </c>
      <c r="I48">
        <v>15</v>
      </c>
      <c r="J48">
        <v>203.55</v>
      </c>
      <c r="K48">
        <f>Table50[[#This Row],[OpeningQty]]+Table50[[#This Row],[PurchasesQty]]-Table50[[#This Row],[ClosingQty]]</f>
        <v>3</v>
      </c>
      <c r="L48">
        <v>40.71</v>
      </c>
      <c r="M48" s="14">
        <f>Table50[[#This Row],[Usage]]/$L$1</f>
        <v>6.1830323376692011E-5</v>
      </c>
      <c r="N48" s="15">
        <f>IFERROR(Table50[[#This Row],[Opening]]/Table50[[#This Row],[OpeningQty]],0)</f>
        <v>13.57</v>
      </c>
      <c r="O48" s="15">
        <f>IFERROR(Table50[[#This Row],[Purchases]]/Table50[[#This Row],[PurchasesQty]],0)</f>
        <v>0</v>
      </c>
      <c r="P48" s="15">
        <f>IFERROR(Table50[[#This Row],[Closing]]/Table50[[#This Row],[ClosingQty]],0)</f>
        <v>13.57</v>
      </c>
      <c r="Q48" s="15">
        <f>IFERROR(AVERAGEIF(Table50[[#This Row],[OPENING COST PRICE]:[CLOSING COST PRICE]],"&gt;0"),0)</f>
        <v>13.57</v>
      </c>
      <c r="R48" s="15">
        <f>IFERROR(Table50[[#This Row],[COST PRICE]]-IFERROR(Table50[[#This Row],[Usage]]/Table50[[#This Row],[UsageQty]],Table50[[#This Row],[COST PRICE]]),0)</f>
        <v>0</v>
      </c>
      <c r="S48" s="16">
        <f>IFERROR(Table50[[#This Row],[COST PRICE CHANGE]]/Table50[[#This Row],[OPENING COST PRICE]],0)</f>
        <v>0</v>
      </c>
      <c r="T48" s="15">
        <f>Table50[[#This Row],[ClosingQty]]-(Table50[[#This Row],[USAGE / DAY]]*(IF(Table50[[#This Row],[ccnt]]="BEV",Table50[[#This Row],[DELIVERY DAY]],Table50[[#This Row],[DELIVERY DAY]])))</f>
        <v>14.34</v>
      </c>
      <c r="U48" s="15">
        <f>ROUNDUP(Table50[[#This Row],[UsageQty]]/Table50[[#This Row],[DATA POINT]],2)</f>
        <v>0.22</v>
      </c>
      <c r="V4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8" s="15">
        <f>IFERROR(Table50[[#This Row],[ORDER QTY]]*Table50[[#This Row],[COST PRICE]],0)</f>
        <v>0</v>
      </c>
      <c r="X48" s="15">
        <f>IFERROR(VLOOKUP(C48,[1]!Table49[[#All],[name]:[USAGE / DAY]],19,FALSE),1)</f>
        <v>0.67</v>
      </c>
      <c r="Y48" s="4">
        <f>IFERROR((Table50[[#This Row],[USAGE / DAY]]-Table50[[#This Row],[USAGE / DAY 2]])/Table50[[#This Row],[USAGE / DAY 2]],0)</f>
        <v>-0.67164179104477617</v>
      </c>
      <c r="Z48" s="15">
        <f t="shared" si="0"/>
        <v>14</v>
      </c>
      <c r="AA48" s="15">
        <f t="shared" si="1"/>
        <v>9.311854181734148</v>
      </c>
      <c r="AB48" s="15">
        <f>IFERROR(IF(Table50[[#This Row],[ccnt]]="BEV",$AB$2,IF(Table50[[#This Row],[ccnt]]="FOOD",$AC$2,"ENTER # FROM LAST COUNT")),"ENTER # FROM LAST COUNT")</f>
        <v>3</v>
      </c>
      <c r="AC48" s="15">
        <f>(Table50[[#This Row],[OpeningQty]]+Table50[[#This Row],[ClosingQty]])/2</f>
        <v>16.5</v>
      </c>
      <c r="AD48" s="15">
        <f>IFERROR(Table50[[#This Row],[UsageQty]]/Table50[[#This Row],[AVE INVENTORY]],0)</f>
        <v>0.18181818181818182</v>
      </c>
      <c r="AE48" s="15">
        <f>IFERROR(Table50[[#This Row],[DATA POINT]]/Table50[[#This Row],[Inventory Turnover Rate]],0)</f>
        <v>77</v>
      </c>
      <c r="AF48" s="15">
        <f>Table50[[#This Row],[ClosingQty]]/Table50[[#This Row],[USAGE / DAY]]</f>
        <v>68.181818181818187</v>
      </c>
      <c r="AG48" s="15">
        <f>Table50[[#This Row],[USAGE / DAY]]*7</f>
        <v>1.54</v>
      </c>
      <c r="AH48" s="15">
        <f>Table50[[#This Row],[USAGE / DAY]]*3</f>
        <v>0.66</v>
      </c>
      <c r="AI4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8" s="15">
        <f>IFERROR(Table50[[#This Row],[ORDER QTY2]]*Table50[[#This Row],[COST PRICE]],0)</f>
        <v>0</v>
      </c>
      <c r="AK48" s="15">
        <f>(Table50[[#This Row],[REORDER POINT]]*Table50[[#This Row],[COST PRICE]])+Table50[[#This Row],[ORDER COST]]</f>
        <v>194.59380000000002</v>
      </c>
      <c r="AL48" s="15">
        <f t="shared" si="2"/>
        <v>100</v>
      </c>
      <c r="AM48" s="15">
        <f>IFERROR((Table50[[#This Row],[REORDER POINT]]+Table50[[#This Row],[ORDER QTY]])/(Table50[[#This Row],[USAGE / DAY]]*Table50[[#This Row],[DEMAND %]]),Table50[[#This Row],[REORDER POINT]]/Table50[[#This Row],[USAGE / DAY]])</f>
        <v>65.181818181818187</v>
      </c>
    </row>
    <row r="49" spans="1:39" x14ac:dyDescent="0.25">
      <c r="A49" t="s">
        <v>50</v>
      </c>
      <c r="B49" t="s">
        <v>74</v>
      </c>
      <c r="C49" t="s">
        <v>105</v>
      </c>
      <c r="D49" t="s">
        <v>53</v>
      </c>
      <c r="E49">
        <v>51</v>
      </c>
      <c r="F49">
        <v>388.11</v>
      </c>
      <c r="G49">
        <v>24</v>
      </c>
      <c r="H49">
        <v>182.53</v>
      </c>
      <c r="I49">
        <v>35</v>
      </c>
      <c r="J49">
        <v>266.35000000000002</v>
      </c>
      <c r="K49">
        <f>Table50[[#This Row],[OpeningQty]]+Table50[[#This Row],[PurchasesQty]]-Table50[[#This Row],[ClosingQty]]</f>
        <v>40</v>
      </c>
      <c r="L49">
        <v>304.29000000000002</v>
      </c>
      <c r="M49" s="14">
        <f>Table50[[#This Row],[Usage]]/$L$1</f>
        <v>4.6215546795120644E-4</v>
      </c>
      <c r="N49" s="15">
        <f>IFERROR(Table50[[#This Row],[Opening]]/Table50[[#This Row],[OpeningQty]],0)</f>
        <v>7.61</v>
      </c>
      <c r="O49" s="15">
        <f>IFERROR(Table50[[#This Row],[Purchases]]/Table50[[#This Row],[PurchasesQty]],0)</f>
        <v>7.6054166666666667</v>
      </c>
      <c r="P49" s="15">
        <f>IFERROR(Table50[[#This Row],[Closing]]/Table50[[#This Row],[ClosingQty]],0)</f>
        <v>7.61</v>
      </c>
      <c r="Q49" s="15">
        <f>IFERROR(AVERAGEIF(Table50[[#This Row],[OPENING COST PRICE]:[CLOSING COST PRICE]],"&gt;0"),0)</f>
        <v>7.6084722222222219</v>
      </c>
      <c r="R49" s="15">
        <f>IFERROR(Table50[[#This Row],[COST PRICE]]-IFERROR(Table50[[#This Row],[Usage]]/Table50[[#This Row],[UsageQty]],Table50[[#This Row],[COST PRICE]]),0)</f>
        <v>1.2222222222213475E-3</v>
      </c>
      <c r="S49" s="16">
        <f>IFERROR(Table50[[#This Row],[COST PRICE CHANGE]]/Table50[[#This Row],[OPENING COST PRICE]],0)</f>
        <v>1.6060738793973028E-4</v>
      </c>
      <c r="T49" s="15">
        <f>Table50[[#This Row],[ClosingQty]]-(Table50[[#This Row],[USAGE / DAY]]*(IF(Table50[[#This Row],[ccnt]]="BEV",Table50[[#This Row],[DELIVERY DAY]],Table50[[#This Row],[DELIVERY DAY]])))</f>
        <v>26.42</v>
      </c>
      <c r="U49" s="15">
        <f>ROUNDUP(Table50[[#This Row],[UsageQty]]/Table50[[#This Row],[DATA POINT]],2)</f>
        <v>2.86</v>
      </c>
      <c r="V4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49" s="15">
        <f>IFERROR(Table50[[#This Row],[ORDER QTY]]*Table50[[#This Row],[COST PRICE]],0)</f>
        <v>7.6084722222222219</v>
      </c>
      <c r="X49" s="15">
        <f>IFERROR(VLOOKUP(C49,[1]!Table49[[#All],[name]:[USAGE / DAY]],19,FALSE),1)</f>
        <v>4.67</v>
      </c>
      <c r="Y49" s="4">
        <f>IFERROR((Table50[[#This Row],[USAGE / DAY]]-Table50[[#This Row],[USAGE / DAY 2]])/Table50[[#This Row],[USAGE / DAY 2]],0)</f>
        <v>-0.38758029978586728</v>
      </c>
      <c r="Z49" s="15">
        <f t="shared" si="0"/>
        <v>14</v>
      </c>
      <c r="AA49" s="15">
        <f t="shared" si="1"/>
        <v>9.311854181734148</v>
      </c>
      <c r="AB49" s="15">
        <f>IFERROR(IF(Table50[[#This Row],[ccnt]]="BEV",$AB$2,IF(Table50[[#This Row],[ccnt]]="FOOD",$AC$2,"ENTER # FROM LAST COUNT")),"ENTER # FROM LAST COUNT")</f>
        <v>3</v>
      </c>
      <c r="AC49" s="15">
        <f>(Table50[[#This Row],[OpeningQty]]+Table50[[#This Row],[ClosingQty]])/2</f>
        <v>43</v>
      </c>
      <c r="AD49" s="15">
        <f>IFERROR(Table50[[#This Row],[UsageQty]]/Table50[[#This Row],[AVE INVENTORY]],0)</f>
        <v>0.93023255813953487</v>
      </c>
      <c r="AE49" s="15">
        <f>IFERROR(Table50[[#This Row],[DATA POINT]]/Table50[[#This Row],[Inventory Turnover Rate]],0)</f>
        <v>15.05</v>
      </c>
      <c r="AF49" s="15">
        <f>Table50[[#This Row],[ClosingQty]]/Table50[[#This Row],[USAGE / DAY]]</f>
        <v>12.237762237762238</v>
      </c>
      <c r="AG49" s="15">
        <f>Table50[[#This Row],[USAGE / DAY]]*7</f>
        <v>20.02</v>
      </c>
      <c r="AH49" s="15">
        <f>Table50[[#This Row],[USAGE / DAY]]*3</f>
        <v>8.58</v>
      </c>
      <c r="AI4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9" s="15">
        <f>IFERROR(Table50[[#This Row],[ORDER QTY2]]*Table50[[#This Row],[COST PRICE]],0)</f>
        <v>0</v>
      </c>
      <c r="AK49" s="15">
        <f>(Table50[[#This Row],[REORDER POINT]]*Table50[[#This Row],[COST PRICE]])+Table50[[#This Row],[ORDER COST]]</f>
        <v>208.62430833333335</v>
      </c>
      <c r="AL49" s="15">
        <f t="shared" si="2"/>
        <v>100</v>
      </c>
      <c r="AM49" s="15">
        <f>IFERROR((Table50[[#This Row],[REORDER POINT]]+Table50[[#This Row],[ORDER QTY]])/(Table50[[#This Row],[USAGE / DAY]]*Table50[[#This Row],[DEMAND %]]),Table50[[#This Row],[REORDER POINT]]/Table50[[#This Row],[USAGE / DAY]])</f>
        <v>9.5874125874125873E-2</v>
      </c>
    </row>
    <row r="50" spans="1:39" x14ac:dyDescent="0.25">
      <c r="A50" t="s">
        <v>50</v>
      </c>
      <c r="B50" t="s">
        <v>74</v>
      </c>
      <c r="C50" t="s">
        <v>106</v>
      </c>
      <c r="D50" t="s">
        <v>53</v>
      </c>
      <c r="E50">
        <v>27</v>
      </c>
      <c r="F50">
        <v>527.58000000000004</v>
      </c>
      <c r="G50">
        <v>0</v>
      </c>
      <c r="H50">
        <v>0</v>
      </c>
      <c r="I50">
        <v>23</v>
      </c>
      <c r="J50">
        <v>449.42</v>
      </c>
      <c r="K50">
        <f>Table50[[#This Row],[OpeningQty]]+Table50[[#This Row],[PurchasesQty]]-Table50[[#This Row],[ClosingQty]]</f>
        <v>4</v>
      </c>
      <c r="L50">
        <v>78.16</v>
      </c>
      <c r="M50" s="14">
        <f>Table50[[#This Row],[Usage]]/$L$1</f>
        <v>1.1870936072518417E-4</v>
      </c>
      <c r="N50" s="15">
        <f>IFERROR(Table50[[#This Row],[Opening]]/Table50[[#This Row],[OpeningQty]],0)</f>
        <v>19.540000000000003</v>
      </c>
      <c r="O50" s="15">
        <f>IFERROR(Table50[[#This Row],[Purchases]]/Table50[[#This Row],[PurchasesQty]],0)</f>
        <v>0</v>
      </c>
      <c r="P50" s="15">
        <f>IFERROR(Table50[[#This Row],[Closing]]/Table50[[#This Row],[ClosingQty]],0)</f>
        <v>19.54</v>
      </c>
      <c r="Q50" s="15">
        <f>IFERROR(AVERAGEIF(Table50[[#This Row],[OPENING COST PRICE]:[CLOSING COST PRICE]],"&gt;0"),0)</f>
        <v>19.54</v>
      </c>
      <c r="R50" s="15">
        <f>IFERROR(Table50[[#This Row],[COST PRICE]]-IFERROR(Table50[[#This Row],[Usage]]/Table50[[#This Row],[UsageQty]],Table50[[#This Row],[COST PRICE]]),0)</f>
        <v>0</v>
      </c>
      <c r="S50" s="16">
        <f>IFERROR(Table50[[#This Row],[COST PRICE CHANGE]]/Table50[[#This Row],[OPENING COST PRICE]],0)</f>
        <v>0</v>
      </c>
      <c r="T50" s="15">
        <f>Table50[[#This Row],[ClosingQty]]-(Table50[[#This Row],[USAGE / DAY]]*(IF(Table50[[#This Row],[ccnt]]="BEV",Table50[[#This Row],[DELIVERY DAY]],Table50[[#This Row],[DELIVERY DAY]])))</f>
        <v>22.13</v>
      </c>
      <c r="U50" s="15">
        <f>ROUNDUP(Table50[[#This Row],[UsageQty]]/Table50[[#This Row],[DATA POINT]],2)</f>
        <v>0.29000000000000004</v>
      </c>
      <c r="V5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50" s="15">
        <f>IFERROR(Table50[[#This Row],[ORDER QTY]]*Table50[[#This Row],[COST PRICE]],0)</f>
        <v>0</v>
      </c>
      <c r="X50" s="15">
        <f>IFERROR(VLOOKUP(C50,[1]!Table49[[#All],[name]:[USAGE / DAY]],19,FALSE),1)</f>
        <v>6.9999999999999993E-2</v>
      </c>
      <c r="Y50" s="4">
        <f>IFERROR((Table50[[#This Row],[USAGE / DAY]]-Table50[[#This Row],[USAGE / DAY 2]])/Table50[[#This Row],[USAGE / DAY 2]],0)</f>
        <v>3.1428571428571437</v>
      </c>
      <c r="Z50" s="15">
        <f t="shared" si="0"/>
        <v>14</v>
      </c>
      <c r="AA50" s="15">
        <f t="shared" si="1"/>
        <v>9.311854181734148</v>
      </c>
      <c r="AB50" s="15">
        <f>IFERROR(IF(Table50[[#This Row],[ccnt]]="BEV",$AB$2,IF(Table50[[#This Row],[ccnt]]="FOOD",$AC$2,"ENTER # FROM LAST COUNT")),"ENTER # FROM LAST COUNT")</f>
        <v>3</v>
      </c>
      <c r="AC50" s="15">
        <f>(Table50[[#This Row],[OpeningQty]]+Table50[[#This Row],[ClosingQty]])/2</f>
        <v>25</v>
      </c>
      <c r="AD50" s="15">
        <f>IFERROR(Table50[[#This Row],[UsageQty]]/Table50[[#This Row],[AVE INVENTORY]],0)</f>
        <v>0.16</v>
      </c>
      <c r="AE50" s="15">
        <f>IFERROR(Table50[[#This Row],[DATA POINT]]/Table50[[#This Row],[Inventory Turnover Rate]],0)</f>
        <v>87.5</v>
      </c>
      <c r="AF50" s="15">
        <f>Table50[[#This Row],[ClosingQty]]/Table50[[#This Row],[USAGE / DAY]]</f>
        <v>79.310344827586192</v>
      </c>
      <c r="AG50" s="15">
        <f>Table50[[#This Row],[USAGE / DAY]]*7</f>
        <v>2.0300000000000002</v>
      </c>
      <c r="AH50" s="15">
        <f>Table50[[#This Row],[USAGE / DAY]]*3</f>
        <v>0.87000000000000011</v>
      </c>
      <c r="AI5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50" s="15">
        <f>IFERROR(Table50[[#This Row],[ORDER QTY2]]*Table50[[#This Row],[COST PRICE]],0)</f>
        <v>0</v>
      </c>
      <c r="AK50" s="15">
        <f>(Table50[[#This Row],[REORDER POINT]]*Table50[[#This Row],[COST PRICE]])+Table50[[#This Row],[ORDER COST]]</f>
        <v>432.42019999999997</v>
      </c>
      <c r="AL50" s="15">
        <f t="shared" si="2"/>
        <v>100</v>
      </c>
      <c r="AM50" s="15">
        <f>IFERROR((Table50[[#This Row],[REORDER POINT]]+Table50[[#This Row],[ORDER QTY]])/(Table50[[#This Row],[USAGE / DAY]]*Table50[[#This Row],[DEMAND %]]),Table50[[#This Row],[REORDER POINT]]/Table50[[#This Row],[USAGE / DAY]])</f>
        <v>76.310344827586192</v>
      </c>
    </row>
    <row r="51" spans="1:39" x14ac:dyDescent="0.25">
      <c r="A51" t="s">
        <v>50</v>
      </c>
      <c r="B51" t="s">
        <v>74</v>
      </c>
      <c r="C51" t="s">
        <v>107</v>
      </c>
      <c r="D51" t="s">
        <v>53</v>
      </c>
      <c r="E51">
        <v>9</v>
      </c>
      <c r="F51">
        <v>68.489999999999995</v>
      </c>
      <c r="G51">
        <v>24</v>
      </c>
      <c r="H51">
        <v>182.53</v>
      </c>
      <c r="I51">
        <v>17</v>
      </c>
      <c r="J51">
        <v>129.37</v>
      </c>
      <c r="K51">
        <f>Table50[[#This Row],[OpeningQty]]+Table50[[#This Row],[PurchasesQty]]-Table50[[#This Row],[ClosingQty]]</f>
        <v>16</v>
      </c>
      <c r="L51">
        <v>121.65</v>
      </c>
      <c r="M51" s="14">
        <f>Table50[[#This Row],[Usage]]/$L$1</f>
        <v>1.8476194642040244E-4</v>
      </c>
      <c r="N51" s="15">
        <f>IFERROR(Table50[[#This Row],[Opening]]/Table50[[#This Row],[OpeningQty]],0)</f>
        <v>7.6099999999999994</v>
      </c>
      <c r="O51" s="15">
        <f>IFERROR(Table50[[#This Row],[Purchases]]/Table50[[#This Row],[PurchasesQty]],0)</f>
        <v>7.6054166666666667</v>
      </c>
      <c r="P51" s="15">
        <f>IFERROR(Table50[[#This Row],[Closing]]/Table50[[#This Row],[ClosingQty]],0)</f>
        <v>7.61</v>
      </c>
      <c r="Q51" s="15">
        <f>IFERROR(AVERAGEIF(Table50[[#This Row],[OPENING COST PRICE]:[CLOSING COST PRICE]],"&gt;0"),0)</f>
        <v>7.6084722222222219</v>
      </c>
      <c r="R51" s="15">
        <f>IFERROR(Table50[[#This Row],[COST PRICE]]-IFERROR(Table50[[#This Row],[Usage]]/Table50[[#This Row],[UsageQty]],Table50[[#This Row],[COST PRICE]]),0)</f>
        <v>5.3472222222215038E-3</v>
      </c>
      <c r="S51" s="16">
        <f>IFERROR(Table50[[#This Row],[COST PRICE CHANGE]]/Table50[[#This Row],[OPENING COST PRICE]],0)</f>
        <v>7.0265732223672849E-4</v>
      </c>
      <c r="T51" s="15">
        <f>Table50[[#This Row],[ClosingQty]]-(Table50[[#This Row],[USAGE / DAY]]*(IF(Table50[[#This Row],[ccnt]]="BEV",Table50[[#This Row],[DELIVERY DAY]],Table50[[#This Row],[DELIVERY DAY]])))</f>
        <v>13.55</v>
      </c>
      <c r="U51" s="15">
        <f>ROUNDUP(Table50[[#This Row],[UsageQty]]/Table50[[#This Row],[DATA POINT]],2)</f>
        <v>1.1499999999999999</v>
      </c>
      <c r="V5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51" s="15">
        <f>IFERROR(Table50[[#This Row],[ORDER QTY]]*Table50[[#This Row],[COST PRICE]],0)</f>
        <v>0</v>
      </c>
      <c r="X51" s="15">
        <f>IFERROR(VLOOKUP(C51,[1]!Table49[[#All],[name]:[USAGE / DAY]],19,FALSE),1)</f>
        <v>1.47</v>
      </c>
      <c r="Y51" s="4">
        <f>IFERROR((Table50[[#This Row],[USAGE / DAY]]-Table50[[#This Row],[USAGE / DAY 2]])/Table50[[#This Row],[USAGE / DAY 2]],0)</f>
        <v>-0.21768707482993202</v>
      </c>
      <c r="Z51" s="15">
        <f t="shared" si="0"/>
        <v>14</v>
      </c>
      <c r="AA51" s="15">
        <f t="shared" si="1"/>
        <v>9.311854181734148</v>
      </c>
      <c r="AB51" s="15">
        <f>IFERROR(IF(Table50[[#This Row],[ccnt]]="BEV",$AB$2,IF(Table50[[#This Row],[ccnt]]="FOOD",$AC$2,"ENTER # FROM LAST COUNT")),"ENTER # FROM LAST COUNT")</f>
        <v>3</v>
      </c>
      <c r="AC51" s="15">
        <f>(Table50[[#This Row],[OpeningQty]]+Table50[[#This Row],[ClosingQty]])/2</f>
        <v>13</v>
      </c>
      <c r="AD51" s="15">
        <f>IFERROR(Table50[[#This Row],[UsageQty]]/Table50[[#This Row],[AVE INVENTORY]],0)</f>
        <v>1.2307692307692308</v>
      </c>
      <c r="AE51" s="15">
        <f>IFERROR(Table50[[#This Row],[DATA POINT]]/Table50[[#This Row],[Inventory Turnover Rate]],0)</f>
        <v>11.375</v>
      </c>
      <c r="AF51" s="15">
        <f>Table50[[#This Row],[ClosingQty]]/Table50[[#This Row],[USAGE / DAY]]</f>
        <v>14.782608695652176</v>
      </c>
      <c r="AG51" s="15">
        <f>Table50[[#This Row],[USAGE / DAY]]*7</f>
        <v>8.0499999999999989</v>
      </c>
      <c r="AH51" s="15">
        <f>Table50[[#This Row],[USAGE / DAY]]*3</f>
        <v>3.4499999999999997</v>
      </c>
      <c r="AI5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51" s="15">
        <f>IFERROR(Table50[[#This Row],[ORDER QTY2]]*Table50[[#This Row],[COST PRICE]],0)</f>
        <v>0</v>
      </c>
      <c r="AK51" s="15">
        <f>(Table50[[#This Row],[REORDER POINT]]*Table50[[#This Row],[COST PRICE]])+Table50[[#This Row],[ORDER COST]]</f>
        <v>103.09479861111112</v>
      </c>
      <c r="AL51" s="15">
        <f t="shared" si="2"/>
        <v>100</v>
      </c>
      <c r="AM51" s="15">
        <f>IFERROR((Table50[[#This Row],[REORDER POINT]]+Table50[[#This Row],[ORDER QTY]])/(Table50[[#This Row],[USAGE / DAY]]*Table50[[#This Row],[DEMAND %]]),Table50[[#This Row],[REORDER POINT]]/Table50[[#This Row],[USAGE / DAY]])</f>
        <v>11.782608695652176</v>
      </c>
    </row>
    <row r="52" spans="1:39" x14ac:dyDescent="0.25">
      <c r="A52" t="s">
        <v>50</v>
      </c>
      <c r="B52" t="s">
        <v>74</v>
      </c>
      <c r="C52" t="s">
        <v>108</v>
      </c>
      <c r="D52" t="s">
        <v>53</v>
      </c>
      <c r="E52">
        <v>25</v>
      </c>
      <c r="F52">
        <v>190.25</v>
      </c>
      <c r="G52">
        <v>0</v>
      </c>
      <c r="H52">
        <v>0</v>
      </c>
      <c r="I52">
        <v>14</v>
      </c>
      <c r="J52">
        <v>106.54</v>
      </c>
      <c r="K52">
        <f>Table50[[#This Row],[OpeningQty]]+Table50[[#This Row],[PurchasesQty]]-Table50[[#This Row],[ClosingQty]]</f>
        <v>11</v>
      </c>
      <c r="L52">
        <v>83.71</v>
      </c>
      <c r="M52" s="14">
        <f>Table50[[#This Row],[Usage]]/$L$1</f>
        <v>1.2713869736828514E-4</v>
      </c>
      <c r="N52" s="15">
        <f>IFERROR(Table50[[#This Row],[Opening]]/Table50[[#This Row],[OpeningQty]],0)</f>
        <v>7.61</v>
      </c>
      <c r="O52" s="15">
        <f>IFERROR(Table50[[#This Row],[Purchases]]/Table50[[#This Row],[PurchasesQty]],0)</f>
        <v>0</v>
      </c>
      <c r="P52" s="15">
        <f>IFERROR(Table50[[#This Row],[Closing]]/Table50[[#This Row],[ClosingQty]],0)</f>
        <v>7.61</v>
      </c>
      <c r="Q52" s="15">
        <f>IFERROR(AVERAGEIF(Table50[[#This Row],[OPENING COST PRICE]:[CLOSING COST PRICE]],"&gt;0"),0)</f>
        <v>7.61</v>
      </c>
      <c r="R52" s="15">
        <f>IFERROR(Table50[[#This Row],[COST PRICE]]-IFERROR(Table50[[#This Row],[Usage]]/Table50[[#This Row],[UsageQty]],Table50[[#This Row],[COST PRICE]]),0)</f>
        <v>8.8817841970012523E-16</v>
      </c>
      <c r="S52" s="16">
        <f>IFERROR(Table50[[#This Row],[COST PRICE CHANGE]]/Table50[[#This Row],[OPENING COST PRICE]],0)</f>
        <v>1.1671201310119911E-16</v>
      </c>
      <c r="T52" s="15">
        <f>Table50[[#This Row],[ClosingQty]]-(Table50[[#This Row],[USAGE / DAY]]*(IF(Table50[[#This Row],[ccnt]]="BEV",Table50[[#This Row],[DELIVERY DAY]],Table50[[#This Row],[DELIVERY DAY]])))</f>
        <v>11.629999999999999</v>
      </c>
      <c r="U52" s="15">
        <f>ROUNDUP(Table50[[#This Row],[UsageQty]]/Table50[[#This Row],[DATA POINT]],2)</f>
        <v>0.79</v>
      </c>
      <c r="V5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52" s="15">
        <f>IFERROR(Table50[[#This Row],[ORDER QTY]]*Table50[[#This Row],[COST PRICE]],0)</f>
        <v>0</v>
      </c>
      <c r="X52" s="15">
        <f>IFERROR(VLOOKUP(C52,[1]!Table49[[#All],[name]:[USAGE / DAY]],19,FALSE),1)</f>
        <v>1.34</v>
      </c>
      <c r="Y52" s="4">
        <f>IFERROR((Table50[[#This Row],[USAGE / DAY]]-Table50[[#This Row],[USAGE / DAY 2]])/Table50[[#This Row],[USAGE / DAY 2]],0)</f>
        <v>-0.41044776119402987</v>
      </c>
      <c r="Z52" s="15">
        <f t="shared" si="0"/>
        <v>14</v>
      </c>
      <c r="AA52" s="15">
        <f t="shared" si="1"/>
        <v>9.311854181734148</v>
      </c>
      <c r="AB52" s="15">
        <f>IFERROR(IF(Table50[[#This Row],[ccnt]]="BEV",$AB$2,IF(Table50[[#This Row],[ccnt]]="FOOD",$AC$2,"ENTER # FROM LAST COUNT")),"ENTER # FROM LAST COUNT")</f>
        <v>3</v>
      </c>
      <c r="AC52" s="15">
        <f>(Table50[[#This Row],[OpeningQty]]+Table50[[#This Row],[ClosingQty]])/2</f>
        <v>19.5</v>
      </c>
      <c r="AD52" s="15">
        <f>IFERROR(Table50[[#This Row],[UsageQty]]/Table50[[#This Row],[AVE INVENTORY]],0)</f>
        <v>0.5641025641025641</v>
      </c>
      <c r="AE52" s="15">
        <f>IFERROR(Table50[[#This Row],[DATA POINT]]/Table50[[#This Row],[Inventory Turnover Rate]],0)</f>
        <v>24.81818181818182</v>
      </c>
      <c r="AF52" s="15">
        <f>Table50[[#This Row],[ClosingQty]]/Table50[[#This Row],[USAGE / DAY]]</f>
        <v>17.721518987341771</v>
      </c>
      <c r="AG52" s="15">
        <f>Table50[[#This Row],[USAGE / DAY]]*7</f>
        <v>5.53</v>
      </c>
      <c r="AH52" s="15">
        <f>Table50[[#This Row],[USAGE / DAY]]*3</f>
        <v>2.37</v>
      </c>
      <c r="AI5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52" s="15">
        <f>IFERROR(Table50[[#This Row],[ORDER QTY2]]*Table50[[#This Row],[COST PRICE]],0)</f>
        <v>0</v>
      </c>
      <c r="AK52" s="15">
        <f>(Table50[[#This Row],[REORDER POINT]]*Table50[[#This Row],[COST PRICE]])+Table50[[#This Row],[ORDER COST]]</f>
        <v>88.504300000000001</v>
      </c>
      <c r="AL52" s="15">
        <f t="shared" si="2"/>
        <v>100</v>
      </c>
      <c r="AM52" s="15">
        <f>IFERROR((Table50[[#This Row],[REORDER POINT]]+Table50[[#This Row],[ORDER QTY]])/(Table50[[#This Row],[USAGE / DAY]]*Table50[[#This Row],[DEMAND %]]),Table50[[#This Row],[REORDER POINT]]/Table50[[#This Row],[USAGE / DAY]])</f>
        <v>14.721518987341771</v>
      </c>
    </row>
    <row r="53" spans="1:39" x14ac:dyDescent="0.25">
      <c r="A53" t="s">
        <v>50</v>
      </c>
      <c r="B53" t="s">
        <v>74</v>
      </c>
      <c r="C53" t="s">
        <v>109</v>
      </c>
      <c r="D53" t="s">
        <v>53</v>
      </c>
      <c r="E53">
        <v>47</v>
      </c>
      <c r="F53">
        <v>499.61</v>
      </c>
      <c r="G53">
        <v>0</v>
      </c>
      <c r="H53">
        <v>0</v>
      </c>
      <c r="I53">
        <v>17</v>
      </c>
      <c r="J53">
        <v>180.71</v>
      </c>
      <c r="K53">
        <f>Table50[[#This Row],[OpeningQty]]+Table50[[#This Row],[PurchasesQty]]-Table50[[#This Row],[ClosingQty]]</f>
        <v>30</v>
      </c>
      <c r="L53">
        <v>318.89999999999998</v>
      </c>
      <c r="M53" s="14">
        <f>Table50[[#This Row],[Usage]]/$L$1</f>
        <v>4.8434512711439649E-4</v>
      </c>
      <c r="N53" s="15">
        <f>IFERROR(Table50[[#This Row],[Opening]]/Table50[[#This Row],[OpeningQty]],0)</f>
        <v>10.63</v>
      </c>
      <c r="O53" s="15">
        <f>IFERROR(Table50[[#This Row],[Purchases]]/Table50[[#This Row],[PurchasesQty]],0)</f>
        <v>0</v>
      </c>
      <c r="P53" s="15">
        <f>IFERROR(Table50[[#This Row],[Closing]]/Table50[[#This Row],[ClosingQty]],0)</f>
        <v>10.63</v>
      </c>
      <c r="Q53" s="15">
        <f>IFERROR(AVERAGEIF(Table50[[#This Row],[OPENING COST PRICE]:[CLOSING COST PRICE]],"&gt;0"),0)</f>
        <v>10.63</v>
      </c>
      <c r="R53" s="15">
        <f>IFERROR(Table50[[#This Row],[COST PRICE]]-IFERROR(Table50[[#This Row],[Usage]]/Table50[[#This Row],[UsageQty]],Table50[[#This Row],[COST PRICE]]),0)</f>
        <v>1.7763568394002505E-15</v>
      </c>
      <c r="S53" s="16">
        <f>IFERROR(Table50[[#This Row],[COST PRICE CHANGE]]/Table50[[#This Row],[OPENING COST PRICE]],0)</f>
        <v>1.6710788705552685E-16</v>
      </c>
      <c r="T53" s="15">
        <f>Table50[[#This Row],[ClosingQty]]-(Table50[[#This Row],[USAGE / DAY]]*(IF(Table50[[#This Row],[ccnt]]="BEV",Table50[[#This Row],[DELIVERY DAY]],Table50[[#This Row],[DELIVERY DAY]])))</f>
        <v>10.55</v>
      </c>
      <c r="U53" s="15">
        <f>ROUNDUP(Table50[[#This Row],[UsageQty]]/Table50[[#This Row],[DATA POINT]],2)</f>
        <v>2.15</v>
      </c>
      <c r="V5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10</v>
      </c>
      <c r="W53" s="15">
        <f>IFERROR(Table50[[#This Row],[ORDER QTY]]*Table50[[#This Row],[COST PRICE]],0)</f>
        <v>106.30000000000001</v>
      </c>
      <c r="X53" s="15">
        <f>IFERROR(VLOOKUP(C53,[1]!Table49[[#All],[name]:[USAGE / DAY]],19,FALSE),1)</f>
        <v>1.6</v>
      </c>
      <c r="Y53" s="4">
        <f>IFERROR((Table50[[#This Row],[USAGE / DAY]]-Table50[[#This Row],[USAGE / DAY 2]])/Table50[[#This Row],[USAGE / DAY 2]],0)</f>
        <v>0.34374999999999989</v>
      </c>
      <c r="Z53" s="15">
        <f t="shared" si="0"/>
        <v>14</v>
      </c>
      <c r="AA53" s="15">
        <f t="shared" si="1"/>
        <v>9.311854181734148</v>
      </c>
      <c r="AB53" s="15">
        <f>IFERROR(IF(Table50[[#This Row],[ccnt]]="BEV",$AB$2,IF(Table50[[#This Row],[ccnt]]="FOOD",$AC$2,"ENTER # FROM LAST COUNT")),"ENTER # FROM LAST COUNT")</f>
        <v>3</v>
      </c>
      <c r="AC53" s="15">
        <f>(Table50[[#This Row],[OpeningQty]]+Table50[[#This Row],[ClosingQty]])/2</f>
        <v>32</v>
      </c>
      <c r="AD53" s="15">
        <f>IFERROR(Table50[[#This Row],[UsageQty]]/Table50[[#This Row],[AVE INVENTORY]],0)</f>
        <v>0.9375</v>
      </c>
      <c r="AE53" s="15">
        <f>IFERROR(Table50[[#This Row],[DATA POINT]]/Table50[[#This Row],[Inventory Turnover Rate]],0)</f>
        <v>14.933333333333334</v>
      </c>
      <c r="AF53" s="15">
        <f>Table50[[#This Row],[ClosingQty]]/Table50[[#This Row],[USAGE / DAY]]</f>
        <v>7.9069767441860472</v>
      </c>
      <c r="AG53" s="15">
        <f>Table50[[#This Row],[USAGE / DAY]]*7</f>
        <v>15.049999999999999</v>
      </c>
      <c r="AH53" s="15">
        <f>Table50[[#This Row],[USAGE / DAY]]*3</f>
        <v>6.4499999999999993</v>
      </c>
      <c r="AI53" s="15">
        <f>IF(Table50[[#This Row],[FORECASTED DEMAND]]+Table50[[#This Row],[SAFETY STOCK]]-Table50[[#This Row],[ClosingQty]]&gt;0,Table50[[#This Row],[FORECASTED DEMAND]]+Table50[[#This Row],[SAFETY STOCK]]-Table50[[#This Row],[ClosingQty]],"NO ORDER")</f>
        <v>4.5</v>
      </c>
      <c r="AJ53" s="15">
        <f>IFERROR(Table50[[#This Row],[ORDER QTY2]]*Table50[[#This Row],[COST PRICE]],0)</f>
        <v>47.835000000000001</v>
      </c>
      <c r="AK53" s="15">
        <f>(Table50[[#This Row],[REORDER POINT]]*Table50[[#This Row],[COST PRICE]])+Table50[[#This Row],[ORDER COST]]</f>
        <v>218.44650000000001</v>
      </c>
      <c r="AL53" s="15">
        <f t="shared" si="2"/>
        <v>100</v>
      </c>
      <c r="AM53" s="15">
        <f>IFERROR((Table50[[#This Row],[REORDER POINT]]+Table50[[#This Row],[ORDER QTY]])/(Table50[[#This Row],[USAGE / DAY]]*Table50[[#This Row],[DEMAND %]]),Table50[[#This Row],[REORDER POINT]]/Table50[[#This Row],[USAGE / DAY]])</f>
        <v>9.5581395348837209E-2</v>
      </c>
    </row>
    <row r="54" spans="1:39" x14ac:dyDescent="0.25">
      <c r="A54" t="s">
        <v>50</v>
      </c>
      <c r="B54" t="s">
        <v>74</v>
      </c>
      <c r="C54" t="s">
        <v>110</v>
      </c>
      <c r="D54" t="s">
        <v>53</v>
      </c>
      <c r="E54">
        <v>16</v>
      </c>
      <c r="F54">
        <v>170.08</v>
      </c>
      <c r="G54">
        <v>72</v>
      </c>
      <c r="H54">
        <v>765</v>
      </c>
      <c r="I54">
        <v>42</v>
      </c>
      <c r="J54">
        <v>446.46</v>
      </c>
      <c r="K54">
        <f>Table50[[#This Row],[OpeningQty]]+Table50[[#This Row],[PurchasesQty]]-Table50[[#This Row],[ClosingQty]]</f>
        <v>46</v>
      </c>
      <c r="L54">
        <v>488.62</v>
      </c>
      <c r="M54" s="14">
        <f>Table50[[#This Row],[Usage]]/$L$1</f>
        <v>7.4211576045981947E-4</v>
      </c>
      <c r="N54" s="15">
        <f>IFERROR(Table50[[#This Row],[Opening]]/Table50[[#This Row],[OpeningQty]],0)</f>
        <v>10.63</v>
      </c>
      <c r="O54" s="15">
        <f>IFERROR(Table50[[#This Row],[Purchases]]/Table50[[#This Row],[PurchasesQty]],0)</f>
        <v>10.625</v>
      </c>
      <c r="P54" s="15">
        <f>IFERROR(Table50[[#This Row],[Closing]]/Table50[[#This Row],[ClosingQty]],0)</f>
        <v>10.629999999999999</v>
      </c>
      <c r="Q54" s="15">
        <f>IFERROR(AVERAGEIF(Table50[[#This Row],[OPENING COST PRICE]:[CLOSING COST PRICE]],"&gt;0"),0)</f>
        <v>10.628333333333334</v>
      </c>
      <c r="R54" s="15">
        <f>IFERROR(Table50[[#This Row],[COST PRICE]]-IFERROR(Table50[[#This Row],[Usage]]/Table50[[#This Row],[UsageQty]],Table50[[#This Row],[COST PRICE]]),0)</f>
        <v>6.1594202898547223E-3</v>
      </c>
      <c r="S54" s="16">
        <f>IFERROR(Table50[[#This Row],[COST PRICE CHANGE]]/Table50[[#This Row],[OPENING COST PRICE]],0)</f>
        <v>5.7943746847175187E-4</v>
      </c>
      <c r="T54" s="15">
        <f>Table50[[#This Row],[ClosingQty]]-(Table50[[#This Row],[USAGE / DAY]]*(IF(Table50[[#This Row],[ccnt]]="BEV",Table50[[#This Row],[DELIVERY DAY]],Table50[[#This Row],[DELIVERY DAY]])))</f>
        <v>32.130000000000003</v>
      </c>
      <c r="U54" s="15">
        <f>ROUNDUP(Table50[[#This Row],[UsageQty]]/Table50[[#This Row],[DATA POINT]],2)</f>
        <v>3.2899999999999996</v>
      </c>
      <c r="V5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54" s="15">
        <f>IFERROR(Table50[[#This Row],[ORDER QTY]]*Table50[[#This Row],[COST PRICE]],0)</f>
        <v>0</v>
      </c>
      <c r="X54" s="15">
        <f>IFERROR(VLOOKUP(C54,[1]!Table49[[#All],[name]:[USAGE / DAY]],19,FALSE),1)</f>
        <v>3.94</v>
      </c>
      <c r="Y54" s="4">
        <f>IFERROR((Table50[[#This Row],[USAGE / DAY]]-Table50[[#This Row],[USAGE / DAY 2]])/Table50[[#This Row],[USAGE / DAY 2]],0)</f>
        <v>-0.16497461928934021</v>
      </c>
      <c r="Z54" s="15">
        <f t="shared" si="0"/>
        <v>14</v>
      </c>
      <c r="AA54" s="15">
        <f t="shared" si="1"/>
        <v>9.311854181734148</v>
      </c>
      <c r="AB54" s="15">
        <f>IFERROR(IF(Table50[[#This Row],[ccnt]]="BEV",$AB$2,IF(Table50[[#This Row],[ccnt]]="FOOD",$AC$2,"ENTER # FROM LAST COUNT")),"ENTER # FROM LAST COUNT")</f>
        <v>3</v>
      </c>
      <c r="AC54" s="15">
        <f>(Table50[[#This Row],[OpeningQty]]+Table50[[#This Row],[ClosingQty]])/2</f>
        <v>29</v>
      </c>
      <c r="AD54" s="15">
        <f>IFERROR(Table50[[#This Row],[UsageQty]]/Table50[[#This Row],[AVE INVENTORY]],0)</f>
        <v>1.5862068965517242</v>
      </c>
      <c r="AE54" s="15">
        <f>IFERROR(Table50[[#This Row],[DATA POINT]]/Table50[[#This Row],[Inventory Turnover Rate]],0)</f>
        <v>8.8260869565217384</v>
      </c>
      <c r="AF54" s="15">
        <f>Table50[[#This Row],[ClosingQty]]/Table50[[#This Row],[USAGE / DAY]]</f>
        <v>12.765957446808512</v>
      </c>
      <c r="AG54" s="15">
        <f>Table50[[#This Row],[USAGE / DAY]]*7</f>
        <v>23.029999999999998</v>
      </c>
      <c r="AH54" s="15">
        <f>Table50[[#This Row],[USAGE / DAY]]*3</f>
        <v>9.8699999999999992</v>
      </c>
      <c r="AI5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54" s="15">
        <f>IFERROR(Table50[[#This Row],[ORDER QTY2]]*Table50[[#This Row],[COST PRICE]],0)</f>
        <v>0</v>
      </c>
      <c r="AK54" s="15">
        <f>(Table50[[#This Row],[REORDER POINT]]*Table50[[#This Row],[COST PRICE]])+Table50[[#This Row],[ORDER COST]]</f>
        <v>341.48835000000003</v>
      </c>
      <c r="AL54" s="15">
        <f t="shared" si="2"/>
        <v>100</v>
      </c>
      <c r="AM54" s="15">
        <f>IFERROR((Table50[[#This Row],[REORDER POINT]]+Table50[[#This Row],[ORDER QTY]])/(Table50[[#This Row],[USAGE / DAY]]*Table50[[#This Row],[DEMAND %]]),Table50[[#This Row],[REORDER POINT]]/Table50[[#This Row],[USAGE / DAY]])</f>
        <v>9.7659574468085122</v>
      </c>
    </row>
    <row r="55" spans="1:39" x14ac:dyDescent="0.25">
      <c r="A55" t="s">
        <v>50</v>
      </c>
      <c r="B55" t="s">
        <v>74</v>
      </c>
      <c r="C55" t="s">
        <v>111</v>
      </c>
      <c r="D55" t="s">
        <v>53</v>
      </c>
      <c r="E55">
        <v>0</v>
      </c>
      <c r="F55">
        <v>0</v>
      </c>
      <c r="G55">
        <v>48</v>
      </c>
      <c r="H55">
        <v>510</v>
      </c>
      <c r="I55">
        <v>12</v>
      </c>
      <c r="J55">
        <v>127.56</v>
      </c>
      <c r="K55">
        <f>Table50[[#This Row],[OpeningQty]]+Table50[[#This Row],[PurchasesQty]]-Table50[[#This Row],[ClosingQty]]</f>
        <v>36</v>
      </c>
      <c r="L55">
        <v>382.44</v>
      </c>
      <c r="M55" s="14">
        <f>Table50[[#This Row],[Usage]]/$L$1</f>
        <v>5.808496406824391E-4</v>
      </c>
      <c r="N55" s="15">
        <f>IFERROR(Table50[[#This Row],[Opening]]/Table50[[#This Row],[OpeningQty]],0)</f>
        <v>0</v>
      </c>
      <c r="O55" s="15">
        <f>IFERROR(Table50[[#This Row],[Purchases]]/Table50[[#This Row],[PurchasesQty]],0)</f>
        <v>10.625</v>
      </c>
      <c r="P55" s="15">
        <f>IFERROR(Table50[[#This Row],[Closing]]/Table50[[#This Row],[ClosingQty]],0)</f>
        <v>10.63</v>
      </c>
      <c r="Q55" s="15">
        <f>IFERROR(AVERAGEIF(Table50[[#This Row],[OPENING COST PRICE]:[CLOSING COST PRICE]],"&gt;0"),0)</f>
        <v>10.627500000000001</v>
      </c>
      <c r="R55" s="15">
        <f>IFERROR(Table50[[#This Row],[COST PRICE]]-IFERROR(Table50[[#This Row],[Usage]]/Table50[[#This Row],[UsageQty]],Table50[[#This Row],[COST PRICE]]),0)</f>
        <v>4.1666666666682062E-3</v>
      </c>
      <c r="S55" s="16">
        <f>IFERROR(Table50[[#This Row],[COST PRICE CHANGE]]/Table50[[#This Row],[OPENING COST PRICE]],0)</f>
        <v>0</v>
      </c>
      <c r="T55" s="15">
        <f>Table50[[#This Row],[ClosingQty]]-(Table50[[#This Row],[USAGE / DAY]]*(IF(Table50[[#This Row],[ccnt]]="BEV",Table50[[#This Row],[DELIVERY DAY]],Table50[[#This Row],[DELIVERY DAY]])))</f>
        <v>4.2600000000000016</v>
      </c>
      <c r="U55" s="15">
        <f>ROUNDUP(Table50[[#This Row],[UsageQty]]/Table50[[#This Row],[DATA POINT]],2)</f>
        <v>2.5799999999999996</v>
      </c>
      <c r="V5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20</v>
      </c>
      <c r="W55" s="15">
        <f>IFERROR(Table50[[#This Row],[ORDER QTY]]*Table50[[#This Row],[COST PRICE]],0)</f>
        <v>212.55</v>
      </c>
      <c r="X55" s="15">
        <f>IFERROR(VLOOKUP(C55,[1]!Table49[[#All],[name]:[USAGE / DAY]],19,FALSE),1)</f>
        <v>0.4</v>
      </c>
      <c r="Y55" s="4">
        <f>IFERROR((Table50[[#This Row],[USAGE / DAY]]-Table50[[#This Row],[USAGE / DAY 2]])/Table50[[#This Row],[USAGE / DAY 2]],0)</f>
        <v>5.4499999999999993</v>
      </c>
      <c r="Z55" s="15">
        <f t="shared" si="0"/>
        <v>14</v>
      </c>
      <c r="AA55" s="15">
        <f t="shared" si="1"/>
        <v>9.311854181734148</v>
      </c>
      <c r="AB55" s="15">
        <f>IFERROR(IF(Table50[[#This Row],[ccnt]]="BEV",$AB$2,IF(Table50[[#This Row],[ccnt]]="FOOD",$AC$2,"ENTER # FROM LAST COUNT")),"ENTER # FROM LAST COUNT")</f>
        <v>3</v>
      </c>
      <c r="AC55" s="15">
        <f>(Table50[[#This Row],[OpeningQty]]+Table50[[#This Row],[ClosingQty]])/2</f>
        <v>6</v>
      </c>
      <c r="AD55" s="15">
        <f>IFERROR(Table50[[#This Row],[UsageQty]]/Table50[[#This Row],[AVE INVENTORY]],0)</f>
        <v>6</v>
      </c>
      <c r="AE55" s="15">
        <f>IFERROR(Table50[[#This Row],[DATA POINT]]/Table50[[#This Row],[Inventory Turnover Rate]],0)</f>
        <v>2.3333333333333335</v>
      </c>
      <c r="AF55" s="15">
        <f>Table50[[#This Row],[ClosingQty]]/Table50[[#This Row],[USAGE / DAY]]</f>
        <v>4.6511627906976747</v>
      </c>
      <c r="AG55" s="15">
        <f>Table50[[#This Row],[USAGE / DAY]]*7</f>
        <v>18.059999999999999</v>
      </c>
      <c r="AH55" s="15">
        <f>Table50[[#This Row],[USAGE / DAY]]*3</f>
        <v>7.7399999999999984</v>
      </c>
      <c r="AI55" s="15">
        <f>IF(Table50[[#This Row],[FORECASTED DEMAND]]+Table50[[#This Row],[SAFETY STOCK]]-Table50[[#This Row],[ClosingQty]]&gt;0,Table50[[#This Row],[FORECASTED DEMAND]]+Table50[[#This Row],[SAFETY STOCK]]-Table50[[#This Row],[ClosingQty]],"NO ORDER")</f>
        <v>13.799999999999997</v>
      </c>
      <c r="AJ55" s="15">
        <f>IFERROR(Table50[[#This Row],[ORDER QTY2]]*Table50[[#This Row],[COST PRICE]],0)</f>
        <v>146.65949999999998</v>
      </c>
      <c r="AK55" s="15">
        <f>(Table50[[#This Row],[REORDER POINT]]*Table50[[#This Row],[COST PRICE]])+Table50[[#This Row],[ORDER COST]]</f>
        <v>257.82315000000006</v>
      </c>
      <c r="AL55" s="15">
        <f t="shared" si="2"/>
        <v>100</v>
      </c>
      <c r="AM55" s="15">
        <f>IFERROR((Table50[[#This Row],[REORDER POINT]]+Table50[[#This Row],[ORDER QTY]])/(Table50[[#This Row],[USAGE / DAY]]*Table50[[#This Row],[DEMAND %]]),Table50[[#This Row],[REORDER POINT]]/Table50[[#This Row],[USAGE / DAY]])</f>
        <v>9.4031007751938012E-2</v>
      </c>
    </row>
    <row r="56" spans="1:39" x14ac:dyDescent="0.25">
      <c r="A56" t="s">
        <v>50</v>
      </c>
      <c r="B56" t="s">
        <v>74</v>
      </c>
      <c r="C56" t="s">
        <v>112</v>
      </c>
      <c r="D56" t="s">
        <v>53</v>
      </c>
      <c r="E56">
        <v>13</v>
      </c>
      <c r="F56">
        <v>559</v>
      </c>
      <c r="G56">
        <v>0</v>
      </c>
      <c r="H56">
        <v>0</v>
      </c>
      <c r="I56">
        <v>13</v>
      </c>
      <c r="J56">
        <v>559</v>
      </c>
      <c r="K56">
        <f>Table50[[#This Row],[OpeningQty]]+Table50[[#This Row],[PurchasesQty]]-Table50[[#This Row],[ClosingQty]]</f>
        <v>0</v>
      </c>
      <c r="L56">
        <v>0</v>
      </c>
      <c r="M56" s="14">
        <f>Table50[[#This Row],[Usage]]/$L$1</f>
        <v>0</v>
      </c>
      <c r="N56" s="15">
        <f>IFERROR(Table50[[#This Row],[Opening]]/Table50[[#This Row],[OpeningQty]],0)</f>
        <v>43</v>
      </c>
      <c r="O56" s="15">
        <f>IFERROR(Table50[[#This Row],[Purchases]]/Table50[[#This Row],[PurchasesQty]],0)</f>
        <v>0</v>
      </c>
      <c r="P56" s="15">
        <f>IFERROR(Table50[[#This Row],[Closing]]/Table50[[#This Row],[ClosingQty]],0)</f>
        <v>43</v>
      </c>
      <c r="Q56" s="15">
        <f>IFERROR(AVERAGEIF(Table50[[#This Row],[OPENING COST PRICE]:[CLOSING COST PRICE]],"&gt;0"),0)</f>
        <v>43</v>
      </c>
      <c r="R56" s="15">
        <f>IFERROR(Table50[[#This Row],[COST PRICE]]-IFERROR(Table50[[#This Row],[Usage]]/Table50[[#This Row],[UsageQty]],Table50[[#This Row],[COST PRICE]]),0)</f>
        <v>0</v>
      </c>
      <c r="S56" s="16">
        <f>IFERROR(Table50[[#This Row],[COST PRICE CHANGE]]/Table50[[#This Row],[OPENING COST PRICE]],0)</f>
        <v>0</v>
      </c>
      <c r="T56" s="15">
        <f>Table50[[#This Row],[ClosingQty]]-(Table50[[#This Row],[USAGE / DAY]]*(IF(Table50[[#This Row],[ccnt]]="BEV",Table50[[#This Row],[DELIVERY DAY]],Table50[[#This Row],[DELIVERY DAY]])))</f>
        <v>13</v>
      </c>
      <c r="U56" s="15">
        <f>ROUNDUP(Table50[[#This Row],[UsageQty]]/Table50[[#This Row],[DATA POINT]],2)</f>
        <v>0</v>
      </c>
      <c r="V5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56" s="15">
        <f>IFERROR(Table50[[#This Row],[ORDER QTY]]*Table50[[#This Row],[COST PRICE]],0)</f>
        <v>0</v>
      </c>
      <c r="X56" s="15">
        <f>IFERROR(VLOOKUP(C56,[1]!Table49[[#All],[name]:[USAGE / DAY]],19,FALSE),1)</f>
        <v>6.9999999999999993E-2</v>
      </c>
      <c r="Y56" s="4">
        <f>IFERROR((Table50[[#This Row],[USAGE / DAY]]-Table50[[#This Row],[USAGE / DAY 2]])/Table50[[#This Row],[USAGE / DAY 2]],0)</f>
        <v>-1</v>
      </c>
      <c r="Z56" s="15">
        <f t="shared" si="0"/>
        <v>14</v>
      </c>
      <c r="AA56" s="15">
        <f t="shared" si="1"/>
        <v>9.311854181734148</v>
      </c>
      <c r="AB56" s="15">
        <f>IFERROR(IF(Table50[[#This Row],[ccnt]]="BEV",$AB$2,IF(Table50[[#This Row],[ccnt]]="FOOD",$AC$2,"ENTER # FROM LAST COUNT")),"ENTER # FROM LAST COUNT")</f>
        <v>3</v>
      </c>
      <c r="AC56" s="15">
        <f>(Table50[[#This Row],[OpeningQty]]+Table50[[#This Row],[ClosingQty]])/2</f>
        <v>13</v>
      </c>
      <c r="AD56" s="15">
        <f>IFERROR(Table50[[#This Row],[UsageQty]]/Table50[[#This Row],[AVE INVENTORY]],0)</f>
        <v>0</v>
      </c>
      <c r="AE56" s="15">
        <f>IFERROR(Table50[[#This Row],[DATA POINT]]/Table50[[#This Row],[Inventory Turnover Rate]],0)</f>
        <v>0</v>
      </c>
      <c r="AF56" s="15" t="e">
        <f>Table50[[#This Row],[ClosingQty]]/Table50[[#This Row],[USAGE / DAY]]</f>
        <v>#DIV/0!</v>
      </c>
      <c r="AG56" s="15">
        <f>Table50[[#This Row],[USAGE / DAY]]*7</f>
        <v>0</v>
      </c>
      <c r="AH56" s="15">
        <f>Table50[[#This Row],[USAGE / DAY]]*3</f>
        <v>0</v>
      </c>
      <c r="AI5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56" s="15">
        <f>IFERROR(Table50[[#This Row],[ORDER QTY2]]*Table50[[#This Row],[COST PRICE]],0)</f>
        <v>0</v>
      </c>
      <c r="AK56" s="15">
        <f>(Table50[[#This Row],[REORDER POINT]]*Table50[[#This Row],[COST PRICE]])+Table50[[#This Row],[ORDER COST]]</f>
        <v>559</v>
      </c>
      <c r="AL56" s="15">
        <f t="shared" si="2"/>
        <v>100</v>
      </c>
      <c r="AM56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57" spans="1:39" x14ac:dyDescent="0.25">
      <c r="A57" t="s">
        <v>50</v>
      </c>
      <c r="B57" t="s">
        <v>74</v>
      </c>
      <c r="C57" t="s">
        <v>113</v>
      </c>
      <c r="D57" t="s">
        <v>76</v>
      </c>
      <c r="E57">
        <v>2.79</v>
      </c>
      <c r="F57">
        <v>353.07</v>
      </c>
      <c r="G57">
        <v>0</v>
      </c>
      <c r="H57">
        <v>0</v>
      </c>
      <c r="I57">
        <v>2.04</v>
      </c>
      <c r="J57">
        <v>258.16000000000003</v>
      </c>
      <c r="K57">
        <f>Table50[[#This Row],[OpeningQty]]+Table50[[#This Row],[PurchasesQty]]-Table50[[#This Row],[ClosingQty]]</f>
        <v>0.75</v>
      </c>
      <c r="L57">
        <v>94.91</v>
      </c>
      <c r="M57" s="14">
        <f>Table50[[#This Row],[Usage]]/$L$1</f>
        <v>1.4414925059400244E-4</v>
      </c>
      <c r="N57" s="15">
        <f>IFERROR(Table50[[#This Row],[Opening]]/Table50[[#This Row],[OpeningQty]],0)</f>
        <v>126.54838709677419</v>
      </c>
      <c r="O57" s="15">
        <f>IFERROR(Table50[[#This Row],[Purchases]]/Table50[[#This Row],[PurchasesQty]],0)</f>
        <v>0</v>
      </c>
      <c r="P57" s="15">
        <f>IFERROR(Table50[[#This Row],[Closing]]/Table50[[#This Row],[ClosingQty]],0)</f>
        <v>126.54901960784315</v>
      </c>
      <c r="Q57" s="15">
        <f>IFERROR(AVERAGEIF(Table50[[#This Row],[OPENING COST PRICE]:[CLOSING COST PRICE]],"&gt;0"),0)</f>
        <v>126.54870335230868</v>
      </c>
      <c r="R57" s="15">
        <f>IFERROR(Table50[[#This Row],[COST PRICE]]-IFERROR(Table50[[#This Row],[Usage]]/Table50[[#This Row],[UsageQty]],Table50[[#This Row],[COST PRICE]]),0)</f>
        <v>2.0366856420110935E-3</v>
      </c>
      <c r="S57" s="16">
        <f>IFERROR(Table50[[#This Row],[COST PRICE CHANGE]]/Table50[[#This Row],[OPENING COST PRICE]],0)</f>
        <v>1.6094125644237546E-5</v>
      </c>
      <c r="T57" s="15">
        <f>Table50[[#This Row],[ClosingQty]]-(Table50[[#This Row],[USAGE / DAY]]*(IF(Table50[[#This Row],[ccnt]]="BEV",Table50[[#This Row],[DELIVERY DAY]],Table50[[#This Row],[DELIVERY DAY]])))</f>
        <v>1.86</v>
      </c>
      <c r="U57" s="15">
        <f>ROUNDUP(Table50[[#This Row],[UsageQty]]/Table50[[#This Row],[DATA POINT]],2)</f>
        <v>6.0000000000000005E-2</v>
      </c>
      <c r="V5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57" s="15">
        <f>IFERROR(Table50[[#This Row],[ORDER QTY]]*Table50[[#This Row],[COST PRICE]],0)</f>
        <v>0</v>
      </c>
      <c r="X57" s="15">
        <f>IFERROR(VLOOKUP(C57,[1]!Table49[[#All],[name]:[USAGE / DAY]],19,FALSE),1)</f>
        <v>0.11</v>
      </c>
      <c r="Y57" s="4">
        <f>IFERROR((Table50[[#This Row],[USAGE / DAY]]-Table50[[#This Row],[USAGE / DAY 2]])/Table50[[#This Row],[USAGE / DAY 2]],0)</f>
        <v>-0.45454545454545453</v>
      </c>
      <c r="Z57" s="15">
        <f t="shared" si="0"/>
        <v>14</v>
      </c>
      <c r="AA57" s="15">
        <f t="shared" si="1"/>
        <v>9.311854181734148</v>
      </c>
      <c r="AB57" s="15">
        <f>IFERROR(IF(Table50[[#This Row],[ccnt]]="BEV",$AB$2,IF(Table50[[#This Row],[ccnt]]="FOOD",$AC$2,"ENTER # FROM LAST COUNT")),"ENTER # FROM LAST COUNT")</f>
        <v>3</v>
      </c>
      <c r="AC57" s="15">
        <f>(Table50[[#This Row],[OpeningQty]]+Table50[[#This Row],[ClosingQty]])/2</f>
        <v>2.415</v>
      </c>
      <c r="AD57" s="15">
        <f>IFERROR(Table50[[#This Row],[UsageQty]]/Table50[[#This Row],[AVE INVENTORY]],0)</f>
        <v>0.3105590062111801</v>
      </c>
      <c r="AE57" s="15">
        <f>IFERROR(Table50[[#This Row],[DATA POINT]]/Table50[[#This Row],[Inventory Turnover Rate]],0)</f>
        <v>45.080000000000005</v>
      </c>
      <c r="AF57" s="15">
        <f>Table50[[#This Row],[ClosingQty]]/Table50[[#This Row],[USAGE / DAY]]</f>
        <v>34</v>
      </c>
      <c r="AG57" s="15">
        <f>Table50[[#This Row],[USAGE / DAY]]*7</f>
        <v>0.42000000000000004</v>
      </c>
      <c r="AH57" s="15">
        <f>Table50[[#This Row],[USAGE / DAY]]*3</f>
        <v>0.18000000000000002</v>
      </c>
      <c r="AI5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57" s="15">
        <f>IFERROR(Table50[[#This Row],[ORDER QTY2]]*Table50[[#This Row],[COST PRICE]],0)</f>
        <v>0</v>
      </c>
      <c r="AK57" s="15">
        <f>(Table50[[#This Row],[REORDER POINT]]*Table50[[#This Row],[COST PRICE]])+Table50[[#This Row],[ORDER COST]]</f>
        <v>235.38058823529414</v>
      </c>
      <c r="AL57" s="15">
        <f t="shared" si="2"/>
        <v>100</v>
      </c>
      <c r="AM57" s="15">
        <f>IFERROR((Table50[[#This Row],[REORDER POINT]]+Table50[[#This Row],[ORDER QTY]])/(Table50[[#This Row],[USAGE / DAY]]*Table50[[#This Row],[DEMAND %]]),Table50[[#This Row],[REORDER POINT]]/Table50[[#This Row],[USAGE / DAY]])</f>
        <v>31</v>
      </c>
    </row>
    <row r="58" spans="1:39" x14ac:dyDescent="0.25">
      <c r="A58" t="s">
        <v>50</v>
      </c>
      <c r="B58" t="s">
        <v>74</v>
      </c>
      <c r="C58" t="s">
        <v>114</v>
      </c>
      <c r="D58" t="s">
        <v>76</v>
      </c>
      <c r="E58">
        <v>1.01</v>
      </c>
      <c r="F58">
        <v>59.59</v>
      </c>
      <c r="G58">
        <v>0</v>
      </c>
      <c r="H58">
        <v>0</v>
      </c>
      <c r="I58">
        <v>1</v>
      </c>
      <c r="J58">
        <v>59</v>
      </c>
      <c r="K58">
        <f>Table50[[#This Row],[OpeningQty]]+Table50[[#This Row],[PurchasesQty]]-Table50[[#This Row],[ClosingQty]]</f>
        <v>1.0000000000000009E-2</v>
      </c>
      <c r="L58">
        <v>0.59</v>
      </c>
      <c r="M58" s="14">
        <f>Table50[[#This Row],[Usage]]/$L$1</f>
        <v>8.9609164314046395E-7</v>
      </c>
      <c r="N58" s="15">
        <f>IFERROR(Table50[[#This Row],[Opening]]/Table50[[#This Row],[OpeningQty]],0)</f>
        <v>59</v>
      </c>
      <c r="O58" s="15">
        <f>IFERROR(Table50[[#This Row],[Purchases]]/Table50[[#This Row],[PurchasesQty]],0)</f>
        <v>0</v>
      </c>
      <c r="P58" s="15">
        <f>IFERROR(Table50[[#This Row],[Closing]]/Table50[[#This Row],[ClosingQty]],0)</f>
        <v>59</v>
      </c>
      <c r="Q58" s="15">
        <f>IFERROR(AVERAGEIF(Table50[[#This Row],[OPENING COST PRICE]:[CLOSING COST PRICE]],"&gt;0"),0)</f>
        <v>59</v>
      </c>
      <c r="R58" s="15">
        <f>IFERROR(Table50[[#This Row],[COST PRICE]]-IFERROR(Table50[[#This Row],[Usage]]/Table50[[#This Row],[UsageQty]],Table50[[#This Row],[COST PRICE]]),0)</f>
        <v>5.6843418860808015E-14</v>
      </c>
      <c r="S58" s="16">
        <f>IFERROR(Table50[[#This Row],[COST PRICE CHANGE]]/Table50[[#This Row],[OPENING COST PRICE]],0)</f>
        <v>9.6344777730183076E-16</v>
      </c>
      <c r="T58" s="15">
        <f>Table50[[#This Row],[ClosingQty]]-(Table50[[#This Row],[USAGE / DAY]]*(IF(Table50[[#This Row],[ccnt]]="BEV",Table50[[#This Row],[DELIVERY DAY]],Table50[[#This Row],[DELIVERY DAY]])))</f>
        <v>0.97</v>
      </c>
      <c r="U58" s="15">
        <f>ROUNDUP(Table50[[#This Row],[UsageQty]]/Table50[[#This Row],[DATA POINT]],2)</f>
        <v>0.01</v>
      </c>
      <c r="V5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58" s="15">
        <f>IFERROR(Table50[[#This Row],[ORDER QTY]]*Table50[[#This Row],[COST PRICE]],0)</f>
        <v>0</v>
      </c>
      <c r="X58" s="15">
        <f>IFERROR(VLOOKUP(C58,[1]!Table49[[#All],[name]:[USAGE / DAY]],19,FALSE),1)</f>
        <v>0.01</v>
      </c>
      <c r="Y58" s="4">
        <f>IFERROR((Table50[[#This Row],[USAGE / DAY]]-Table50[[#This Row],[USAGE / DAY 2]])/Table50[[#This Row],[USAGE / DAY 2]],0)</f>
        <v>0</v>
      </c>
      <c r="Z58" s="15">
        <f t="shared" si="0"/>
        <v>14</v>
      </c>
      <c r="AA58" s="15">
        <f t="shared" si="1"/>
        <v>9.311854181734148</v>
      </c>
      <c r="AB58" s="15">
        <f>IFERROR(IF(Table50[[#This Row],[ccnt]]="BEV",$AB$2,IF(Table50[[#This Row],[ccnt]]="FOOD",$AC$2,"ENTER # FROM LAST COUNT")),"ENTER # FROM LAST COUNT")</f>
        <v>3</v>
      </c>
      <c r="AC58" s="15">
        <f>(Table50[[#This Row],[OpeningQty]]+Table50[[#This Row],[ClosingQty]])/2</f>
        <v>1.0049999999999999</v>
      </c>
      <c r="AD58" s="15">
        <f>IFERROR(Table50[[#This Row],[UsageQty]]/Table50[[#This Row],[AVE INVENTORY]],0)</f>
        <v>9.9502487562189157E-3</v>
      </c>
      <c r="AE58" s="15">
        <f>IFERROR(Table50[[#This Row],[DATA POINT]]/Table50[[#This Row],[Inventory Turnover Rate]],0)</f>
        <v>1406.9999999999986</v>
      </c>
      <c r="AF58" s="15">
        <f>Table50[[#This Row],[ClosingQty]]/Table50[[#This Row],[USAGE / DAY]]</f>
        <v>100</v>
      </c>
      <c r="AG58" s="15">
        <f>Table50[[#This Row],[USAGE / DAY]]*7</f>
        <v>7.0000000000000007E-2</v>
      </c>
      <c r="AH58" s="15">
        <f>Table50[[#This Row],[USAGE / DAY]]*3</f>
        <v>0.03</v>
      </c>
      <c r="AI5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58" s="15">
        <f>IFERROR(Table50[[#This Row],[ORDER QTY2]]*Table50[[#This Row],[COST PRICE]],0)</f>
        <v>0</v>
      </c>
      <c r="AK58" s="15">
        <f>(Table50[[#This Row],[REORDER POINT]]*Table50[[#This Row],[COST PRICE]])+Table50[[#This Row],[ORDER COST]]</f>
        <v>57.23</v>
      </c>
      <c r="AL58" s="15">
        <f t="shared" si="2"/>
        <v>100</v>
      </c>
      <c r="AM58" s="15">
        <f>IFERROR((Table50[[#This Row],[REORDER POINT]]+Table50[[#This Row],[ORDER QTY]])/(Table50[[#This Row],[USAGE / DAY]]*Table50[[#This Row],[DEMAND %]]),Table50[[#This Row],[REORDER POINT]]/Table50[[#This Row],[USAGE / DAY]])</f>
        <v>97</v>
      </c>
    </row>
    <row r="59" spans="1:39" x14ac:dyDescent="0.25">
      <c r="A59" t="s">
        <v>50</v>
      </c>
      <c r="B59" t="s">
        <v>74</v>
      </c>
      <c r="C59" t="s">
        <v>115</v>
      </c>
      <c r="D59" t="s">
        <v>76</v>
      </c>
      <c r="E59">
        <v>2.2799999999999998</v>
      </c>
      <c r="F59">
        <v>134.52000000000001</v>
      </c>
      <c r="G59">
        <v>0</v>
      </c>
      <c r="H59">
        <v>0</v>
      </c>
      <c r="I59">
        <v>1.98</v>
      </c>
      <c r="J59">
        <v>116.82</v>
      </c>
      <c r="K59">
        <f>Table50[[#This Row],[OpeningQty]]+Table50[[#This Row],[PurchasesQty]]-Table50[[#This Row],[ClosingQty]]</f>
        <v>0.29999999999999982</v>
      </c>
      <c r="L59">
        <v>17.7</v>
      </c>
      <c r="M59" s="14">
        <f>Table50[[#This Row],[Usage]]/$L$1</f>
        <v>2.6882749294213919E-5</v>
      </c>
      <c r="N59" s="15">
        <f>IFERROR(Table50[[#This Row],[Opening]]/Table50[[#This Row],[OpeningQty]],0)</f>
        <v>59.000000000000007</v>
      </c>
      <c r="O59" s="15">
        <f>IFERROR(Table50[[#This Row],[Purchases]]/Table50[[#This Row],[PurchasesQty]],0)</f>
        <v>0</v>
      </c>
      <c r="P59" s="15">
        <f>IFERROR(Table50[[#This Row],[Closing]]/Table50[[#This Row],[ClosingQty]],0)</f>
        <v>59</v>
      </c>
      <c r="Q59" s="15">
        <f>IFERROR(AVERAGEIF(Table50[[#This Row],[OPENING COST PRICE]:[CLOSING COST PRICE]],"&gt;0"),0)</f>
        <v>59</v>
      </c>
      <c r="R59" s="15">
        <f>IFERROR(Table50[[#This Row],[COST PRICE]]-IFERROR(Table50[[#This Row],[Usage]]/Table50[[#This Row],[UsageQty]],Table50[[#This Row],[COST PRICE]]),0)</f>
        <v>-3.5527136788005009E-14</v>
      </c>
      <c r="S59" s="16">
        <f>IFERROR(Table50[[#This Row],[COST PRICE CHANGE]]/Table50[[#This Row],[OPENING COST PRICE]],0)</f>
        <v>-6.021548608136442E-16</v>
      </c>
      <c r="T59" s="15">
        <f>Table50[[#This Row],[ClosingQty]]-(Table50[[#This Row],[USAGE / DAY]]*(IF(Table50[[#This Row],[ccnt]]="BEV",Table50[[#This Row],[DELIVERY DAY]],Table50[[#This Row],[DELIVERY DAY]])))</f>
        <v>1.89</v>
      </c>
      <c r="U59" s="15">
        <f>ROUNDUP(Table50[[#This Row],[UsageQty]]/Table50[[#This Row],[DATA POINT]],2)</f>
        <v>0.03</v>
      </c>
      <c r="V5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59" s="15">
        <f>IFERROR(Table50[[#This Row],[ORDER QTY]]*Table50[[#This Row],[COST PRICE]],0)</f>
        <v>0</v>
      </c>
      <c r="X59" s="15">
        <f>IFERROR(VLOOKUP(C59,[1]!Table49[[#All],[name]:[USAGE / DAY]],19,FALSE),1)</f>
        <v>-0.02</v>
      </c>
      <c r="Y59" s="4">
        <f>IFERROR((Table50[[#This Row],[USAGE / DAY]]-Table50[[#This Row],[USAGE / DAY 2]])/Table50[[#This Row],[USAGE / DAY 2]],0)</f>
        <v>-2.5</v>
      </c>
      <c r="Z59" s="15">
        <f t="shared" si="0"/>
        <v>14</v>
      </c>
      <c r="AA59" s="15">
        <f t="shared" si="1"/>
        <v>9.311854181734148</v>
      </c>
      <c r="AB59" s="15">
        <f>IFERROR(IF(Table50[[#This Row],[ccnt]]="BEV",$AB$2,IF(Table50[[#This Row],[ccnt]]="FOOD",$AC$2,"ENTER # FROM LAST COUNT")),"ENTER # FROM LAST COUNT")</f>
        <v>3</v>
      </c>
      <c r="AC59" s="15">
        <f>(Table50[[#This Row],[OpeningQty]]+Table50[[#This Row],[ClosingQty]])/2</f>
        <v>2.13</v>
      </c>
      <c r="AD59" s="15">
        <f>IFERROR(Table50[[#This Row],[UsageQty]]/Table50[[#This Row],[AVE INVENTORY]],0)</f>
        <v>0.14084507042253513</v>
      </c>
      <c r="AE59" s="15">
        <f>IFERROR(Table50[[#This Row],[DATA POINT]]/Table50[[#This Row],[Inventory Turnover Rate]],0)</f>
        <v>99.400000000000048</v>
      </c>
      <c r="AF59" s="15">
        <f>Table50[[#This Row],[ClosingQty]]/Table50[[#This Row],[USAGE / DAY]]</f>
        <v>66</v>
      </c>
      <c r="AG59" s="15">
        <f>Table50[[#This Row],[USAGE / DAY]]*7</f>
        <v>0.21</v>
      </c>
      <c r="AH59" s="15">
        <f>Table50[[#This Row],[USAGE / DAY]]*3</f>
        <v>0.09</v>
      </c>
      <c r="AI5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59" s="15">
        <f>IFERROR(Table50[[#This Row],[ORDER QTY2]]*Table50[[#This Row],[COST PRICE]],0)</f>
        <v>0</v>
      </c>
      <c r="AK59" s="15">
        <f>(Table50[[#This Row],[REORDER POINT]]*Table50[[#This Row],[COST PRICE]])+Table50[[#This Row],[ORDER COST]]</f>
        <v>111.50999999999999</v>
      </c>
      <c r="AL59" s="15">
        <f t="shared" si="2"/>
        <v>100</v>
      </c>
      <c r="AM59" s="15">
        <f>IFERROR((Table50[[#This Row],[REORDER POINT]]+Table50[[#This Row],[ORDER QTY]])/(Table50[[#This Row],[USAGE / DAY]]*Table50[[#This Row],[DEMAND %]]),Table50[[#This Row],[REORDER POINT]]/Table50[[#This Row],[USAGE / DAY]])</f>
        <v>63</v>
      </c>
    </row>
    <row r="60" spans="1:39" x14ac:dyDescent="0.25">
      <c r="A60" t="s">
        <v>50</v>
      </c>
      <c r="B60" t="s">
        <v>74</v>
      </c>
      <c r="C60" t="s">
        <v>116</v>
      </c>
      <c r="D60" t="s">
        <v>76</v>
      </c>
      <c r="E60">
        <v>2.4</v>
      </c>
      <c r="F60">
        <v>141.6</v>
      </c>
      <c r="G60">
        <v>0</v>
      </c>
      <c r="H60">
        <v>0</v>
      </c>
      <c r="I60">
        <v>1.9</v>
      </c>
      <c r="J60">
        <v>112.1</v>
      </c>
      <c r="K60">
        <f>Table50[[#This Row],[OpeningQty]]+Table50[[#This Row],[PurchasesQty]]-Table50[[#This Row],[ClosingQty]]</f>
        <v>0.5</v>
      </c>
      <c r="L60">
        <v>29.5</v>
      </c>
      <c r="M60" s="14">
        <f>Table50[[#This Row],[Usage]]/$L$1</f>
        <v>4.4804582157023197E-5</v>
      </c>
      <c r="N60" s="15">
        <f>IFERROR(Table50[[#This Row],[Opening]]/Table50[[#This Row],[OpeningQty]],0)</f>
        <v>59</v>
      </c>
      <c r="O60" s="15">
        <f>IFERROR(Table50[[#This Row],[Purchases]]/Table50[[#This Row],[PurchasesQty]],0)</f>
        <v>0</v>
      </c>
      <c r="P60" s="15">
        <f>IFERROR(Table50[[#This Row],[Closing]]/Table50[[#This Row],[ClosingQty]],0)</f>
        <v>59</v>
      </c>
      <c r="Q60" s="15">
        <f>IFERROR(AVERAGEIF(Table50[[#This Row],[OPENING COST PRICE]:[CLOSING COST PRICE]],"&gt;0"),0)</f>
        <v>59</v>
      </c>
      <c r="R60" s="15">
        <f>IFERROR(Table50[[#This Row],[COST PRICE]]-IFERROR(Table50[[#This Row],[Usage]]/Table50[[#This Row],[UsageQty]],Table50[[#This Row],[COST PRICE]]),0)</f>
        <v>0</v>
      </c>
      <c r="S60" s="16">
        <f>IFERROR(Table50[[#This Row],[COST PRICE CHANGE]]/Table50[[#This Row],[OPENING COST PRICE]],0)</f>
        <v>0</v>
      </c>
      <c r="T60" s="15">
        <f>Table50[[#This Row],[ClosingQty]]-(Table50[[#This Row],[USAGE / DAY]]*(IF(Table50[[#This Row],[ccnt]]="BEV",Table50[[#This Row],[DELIVERY DAY]],Table50[[#This Row],[DELIVERY DAY]])))</f>
        <v>1.7799999999999998</v>
      </c>
      <c r="U60" s="15">
        <f>ROUNDUP(Table50[[#This Row],[UsageQty]]/Table50[[#This Row],[DATA POINT]],2)</f>
        <v>0.04</v>
      </c>
      <c r="V6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60" s="15">
        <f>IFERROR(Table50[[#This Row],[ORDER QTY]]*Table50[[#This Row],[COST PRICE]],0)</f>
        <v>0</v>
      </c>
      <c r="X60" s="15">
        <f>IFERROR(VLOOKUP(C60,[1]!Table49[[#All],[name]:[USAGE / DAY]],19,FALSE),1)</f>
        <v>-0.01</v>
      </c>
      <c r="Y60" s="4">
        <f>IFERROR((Table50[[#This Row],[USAGE / DAY]]-Table50[[#This Row],[USAGE / DAY 2]])/Table50[[#This Row],[USAGE / DAY 2]],0)</f>
        <v>-5</v>
      </c>
      <c r="Z60" s="15">
        <f t="shared" si="0"/>
        <v>14</v>
      </c>
      <c r="AA60" s="15">
        <f t="shared" si="1"/>
        <v>9.311854181734148</v>
      </c>
      <c r="AB60" s="15">
        <f>IFERROR(IF(Table50[[#This Row],[ccnt]]="BEV",$AB$2,IF(Table50[[#This Row],[ccnt]]="FOOD",$AC$2,"ENTER # FROM LAST COUNT")),"ENTER # FROM LAST COUNT")</f>
        <v>3</v>
      </c>
      <c r="AC60" s="15">
        <f>(Table50[[#This Row],[OpeningQty]]+Table50[[#This Row],[ClosingQty]])/2</f>
        <v>2.15</v>
      </c>
      <c r="AD60" s="15">
        <f>IFERROR(Table50[[#This Row],[UsageQty]]/Table50[[#This Row],[AVE INVENTORY]],0)</f>
        <v>0.23255813953488372</v>
      </c>
      <c r="AE60" s="15">
        <f>IFERROR(Table50[[#This Row],[DATA POINT]]/Table50[[#This Row],[Inventory Turnover Rate]],0)</f>
        <v>60.2</v>
      </c>
      <c r="AF60" s="15">
        <f>Table50[[#This Row],[ClosingQty]]/Table50[[#This Row],[USAGE / DAY]]</f>
        <v>47.5</v>
      </c>
      <c r="AG60" s="15">
        <f>Table50[[#This Row],[USAGE / DAY]]*7</f>
        <v>0.28000000000000003</v>
      </c>
      <c r="AH60" s="15">
        <f>Table50[[#This Row],[USAGE / DAY]]*3</f>
        <v>0.12</v>
      </c>
      <c r="AI6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60" s="15">
        <f>IFERROR(Table50[[#This Row],[ORDER QTY2]]*Table50[[#This Row],[COST PRICE]],0)</f>
        <v>0</v>
      </c>
      <c r="AK60" s="15">
        <f>(Table50[[#This Row],[REORDER POINT]]*Table50[[#This Row],[COST PRICE]])+Table50[[#This Row],[ORDER COST]]</f>
        <v>105.01999999999998</v>
      </c>
      <c r="AL60" s="15">
        <f t="shared" si="2"/>
        <v>100</v>
      </c>
      <c r="AM60" s="15">
        <f>IFERROR((Table50[[#This Row],[REORDER POINT]]+Table50[[#This Row],[ORDER QTY]])/(Table50[[#This Row],[USAGE / DAY]]*Table50[[#This Row],[DEMAND %]]),Table50[[#This Row],[REORDER POINT]]/Table50[[#This Row],[USAGE / DAY]])</f>
        <v>44.499999999999993</v>
      </c>
    </row>
    <row r="61" spans="1:39" x14ac:dyDescent="0.25">
      <c r="A61" t="s">
        <v>50</v>
      </c>
      <c r="B61" t="s">
        <v>74</v>
      </c>
      <c r="C61" t="s">
        <v>117</v>
      </c>
      <c r="D61" t="s">
        <v>76</v>
      </c>
      <c r="E61">
        <v>1.68</v>
      </c>
      <c r="F61">
        <v>99.12</v>
      </c>
      <c r="G61">
        <v>0</v>
      </c>
      <c r="H61">
        <v>0</v>
      </c>
      <c r="I61">
        <v>0.88</v>
      </c>
      <c r="J61">
        <v>51.92</v>
      </c>
      <c r="K61">
        <f>Table50[[#This Row],[OpeningQty]]+Table50[[#This Row],[PurchasesQty]]-Table50[[#This Row],[ClosingQty]]</f>
        <v>0.79999999999999993</v>
      </c>
      <c r="L61">
        <v>47.2</v>
      </c>
      <c r="M61" s="14">
        <f>Table50[[#This Row],[Usage]]/$L$1</f>
        <v>7.1687331451237123E-5</v>
      </c>
      <c r="N61" s="15">
        <f>IFERROR(Table50[[#This Row],[Opening]]/Table50[[#This Row],[OpeningQty]],0)</f>
        <v>59.000000000000007</v>
      </c>
      <c r="O61" s="15">
        <f>IFERROR(Table50[[#This Row],[Purchases]]/Table50[[#This Row],[PurchasesQty]],0)</f>
        <v>0</v>
      </c>
      <c r="P61" s="15">
        <f>IFERROR(Table50[[#This Row],[Closing]]/Table50[[#This Row],[ClosingQty]],0)</f>
        <v>59</v>
      </c>
      <c r="Q61" s="15">
        <f>IFERROR(AVERAGEIF(Table50[[#This Row],[OPENING COST PRICE]:[CLOSING COST PRICE]],"&gt;0"),0)</f>
        <v>59</v>
      </c>
      <c r="R61" s="15">
        <f>IFERROR(Table50[[#This Row],[COST PRICE]]-IFERROR(Table50[[#This Row],[Usage]]/Table50[[#This Row],[UsageQty]],Table50[[#This Row],[COST PRICE]]),0)</f>
        <v>-7.1054273576010019E-15</v>
      </c>
      <c r="S61" s="16">
        <f>IFERROR(Table50[[#This Row],[COST PRICE CHANGE]]/Table50[[#This Row],[OPENING COST PRICE]],0)</f>
        <v>-1.2043097216272882E-16</v>
      </c>
      <c r="T61" s="15">
        <f>Table50[[#This Row],[ClosingQty]]-(Table50[[#This Row],[USAGE / DAY]]*(IF(Table50[[#This Row],[ccnt]]="BEV",Table50[[#This Row],[DELIVERY DAY]],Table50[[#This Row],[DELIVERY DAY]])))</f>
        <v>0.7</v>
      </c>
      <c r="U61" s="15">
        <f>ROUNDUP(Table50[[#This Row],[UsageQty]]/Table50[[#This Row],[DATA POINT]],2)</f>
        <v>6.0000000000000005E-2</v>
      </c>
      <c r="V6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61" s="15">
        <f>IFERROR(Table50[[#This Row],[ORDER QTY]]*Table50[[#This Row],[COST PRICE]],0)</f>
        <v>0</v>
      </c>
      <c r="X61" s="15">
        <f>IFERROR(VLOOKUP(C61,[1]!Table49[[#All],[name]:[USAGE / DAY]],19,FALSE),1)</f>
        <v>0.05</v>
      </c>
      <c r="Y61" s="4">
        <f>IFERROR((Table50[[#This Row],[USAGE / DAY]]-Table50[[#This Row],[USAGE / DAY 2]])/Table50[[#This Row],[USAGE / DAY 2]],0)</f>
        <v>0.20000000000000004</v>
      </c>
      <c r="Z61" s="15">
        <f t="shared" si="0"/>
        <v>14</v>
      </c>
      <c r="AA61" s="15">
        <f t="shared" si="1"/>
        <v>9.311854181734148</v>
      </c>
      <c r="AB61" s="15">
        <f>IFERROR(IF(Table50[[#This Row],[ccnt]]="BEV",$AB$2,IF(Table50[[#This Row],[ccnt]]="FOOD",$AC$2,"ENTER # FROM LAST COUNT")),"ENTER # FROM LAST COUNT")</f>
        <v>3</v>
      </c>
      <c r="AC61" s="15">
        <f>(Table50[[#This Row],[OpeningQty]]+Table50[[#This Row],[ClosingQty]])/2</f>
        <v>1.28</v>
      </c>
      <c r="AD61" s="15">
        <f>IFERROR(Table50[[#This Row],[UsageQty]]/Table50[[#This Row],[AVE INVENTORY]],0)</f>
        <v>0.62499999999999989</v>
      </c>
      <c r="AE61" s="15">
        <f>IFERROR(Table50[[#This Row],[DATA POINT]]/Table50[[#This Row],[Inventory Turnover Rate]],0)</f>
        <v>22.400000000000006</v>
      </c>
      <c r="AF61" s="15">
        <f>Table50[[#This Row],[ClosingQty]]/Table50[[#This Row],[USAGE / DAY]]</f>
        <v>14.666666666666666</v>
      </c>
      <c r="AG61" s="15">
        <f>Table50[[#This Row],[USAGE / DAY]]*7</f>
        <v>0.42000000000000004</v>
      </c>
      <c r="AH61" s="15">
        <f>Table50[[#This Row],[USAGE / DAY]]*3</f>
        <v>0.18000000000000002</v>
      </c>
      <c r="AI6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61" s="15">
        <f>IFERROR(Table50[[#This Row],[ORDER QTY2]]*Table50[[#This Row],[COST PRICE]],0)</f>
        <v>0</v>
      </c>
      <c r="AK61" s="15">
        <f>(Table50[[#This Row],[REORDER POINT]]*Table50[[#This Row],[COST PRICE]])+Table50[[#This Row],[ORDER COST]]</f>
        <v>41.3</v>
      </c>
      <c r="AL61" s="15">
        <f t="shared" si="2"/>
        <v>100</v>
      </c>
      <c r="AM61" s="15">
        <f>IFERROR((Table50[[#This Row],[REORDER POINT]]+Table50[[#This Row],[ORDER QTY]])/(Table50[[#This Row],[USAGE / DAY]]*Table50[[#This Row],[DEMAND %]]),Table50[[#This Row],[REORDER POINT]]/Table50[[#This Row],[USAGE / DAY]])</f>
        <v>11.666666666666664</v>
      </c>
    </row>
    <row r="62" spans="1:39" x14ac:dyDescent="0.25">
      <c r="A62" t="s">
        <v>50</v>
      </c>
      <c r="B62" t="s">
        <v>74</v>
      </c>
      <c r="C62" t="s">
        <v>118</v>
      </c>
      <c r="D62" t="s">
        <v>76</v>
      </c>
      <c r="E62">
        <v>2.2000000000000002</v>
      </c>
      <c r="F62">
        <v>252.23</v>
      </c>
      <c r="G62">
        <v>7</v>
      </c>
      <c r="H62">
        <v>802.51</v>
      </c>
      <c r="I62">
        <v>4.9400000000000004</v>
      </c>
      <c r="J62">
        <v>566.32000000000005</v>
      </c>
      <c r="K62">
        <f>Table50[[#This Row],[OpeningQty]]+Table50[[#This Row],[PurchasesQty]]-Table50[[#This Row],[ClosingQty]]</f>
        <v>4.2599999999999989</v>
      </c>
      <c r="L62">
        <v>488.42</v>
      </c>
      <c r="M62" s="14">
        <f>Table50[[#This Row],[Usage]]/$L$1</f>
        <v>7.4181200058078889E-4</v>
      </c>
      <c r="N62" s="15">
        <f>IFERROR(Table50[[#This Row],[Opening]]/Table50[[#This Row],[OpeningQty]],0)</f>
        <v>114.64999999999999</v>
      </c>
      <c r="O62" s="15">
        <f>IFERROR(Table50[[#This Row],[Purchases]]/Table50[[#This Row],[PurchasesQty]],0)</f>
        <v>114.64428571428572</v>
      </c>
      <c r="P62" s="15">
        <f>IFERROR(Table50[[#This Row],[Closing]]/Table50[[#This Row],[ClosingQty]],0)</f>
        <v>114.63967611336032</v>
      </c>
      <c r="Q62" s="15">
        <f>IFERROR(AVERAGEIF(Table50[[#This Row],[OPENING COST PRICE]:[CLOSING COST PRICE]],"&gt;0"),0)</f>
        <v>114.64465394254869</v>
      </c>
      <c r="R62" s="15">
        <f>IFERROR(Table50[[#This Row],[COST PRICE]]-IFERROR(Table50[[#This Row],[Usage]]/Table50[[#This Row],[UsageQty]],Table50[[#This Row],[COST PRICE]]),0)</f>
        <v>-7.9282170757579706E-3</v>
      </c>
      <c r="S62" s="16">
        <f>IFERROR(Table50[[#This Row],[COST PRICE CHANGE]]/Table50[[#This Row],[OPENING COST PRICE]],0)</f>
        <v>-6.915147907333599E-5</v>
      </c>
      <c r="T62" s="15">
        <f>Table50[[#This Row],[ClosingQty]]-(Table50[[#This Row],[USAGE / DAY]]*(IF(Table50[[#This Row],[ccnt]]="BEV",Table50[[#This Row],[DELIVERY DAY]],Table50[[#This Row],[DELIVERY DAY]])))</f>
        <v>4.0100000000000007</v>
      </c>
      <c r="U62" s="15">
        <f>ROUNDUP(Table50[[#This Row],[UsageQty]]/Table50[[#This Row],[DATA POINT]],2)</f>
        <v>0.31</v>
      </c>
      <c r="V6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62" s="15">
        <f>IFERROR(Table50[[#This Row],[ORDER QTY]]*Table50[[#This Row],[COST PRICE]],0)</f>
        <v>0</v>
      </c>
      <c r="X62" s="15">
        <f>IFERROR(VLOOKUP(C62,[1]!Table49[[#All],[name]:[USAGE / DAY]],19,FALSE),1)</f>
        <v>0.41000000000000003</v>
      </c>
      <c r="Y62" s="4">
        <f>IFERROR((Table50[[#This Row],[USAGE / DAY]]-Table50[[#This Row],[USAGE / DAY 2]])/Table50[[#This Row],[USAGE / DAY 2]],0)</f>
        <v>-0.24390243902439029</v>
      </c>
      <c r="Z62" s="15">
        <f t="shared" si="0"/>
        <v>14</v>
      </c>
      <c r="AA62" s="15">
        <f t="shared" si="1"/>
        <v>9.311854181734148</v>
      </c>
      <c r="AB62" s="15">
        <f>IFERROR(IF(Table50[[#This Row],[ccnt]]="BEV",$AB$2,IF(Table50[[#This Row],[ccnt]]="FOOD",$AC$2,"ENTER # FROM LAST COUNT")),"ENTER # FROM LAST COUNT")</f>
        <v>3</v>
      </c>
      <c r="AC62" s="15">
        <f>(Table50[[#This Row],[OpeningQty]]+Table50[[#This Row],[ClosingQty]])/2</f>
        <v>3.5700000000000003</v>
      </c>
      <c r="AD62" s="15">
        <f>IFERROR(Table50[[#This Row],[UsageQty]]/Table50[[#This Row],[AVE INVENTORY]],0)</f>
        <v>1.1932773109243693</v>
      </c>
      <c r="AE62" s="15">
        <f>IFERROR(Table50[[#This Row],[DATA POINT]]/Table50[[#This Row],[Inventory Turnover Rate]],0)</f>
        <v>11.732394366197187</v>
      </c>
      <c r="AF62" s="15">
        <f>Table50[[#This Row],[ClosingQty]]/Table50[[#This Row],[USAGE / DAY]]</f>
        <v>15.935483870967744</v>
      </c>
      <c r="AG62" s="15">
        <f>Table50[[#This Row],[USAGE / DAY]]*7</f>
        <v>2.17</v>
      </c>
      <c r="AH62" s="15">
        <f>Table50[[#This Row],[USAGE / DAY]]*3</f>
        <v>0.92999999999999994</v>
      </c>
      <c r="AI6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62" s="15">
        <f>IFERROR(Table50[[#This Row],[ORDER QTY2]]*Table50[[#This Row],[COST PRICE]],0)</f>
        <v>0</v>
      </c>
      <c r="AK62" s="15">
        <f>(Table50[[#This Row],[REORDER POINT]]*Table50[[#This Row],[COST PRICE]])+Table50[[#This Row],[ORDER COST]]</f>
        <v>459.72506230962028</v>
      </c>
      <c r="AL62" s="15">
        <f t="shared" si="2"/>
        <v>100</v>
      </c>
      <c r="AM62" s="15">
        <f>IFERROR((Table50[[#This Row],[REORDER POINT]]+Table50[[#This Row],[ORDER QTY]])/(Table50[[#This Row],[USAGE / DAY]]*Table50[[#This Row],[DEMAND %]]),Table50[[#This Row],[REORDER POINT]]/Table50[[#This Row],[USAGE / DAY]])</f>
        <v>12.935483870967744</v>
      </c>
    </row>
    <row r="63" spans="1:39" x14ac:dyDescent="0.25">
      <c r="A63" t="s">
        <v>50</v>
      </c>
      <c r="B63" t="s">
        <v>74</v>
      </c>
      <c r="C63" t="s">
        <v>119</v>
      </c>
      <c r="D63" t="s">
        <v>62</v>
      </c>
      <c r="E63">
        <v>0.97</v>
      </c>
      <c r="F63">
        <v>119.31</v>
      </c>
      <c r="G63">
        <v>6</v>
      </c>
      <c r="H63">
        <v>738</v>
      </c>
      <c r="I63">
        <v>3.6</v>
      </c>
      <c r="J63">
        <v>442.8</v>
      </c>
      <c r="K63">
        <f>Table50[[#This Row],[OpeningQty]]+Table50[[#This Row],[PurchasesQty]]-Table50[[#This Row],[ClosingQty]]</f>
        <v>3.3699999999999997</v>
      </c>
      <c r="L63">
        <v>414.51</v>
      </c>
      <c r="M63" s="14">
        <f>Table50[[#This Row],[Usage]]/$L$1</f>
        <v>6.295575372850063E-4</v>
      </c>
      <c r="N63" s="15">
        <f>IFERROR(Table50[[#This Row],[Opening]]/Table50[[#This Row],[OpeningQty]],0)</f>
        <v>123</v>
      </c>
      <c r="O63" s="15">
        <f>IFERROR(Table50[[#This Row],[Purchases]]/Table50[[#This Row],[PurchasesQty]],0)</f>
        <v>123</v>
      </c>
      <c r="P63" s="15">
        <f>IFERROR(Table50[[#This Row],[Closing]]/Table50[[#This Row],[ClosingQty]],0)</f>
        <v>123</v>
      </c>
      <c r="Q63" s="15">
        <f>IFERROR(AVERAGEIF(Table50[[#This Row],[OPENING COST PRICE]:[CLOSING COST PRICE]],"&gt;0"),0)</f>
        <v>123</v>
      </c>
      <c r="R63" s="15">
        <f>IFERROR(Table50[[#This Row],[COST PRICE]]-IFERROR(Table50[[#This Row],[Usage]]/Table50[[#This Row],[UsageQty]],Table50[[#This Row],[COST PRICE]]),0)</f>
        <v>-1.4210854715202004E-14</v>
      </c>
      <c r="S63" s="16">
        <f>IFERROR(Table50[[#This Row],[COST PRICE CHANGE]]/Table50[[#This Row],[OPENING COST PRICE]],0)</f>
        <v>-1.1553540418863419E-16</v>
      </c>
      <c r="T63" s="15">
        <f>Table50[[#This Row],[ClosingQty]]-(Table50[[#This Row],[USAGE / DAY]]*(IF(Table50[[#This Row],[ccnt]]="BEV",Table50[[#This Row],[DELIVERY DAY]],Table50[[#This Row],[DELIVERY DAY]])))</f>
        <v>2.85</v>
      </c>
      <c r="U63" s="15">
        <f>ROUNDUP(Table50[[#This Row],[UsageQty]]/Table50[[#This Row],[DATA POINT]],2)</f>
        <v>0.25</v>
      </c>
      <c r="V6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63" s="15">
        <f>IFERROR(Table50[[#This Row],[ORDER QTY]]*Table50[[#This Row],[COST PRICE]],0)</f>
        <v>0</v>
      </c>
      <c r="X63" s="15">
        <f>IFERROR(VLOOKUP(C63,[1]!Table49[[#All],[name]:[USAGE / DAY]],19,FALSE),1)</f>
        <v>0.25</v>
      </c>
      <c r="Y63" s="4">
        <f>IFERROR((Table50[[#This Row],[USAGE / DAY]]-Table50[[#This Row],[USAGE / DAY 2]])/Table50[[#This Row],[USAGE / DAY 2]],0)</f>
        <v>0</v>
      </c>
      <c r="Z63" s="15">
        <f t="shared" si="0"/>
        <v>14</v>
      </c>
      <c r="AA63" s="15">
        <f t="shared" si="1"/>
        <v>9.311854181734148</v>
      </c>
      <c r="AB63" s="15">
        <f>IFERROR(IF(Table50[[#This Row],[ccnt]]="BEV",$AB$2,IF(Table50[[#This Row],[ccnt]]="FOOD",$AC$2,"ENTER # FROM LAST COUNT")),"ENTER # FROM LAST COUNT")</f>
        <v>3</v>
      </c>
      <c r="AC63" s="15">
        <f>(Table50[[#This Row],[OpeningQty]]+Table50[[#This Row],[ClosingQty]])/2</f>
        <v>2.2850000000000001</v>
      </c>
      <c r="AD63" s="15">
        <f>IFERROR(Table50[[#This Row],[UsageQty]]/Table50[[#This Row],[AVE INVENTORY]],0)</f>
        <v>1.4748358862144417</v>
      </c>
      <c r="AE63" s="15">
        <f>IFERROR(Table50[[#This Row],[DATA POINT]]/Table50[[#This Row],[Inventory Turnover Rate]],0)</f>
        <v>9.4925816023738889</v>
      </c>
      <c r="AF63" s="15">
        <f>Table50[[#This Row],[ClosingQty]]/Table50[[#This Row],[USAGE / DAY]]</f>
        <v>14.4</v>
      </c>
      <c r="AG63" s="15">
        <f>Table50[[#This Row],[USAGE / DAY]]*7</f>
        <v>1.75</v>
      </c>
      <c r="AH63" s="15">
        <f>Table50[[#This Row],[USAGE / DAY]]*3</f>
        <v>0.75</v>
      </c>
      <c r="AI6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63" s="15">
        <f>IFERROR(Table50[[#This Row],[ORDER QTY2]]*Table50[[#This Row],[COST PRICE]],0)</f>
        <v>0</v>
      </c>
      <c r="AK63" s="15">
        <f>(Table50[[#This Row],[REORDER POINT]]*Table50[[#This Row],[COST PRICE]])+Table50[[#This Row],[ORDER COST]]</f>
        <v>350.55</v>
      </c>
      <c r="AL63" s="15">
        <f t="shared" si="2"/>
        <v>100</v>
      </c>
      <c r="AM63" s="15">
        <f>IFERROR((Table50[[#This Row],[REORDER POINT]]+Table50[[#This Row],[ORDER QTY]])/(Table50[[#This Row],[USAGE / DAY]]*Table50[[#This Row],[DEMAND %]]),Table50[[#This Row],[REORDER POINT]]/Table50[[#This Row],[USAGE / DAY]])</f>
        <v>11.4</v>
      </c>
    </row>
    <row r="64" spans="1:39" x14ac:dyDescent="0.25">
      <c r="A64" t="s">
        <v>50</v>
      </c>
      <c r="B64" t="s">
        <v>74</v>
      </c>
      <c r="C64" t="s">
        <v>120</v>
      </c>
      <c r="D64" t="s">
        <v>76</v>
      </c>
      <c r="E64">
        <v>1.24</v>
      </c>
      <c r="F64">
        <v>208.32</v>
      </c>
      <c r="G64">
        <v>2</v>
      </c>
      <c r="H64">
        <v>275.88</v>
      </c>
      <c r="I64">
        <v>2</v>
      </c>
      <c r="J64">
        <v>336</v>
      </c>
      <c r="K64">
        <f>Table50[[#This Row],[OpeningQty]]+Table50[[#This Row],[PurchasesQty]]-Table50[[#This Row],[ClosingQty]]</f>
        <v>1.2400000000000002</v>
      </c>
      <c r="L64">
        <v>148.19999999999999</v>
      </c>
      <c r="M64" s="14">
        <f>Table50[[#This Row],[Usage]]/$L$1</f>
        <v>2.250860703617233E-4</v>
      </c>
      <c r="N64" s="15">
        <f>IFERROR(Table50[[#This Row],[Opening]]/Table50[[#This Row],[OpeningQty]],0)</f>
        <v>168</v>
      </c>
      <c r="O64" s="15">
        <f>IFERROR(Table50[[#This Row],[Purchases]]/Table50[[#This Row],[PurchasesQty]],0)</f>
        <v>137.94</v>
      </c>
      <c r="P64" s="15">
        <f>IFERROR(Table50[[#This Row],[Closing]]/Table50[[#This Row],[ClosingQty]],0)</f>
        <v>168</v>
      </c>
      <c r="Q64" s="15">
        <f>IFERROR(AVERAGEIF(Table50[[#This Row],[OPENING COST PRICE]:[CLOSING COST PRICE]],"&gt;0"),0)</f>
        <v>157.97999999999999</v>
      </c>
      <c r="R64" s="15">
        <f>IFERROR(Table50[[#This Row],[COST PRICE]]-IFERROR(Table50[[#This Row],[Usage]]/Table50[[#This Row],[UsageQty]],Table50[[#This Row],[COST PRICE]]),0)</f>
        <v>38.463870967741954</v>
      </c>
      <c r="S64" s="16">
        <f>IFERROR(Table50[[#This Row],[COST PRICE CHANGE]]/Table50[[#This Row],[OPENING COST PRICE]],0)</f>
        <v>0.22895161290322591</v>
      </c>
      <c r="T64" s="15">
        <f>Table50[[#This Row],[ClosingQty]]-(Table50[[#This Row],[USAGE / DAY]]*(IF(Table50[[#This Row],[ccnt]]="BEV",Table50[[#This Row],[DELIVERY DAY]],Table50[[#This Row],[DELIVERY DAY]])))</f>
        <v>1.73</v>
      </c>
      <c r="U64" s="15">
        <f>ROUNDUP(Table50[[#This Row],[UsageQty]]/Table50[[#This Row],[DATA POINT]],2)</f>
        <v>0.09</v>
      </c>
      <c r="V6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64" s="15">
        <f>IFERROR(Table50[[#This Row],[ORDER QTY]]*Table50[[#This Row],[COST PRICE]],0)</f>
        <v>0</v>
      </c>
      <c r="X64" s="15">
        <f>IFERROR(VLOOKUP(C64,[1]!Table49[[#All],[name]:[USAGE / DAY]],19,FALSE),1)</f>
        <v>0.14000000000000001</v>
      </c>
      <c r="Y64" s="4">
        <f>IFERROR((Table50[[#This Row],[USAGE / DAY]]-Table50[[#This Row],[USAGE / DAY 2]])/Table50[[#This Row],[USAGE / DAY 2]],0)</f>
        <v>-0.35714285714285721</v>
      </c>
      <c r="Z64" s="15">
        <f t="shared" si="0"/>
        <v>14</v>
      </c>
      <c r="AA64" s="15">
        <f t="shared" si="1"/>
        <v>9.311854181734148</v>
      </c>
      <c r="AB64" s="15">
        <f>IFERROR(IF(Table50[[#This Row],[ccnt]]="BEV",$AB$2,IF(Table50[[#This Row],[ccnt]]="FOOD",$AC$2,"ENTER # FROM LAST COUNT")),"ENTER # FROM LAST COUNT")</f>
        <v>3</v>
      </c>
      <c r="AC64" s="15">
        <f>(Table50[[#This Row],[OpeningQty]]+Table50[[#This Row],[ClosingQty]])/2</f>
        <v>1.62</v>
      </c>
      <c r="AD64" s="15">
        <f>IFERROR(Table50[[#This Row],[UsageQty]]/Table50[[#This Row],[AVE INVENTORY]],0)</f>
        <v>0.76543209876543217</v>
      </c>
      <c r="AE64" s="15">
        <f>IFERROR(Table50[[#This Row],[DATA POINT]]/Table50[[#This Row],[Inventory Turnover Rate]],0)</f>
        <v>18.29032258064516</v>
      </c>
      <c r="AF64" s="15">
        <f>Table50[[#This Row],[ClosingQty]]/Table50[[#This Row],[USAGE / DAY]]</f>
        <v>22.222222222222221</v>
      </c>
      <c r="AG64" s="15">
        <f>Table50[[#This Row],[USAGE / DAY]]*7</f>
        <v>0.63</v>
      </c>
      <c r="AH64" s="15">
        <f>Table50[[#This Row],[USAGE / DAY]]*3</f>
        <v>0.27</v>
      </c>
      <c r="AI6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64" s="15">
        <f>IFERROR(Table50[[#This Row],[ORDER QTY2]]*Table50[[#This Row],[COST PRICE]],0)</f>
        <v>0</v>
      </c>
      <c r="AK64" s="15">
        <f>(Table50[[#This Row],[REORDER POINT]]*Table50[[#This Row],[COST PRICE]])+Table50[[#This Row],[ORDER COST]]</f>
        <v>273.30539999999996</v>
      </c>
      <c r="AL64" s="15">
        <f t="shared" si="2"/>
        <v>100</v>
      </c>
      <c r="AM64" s="15">
        <f>IFERROR((Table50[[#This Row],[REORDER POINT]]+Table50[[#This Row],[ORDER QTY]])/(Table50[[#This Row],[USAGE / DAY]]*Table50[[#This Row],[DEMAND %]]),Table50[[#This Row],[REORDER POINT]]/Table50[[#This Row],[USAGE / DAY]])</f>
        <v>19.222222222222221</v>
      </c>
    </row>
    <row r="65" spans="1:39" x14ac:dyDescent="0.25">
      <c r="A65" t="s">
        <v>50</v>
      </c>
      <c r="B65" t="s">
        <v>74</v>
      </c>
      <c r="C65" t="s">
        <v>121</v>
      </c>
      <c r="D65" t="s">
        <v>53</v>
      </c>
      <c r="E65">
        <v>48</v>
      </c>
      <c r="F65">
        <v>270.24</v>
      </c>
      <c r="G65">
        <v>96</v>
      </c>
      <c r="H65">
        <v>540</v>
      </c>
      <c r="I65">
        <v>60</v>
      </c>
      <c r="J65">
        <v>337.8</v>
      </c>
      <c r="K65">
        <f>Table50[[#This Row],[OpeningQty]]+Table50[[#This Row],[PurchasesQty]]-Table50[[#This Row],[ClosingQty]]</f>
        <v>84</v>
      </c>
      <c r="L65">
        <v>472.44</v>
      </c>
      <c r="M65" s="14">
        <f>Table50[[#This Row],[Usage]]/$L$1</f>
        <v>7.1754158624623865E-4</v>
      </c>
      <c r="N65" s="15">
        <f>IFERROR(Table50[[#This Row],[Opening]]/Table50[[#This Row],[OpeningQty]],0)</f>
        <v>5.63</v>
      </c>
      <c r="O65" s="15">
        <f>IFERROR(Table50[[#This Row],[Purchases]]/Table50[[#This Row],[PurchasesQty]],0)</f>
        <v>5.625</v>
      </c>
      <c r="P65" s="15">
        <f>IFERROR(Table50[[#This Row],[Closing]]/Table50[[#This Row],[ClosingQty]],0)</f>
        <v>5.63</v>
      </c>
      <c r="Q65" s="15">
        <f>IFERROR(AVERAGEIF(Table50[[#This Row],[OPENING COST PRICE]:[CLOSING COST PRICE]],"&gt;0"),0)</f>
        <v>5.628333333333333</v>
      </c>
      <c r="R65" s="15">
        <f>IFERROR(Table50[[#This Row],[COST PRICE]]-IFERROR(Table50[[#This Row],[Usage]]/Table50[[#This Row],[UsageQty]],Table50[[#This Row],[COST PRICE]]),0)</f>
        <v>4.0476190476184115E-3</v>
      </c>
      <c r="S65" s="16">
        <f>IFERROR(Table50[[#This Row],[COST PRICE CHANGE]]/Table50[[#This Row],[OPENING COST PRICE]],0)</f>
        <v>7.1893766387538392E-4</v>
      </c>
      <c r="T65" s="15">
        <f>Table50[[#This Row],[ClosingQty]]-(Table50[[#This Row],[USAGE / DAY]]*(IF(Table50[[#This Row],[ccnt]]="BEV",Table50[[#This Row],[DELIVERY DAY]],Table50[[#This Row],[DELIVERY DAY]])))</f>
        <v>42</v>
      </c>
      <c r="U65" s="15">
        <f>ROUNDUP(Table50[[#This Row],[UsageQty]]/Table50[[#This Row],[DATA POINT]],2)</f>
        <v>6</v>
      </c>
      <c r="V6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14</v>
      </c>
      <c r="W65" s="15">
        <f>IFERROR(Table50[[#This Row],[ORDER QTY]]*Table50[[#This Row],[COST PRICE]],0)</f>
        <v>78.796666666666667</v>
      </c>
      <c r="X65" s="15">
        <f>IFERROR(VLOOKUP(C65,[1]!Table49[[#All],[name]:[USAGE / DAY]],19,FALSE),1)</f>
        <v>6.27</v>
      </c>
      <c r="Y65" s="4">
        <f>IFERROR((Table50[[#This Row],[USAGE / DAY]]-Table50[[#This Row],[USAGE / DAY 2]])/Table50[[#This Row],[USAGE / DAY 2]],0)</f>
        <v>-4.3062200956937732E-2</v>
      </c>
      <c r="Z65" s="15">
        <f t="shared" si="0"/>
        <v>14</v>
      </c>
      <c r="AA65" s="15">
        <f t="shared" si="1"/>
        <v>9.311854181734148</v>
      </c>
      <c r="AB65" s="15">
        <f>IFERROR(IF(Table50[[#This Row],[ccnt]]="BEV",$AB$2,IF(Table50[[#This Row],[ccnt]]="FOOD",$AC$2,"ENTER # FROM LAST COUNT")),"ENTER # FROM LAST COUNT")</f>
        <v>3</v>
      </c>
      <c r="AC65" s="15">
        <f>(Table50[[#This Row],[OpeningQty]]+Table50[[#This Row],[ClosingQty]])/2</f>
        <v>54</v>
      </c>
      <c r="AD65" s="15">
        <f>IFERROR(Table50[[#This Row],[UsageQty]]/Table50[[#This Row],[AVE INVENTORY]],0)</f>
        <v>1.5555555555555556</v>
      </c>
      <c r="AE65" s="15">
        <f>IFERROR(Table50[[#This Row],[DATA POINT]]/Table50[[#This Row],[Inventory Turnover Rate]],0)</f>
        <v>9</v>
      </c>
      <c r="AF65" s="15">
        <f>Table50[[#This Row],[ClosingQty]]/Table50[[#This Row],[USAGE / DAY]]</f>
        <v>10</v>
      </c>
      <c r="AG65" s="15">
        <f>Table50[[#This Row],[USAGE / DAY]]*7</f>
        <v>42</v>
      </c>
      <c r="AH65" s="15">
        <f>Table50[[#This Row],[USAGE / DAY]]*3</f>
        <v>18</v>
      </c>
      <c r="AI6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65" s="15">
        <f>IFERROR(Table50[[#This Row],[ORDER QTY2]]*Table50[[#This Row],[COST PRICE]],0)</f>
        <v>0</v>
      </c>
      <c r="AK65" s="15">
        <f>(Table50[[#This Row],[REORDER POINT]]*Table50[[#This Row],[COST PRICE]])+Table50[[#This Row],[ORDER COST]]</f>
        <v>315.18666666666667</v>
      </c>
      <c r="AL65" s="15">
        <f t="shared" si="2"/>
        <v>100</v>
      </c>
      <c r="AM65" s="15">
        <f>IFERROR((Table50[[#This Row],[REORDER POINT]]+Table50[[#This Row],[ORDER QTY]])/(Table50[[#This Row],[USAGE / DAY]]*Table50[[#This Row],[DEMAND %]]),Table50[[#This Row],[REORDER POINT]]/Table50[[#This Row],[USAGE / DAY]])</f>
        <v>9.3333333333333338E-2</v>
      </c>
    </row>
    <row r="66" spans="1:39" x14ac:dyDescent="0.25">
      <c r="A66" t="s">
        <v>50</v>
      </c>
      <c r="B66" t="s">
        <v>74</v>
      </c>
      <c r="C66" t="s">
        <v>122</v>
      </c>
      <c r="D66" t="s">
        <v>53</v>
      </c>
      <c r="E66">
        <v>15</v>
      </c>
      <c r="F66">
        <v>152.55000000000001</v>
      </c>
      <c r="G66">
        <v>48</v>
      </c>
      <c r="H66">
        <v>488</v>
      </c>
      <c r="I66">
        <v>31</v>
      </c>
      <c r="J66">
        <v>315.27</v>
      </c>
      <c r="K66">
        <f>Table50[[#This Row],[OpeningQty]]+Table50[[#This Row],[PurchasesQty]]-Table50[[#This Row],[ClosingQty]]</f>
        <v>32</v>
      </c>
      <c r="L66">
        <v>325.27999999999997</v>
      </c>
      <c r="M66" s="14">
        <f>Table50[[#This Row],[Usage]]/$L$1</f>
        <v>4.9403506725547472E-4</v>
      </c>
      <c r="N66" s="15">
        <f>IFERROR(Table50[[#This Row],[Opening]]/Table50[[#This Row],[OpeningQty]],0)</f>
        <v>10.17</v>
      </c>
      <c r="O66" s="15">
        <f>IFERROR(Table50[[#This Row],[Purchases]]/Table50[[#This Row],[PurchasesQty]],0)</f>
        <v>10.166666666666666</v>
      </c>
      <c r="P66" s="15">
        <f>IFERROR(Table50[[#This Row],[Closing]]/Table50[[#This Row],[ClosingQty]],0)</f>
        <v>10.17</v>
      </c>
      <c r="Q66" s="15">
        <f>IFERROR(AVERAGEIF(Table50[[#This Row],[OPENING COST PRICE]:[CLOSING COST PRICE]],"&gt;0"),0)</f>
        <v>10.168888888888889</v>
      </c>
      <c r="R66" s="15">
        <f>IFERROR(Table50[[#This Row],[COST PRICE]]-IFERROR(Table50[[#This Row],[Usage]]/Table50[[#This Row],[UsageQty]],Table50[[#This Row],[COST PRICE]]),0)</f>
        <v>3.8888888888894968E-3</v>
      </c>
      <c r="S66" s="16">
        <f>IFERROR(Table50[[#This Row],[COST PRICE CHANGE]]/Table50[[#This Row],[OPENING COST PRICE]],0)</f>
        <v>3.8238828799306754E-4</v>
      </c>
      <c r="T66" s="15">
        <f>Table50[[#This Row],[ClosingQty]]-(Table50[[#This Row],[USAGE / DAY]]*(IF(Table50[[#This Row],[ccnt]]="BEV",Table50[[#This Row],[DELIVERY DAY]],Table50[[#This Row],[DELIVERY DAY]])))</f>
        <v>24.130000000000003</v>
      </c>
      <c r="U66" s="15">
        <f>ROUNDUP(Table50[[#This Row],[UsageQty]]/Table50[[#This Row],[DATA POINT]],2)</f>
        <v>2.2899999999999996</v>
      </c>
      <c r="V6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66" s="15">
        <f>IFERROR(Table50[[#This Row],[ORDER QTY]]*Table50[[#This Row],[COST PRICE]],0)</f>
        <v>0</v>
      </c>
      <c r="X66" s="15">
        <f>IFERROR(VLOOKUP(C66,[1]!Table49[[#All],[name]:[USAGE / DAY]],19,FALSE),1)</f>
        <v>2.8699999999999997</v>
      </c>
      <c r="Y66" s="4">
        <f>IFERROR((Table50[[#This Row],[USAGE / DAY]]-Table50[[#This Row],[USAGE / DAY 2]])/Table50[[#This Row],[USAGE / DAY 2]],0)</f>
        <v>-0.20209059233449483</v>
      </c>
      <c r="Z66" s="15">
        <f t="shared" si="0"/>
        <v>14</v>
      </c>
      <c r="AA66" s="15">
        <f t="shared" si="1"/>
        <v>9.311854181734148</v>
      </c>
      <c r="AB66" s="15">
        <f>IFERROR(IF(Table50[[#This Row],[ccnt]]="BEV",$AB$2,IF(Table50[[#This Row],[ccnt]]="FOOD",$AC$2,"ENTER # FROM LAST COUNT")),"ENTER # FROM LAST COUNT")</f>
        <v>3</v>
      </c>
      <c r="AC66" s="15">
        <f>(Table50[[#This Row],[OpeningQty]]+Table50[[#This Row],[ClosingQty]])/2</f>
        <v>23</v>
      </c>
      <c r="AD66" s="15">
        <f>IFERROR(Table50[[#This Row],[UsageQty]]/Table50[[#This Row],[AVE INVENTORY]],0)</f>
        <v>1.3913043478260869</v>
      </c>
      <c r="AE66" s="15">
        <f>IFERROR(Table50[[#This Row],[DATA POINT]]/Table50[[#This Row],[Inventory Turnover Rate]],0)</f>
        <v>10.0625</v>
      </c>
      <c r="AF66" s="15">
        <f>Table50[[#This Row],[ClosingQty]]/Table50[[#This Row],[USAGE / DAY]]</f>
        <v>13.537117903930133</v>
      </c>
      <c r="AG66" s="15">
        <f>Table50[[#This Row],[USAGE / DAY]]*7</f>
        <v>16.029999999999998</v>
      </c>
      <c r="AH66" s="15">
        <f>Table50[[#This Row],[USAGE / DAY]]*3</f>
        <v>6.8699999999999992</v>
      </c>
      <c r="AI6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66" s="15">
        <f>IFERROR(Table50[[#This Row],[ORDER QTY2]]*Table50[[#This Row],[COST PRICE]],0)</f>
        <v>0</v>
      </c>
      <c r="AK66" s="15">
        <f>(Table50[[#This Row],[REORDER POINT]]*Table50[[#This Row],[COST PRICE]])+Table50[[#This Row],[ORDER COST]]</f>
        <v>245.37528888888892</v>
      </c>
      <c r="AL66" s="15">
        <f t="shared" si="2"/>
        <v>100</v>
      </c>
      <c r="AM66" s="15">
        <f>IFERROR((Table50[[#This Row],[REORDER POINT]]+Table50[[#This Row],[ORDER QTY]])/(Table50[[#This Row],[USAGE / DAY]]*Table50[[#This Row],[DEMAND %]]),Table50[[#This Row],[REORDER POINT]]/Table50[[#This Row],[USAGE / DAY]])</f>
        <v>10.537117903930135</v>
      </c>
    </row>
    <row r="67" spans="1:39" x14ac:dyDescent="0.25">
      <c r="A67" t="s">
        <v>50</v>
      </c>
      <c r="B67" t="s">
        <v>74</v>
      </c>
      <c r="C67" t="s">
        <v>123</v>
      </c>
      <c r="D67" t="s">
        <v>53</v>
      </c>
      <c r="E67">
        <v>54</v>
      </c>
      <c r="F67">
        <v>304.02</v>
      </c>
      <c r="G67">
        <v>96</v>
      </c>
      <c r="H67">
        <v>540</v>
      </c>
      <c r="I67">
        <v>61</v>
      </c>
      <c r="J67">
        <v>343.43</v>
      </c>
      <c r="K67">
        <f>Table50[[#This Row],[OpeningQty]]+Table50[[#This Row],[PurchasesQty]]-Table50[[#This Row],[ClosingQty]]</f>
        <v>89</v>
      </c>
      <c r="L67">
        <v>500.59</v>
      </c>
      <c r="M67" s="14">
        <f>Table50[[#This Row],[Usage]]/$L$1</f>
        <v>7.6029578921980477E-4</v>
      </c>
      <c r="N67" s="15">
        <f>IFERROR(Table50[[#This Row],[Opening]]/Table50[[#This Row],[OpeningQty]],0)</f>
        <v>5.63</v>
      </c>
      <c r="O67" s="15">
        <f>IFERROR(Table50[[#This Row],[Purchases]]/Table50[[#This Row],[PurchasesQty]],0)</f>
        <v>5.625</v>
      </c>
      <c r="P67" s="15">
        <f>IFERROR(Table50[[#This Row],[Closing]]/Table50[[#This Row],[ClosingQty]],0)</f>
        <v>5.63</v>
      </c>
      <c r="Q67" s="15">
        <f>IFERROR(AVERAGEIF(Table50[[#This Row],[OPENING COST PRICE]:[CLOSING COST PRICE]],"&gt;0"),0)</f>
        <v>5.628333333333333</v>
      </c>
      <c r="R67" s="15">
        <f>IFERROR(Table50[[#This Row],[COST PRICE]]-IFERROR(Table50[[#This Row],[Usage]]/Table50[[#This Row],[UsageQty]],Table50[[#This Row],[COST PRICE]]),0)</f>
        <v>3.7265917602997689E-3</v>
      </c>
      <c r="S67" s="16">
        <f>IFERROR(Table50[[#This Row],[COST PRICE CHANGE]]/Table50[[#This Row],[OPENING COST PRICE]],0)</f>
        <v>6.6191683131434616E-4</v>
      </c>
      <c r="T67" s="15">
        <f>Table50[[#This Row],[ClosingQty]]-(Table50[[#This Row],[USAGE / DAY]]*(IF(Table50[[#This Row],[ccnt]]="BEV",Table50[[#This Row],[DELIVERY DAY]],Table50[[#This Row],[DELIVERY DAY]])))</f>
        <v>41.92</v>
      </c>
      <c r="U67" s="15">
        <f>ROUNDUP(Table50[[#This Row],[UsageQty]]/Table50[[#This Row],[DATA POINT]],2)</f>
        <v>6.3599999999999994</v>
      </c>
      <c r="V6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18</v>
      </c>
      <c r="W67" s="15">
        <f>IFERROR(Table50[[#This Row],[ORDER QTY]]*Table50[[#This Row],[COST PRICE]],0)</f>
        <v>101.30999999999999</v>
      </c>
      <c r="X67" s="15">
        <f>IFERROR(VLOOKUP(C67,[1]!Table49[[#All],[name]:[USAGE / DAY]],19,FALSE),1)</f>
        <v>7.87</v>
      </c>
      <c r="Y67" s="4">
        <f>IFERROR((Table50[[#This Row],[USAGE / DAY]]-Table50[[#This Row],[USAGE / DAY 2]])/Table50[[#This Row],[USAGE / DAY 2]],0)</f>
        <v>-0.19186785260482855</v>
      </c>
      <c r="Z67" s="15">
        <f t="shared" si="0"/>
        <v>14</v>
      </c>
      <c r="AA67" s="15">
        <f t="shared" si="1"/>
        <v>9.311854181734148</v>
      </c>
      <c r="AB67" s="15">
        <f>IFERROR(IF(Table50[[#This Row],[ccnt]]="BEV",$AB$2,IF(Table50[[#This Row],[ccnt]]="FOOD",$AC$2,"ENTER # FROM LAST COUNT")),"ENTER # FROM LAST COUNT")</f>
        <v>3</v>
      </c>
      <c r="AC67" s="15">
        <f>(Table50[[#This Row],[OpeningQty]]+Table50[[#This Row],[ClosingQty]])/2</f>
        <v>57.5</v>
      </c>
      <c r="AD67" s="15">
        <f>IFERROR(Table50[[#This Row],[UsageQty]]/Table50[[#This Row],[AVE INVENTORY]],0)</f>
        <v>1.5478260869565217</v>
      </c>
      <c r="AE67" s="15">
        <f>IFERROR(Table50[[#This Row],[DATA POINT]]/Table50[[#This Row],[Inventory Turnover Rate]],0)</f>
        <v>9.0449438202247201</v>
      </c>
      <c r="AF67" s="15">
        <f>Table50[[#This Row],[ClosingQty]]/Table50[[#This Row],[USAGE / DAY]]</f>
        <v>9.5911949685534594</v>
      </c>
      <c r="AG67" s="15">
        <f>Table50[[#This Row],[USAGE / DAY]]*7</f>
        <v>44.519999999999996</v>
      </c>
      <c r="AH67" s="15">
        <f>Table50[[#This Row],[USAGE / DAY]]*3</f>
        <v>19.079999999999998</v>
      </c>
      <c r="AI67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2.5999999999999943</v>
      </c>
      <c r="AJ67" s="15">
        <f>IFERROR(Table50[[#This Row],[ORDER QTY2]]*Table50[[#This Row],[COST PRICE]],0)</f>
        <v>14.633666666666633</v>
      </c>
      <c r="AK67" s="15">
        <f>(Table50[[#This Row],[REORDER POINT]]*Table50[[#This Row],[COST PRICE]])+Table50[[#This Row],[ORDER COST]]</f>
        <v>337.24973333333332</v>
      </c>
      <c r="AL67" s="15">
        <f t="shared" si="2"/>
        <v>100</v>
      </c>
      <c r="AM67" s="15">
        <f>IFERROR((Table50[[#This Row],[REORDER POINT]]+Table50[[#This Row],[ORDER QTY]])/(Table50[[#This Row],[USAGE / DAY]]*Table50[[#This Row],[DEMAND %]]),Table50[[#This Row],[REORDER POINT]]/Table50[[#This Row],[USAGE / DAY]])</f>
        <v>9.4213836477987423E-2</v>
      </c>
    </row>
    <row r="68" spans="1:39" x14ac:dyDescent="0.25">
      <c r="A68" t="s">
        <v>50</v>
      </c>
      <c r="B68" t="s">
        <v>124</v>
      </c>
      <c r="C68" t="s">
        <v>125</v>
      </c>
      <c r="D68" t="s">
        <v>126</v>
      </c>
      <c r="E68">
        <v>0</v>
      </c>
      <c r="F68">
        <v>0</v>
      </c>
      <c r="G68">
        <v>1</v>
      </c>
      <c r="H68">
        <v>195</v>
      </c>
      <c r="I68">
        <v>0</v>
      </c>
      <c r="J68">
        <v>0</v>
      </c>
      <c r="K68">
        <f>Table50[[#This Row],[OpeningQty]]+Table50[[#This Row],[PurchasesQty]]-Table50[[#This Row],[ClosingQty]]</f>
        <v>1</v>
      </c>
      <c r="L68">
        <v>195</v>
      </c>
      <c r="M68" s="14">
        <f>Table50[[#This Row],[Usage]]/$L$1</f>
        <v>2.961658820548991E-4</v>
      </c>
      <c r="N68" s="15">
        <f>IFERROR(Table50[[#This Row],[Opening]]/Table50[[#This Row],[OpeningQty]],0)</f>
        <v>0</v>
      </c>
      <c r="O68" s="15">
        <f>IFERROR(Table50[[#This Row],[Purchases]]/Table50[[#This Row],[PurchasesQty]],0)</f>
        <v>195</v>
      </c>
      <c r="P68" s="15">
        <f>IFERROR(Table50[[#This Row],[Closing]]/Table50[[#This Row],[ClosingQty]],0)</f>
        <v>0</v>
      </c>
      <c r="Q68" s="15">
        <f>IFERROR(AVERAGEIF(Table50[[#This Row],[OPENING COST PRICE]:[CLOSING COST PRICE]],"&gt;0"),0)</f>
        <v>195</v>
      </c>
      <c r="R68" s="15">
        <f>IFERROR(Table50[[#This Row],[COST PRICE]]-IFERROR(Table50[[#This Row],[Usage]]/Table50[[#This Row],[UsageQty]],Table50[[#This Row],[COST PRICE]]),0)</f>
        <v>0</v>
      </c>
      <c r="S68" s="16">
        <f>IFERROR(Table50[[#This Row],[COST PRICE CHANGE]]/Table50[[#This Row],[OPENING COST PRICE]],0)</f>
        <v>0</v>
      </c>
      <c r="T68" s="15">
        <f>Table50[[#This Row],[ClosingQty]]-(Table50[[#This Row],[USAGE / DAY]]*(IF(Table50[[#This Row],[ccnt]]="BEV",Table50[[#This Row],[DELIVERY DAY]],Table50[[#This Row],[DELIVERY DAY]])))</f>
        <v>-0.24</v>
      </c>
      <c r="U68" s="15">
        <f>ROUNDUP(Table50[[#This Row],[UsageQty]]/Table50[[#This Row],[DATA POINT]],2)</f>
        <v>0.08</v>
      </c>
      <c r="V6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68" s="15">
        <f>IFERROR(Table50[[#This Row],[ORDER QTY]]*Table50[[#This Row],[COST PRICE]],0)</f>
        <v>195</v>
      </c>
      <c r="X68" s="15">
        <f>IFERROR(VLOOKUP(C68,[1]!Table49[[#All],[name]:[USAGE / DAY]],19,FALSE),1)</f>
        <v>1</v>
      </c>
      <c r="Y68" s="4">
        <f>IFERROR((Table50[[#This Row],[USAGE / DAY]]-Table50[[#This Row],[USAGE / DAY 2]])/Table50[[#This Row],[USAGE / DAY 2]],0)</f>
        <v>-0.92</v>
      </c>
      <c r="Z68" s="15">
        <f t="shared" ref="Z68:Z131" si="3">_xlfn.DAYS($V$2,$V$1)</f>
        <v>14</v>
      </c>
      <c r="AA68" s="15">
        <f t="shared" ref="AA68:AA131" si="4">($R$2*$R$1)+$R$2</f>
        <v>9.311854181734148</v>
      </c>
      <c r="AB68" s="15">
        <f>IFERROR(IF(Table50[[#This Row],[ccnt]]="BEV",$AB$2,IF(Table50[[#This Row],[ccnt]]="FOOD",$AC$2,"ENTER # FROM LAST COUNT")),"ENTER # FROM LAST COUNT")</f>
        <v>3</v>
      </c>
      <c r="AC68" s="15">
        <f>(Table50[[#This Row],[OpeningQty]]+Table50[[#This Row],[ClosingQty]])/2</f>
        <v>0</v>
      </c>
      <c r="AD68" s="15">
        <f>IFERROR(Table50[[#This Row],[UsageQty]]/Table50[[#This Row],[AVE INVENTORY]],0)</f>
        <v>0</v>
      </c>
      <c r="AE68" s="15">
        <f>IFERROR(Table50[[#This Row],[DATA POINT]]/Table50[[#This Row],[Inventory Turnover Rate]],0)</f>
        <v>0</v>
      </c>
      <c r="AF68" s="15">
        <f>Table50[[#This Row],[ClosingQty]]/Table50[[#This Row],[USAGE / DAY]]</f>
        <v>0</v>
      </c>
      <c r="AG68" s="15">
        <f>Table50[[#This Row],[USAGE / DAY]]*7</f>
        <v>0.56000000000000005</v>
      </c>
      <c r="AH68" s="15">
        <f>Table50[[#This Row],[USAGE / DAY]]*3</f>
        <v>0.24</v>
      </c>
      <c r="AI68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68" s="15">
        <f>IFERROR(Table50[[#This Row],[ORDER QTY2]]*Table50[[#This Row],[COST PRICE]],0)</f>
        <v>156</v>
      </c>
      <c r="AK68" s="15">
        <f>(Table50[[#This Row],[REORDER POINT]]*Table50[[#This Row],[COST PRICE]])+Table50[[#This Row],[ORDER COST]]</f>
        <v>148.19999999999999</v>
      </c>
      <c r="AL68" s="15">
        <f t="shared" ref="AL68:AL131" si="5">$AL$2</f>
        <v>100</v>
      </c>
      <c r="AM68" s="15">
        <f>IFERROR((Table50[[#This Row],[REORDER POINT]]+Table50[[#This Row],[ORDER QTY]])/(Table50[[#This Row],[USAGE / DAY]]*Table50[[#This Row],[DEMAND %]]),Table50[[#This Row],[REORDER POINT]]/Table50[[#This Row],[USAGE / DAY]])</f>
        <v>9.5000000000000001E-2</v>
      </c>
    </row>
    <row r="69" spans="1:39" x14ac:dyDescent="0.25">
      <c r="A69" t="s">
        <v>50</v>
      </c>
      <c r="B69" t="s">
        <v>124</v>
      </c>
      <c r="C69" t="s">
        <v>127</v>
      </c>
      <c r="D69" t="s">
        <v>126</v>
      </c>
      <c r="E69">
        <v>0.15</v>
      </c>
      <c r="F69">
        <v>45</v>
      </c>
      <c r="G69">
        <v>0</v>
      </c>
      <c r="H69">
        <v>0</v>
      </c>
      <c r="I69">
        <v>0</v>
      </c>
      <c r="J69">
        <v>0</v>
      </c>
      <c r="K69">
        <f>Table50[[#This Row],[OpeningQty]]+Table50[[#This Row],[PurchasesQty]]-Table50[[#This Row],[ClosingQty]]</f>
        <v>0.15</v>
      </c>
      <c r="L69">
        <v>45</v>
      </c>
      <c r="M69" s="14">
        <f>Table50[[#This Row],[Usage]]/$L$1</f>
        <v>6.8345972781899789E-5</v>
      </c>
      <c r="N69" s="15">
        <f>IFERROR(Table50[[#This Row],[Opening]]/Table50[[#This Row],[OpeningQty]],0)</f>
        <v>300</v>
      </c>
      <c r="O69" s="15">
        <f>IFERROR(Table50[[#This Row],[Purchases]]/Table50[[#This Row],[PurchasesQty]],0)</f>
        <v>0</v>
      </c>
      <c r="P69" s="15">
        <f>IFERROR(Table50[[#This Row],[Closing]]/Table50[[#This Row],[ClosingQty]],0)</f>
        <v>0</v>
      </c>
      <c r="Q69" s="15">
        <f>IFERROR(AVERAGEIF(Table50[[#This Row],[OPENING COST PRICE]:[CLOSING COST PRICE]],"&gt;0"),0)</f>
        <v>300</v>
      </c>
      <c r="R69" s="15">
        <f>IFERROR(Table50[[#This Row],[COST PRICE]]-IFERROR(Table50[[#This Row],[Usage]]/Table50[[#This Row],[UsageQty]],Table50[[#This Row],[COST PRICE]]),0)</f>
        <v>0</v>
      </c>
      <c r="S69" s="16">
        <f>IFERROR(Table50[[#This Row],[COST PRICE CHANGE]]/Table50[[#This Row],[OPENING COST PRICE]],0)</f>
        <v>0</v>
      </c>
      <c r="T69" s="15">
        <f>Table50[[#This Row],[ClosingQty]]-(Table50[[#This Row],[USAGE / DAY]]*(IF(Table50[[#This Row],[ccnt]]="BEV",Table50[[#This Row],[DELIVERY DAY]],Table50[[#This Row],[DELIVERY DAY]])))</f>
        <v>-0.06</v>
      </c>
      <c r="U69" s="15">
        <f>ROUNDUP(Table50[[#This Row],[UsageQty]]/Table50[[#This Row],[DATA POINT]],2)</f>
        <v>0.02</v>
      </c>
      <c r="V6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69" s="15">
        <f>IFERROR(Table50[[#This Row],[ORDER QTY]]*Table50[[#This Row],[COST PRICE]],0)</f>
        <v>300</v>
      </c>
      <c r="X69" s="15">
        <f>IFERROR(VLOOKUP(C69,[1]!Table49[[#All],[name]:[USAGE / DAY]],19,FALSE),1)</f>
        <v>0.03</v>
      </c>
      <c r="Y69" s="4">
        <f>IFERROR((Table50[[#This Row],[USAGE / DAY]]-Table50[[#This Row],[USAGE / DAY 2]])/Table50[[#This Row],[USAGE / DAY 2]],0)</f>
        <v>-0.33333333333333331</v>
      </c>
      <c r="Z69" s="15">
        <f t="shared" si="3"/>
        <v>14</v>
      </c>
      <c r="AA69" s="15">
        <f t="shared" si="4"/>
        <v>9.311854181734148</v>
      </c>
      <c r="AB69" s="15">
        <f>IFERROR(IF(Table50[[#This Row],[ccnt]]="BEV",$AB$2,IF(Table50[[#This Row],[ccnt]]="FOOD",$AC$2,"ENTER # FROM LAST COUNT")),"ENTER # FROM LAST COUNT")</f>
        <v>3</v>
      </c>
      <c r="AC69" s="15">
        <f>(Table50[[#This Row],[OpeningQty]]+Table50[[#This Row],[ClosingQty]])/2</f>
        <v>7.4999999999999997E-2</v>
      </c>
      <c r="AD69" s="15">
        <f>IFERROR(Table50[[#This Row],[UsageQty]]/Table50[[#This Row],[AVE INVENTORY]],0)</f>
        <v>2</v>
      </c>
      <c r="AE69" s="15">
        <f>IFERROR(Table50[[#This Row],[DATA POINT]]/Table50[[#This Row],[Inventory Turnover Rate]],0)</f>
        <v>7</v>
      </c>
      <c r="AF69" s="15">
        <f>Table50[[#This Row],[ClosingQty]]/Table50[[#This Row],[USAGE / DAY]]</f>
        <v>0</v>
      </c>
      <c r="AG69" s="15">
        <f>Table50[[#This Row],[USAGE / DAY]]*7</f>
        <v>0.14000000000000001</v>
      </c>
      <c r="AH69" s="15">
        <f>Table50[[#This Row],[USAGE / DAY]]*3</f>
        <v>0.06</v>
      </c>
      <c r="AI69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0.2</v>
      </c>
      <c r="AJ69" s="15">
        <f>IFERROR(Table50[[#This Row],[ORDER QTY2]]*Table50[[#This Row],[COST PRICE]],0)</f>
        <v>60</v>
      </c>
      <c r="AK69" s="15">
        <f>(Table50[[#This Row],[REORDER POINT]]*Table50[[#This Row],[COST PRICE]])+Table50[[#This Row],[ORDER COST]]</f>
        <v>282</v>
      </c>
      <c r="AL69" s="15">
        <f t="shared" si="5"/>
        <v>100</v>
      </c>
      <c r="AM69" s="15">
        <f>IFERROR((Table50[[#This Row],[REORDER POINT]]+Table50[[#This Row],[ORDER QTY]])/(Table50[[#This Row],[USAGE / DAY]]*Table50[[#This Row],[DEMAND %]]),Table50[[#This Row],[REORDER POINT]]/Table50[[#This Row],[USAGE / DAY]])</f>
        <v>0.47</v>
      </c>
    </row>
    <row r="70" spans="1:39" x14ac:dyDescent="0.25">
      <c r="A70" t="s">
        <v>50</v>
      </c>
      <c r="B70" t="s">
        <v>124</v>
      </c>
      <c r="C70" t="s">
        <v>128</v>
      </c>
      <c r="D70" t="s">
        <v>126</v>
      </c>
      <c r="E70">
        <v>0.9</v>
      </c>
      <c r="F70">
        <v>258.26</v>
      </c>
      <c r="G70">
        <v>3</v>
      </c>
      <c r="H70">
        <v>860.85</v>
      </c>
      <c r="I70">
        <v>0.5</v>
      </c>
      <c r="J70">
        <v>164.5</v>
      </c>
      <c r="K70">
        <f>Table50[[#This Row],[OpeningQty]]+Table50[[#This Row],[PurchasesQty]]-Table50[[#This Row],[ClosingQty]]</f>
        <v>3.4</v>
      </c>
      <c r="L70">
        <v>954.61</v>
      </c>
      <c r="M70" s="14">
        <f>Table50[[#This Row],[Usage]]/$L$1</f>
        <v>1.4498610906073192E-3</v>
      </c>
      <c r="N70" s="15">
        <f>IFERROR(Table50[[#This Row],[Opening]]/Table50[[#This Row],[OpeningQty]],0)</f>
        <v>286.95555555555552</v>
      </c>
      <c r="O70" s="15">
        <f>IFERROR(Table50[[#This Row],[Purchases]]/Table50[[#This Row],[PurchasesQty]],0)</f>
        <v>286.95</v>
      </c>
      <c r="P70" s="15">
        <f>IFERROR(Table50[[#This Row],[Closing]]/Table50[[#This Row],[ClosingQty]],0)</f>
        <v>329</v>
      </c>
      <c r="Q70" s="15">
        <f>IFERROR(AVERAGEIF(Table50[[#This Row],[OPENING COST PRICE]:[CLOSING COST PRICE]],"&gt;0"),0)</f>
        <v>300.96851851851852</v>
      </c>
      <c r="R70" s="15">
        <f>IFERROR(Table50[[#This Row],[COST PRICE]]-IFERROR(Table50[[#This Row],[Usage]]/Table50[[#This Row],[UsageQty]],Table50[[#This Row],[COST PRICE]]),0)</f>
        <v>20.200871459695009</v>
      </c>
      <c r="S70" s="16">
        <f>IFERROR(Table50[[#This Row],[COST PRICE CHANGE]]/Table50[[#This Row],[OPENING COST PRICE]],0)</f>
        <v>7.0397213326591462E-2</v>
      </c>
      <c r="T70" s="15">
        <f>Table50[[#This Row],[ClosingQty]]-(Table50[[#This Row],[USAGE / DAY]]*(IF(Table50[[#This Row],[ccnt]]="BEV",Table50[[#This Row],[DELIVERY DAY]],Table50[[#This Row],[DELIVERY DAY]])))</f>
        <v>-0.25</v>
      </c>
      <c r="U70" s="15">
        <f>ROUNDUP(Table50[[#This Row],[UsageQty]]/Table50[[#This Row],[DATA POINT]],2)</f>
        <v>0.25</v>
      </c>
      <c r="V7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</v>
      </c>
      <c r="W70" s="15">
        <f>IFERROR(Table50[[#This Row],[ORDER QTY]]*Table50[[#This Row],[COST PRICE]],0)</f>
        <v>902.90555555555557</v>
      </c>
      <c r="X70" s="15">
        <f>IFERROR(VLOOKUP(C70,[1]!Table49[[#All],[name]:[USAGE / DAY]],19,FALSE),1)</f>
        <v>0.19</v>
      </c>
      <c r="Y70" s="4">
        <f>IFERROR((Table50[[#This Row],[USAGE / DAY]]-Table50[[#This Row],[USAGE / DAY 2]])/Table50[[#This Row],[USAGE / DAY 2]],0)</f>
        <v>0.31578947368421051</v>
      </c>
      <c r="Z70" s="15">
        <f t="shared" si="3"/>
        <v>14</v>
      </c>
      <c r="AA70" s="15">
        <f t="shared" si="4"/>
        <v>9.311854181734148</v>
      </c>
      <c r="AB70" s="15">
        <f>IFERROR(IF(Table50[[#This Row],[ccnt]]="BEV",$AB$2,IF(Table50[[#This Row],[ccnt]]="FOOD",$AC$2,"ENTER # FROM LAST COUNT")),"ENTER # FROM LAST COUNT")</f>
        <v>3</v>
      </c>
      <c r="AC70" s="15">
        <f>(Table50[[#This Row],[OpeningQty]]+Table50[[#This Row],[ClosingQty]])/2</f>
        <v>0.7</v>
      </c>
      <c r="AD70" s="15">
        <f>IFERROR(Table50[[#This Row],[UsageQty]]/Table50[[#This Row],[AVE INVENTORY]],0)</f>
        <v>4.8571428571428577</v>
      </c>
      <c r="AE70" s="15">
        <f>IFERROR(Table50[[#This Row],[DATA POINT]]/Table50[[#This Row],[Inventory Turnover Rate]],0)</f>
        <v>2.8823529411764701</v>
      </c>
      <c r="AF70" s="15">
        <f>Table50[[#This Row],[ClosingQty]]/Table50[[#This Row],[USAGE / DAY]]</f>
        <v>2</v>
      </c>
      <c r="AG70" s="15">
        <f>Table50[[#This Row],[USAGE / DAY]]*7</f>
        <v>1.75</v>
      </c>
      <c r="AH70" s="15">
        <f>Table50[[#This Row],[USAGE / DAY]]*3</f>
        <v>0.75</v>
      </c>
      <c r="AI70" s="15">
        <f>IF(Table50[[#This Row],[FORECASTED DEMAND]]+Table50[[#This Row],[SAFETY STOCK]]-Table50[[#This Row],[ClosingQty]]&gt;0,Table50[[#This Row],[FORECASTED DEMAND]]+Table50[[#This Row],[SAFETY STOCK]]-Table50[[#This Row],[ClosingQty]],"NO ORDER")</f>
        <v>2</v>
      </c>
      <c r="AJ70" s="15">
        <f>IFERROR(Table50[[#This Row],[ORDER QTY2]]*Table50[[#This Row],[COST PRICE]],0)</f>
        <v>601.93703703703704</v>
      </c>
      <c r="AK70" s="15">
        <f>(Table50[[#This Row],[REORDER POINT]]*Table50[[#This Row],[COST PRICE]])+Table50[[#This Row],[ORDER COST]]</f>
        <v>827.66342592592594</v>
      </c>
      <c r="AL70" s="15">
        <f t="shared" si="5"/>
        <v>100</v>
      </c>
      <c r="AM70" s="15">
        <f>IFERROR((Table50[[#This Row],[REORDER POINT]]+Table50[[#This Row],[ORDER QTY]])/(Table50[[#This Row],[USAGE / DAY]]*Table50[[#This Row],[DEMAND %]]),Table50[[#This Row],[REORDER POINT]]/Table50[[#This Row],[USAGE / DAY]])</f>
        <v>0.11</v>
      </c>
    </row>
    <row r="71" spans="1:39" x14ac:dyDescent="0.25">
      <c r="A71" t="s">
        <v>50</v>
      </c>
      <c r="B71" t="s">
        <v>124</v>
      </c>
      <c r="C71" t="s">
        <v>129</v>
      </c>
      <c r="D71" t="s">
        <v>126</v>
      </c>
      <c r="E71">
        <v>0</v>
      </c>
      <c r="F71">
        <v>0</v>
      </c>
      <c r="G71">
        <v>0</v>
      </c>
      <c r="H71">
        <v>0</v>
      </c>
      <c r="I71">
        <v>0.59</v>
      </c>
      <c r="J71">
        <v>80.8</v>
      </c>
      <c r="K71">
        <f>Table50[[#This Row],[OpeningQty]]+Table50[[#This Row],[PurchasesQty]]-Table50[[#This Row],[ClosingQty]]</f>
        <v>-0.59</v>
      </c>
      <c r="L71">
        <v>-80.8</v>
      </c>
      <c r="M71" s="14">
        <f>Table50[[#This Row],[Usage]]/$L$1</f>
        <v>-1.2271899112838896E-4</v>
      </c>
      <c r="N71" s="15">
        <f>IFERROR(Table50[[#This Row],[Opening]]/Table50[[#This Row],[OpeningQty]],0)</f>
        <v>0</v>
      </c>
      <c r="O71" s="15">
        <f>IFERROR(Table50[[#This Row],[Purchases]]/Table50[[#This Row],[PurchasesQty]],0)</f>
        <v>0</v>
      </c>
      <c r="P71" s="15">
        <f>IFERROR(Table50[[#This Row],[Closing]]/Table50[[#This Row],[ClosingQty]],0)</f>
        <v>136.94915254237287</v>
      </c>
      <c r="Q71" s="15">
        <f>IFERROR(AVERAGEIF(Table50[[#This Row],[OPENING COST PRICE]:[CLOSING COST PRICE]],"&gt;0"),0)</f>
        <v>136.94915254237287</v>
      </c>
      <c r="R71" s="15">
        <f>IFERROR(Table50[[#This Row],[COST PRICE]]-IFERROR(Table50[[#This Row],[Usage]]/Table50[[#This Row],[UsageQty]],Table50[[#This Row],[COST PRICE]]),0)</f>
        <v>0</v>
      </c>
      <c r="S71" s="16">
        <f>IFERROR(Table50[[#This Row],[COST PRICE CHANGE]]/Table50[[#This Row],[OPENING COST PRICE]],0)</f>
        <v>0</v>
      </c>
      <c r="T71" s="15">
        <f>Table50[[#This Row],[ClosingQty]]-(Table50[[#This Row],[USAGE / DAY]]*(IF(Table50[[#This Row],[ccnt]]="BEV",Table50[[#This Row],[DELIVERY DAY]],Table50[[#This Row],[DELIVERY DAY]])))</f>
        <v>0.74</v>
      </c>
      <c r="U71" s="15">
        <f>ROUNDUP(Table50[[#This Row],[UsageQty]]/Table50[[#This Row],[DATA POINT]],2)</f>
        <v>-0.05</v>
      </c>
      <c r="V7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71" s="15">
        <f>IFERROR(Table50[[#This Row],[ORDER QTY]]*Table50[[#This Row],[COST PRICE]],0)</f>
        <v>0</v>
      </c>
      <c r="X71" s="15">
        <f>IFERROR(VLOOKUP(C71,[1]!Table49[[#All],[name]:[USAGE / DAY]],19,FALSE),1)</f>
        <v>0.01</v>
      </c>
      <c r="Y71" s="4">
        <f>IFERROR((Table50[[#This Row],[USAGE / DAY]]-Table50[[#This Row],[USAGE / DAY 2]])/Table50[[#This Row],[USAGE / DAY 2]],0)</f>
        <v>-6</v>
      </c>
      <c r="Z71" s="15">
        <f t="shared" si="3"/>
        <v>14</v>
      </c>
      <c r="AA71" s="15">
        <f t="shared" si="4"/>
        <v>9.311854181734148</v>
      </c>
      <c r="AB71" s="15">
        <f>IFERROR(IF(Table50[[#This Row],[ccnt]]="BEV",$AB$2,IF(Table50[[#This Row],[ccnt]]="FOOD",$AC$2,"ENTER # FROM LAST COUNT")),"ENTER # FROM LAST COUNT")</f>
        <v>3</v>
      </c>
      <c r="AC71" s="15">
        <f>(Table50[[#This Row],[OpeningQty]]+Table50[[#This Row],[ClosingQty]])/2</f>
        <v>0.29499999999999998</v>
      </c>
      <c r="AD71" s="15">
        <f>IFERROR(Table50[[#This Row],[UsageQty]]/Table50[[#This Row],[AVE INVENTORY]],0)</f>
        <v>-2</v>
      </c>
      <c r="AE71" s="15">
        <f>IFERROR(Table50[[#This Row],[DATA POINT]]/Table50[[#This Row],[Inventory Turnover Rate]],0)</f>
        <v>-7</v>
      </c>
      <c r="AF71" s="15">
        <f>Table50[[#This Row],[ClosingQty]]/Table50[[#This Row],[USAGE / DAY]]</f>
        <v>-11.799999999999999</v>
      </c>
      <c r="AG71" s="15">
        <f>Table50[[#This Row],[USAGE / DAY]]*7</f>
        <v>-0.35000000000000003</v>
      </c>
      <c r="AH71" s="15">
        <f>Table50[[#This Row],[USAGE / DAY]]*3</f>
        <v>-0.15000000000000002</v>
      </c>
      <c r="AI7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71" s="15">
        <f>IFERROR(Table50[[#This Row],[ORDER QTY2]]*Table50[[#This Row],[COST PRICE]],0)</f>
        <v>0</v>
      </c>
      <c r="AK71" s="15">
        <f>(Table50[[#This Row],[REORDER POINT]]*Table50[[#This Row],[COST PRICE]])+Table50[[#This Row],[ORDER COST]]</f>
        <v>101.34237288135593</v>
      </c>
      <c r="AL71" s="15">
        <f t="shared" si="5"/>
        <v>100</v>
      </c>
      <c r="AM71" s="15">
        <f>IFERROR((Table50[[#This Row],[REORDER POINT]]+Table50[[#This Row],[ORDER QTY]])/(Table50[[#This Row],[USAGE / DAY]]*Table50[[#This Row],[DEMAND %]]),Table50[[#This Row],[REORDER POINT]]/Table50[[#This Row],[USAGE / DAY]])</f>
        <v>-14.799999999999999</v>
      </c>
    </row>
    <row r="72" spans="1:39" x14ac:dyDescent="0.25">
      <c r="A72" t="s">
        <v>50</v>
      </c>
      <c r="B72" t="s">
        <v>124</v>
      </c>
      <c r="C72" t="s">
        <v>130</v>
      </c>
      <c r="D72" t="s">
        <v>131</v>
      </c>
      <c r="E72">
        <v>1.35</v>
      </c>
      <c r="F72">
        <v>519.75</v>
      </c>
      <c r="G72">
        <v>0</v>
      </c>
      <c r="H72">
        <v>0</v>
      </c>
      <c r="I72">
        <v>0.78</v>
      </c>
      <c r="J72">
        <v>300.3</v>
      </c>
      <c r="K72">
        <f>Table50[[#This Row],[OpeningQty]]+Table50[[#This Row],[PurchasesQty]]-Table50[[#This Row],[ClosingQty]]</f>
        <v>0.57000000000000006</v>
      </c>
      <c r="L72">
        <v>219.45</v>
      </c>
      <c r="M72" s="14">
        <f>Table50[[#This Row],[Usage]]/$L$1</f>
        <v>3.3330052726639799E-4</v>
      </c>
      <c r="N72" s="15">
        <f>IFERROR(Table50[[#This Row],[Opening]]/Table50[[#This Row],[OpeningQty]],0)</f>
        <v>385</v>
      </c>
      <c r="O72" s="15">
        <f>IFERROR(Table50[[#This Row],[Purchases]]/Table50[[#This Row],[PurchasesQty]],0)</f>
        <v>0</v>
      </c>
      <c r="P72" s="15">
        <f>IFERROR(Table50[[#This Row],[Closing]]/Table50[[#This Row],[ClosingQty]],0)</f>
        <v>385</v>
      </c>
      <c r="Q72" s="15">
        <f>IFERROR(AVERAGEIF(Table50[[#This Row],[OPENING COST PRICE]:[CLOSING COST PRICE]],"&gt;0"),0)</f>
        <v>385</v>
      </c>
      <c r="R72" s="15">
        <f>IFERROR(Table50[[#This Row],[COST PRICE]]-IFERROR(Table50[[#This Row],[Usage]]/Table50[[#This Row],[UsageQty]],Table50[[#This Row],[COST PRICE]]),0)</f>
        <v>5.6843418860808015E-14</v>
      </c>
      <c r="S72" s="16">
        <f>IFERROR(Table50[[#This Row],[COST PRICE CHANGE]]/Table50[[#This Row],[OPENING COST PRICE]],0)</f>
        <v>1.4764524379430653E-16</v>
      </c>
      <c r="T72" s="15">
        <f>Table50[[#This Row],[ClosingQty]]-(Table50[[#This Row],[USAGE / DAY]]*(IF(Table50[[#This Row],[ccnt]]="BEV",Table50[[#This Row],[DELIVERY DAY]],Table50[[#This Row],[DELIVERY DAY]])))</f>
        <v>0.63</v>
      </c>
      <c r="U72" s="15">
        <f>ROUNDUP(Table50[[#This Row],[UsageQty]]/Table50[[#This Row],[DATA POINT]],2)</f>
        <v>0.05</v>
      </c>
      <c r="V7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72" s="15">
        <f>IFERROR(Table50[[#This Row],[ORDER QTY]]*Table50[[#This Row],[COST PRICE]],0)</f>
        <v>0</v>
      </c>
      <c r="X72" s="15">
        <f>IFERROR(VLOOKUP(C72,[1]!Table49[[#All],[name]:[USAGE / DAY]],19,FALSE),1)</f>
        <v>0.03</v>
      </c>
      <c r="Y72" s="4">
        <f>IFERROR((Table50[[#This Row],[USAGE / DAY]]-Table50[[#This Row],[USAGE / DAY 2]])/Table50[[#This Row],[USAGE / DAY 2]],0)</f>
        <v>0.66666666666666685</v>
      </c>
      <c r="Z72" s="15">
        <f t="shared" si="3"/>
        <v>14</v>
      </c>
      <c r="AA72" s="15">
        <f t="shared" si="4"/>
        <v>9.311854181734148</v>
      </c>
      <c r="AB72" s="15">
        <f>IFERROR(IF(Table50[[#This Row],[ccnt]]="BEV",$AB$2,IF(Table50[[#This Row],[ccnt]]="FOOD",$AC$2,"ENTER # FROM LAST COUNT")),"ENTER # FROM LAST COUNT")</f>
        <v>3</v>
      </c>
      <c r="AC72" s="15">
        <f>(Table50[[#This Row],[OpeningQty]]+Table50[[#This Row],[ClosingQty]])/2</f>
        <v>1.0649999999999999</v>
      </c>
      <c r="AD72" s="15">
        <f>IFERROR(Table50[[#This Row],[UsageQty]]/Table50[[#This Row],[AVE INVENTORY]],0)</f>
        <v>0.53521126760563387</v>
      </c>
      <c r="AE72" s="15">
        <f>IFERROR(Table50[[#This Row],[DATA POINT]]/Table50[[#This Row],[Inventory Turnover Rate]],0)</f>
        <v>26.157894736842103</v>
      </c>
      <c r="AF72" s="15">
        <f>Table50[[#This Row],[ClosingQty]]/Table50[[#This Row],[USAGE / DAY]]</f>
        <v>15.6</v>
      </c>
      <c r="AG72" s="15">
        <f>Table50[[#This Row],[USAGE / DAY]]*7</f>
        <v>0.35000000000000003</v>
      </c>
      <c r="AH72" s="15">
        <f>Table50[[#This Row],[USAGE / DAY]]*3</f>
        <v>0.15000000000000002</v>
      </c>
      <c r="AI7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72" s="15">
        <f>IFERROR(Table50[[#This Row],[ORDER QTY2]]*Table50[[#This Row],[COST PRICE]],0)</f>
        <v>0</v>
      </c>
      <c r="AK72" s="15">
        <f>(Table50[[#This Row],[REORDER POINT]]*Table50[[#This Row],[COST PRICE]])+Table50[[#This Row],[ORDER COST]]</f>
        <v>242.55</v>
      </c>
      <c r="AL72" s="15">
        <f t="shared" si="5"/>
        <v>100</v>
      </c>
      <c r="AM72" s="15">
        <f>IFERROR((Table50[[#This Row],[REORDER POINT]]+Table50[[#This Row],[ORDER QTY]])/(Table50[[#This Row],[USAGE / DAY]]*Table50[[#This Row],[DEMAND %]]),Table50[[#This Row],[REORDER POINT]]/Table50[[#This Row],[USAGE / DAY]])</f>
        <v>12.6</v>
      </c>
    </row>
    <row r="73" spans="1:39" x14ac:dyDescent="0.25">
      <c r="A73" t="s">
        <v>50</v>
      </c>
      <c r="B73" t="s">
        <v>124</v>
      </c>
      <c r="C73" t="s">
        <v>132</v>
      </c>
      <c r="D73" t="s">
        <v>131</v>
      </c>
      <c r="E73">
        <v>1.1000000000000001</v>
      </c>
      <c r="F73">
        <v>423.5</v>
      </c>
      <c r="G73">
        <v>0</v>
      </c>
      <c r="H73">
        <v>0</v>
      </c>
      <c r="I73">
        <v>1.1000000000000001</v>
      </c>
      <c r="J73">
        <v>423.5</v>
      </c>
      <c r="K73">
        <f>Table50[[#This Row],[OpeningQty]]+Table50[[#This Row],[PurchasesQty]]-Table50[[#This Row],[ClosingQty]]</f>
        <v>0</v>
      </c>
      <c r="L73">
        <v>0</v>
      </c>
      <c r="M73" s="14">
        <f>Table50[[#This Row],[Usage]]/$L$1</f>
        <v>0</v>
      </c>
      <c r="N73" s="15">
        <f>IFERROR(Table50[[#This Row],[Opening]]/Table50[[#This Row],[OpeningQty]],0)</f>
        <v>384.99999999999994</v>
      </c>
      <c r="O73" s="15">
        <f>IFERROR(Table50[[#This Row],[Purchases]]/Table50[[#This Row],[PurchasesQty]],0)</f>
        <v>0</v>
      </c>
      <c r="P73" s="15">
        <f>IFERROR(Table50[[#This Row],[Closing]]/Table50[[#This Row],[ClosingQty]],0)</f>
        <v>384.99999999999994</v>
      </c>
      <c r="Q73" s="15">
        <f>IFERROR(AVERAGEIF(Table50[[#This Row],[OPENING COST PRICE]:[CLOSING COST PRICE]],"&gt;0"),0)</f>
        <v>384.99999999999994</v>
      </c>
      <c r="R73" s="15">
        <f>IFERROR(Table50[[#This Row],[COST PRICE]]-IFERROR(Table50[[#This Row],[Usage]]/Table50[[#This Row],[UsageQty]],Table50[[#This Row],[COST PRICE]]),0)</f>
        <v>0</v>
      </c>
      <c r="S73" s="16">
        <f>IFERROR(Table50[[#This Row],[COST PRICE CHANGE]]/Table50[[#This Row],[OPENING COST PRICE]],0)</f>
        <v>0</v>
      </c>
      <c r="T73" s="15">
        <f>Table50[[#This Row],[ClosingQty]]-(Table50[[#This Row],[USAGE / DAY]]*(IF(Table50[[#This Row],[ccnt]]="BEV",Table50[[#This Row],[DELIVERY DAY]],Table50[[#This Row],[DELIVERY DAY]])))</f>
        <v>1.1000000000000001</v>
      </c>
      <c r="U73" s="15">
        <f>ROUNDUP(Table50[[#This Row],[UsageQty]]/Table50[[#This Row],[DATA POINT]],2)</f>
        <v>0</v>
      </c>
      <c r="V7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73" s="15">
        <f>IFERROR(Table50[[#This Row],[ORDER QTY]]*Table50[[#This Row],[COST PRICE]],0)</f>
        <v>0</v>
      </c>
      <c r="X73" s="15">
        <f>IFERROR(VLOOKUP(C73,[1]!Table49[[#All],[name]:[USAGE / DAY]],19,FALSE),1)</f>
        <v>-0.01</v>
      </c>
      <c r="Y73" s="4">
        <f>IFERROR((Table50[[#This Row],[USAGE / DAY]]-Table50[[#This Row],[USAGE / DAY 2]])/Table50[[#This Row],[USAGE / DAY 2]],0)</f>
        <v>-1</v>
      </c>
      <c r="Z73" s="15">
        <f t="shared" si="3"/>
        <v>14</v>
      </c>
      <c r="AA73" s="15">
        <f t="shared" si="4"/>
        <v>9.311854181734148</v>
      </c>
      <c r="AB73" s="15">
        <f>IFERROR(IF(Table50[[#This Row],[ccnt]]="BEV",$AB$2,IF(Table50[[#This Row],[ccnt]]="FOOD",$AC$2,"ENTER # FROM LAST COUNT")),"ENTER # FROM LAST COUNT")</f>
        <v>3</v>
      </c>
      <c r="AC73" s="15">
        <f>(Table50[[#This Row],[OpeningQty]]+Table50[[#This Row],[ClosingQty]])/2</f>
        <v>1.1000000000000001</v>
      </c>
      <c r="AD73" s="15">
        <f>IFERROR(Table50[[#This Row],[UsageQty]]/Table50[[#This Row],[AVE INVENTORY]],0)</f>
        <v>0</v>
      </c>
      <c r="AE73" s="15">
        <f>IFERROR(Table50[[#This Row],[DATA POINT]]/Table50[[#This Row],[Inventory Turnover Rate]],0)</f>
        <v>0</v>
      </c>
      <c r="AF73" s="15" t="e">
        <f>Table50[[#This Row],[ClosingQty]]/Table50[[#This Row],[USAGE / DAY]]</f>
        <v>#DIV/0!</v>
      </c>
      <c r="AG73" s="15">
        <f>Table50[[#This Row],[USAGE / DAY]]*7</f>
        <v>0</v>
      </c>
      <c r="AH73" s="15">
        <f>Table50[[#This Row],[USAGE / DAY]]*3</f>
        <v>0</v>
      </c>
      <c r="AI7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73" s="15">
        <f>IFERROR(Table50[[#This Row],[ORDER QTY2]]*Table50[[#This Row],[COST PRICE]],0)</f>
        <v>0</v>
      </c>
      <c r="AK73" s="15">
        <f>(Table50[[#This Row],[REORDER POINT]]*Table50[[#This Row],[COST PRICE]])+Table50[[#This Row],[ORDER COST]]</f>
        <v>423.5</v>
      </c>
      <c r="AL73" s="15">
        <f t="shared" si="5"/>
        <v>100</v>
      </c>
      <c r="AM73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74" spans="1:39" x14ac:dyDescent="0.25">
      <c r="A74" t="s">
        <v>50</v>
      </c>
      <c r="B74" t="s">
        <v>124</v>
      </c>
      <c r="C74" t="s">
        <v>133</v>
      </c>
      <c r="D74" t="s">
        <v>53</v>
      </c>
      <c r="E74">
        <v>213</v>
      </c>
      <c r="F74">
        <v>112.89</v>
      </c>
      <c r="G74">
        <v>0</v>
      </c>
      <c r="H74">
        <v>0</v>
      </c>
      <c r="I74">
        <v>179</v>
      </c>
      <c r="J74">
        <v>94.87</v>
      </c>
      <c r="K74">
        <f>Table50[[#This Row],[OpeningQty]]+Table50[[#This Row],[PurchasesQty]]-Table50[[#This Row],[ClosingQty]]</f>
        <v>34</v>
      </c>
      <c r="L74">
        <v>18.02</v>
      </c>
      <c r="M74" s="14">
        <f>Table50[[#This Row],[Usage]]/$L$1</f>
        <v>2.7368765100662983E-5</v>
      </c>
      <c r="N74" s="15">
        <f>IFERROR(Table50[[#This Row],[Opening]]/Table50[[#This Row],[OpeningQty]],0)</f>
        <v>0.53</v>
      </c>
      <c r="O74" s="15">
        <f>IFERROR(Table50[[#This Row],[Purchases]]/Table50[[#This Row],[PurchasesQty]],0)</f>
        <v>0</v>
      </c>
      <c r="P74" s="15">
        <f>IFERROR(Table50[[#This Row],[Closing]]/Table50[[#This Row],[ClosingQty]],0)</f>
        <v>0.53</v>
      </c>
      <c r="Q74" s="15">
        <f>IFERROR(AVERAGEIF(Table50[[#This Row],[OPENING COST PRICE]:[CLOSING COST PRICE]],"&gt;0"),0)</f>
        <v>0.53</v>
      </c>
      <c r="R74" s="15">
        <f>IFERROR(Table50[[#This Row],[COST PRICE]]-IFERROR(Table50[[#This Row],[Usage]]/Table50[[#This Row],[UsageQty]],Table50[[#This Row],[COST PRICE]]),0)</f>
        <v>0</v>
      </c>
      <c r="S74" s="16">
        <f>IFERROR(Table50[[#This Row],[COST PRICE CHANGE]]/Table50[[#This Row],[OPENING COST PRICE]],0)</f>
        <v>0</v>
      </c>
      <c r="T74" s="15">
        <f>Table50[[#This Row],[ClosingQty]]-(Table50[[#This Row],[USAGE / DAY]]*(IF(Table50[[#This Row],[ccnt]]="BEV",Table50[[#This Row],[DELIVERY DAY]],Table50[[#This Row],[DELIVERY DAY]])))</f>
        <v>171.71</v>
      </c>
      <c r="U74" s="15">
        <f>ROUNDUP(Table50[[#This Row],[UsageQty]]/Table50[[#This Row],[DATA POINT]],2)</f>
        <v>2.4299999999999997</v>
      </c>
      <c r="V7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74" s="15">
        <f>IFERROR(Table50[[#This Row],[ORDER QTY]]*Table50[[#This Row],[COST PRICE]],0)</f>
        <v>0</v>
      </c>
      <c r="X74" s="15">
        <f>IFERROR(VLOOKUP(C74,[1]!Table49[[#All],[name]:[USAGE / DAY]],19,FALSE),1)</f>
        <v>3.5399999999999996</v>
      </c>
      <c r="Y74" s="4">
        <f>IFERROR((Table50[[#This Row],[USAGE / DAY]]-Table50[[#This Row],[USAGE / DAY 2]])/Table50[[#This Row],[USAGE / DAY 2]],0)</f>
        <v>-0.3135593220338983</v>
      </c>
      <c r="Z74" s="15">
        <f t="shared" si="3"/>
        <v>14</v>
      </c>
      <c r="AA74" s="15">
        <f t="shared" si="4"/>
        <v>9.311854181734148</v>
      </c>
      <c r="AB74" s="15">
        <f>IFERROR(IF(Table50[[#This Row],[ccnt]]="BEV",$AB$2,IF(Table50[[#This Row],[ccnt]]="FOOD",$AC$2,"ENTER # FROM LAST COUNT")),"ENTER # FROM LAST COUNT")</f>
        <v>3</v>
      </c>
      <c r="AC74" s="15">
        <f>(Table50[[#This Row],[OpeningQty]]+Table50[[#This Row],[ClosingQty]])/2</f>
        <v>196</v>
      </c>
      <c r="AD74" s="15">
        <f>IFERROR(Table50[[#This Row],[UsageQty]]/Table50[[#This Row],[AVE INVENTORY]],0)</f>
        <v>0.17346938775510204</v>
      </c>
      <c r="AE74" s="15">
        <f>IFERROR(Table50[[#This Row],[DATA POINT]]/Table50[[#This Row],[Inventory Turnover Rate]],0)</f>
        <v>80.705882352941174</v>
      </c>
      <c r="AF74" s="15">
        <f>Table50[[#This Row],[ClosingQty]]/Table50[[#This Row],[USAGE / DAY]]</f>
        <v>73.662551440329224</v>
      </c>
      <c r="AG74" s="15">
        <f>Table50[[#This Row],[USAGE / DAY]]*7</f>
        <v>17.009999999999998</v>
      </c>
      <c r="AH74" s="15">
        <f>Table50[[#This Row],[USAGE / DAY]]*3</f>
        <v>7.2899999999999991</v>
      </c>
      <c r="AI7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74" s="15">
        <f>IFERROR(Table50[[#This Row],[ORDER QTY2]]*Table50[[#This Row],[COST PRICE]],0)</f>
        <v>0</v>
      </c>
      <c r="AK74" s="15">
        <f>(Table50[[#This Row],[REORDER POINT]]*Table50[[#This Row],[COST PRICE]])+Table50[[#This Row],[ORDER COST]]</f>
        <v>91.00630000000001</v>
      </c>
      <c r="AL74" s="15">
        <f t="shared" si="5"/>
        <v>100</v>
      </c>
      <c r="AM74" s="15">
        <f>IFERROR((Table50[[#This Row],[REORDER POINT]]+Table50[[#This Row],[ORDER QTY]])/(Table50[[#This Row],[USAGE / DAY]]*Table50[[#This Row],[DEMAND %]]),Table50[[#This Row],[REORDER POINT]]/Table50[[#This Row],[USAGE / DAY]])</f>
        <v>70.662551440329224</v>
      </c>
    </row>
    <row r="75" spans="1:39" x14ac:dyDescent="0.25">
      <c r="A75" t="s">
        <v>50</v>
      </c>
      <c r="B75" t="s">
        <v>124</v>
      </c>
      <c r="C75" t="s">
        <v>134</v>
      </c>
      <c r="D75" t="s">
        <v>53</v>
      </c>
      <c r="E75">
        <v>91</v>
      </c>
      <c r="F75">
        <v>56.42</v>
      </c>
      <c r="G75">
        <v>0</v>
      </c>
      <c r="H75">
        <v>0</v>
      </c>
      <c r="I75">
        <v>34</v>
      </c>
      <c r="J75">
        <v>21.08</v>
      </c>
      <c r="K75">
        <f>Table50[[#This Row],[OpeningQty]]+Table50[[#This Row],[PurchasesQty]]-Table50[[#This Row],[ClosingQty]]</f>
        <v>57</v>
      </c>
      <c r="L75">
        <v>35.340000000000003</v>
      </c>
      <c r="M75" s="14">
        <f>Table50[[#This Row],[Usage]]/$L$1</f>
        <v>5.367437062471864E-5</v>
      </c>
      <c r="N75" s="15">
        <f>IFERROR(Table50[[#This Row],[Opening]]/Table50[[#This Row],[OpeningQty]],0)</f>
        <v>0.62</v>
      </c>
      <c r="O75" s="15">
        <f>IFERROR(Table50[[#This Row],[Purchases]]/Table50[[#This Row],[PurchasesQty]],0)</f>
        <v>0</v>
      </c>
      <c r="P75" s="15">
        <f>IFERROR(Table50[[#This Row],[Closing]]/Table50[[#This Row],[ClosingQty]],0)</f>
        <v>0.62</v>
      </c>
      <c r="Q75" s="15">
        <f>IFERROR(AVERAGEIF(Table50[[#This Row],[OPENING COST PRICE]:[CLOSING COST PRICE]],"&gt;0"),0)</f>
        <v>0.62</v>
      </c>
      <c r="R75" s="15">
        <f>IFERROR(Table50[[#This Row],[COST PRICE]]-IFERROR(Table50[[#This Row],[Usage]]/Table50[[#This Row],[UsageQty]],Table50[[#This Row],[COST PRICE]]),0)</f>
        <v>-1.1102230246251565E-16</v>
      </c>
      <c r="S75" s="16">
        <f>IFERROR(Table50[[#This Row],[COST PRICE CHANGE]]/Table50[[#This Row],[OPENING COST PRICE]],0)</f>
        <v>-1.7906822977825107E-16</v>
      </c>
      <c r="T75" s="15">
        <f>Table50[[#This Row],[ClosingQty]]-(Table50[[#This Row],[USAGE / DAY]]*(IF(Table50[[#This Row],[ccnt]]="BEV",Table50[[#This Row],[DELIVERY DAY]],Table50[[#This Row],[DELIVERY DAY]])))</f>
        <v>21.759999999999998</v>
      </c>
      <c r="U75" s="15">
        <f>ROUNDUP(Table50[[#This Row],[UsageQty]]/Table50[[#This Row],[DATA POINT]],2)</f>
        <v>4.08</v>
      </c>
      <c r="V7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17</v>
      </c>
      <c r="W75" s="15">
        <f>IFERROR(Table50[[#This Row],[ORDER QTY]]*Table50[[#This Row],[COST PRICE]],0)</f>
        <v>10.54</v>
      </c>
      <c r="X75" s="15">
        <f>IFERROR(VLOOKUP(C75,[1]!Table49[[#All],[name]:[USAGE / DAY]],19,FALSE),1)</f>
        <v>2.67</v>
      </c>
      <c r="Y75" s="4">
        <f>IFERROR((Table50[[#This Row],[USAGE / DAY]]-Table50[[#This Row],[USAGE / DAY 2]])/Table50[[#This Row],[USAGE / DAY 2]],0)</f>
        <v>0.52808988764044951</v>
      </c>
      <c r="Z75" s="15">
        <f t="shared" si="3"/>
        <v>14</v>
      </c>
      <c r="AA75" s="15">
        <f t="shared" si="4"/>
        <v>9.311854181734148</v>
      </c>
      <c r="AB75" s="15">
        <f>IFERROR(IF(Table50[[#This Row],[ccnt]]="BEV",$AB$2,IF(Table50[[#This Row],[ccnt]]="FOOD",$AC$2,"ENTER # FROM LAST COUNT")),"ENTER # FROM LAST COUNT")</f>
        <v>3</v>
      </c>
      <c r="AC75" s="15">
        <f>(Table50[[#This Row],[OpeningQty]]+Table50[[#This Row],[ClosingQty]])/2</f>
        <v>62.5</v>
      </c>
      <c r="AD75" s="15">
        <f>IFERROR(Table50[[#This Row],[UsageQty]]/Table50[[#This Row],[AVE INVENTORY]],0)</f>
        <v>0.91200000000000003</v>
      </c>
      <c r="AE75" s="15">
        <f>IFERROR(Table50[[#This Row],[DATA POINT]]/Table50[[#This Row],[Inventory Turnover Rate]],0)</f>
        <v>15.350877192982455</v>
      </c>
      <c r="AF75" s="15">
        <f>Table50[[#This Row],[ClosingQty]]/Table50[[#This Row],[USAGE / DAY]]</f>
        <v>8.3333333333333339</v>
      </c>
      <c r="AG75" s="15">
        <f>Table50[[#This Row],[USAGE / DAY]]*7</f>
        <v>28.560000000000002</v>
      </c>
      <c r="AH75" s="15">
        <f>Table50[[#This Row],[USAGE / DAY]]*3</f>
        <v>12.24</v>
      </c>
      <c r="AI75" s="15">
        <f>IF(Table50[[#This Row],[FORECASTED DEMAND]]+Table50[[#This Row],[SAFETY STOCK]]-Table50[[#This Row],[ClosingQty]]&gt;0,Table50[[#This Row],[FORECASTED DEMAND]]+Table50[[#This Row],[SAFETY STOCK]]-Table50[[#This Row],[ClosingQty]],"NO ORDER")</f>
        <v>6.8000000000000043</v>
      </c>
      <c r="AJ75" s="15">
        <f>IFERROR(Table50[[#This Row],[ORDER QTY2]]*Table50[[#This Row],[COST PRICE]],0)</f>
        <v>4.2160000000000029</v>
      </c>
      <c r="AK75" s="15">
        <f>(Table50[[#This Row],[REORDER POINT]]*Table50[[#This Row],[COST PRICE]])+Table50[[#This Row],[ORDER COST]]</f>
        <v>24.031199999999998</v>
      </c>
      <c r="AL75" s="15">
        <f t="shared" si="5"/>
        <v>100</v>
      </c>
      <c r="AM75" s="15">
        <f>IFERROR((Table50[[#This Row],[REORDER POINT]]+Table50[[#This Row],[ORDER QTY]])/(Table50[[#This Row],[USAGE / DAY]]*Table50[[#This Row],[DEMAND %]]),Table50[[#This Row],[REORDER POINT]]/Table50[[#This Row],[USAGE / DAY]])</f>
        <v>9.5000000000000001E-2</v>
      </c>
    </row>
    <row r="76" spans="1:39" x14ac:dyDescent="0.25">
      <c r="A76" t="s">
        <v>50</v>
      </c>
      <c r="B76" t="s">
        <v>135</v>
      </c>
      <c r="C76" t="s">
        <v>136</v>
      </c>
      <c r="D76" t="s">
        <v>91</v>
      </c>
      <c r="E76">
        <v>23</v>
      </c>
      <c r="F76">
        <v>99.36</v>
      </c>
      <c r="G76">
        <v>30</v>
      </c>
      <c r="H76">
        <v>137.1</v>
      </c>
      <c r="I76">
        <v>31</v>
      </c>
      <c r="J76">
        <v>141.66999999999999</v>
      </c>
      <c r="K76">
        <f>Table50[[#This Row],[OpeningQty]]+Table50[[#This Row],[PurchasesQty]]-Table50[[#This Row],[ClosingQty]]</f>
        <v>22</v>
      </c>
      <c r="L76">
        <v>94.79</v>
      </c>
      <c r="M76" s="14">
        <f>Table50[[#This Row],[Usage]]/$L$1</f>
        <v>1.4396699466658405E-4</v>
      </c>
      <c r="N76" s="15">
        <f>IFERROR(Table50[[#This Row],[Opening]]/Table50[[#This Row],[OpeningQty]],0)</f>
        <v>4.32</v>
      </c>
      <c r="O76" s="15">
        <f>IFERROR(Table50[[#This Row],[Purchases]]/Table50[[#This Row],[PurchasesQty]],0)</f>
        <v>4.5699999999999994</v>
      </c>
      <c r="P76" s="15">
        <f>IFERROR(Table50[[#This Row],[Closing]]/Table50[[#This Row],[ClosingQty]],0)</f>
        <v>4.5699999999999994</v>
      </c>
      <c r="Q76" s="15">
        <f>IFERROR(AVERAGEIF(Table50[[#This Row],[OPENING COST PRICE]:[CLOSING COST PRICE]],"&gt;0"),0)</f>
        <v>4.4866666666666672</v>
      </c>
      <c r="R76" s="15">
        <f>IFERROR(Table50[[#This Row],[COST PRICE]]-IFERROR(Table50[[#This Row],[Usage]]/Table50[[#This Row],[UsageQty]],Table50[[#This Row],[COST PRICE]]),0)</f>
        <v>0.17803030303030365</v>
      </c>
      <c r="S76" s="16">
        <f>IFERROR(Table50[[#This Row],[COST PRICE CHANGE]]/Table50[[#This Row],[OPENING COST PRICE]],0)</f>
        <v>4.1210718294051769E-2</v>
      </c>
      <c r="T76" s="15">
        <f>Table50[[#This Row],[ClosingQty]]-(Table50[[#This Row],[USAGE / DAY]]*(IF(Table50[[#This Row],[ccnt]]="BEV",Table50[[#This Row],[DELIVERY DAY]],Table50[[#This Row],[DELIVERY DAY]])))</f>
        <v>26.259999999999998</v>
      </c>
      <c r="U76" s="15">
        <f>ROUNDUP(Table50[[#This Row],[UsageQty]]/Table50[[#This Row],[DATA POINT]],2)</f>
        <v>1.58</v>
      </c>
      <c r="V7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76" s="15">
        <f>IFERROR(Table50[[#This Row],[ORDER QTY]]*Table50[[#This Row],[COST PRICE]],0)</f>
        <v>0</v>
      </c>
      <c r="X76" s="15">
        <f>IFERROR(VLOOKUP(C76,[1]!Table49[[#All],[name]:[USAGE / DAY]],19,FALSE),1)</f>
        <v>2.1399999999999997</v>
      </c>
      <c r="Y76" s="4">
        <f>IFERROR((Table50[[#This Row],[USAGE / DAY]]-Table50[[#This Row],[USAGE / DAY 2]])/Table50[[#This Row],[USAGE / DAY 2]],0)</f>
        <v>-0.26168224299065407</v>
      </c>
      <c r="Z76" s="15">
        <f t="shared" si="3"/>
        <v>14</v>
      </c>
      <c r="AA76" s="15">
        <f t="shared" si="4"/>
        <v>9.311854181734148</v>
      </c>
      <c r="AB76" s="15">
        <f>IFERROR(IF(Table50[[#This Row],[ccnt]]="BEV",$AB$2,IF(Table50[[#This Row],[ccnt]]="FOOD",$AC$2,"ENTER # FROM LAST COUNT")),"ENTER # FROM LAST COUNT")</f>
        <v>3</v>
      </c>
      <c r="AC76" s="15">
        <f>(Table50[[#This Row],[OpeningQty]]+Table50[[#This Row],[ClosingQty]])/2</f>
        <v>27</v>
      </c>
      <c r="AD76" s="15">
        <f>IFERROR(Table50[[#This Row],[UsageQty]]/Table50[[#This Row],[AVE INVENTORY]],0)</f>
        <v>0.81481481481481477</v>
      </c>
      <c r="AE76" s="15">
        <f>IFERROR(Table50[[#This Row],[DATA POINT]]/Table50[[#This Row],[Inventory Turnover Rate]],0)</f>
        <v>17.181818181818183</v>
      </c>
      <c r="AF76" s="15">
        <f>Table50[[#This Row],[ClosingQty]]/Table50[[#This Row],[USAGE / DAY]]</f>
        <v>19.62025316455696</v>
      </c>
      <c r="AG76" s="15">
        <f>Table50[[#This Row],[USAGE / DAY]]*7</f>
        <v>11.06</v>
      </c>
      <c r="AH76" s="15">
        <f>Table50[[#This Row],[USAGE / DAY]]*3</f>
        <v>4.74</v>
      </c>
      <c r="AI7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76" s="15">
        <f>IFERROR(Table50[[#This Row],[ORDER QTY2]]*Table50[[#This Row],[COST PRICE]],0)</f>
        <v>0</v>
      </c>
      <c r="AK76" s="15">
        <f>(Table50[[#This Row],[REORDER POINT]]*Table50[[#This Row],[COST PRICE]])+Table50[[#This Row],[ORDER COST]]</f>
        <v>117.81986666666667</v>
      </c>
      <c r="AL76" s="15">
        <f t="shared" si="5"/>
        <v>100</v>
      </c>
      <c r="AM76" s="15">
        <f>IFERROR((Table50[[#This Row],[REORDER POINT]]+Table50[[#This Row],[ORDER QTY]])/(Table50[[#This Row],[USAGE / DAY]]*Table50[[#This Row],[DEMAND %]]),Table50[[#This Row],[REORDER POINT]]/Table50[[#This Row],[USAGE / DAY]])</f>
        <v>16.62025316455696</v>
      </c>
    </row>
    <row r="77" spans="1:39" x14ac:dyDescent="0.25">
      <c r="A77" t="s">
        <v>50</v>
      </c>
      <c r="B77" t="s">
        <v>135</v>
      </c>
      <c r="C77" t="s">
        <v>137</v>
      </c>
      <c r="D77" t="s">
        <v>138</v>
      </c>
      <c r="E77">
        <v>1.44</v>
      </c>
      <c r="F77">
        <v>353.03</v>
      </c>
      <c r="G77">
        <v>1</v>
      </c>
      <c r="H77">
        <v>260.08</v>
      </c>
      <c r="I77">
        <v>1.36</v>
      </c>
      <c r="J77">
        <v>353.71</v>
      </c>
      <c r="K77">
        <f>Table50[[#This Row],[OpeningQty]]+Table50[[#This Row],[PurchasesQty]]-Table50[[#This Row],[ClosingQty]]</f>
        <v>1.0799999999999998</v>
      </c>
      <c r="L77">
        <v>259.39999999999998</v>
      </c>
      <c r="M77" s="14">
        <f>Table50[[#This Row],[Usage]]/$L$1</f>
        <v>3.9397656310277343E-4</v>
      </c>
      <c r="N77" s="15">
        <f>IFERROR(Table50[[#This Row],[Opening]]/Table50[[#This Row],[OpeningQty]],0)</f>
        <v>245.1597222222222</v>
      </c>
      <c r="O77" s="15">
        <f>IFERROR(Table50[[#This Row],[Purchases]]/Table50[[#This Row],[PurchasesQty]],0)</f>
        <v>260.08</v>
      </c>
      <c r="P77" s="15">
        <f>IFERROR(Table50[[#This Row],[Closing]]/Table50[[#This Row],[ClosingQty]],0)</f>
        <v>260.08088235294116</v>
      </c>
      <c r="Q77" s="15">
        <f>IFERROR(AVERAGEIF(Table50[[#This Row],[OPENING COST PRICE]:[CLOSING COST PRICE]],"&gt;0"),0)</f>
        <v>255.10686819172111</v>
      </c>
      <c r="R77" s="15">
        <f>IFERROR(Table50[[#This Row],[COST PRICE]]-IFERROR(Table50[[#This Row],[Usage]]/Table50[[#This Row],[UsageQty]],Table50[[#This Row],[COST PRICE]]),0)</f>
        <v>14.921683006535915</v>
      </c>
      <c r="S77" s="16">
        <f>IFERROR(Table50[[#This Row],[COST PRICE CHANGE]]/Table50[[#This Row],[OPENING COST PRICE]],0)</f>
        <v>6.0865148937517259E-2</v>
      </c>
      <c r="T77" s="15">
        <f>Table50[[#This Row],[ClosingQty]]-(Table50[[#This Row],[USAGE / DAY]]*(IF(Table50[[#This Row],[ccnt]]="BEV",Table50[[#This Row],[DELIVERY DAY]],Table50[[#This Row],[DELIVERY DAY]])))</f>
        <v>1.1200000000000001</v>
      </c>
      <c r="U77" s="15">
        <f>ROUNDUP(Table50[[#This Row],[UsageQty]]/Table50[[#This Row],[DATA POINT]],2)</f>
        <v>0.08</v>
      </c>
      <c r="V7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77" s="15">
        <f>IFERROR(Table50[[#This Row],[ORDER QTY]]*Table50[[#This Row],[COST PRICE]],0)</f>
        <v>0</v>
      </c>
      <c r="X77" s="15">
        <f>IFERROR(VLOOKUP(C77,[1]!Table49[[#All],[name]:[USAGE / DAY]],19,FALSE),1)</f>
        <v>7.0000000000000007E-2</v>
      </c>
      <c r="Y77" s="4">
        <f>IFERROR((Table50[[#This Row],[USAGE / DAY]]-Table50[[#This Row],[USAGE / DAY 2]])/Table50[[#This Row],[USAGE / DAY 2]],0)</f>
        <v>0.14285714285714277</v>
      </c>
      <c r="Z77" s="15">
        <f t="shared" si="3"/>
        <v>14</v>
      </c>
      <c r="AA77" s="15">
        <f t="shared" si="4"/>
        <v>9.311854181734148</v>
      </c>
      <c r="AB77" s="15">
        <f>IFERROR(IF(Table50[[#This Row],[ccnt]]="BEV",$AB$2,IF(Table50[[#This Row],[ccnt]]="FOOD",$AC$2,"ENTER # FROM LAST COUNT")),"ENTER # FROM LAST COUNT")</f>
        <v>3</v>
      </c>
      <c r="AC77" s="15">
        <f>(Table50[[#This Row],[OpeningQty]]+Table50[[#This Row],[ClosingQty]])/2</f>
        <v>1.4</v>
      </c>
      <c r="AD77" s="15">
        <f>IFERROR(Table50[[#This Row],[UsageQty]]/Table50[[#This Row],[AVE INVENTORY]],0)</f>
        <v>0.77142857142857135</v>
      </c>
      <c r="AE77" s="15">
        <f>IFERROR(Table50[[#This Row],[DATA POINT]]/Table50[[#This Row],[Inventory Turnover Rate]],0)</f>
        <v>18.148148148148149</v>
      </c>
      <c r="AF77" s="15">
        <f>Table50[[#This Row],[ClosingQty]]/Table50[[#This Row],[USAGE / DAY]]</f>
        <v>17</v>
      </c>
      <c r="AG77" s="15">
        <f>Table50[[#This Row],[USAGE / DAY]]*7</f>
        <v>0.56000000000000005</v>
      </c>
      <c r="AH77" s="15">
        <f>Table50[[#This Row],[USAGE / DAY]]*3</f>
        <v>0.24</v>
      </c>
      <c r="AI7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77" s="15">
        <f>IFERROR(Table50[[#This Row],[ORDER QTY2]]*Table50[[#This Row],[COST PRICE]],0)</f>
        <v>0</v>
      </c>
      <c r="AK77" s="15">
        <f>(Table50[[#This Row],[REORDER POINT]]*Table50[[#This Row],[COST PRICE]])+Table50[[#This Row],[ORDER COST]]</f>
        <v>285.71969237472769</v>
      </c>
      <c r="AL77" s="15">
        <f t="shared" si="5"/>
        <v>100</v>
      </c>
      <c r="AM77" s="15">
        <f>IFERROR((Table50[[#This Row],[REORDER POINT]]+Table50[[#This Row],[ORDER QTY]])/(Table50[[#This Row],[USAGE / DAY]]*Table50[[#This Row],[DEMAND %]]),Table50[[#This Row],[REORDER POINT]]/Table50[[#This Row],[USAGE / DAY]])</f>
        <v>14.000000000000002</v>
      </c>
    </row>
    <row r="78" spans="1:39" x14ac:dyDescent="0.25">
      <c r="A78" t="s">
        <v>50</v>
      </c>
      <c r="B78" t="s">
        <v>135</v>
      </c>
      <c r="C78" t="s">
        <v>139</v>
      </c>
      <c r="D78" t="s">
        <v>91</v>
      </c>
      <c r="E78">
        <v>27</v>
      </c>
      <c r="F78">
        <v>181.44</v>
      </c>
      <c r="G78">
        <v>140</v>
      </c>
      <c r="H78">
        <v>1008.6</v>
      </c>
      <c r="I78">
        <v>36</v>
      </c>
      <c r="J78">
        <v>241.92</v>
      </c>
      <c r="K78">
        <f>Table50[[#This Row],[OpeningQty]]+Table50[[#This Row],[PurchasesQty]]-Table50[[#This Row],[ClosingQty]]</f>
        <v>131</v>
      </c>
      <c r="L78">
        <v>948.12</v>
      </c>
      <c r="M78" s="14">
        <f>Table50[[#This Row],[Usage]]/$L$1</f>
        <v>1.4400040825327742E-3</v>
      </c>
      <c r="N78" s="15">
        <f>IFERROR(Table50[[#This Row],[Opening]]/Table50[[#This Row],[OpeningQty]],0)</f>
        <v>6.72</v>
      </c>
      <c r="O78" s="15">
        <f>IFERROR(Table50[[#This Row],[Purchases]]/Table50[[#This Row],[PurchasesQty]],0)</f>
        <v>7.2042857142857146</v>
      </c>
      <c r="P78" s="15">
        <f>IFERROR(Table50[[#This Row],[Closing]]/Table50[[#This Row],[ClosingQty]],0)</f>
        <v>6.72</v>
      </c>
      <c r="Q78" s="15">
        <f>IFERROR(AVERAGEIF(Table50[[#This Row],[OPENING COST PRICE]:[CLOSING COST PRICE]],"&gt;0"),0)</f>
        <v>6.8814285714285717</v>
      </c>
      <c r="R78" s="15">
        <f>IFERROR(Table50[[#This Row],[COST PRICE]]-IFERROR(Table50[[#This Row],[Usage]]/Table50[[#This Row],[UsageQty]],Table50[[#This Row],[COST PRICE]]),0)</f>
        <v>-0.35612868047982538</v>
      </c>
      <c r="S78" s="16">
        <f>IFERROR(Table50[[#This Row],[COST PRICE CHANGE]]/Table50[[#This Row],[OPENING COST PRICE]],0)</f>
        <v>-5.2995339357116873E-2</v>
      </c>
      <c r="T78" s="15">
        <f>Table50[[#This Row],[ClosingQty]]-(Table50[[#This Row],[USAGE / DAY]]*(IF(Table50[[#This Row],[ccnt]]="BEV",Table50[[#This Row],[DELIVERY DAY]],Table50[[#This Row],[DELIVERY DAY]])))</f>
        <v>7.9200000000000017</v>
      </c>
      <c r="U78" s="15">
        <f>ROUNDUP(Table50[[#This Row],[UsageQty]]/Table50[[#This Row],[DATA POINT]],2)</f>
        <v>9.36</v>
      </c>
      <c r="V7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80</v>
      </c>
      <c r="W78" s="15">
        <f>IFERROR(Table50[[#This Row],[ORDER QTY]]*Table50[[#This Row],[COST PRICE]],0)</f>
        <v>550.51428571428573</v>
      </c>
      <c r="X78" s="15">
        <f>IFERROR(VLOOKUP(C78,[1]!Table49[[#All],[name]:[USAGE / DAY]],19,FALSE),1)</f>
        <v>9.4</v>
      </c>
      <c r="Y78" s="4">
        <f>IFERROR((Table50[[#This Row],[USAGE / DAY]]-Table50[[#This Row],[USAGE / DAY 2]])/Table50[[#This Row],[USAGE / DAY 2]],0)</f>
        <v>-4.2553191489362683E-3</v>
      </c>
      <c r="Z78" s="15">
        <f t="shared" si="3"/>
        <v>14</v>
      </c>
      <c r="AA78" s="15">
        <f t="shared" si="4"/>
        <v>9.311854181734148</v>
      </c>
      <c r="AB78" s="15">
        <f>IFERROR(IF(Table50[[#This Row],[ccnt]]="BEV",$AB$2,IF(Table50[[#This Row],[ccnt]]="FOOD",$AC$2,"ENTER # FROM LAST COUNT")),"ENTER # FROM LAST COUNT")</f>
        <v>3</v>
      </c>
      <c r="AC78" s="15">
        <f>(Table50[[#This Row],[OpeningQty]]+Table50[[#This Row],[ClosingQty]])/2</f>
        <v>31.5</v>
      </c>
      <c r="AD78" s="15">
        <f>IFERROR(Table50[[#This Row],[UsageQty]]/Table50[[#This Row],[AVE INVENTORY]],0)</f>
        <v>4.1587301587301591</v>
      </c>
      <c r="AE78" s="15">
        <f>IFERROR(Table50[[#This Row],[DATA POINT]]/Table50[[#This Row],[Inventory Turnover Rate]],0)</f>
        <v>3.3664122137404577</v>
      </c>
      <c r="AF78" s="15">
        <f>Table50[[#This Row],[ClosingQty]]/Table50[[#This Row],[USAGE / DAY]]</f>
        <v>3.8461538461538463</v>
      </c>
      <c r="AG78" s="15">
        <f>Table50[[#This Row],[USAGE / DAY]]*7</f>
        <v>65.52</v>
      </c>
      <c r="AH78" s="15">
        <f>Table50[[#This Row],[USAGE / DAY]]*3</f>
        <v>28.08</v>
      </c>
      <c r="AI78" s="15">
        <f>IF(Table50[[#This Row],[FORECASTED DEMAND]]+Table50[[#This Row],[SAFETY STOCK]]-Table50[[#This Row],[ClosingQty]]&gt;0,Table50[[#This Row],[FORECASTED DEMAND]]+Table50[[#This Row],[SAFETY STOCK]]-Table50[[#This Row],[ClosingQty]],"NO ORDER")</f>
        <v>57.599999999999994</v>
      </c>
      <c r="AJ78" s="15">
        <f>IFERROR(Table50[[#This Row],[ORDER QTY2]]*Table50[[#This Row],[COST PRICE]],0)</f>
        <v>396.37028571428567</v>
      </c>
      <c r="AK78" s="15">
        <f>(Table50[[#This Row],[REORDER POINT]]*Table50[[#This Row],[COST PRICE]])+Table50[[#This Row],[ORDER COST]]</f>
        <v>605.01520000000005</v>
      </c>
      <c r="AL78" s="15">
        <f t="shared" si="5"/>
        <v>100</v>
      </c>
      <c r="AM78" s="15">
        <f>IFERROR((Table50[[#This Row],[REORDER POINT]]+Table50[[#This Row],[ORDER QTY]])/(Table50[[#This Row],[USAGE / DAY]]*Table50[[#This Row],[DEMAND %]]),Table50[[#This Row],[REORDER POINT]]/Table50[[#This Row],[USAGE / DAY]])</f>
        <v>9.3931623931623937E-2</v>
      </c>
    </row>
    <row r="79" spans="1:39" x14ac:dyDescent="0.25">
      <c r="A79" t="s">
        <v>50</v>
      </c>
      <c r="B79" t="s">
        <v>135</v>
      </c>
      <c r="C79" t="s">
        <v>140</v>
      </c>
      <c r="D79" t="s">
        <v>91</v>
      </c>
      <c r="E79">
        <v>38</v>
      </c>
      <c r="F79">
        <v>256.88</v>
      </c>
      <c r="G79">
        <v>0</v>
      </c>
      <c r="H79">
        <v>0</v>
      </c>
      <c r="I79">
        <v>21</v>
      </c>
      <c r="J79">
        <v>141.96</v>
      </c>
      <c r="K79">
        <f>Table50[[#This Row],[OpeningQty]]+Table50[[#This Row],[PurchasesQty]]-Table50[[#This Row],[ClosingQty]]</f>
        <v>17</v>
      </c>
      <c r="L79">
        <v>114.92</v>
      </c>
      <c r="M79" s="14">
        <f>Table50[[#This Row],[Usage]]/$L$1</f>
        <v>1.7454042649102055E-4</v>
      </c>
      <c r="N79" s="15">
        <f>IFERROR(Table50[[#This Row],[Opening]]/Table50[[#This Row],[OpeningQty]],0)</f>
        <v>6.76</v>
      </c>
      <c r="O79" s="15">
        <f>IFERROR(Table50[[#This Row],[Purchases]]/Table50[[#This Row],[PurchasesQty]],0)</f>
        <v>0</v>
      </c>
      <c r="P79" s="15">
        <f>IFERROR(Table50[[#This Row],[Closing]]/Table50[[#This Row],[ClosingQty]],0)</f>
        <v>6.7600000000000007</v>
      </c>
      <c r="Q79" s="15">
        <f>IFERROR(AVERAGEIF(Table50[[#This Row],[OPENING COST PRICE]:[CLOSING COST PRICE]],"&gt;0"),0)</f>
        <v>6.76</v>
      </c>
      <c r="R79" s="15">
        <f>IFERROR(Table50[[#This Row],[COST PRICE]]-IFERROR(Table50[[#This Row],[Usage]]/Table50[[#This Row],[UsageQty]],Table50[[#This Row],[COST PRICE]]),0)</f>
        <v>0</v>
      </c>
      <c r="S79" s="16">
        <f>IFERROR(Table50[[#This Row],[COST PRICE CHANGE]]/Table50[[#This Row],[OPENING COST PRICE]],0)</f>
        <v>0</v>
      </c>
      <c r="T79" s="15">
        <f>Table50[[#This Row],[ClosingQty]]-(Table50[[#This Row],[USAGE / DAY]]*(IF(Table50[[#This Row],[ccnt]]="BEV",Table50[[#This Row],[DELIVERY DAY]],Table50[[#This Row],[DELIVERY DAY]])))</f>
        <v>17.34</v>
      </c>
      <c r="U79" s="15">
        <f>ROUNDUP(Table50[[#This Row],[UsageQty]]/Table50[[#This Row],[DATA POINT]],2)</f>
        <v>1.22</v>
      </c>
      <c r="V7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79" s="15">
        <f>IFERROR(Table50[[#This Row],[ORDER QTY]]*Table50[[#This Row],[COST PRICE]],0)</f>
        <v>0</v>
      </c>
      <c r="X79" s="15">
        <f>IFERROR(VLOOKUP(C79,[1]!Table49[[#All],[name]:[USAGE / DAY]],19,FALSE),1)</f>
        <v>1.2</v>
      </c>
      <c r="Y79" s="4">
        <f>IFERROR((Table50[[#This Row],[USAGE / DAY]]-Table50[[#This Row],[USAGE / DAY 2]])/Table50[[#This Row],[USAGE / DAY 2]],0)</f>
        <v>1.6666666666666684E-2</v>
      </c>
      <c r="Z79" s="15">
        <f t="shared" si="3"/>
        <v>14</v>
      </c>
      <c r="AA79" s="15">
        <f t="shared" si="4"/>
        <v>9.311854181734148</v>
      </c>
      <c r="AB79" s="15">
        <f>IFERROR(IF(Table50[[#This Row],[ccnt]]="BEV",$AB$2,IF(Table50[[#This Row],[ccnt]]="FOOD",$AC$2,"ENTER # FROM LAST COUNT")),"ENTER # FROM LAST COUNT")</f>
        <v>3</v>
      </c>
      <c r="AC79" s="15">
        <f>(Table50[[#This Row],[OpeningQty]]+Table50[[#This Row],[ClosingQty]])/2</f>
        <v>29.5</v>
      </c>
      <c r="AD79" s="15">
        <f>IFERROR(Table50[[#This Row],[UsageQty]]/Table50[[#This Row],[AVE INVENTORY]],0)</f>
        <v>0.57627118644067798</v>
      </c>
      <c r="AE79" s="15">
        <f>IFERROR(Table50[[#This Row],[DATA POINT]]/Table50[[#This Row],[Inventory Turnover Rate]],0)</f>
        <v>24.294117647058822</v>
      </c>
      <c r="AF79" s="15">
        <f>Table50[[#This Row],[ClosingQty]]/Table50[[#This Row],[USAGE / DAY]]</f>
        <v>17.21311475409836</v>
      </c>
      <c r="AG79" s="15">
        <f>Table50[[#This Row],[USAGE / DAY]]*7</f>
        <v>8.5399999999999991</v>
      </c>
      <c r="AH79" s="15">
        <f>Table50[[#This Row],[USAGE / DAY]]*3</f>
        <v>3.66</v>
      </c>
      <c r="AI7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79" s="15">
        <f>IFERROR(Table50[[#This Row],[ORDER QTY2]]*Table50[[#This Row],[COST PRICE]],0)</f>
        <v>0</v>
      </c>
      <c r="AK79" s="15">
        <f>(Table50[[#This Row],[REORDER POINT]]*Table50[[#This Row],[COST PRICE]])+Table50[[#This Row],[ORDER COST]]</f>
        <v>117.21839999999999</v>
      </c>
      <c r="AL79" s="15">
        <f t="shared" si="5"/>
        <v>100</v>
      </c>
      <c r="AM79" s="15">
        <f>IFERROR((Table50[[#This Row],[REORDER POINT]]+Table50[[#This Row],[ORDER QTY]])/(Table50[[#This Row],[USAGE / DAY]]*Table50[[#This Row],[DEMAND %]]),Table50[[#This Row],[REORDER POINT]]/Table50[[#This Row],[USAGE / DAY]])</f>
        <v>14.213114754098362</v>
      </c>
    </row>
    <row r="80" spans="1:39" x14ac:dyDescent="0.25">
      <c r="A80" t="s">
        <v>50</v>
      </c>
      <c r="B80" t="s">
        <v>135</v>
      </c>
      <c r="C80" t="s">
        <v>141</v>
      </c>
      <c r="D80" t="s">
        <v>91</v>
      </c>
      <c r="E80">
        <v>18</v>
      </c>
      <c r="F80">
        <v>148.5</v>
      </c>
      <c r="G80">
        <v>0</v>
      </c>
      <c r="H80">
        <v>0</v>
      </c>
      <c r="I80">
        <v>18</v>
      </c>
      <c r="J80">
        <v>148.5</v>
      </c>
      <c r="K80">
        <f>Table50[[#This Row],[OpeningQty]]+Table50[[#This Row],[PurchasesQty]]-Table50[[#This Row],[ClosingQty]]</f>
        <v>0</v>
      </c>
      <c r="L80">
        <v>0</v>
      </c>
      <c r="M80" s="14">
        <f>Table50[[#This Row],[Usage]]/$L$1</f>
        <v>0</v>
      </c>
      <c r="N80" s="15">
        <f>IFERROR(Table50[[#This Row],[Opening]]/Table50[[#This Row],[OpeningQty]],0)</f>
        <v>8.25</v>
      </c>
      <c r="O80" s="15">
        <f>IFERROR(Table50[[#This Row],[Purchases]]/Table50[[#This Row],[PurchasesQty]],0)</f>
        <v>0</v>
      </c>
      <c r="P80" s="15">
        <f>IFERROR(Table50[[#This Row],[Closing]]/Table50[[#This Row],[ClosingQty]],0)</f>
        <v>8.25</v>
      </c>
      <c r="Q80" s="15">
        <f>IFERROR(AVERAGEIF(Table50[[#This Row],[OPENING COST PRICE]:[CLOSING COST PRICE]],"&gt;0"),0)</f>
        <v>8.25</v>
      </c>
      <c r="R80" s="15">
        <f>IFERROR(Table50[[#This Row],[COST PRICE]]-IFERROR(Table50[[#This Row],[Usage]]/Table50[[#This Row],[UsageQty]],Table50[[#This Row],[COST PRICE]]),0)</f>
        <v>0</v>
      </c>
      <c r="S80" s="16">
        <f>IFERROR(Table50[[#This Row],[COST PRICE CHANGE]]/Table50[[#This Row],[OPENING COST PRICE]],0)</f>
        <v>0</v>
      </c>
      <c r="T80" s="15">
        <f>Table50[[#This Row],[ClosingQty]]-(Table50[[#This Row],[USAGE / DAY]]*(IF(Table50[[#This Row],[ccnt]]="BEV",Table50[[#This Row],[DELIVERY DAY]],Table50[[#This Row],[DELIVERY DAY]])))</f>
        <v>18</v>
      </c>
      <c r="U80" s="15">
        <f>ROUNDUP(Table50[[#This Row],[UsageQty]]/Table50[[#This Row],[DATA POINT]],2)</f>
        <v>0</v>
      </c>
      <c r="V8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80" s="15">
        <f>IFERROR(Table50[[#This Row],[ORDER QTY]]*Table50[[#This Row],[COST PRICE]],0)</f>
        <v>0</v>
      </c>
      <c r="X80" s="15">
        <f>IFERROR(VLOOKUP(C80,[1]!Table49[[#All],[name]:[USAGE / DAY]],19,FALSE),1)</f>
        <v>0</v>
      </c>
      <c r="Y80" s="4">
        <f>IFERROR((Table50[[#This Row],[USAGE / DAY]]-Table50[[#This Row],[USAGE / DAY 2]])/Table50[[#This Row],[USAGE / DAY 2]],0)</f>
        <v>0</v>
      </c>
      <c r="Z80" s="15">
        <f t="shared" si="3"/>
        <v>14</v>
      </c>
      <c r="AA80" s="15">
        <f t="shared" si="4"/>
        <v>9.311854181734148</v>
      </c>
      <c r="AB80" s="15">
        <f>IFERROR(IF(Table50[[#This Row],[ccnt]]="BEV",$AB$2,IF(Table50[[#This Row],[ccnt]]="FOOD",$AC$2,"ENTER # FROM LAST COUNT")),"ENTER # FROM LAST COUNT")</f>
        <v>3</v>
      </c>
      <c r="AC80" s="15">
        <f>(Table50[[#This Row],[OpeningQty]]+Table50[[#This Row],[ClosingQty]])/2</f>
        <v>18</v>
      </c>
      <c r="AD80" s="15">
        <f>IFERROR(Table50[[#This Row],[UsageQty]]/Table50[[#This Row],[AVE INVENTORY]],0)</f>
        <v>0</v>
      </c>
      <c r="AE80" s="15">
        <f>IFERROR(Table50[[#This Row],[DATA POINT]]/Table50[[#This Row],[Inventory Turnover Rate]],0)</f>
        <v>0</v>
      </c>
      <c r="AF80" s="15" t="e">
        <f>Table50[[#This Row],[ClosingQty]]/Table50[[#This Row],[USAGE / DAY]]</f>
        <v>#DIV/0!</v>
      </c>
      <c r="AG80" s="15">
        <f>Table50[[#This Row],[USAGE / DAY]]*7</f>
        <v>0</v>
      </c>
      <c r="AH80" s="15">
        <f>Table50[[#This Row],[USAGE / DAY]]*3</f>
        <v>0</v>
      </c>
      <c r="AI8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0" s="15">
        <f>IFERROR(Table50[[#This Row],[ORDER QTY2]]*Table50[[#This Row],[COST PRICE]],0)</f>
        <v>0</v>
      </c>
      <c r="AK80" s="15">
        <f>(Table50[[#This Row],[REORDER POINT]]*Table50[[#This Row],[COST PRICE]])+Table50[[#This Row],[ORDER COST]]</f>
        <v>148.5</v>
      </c>
      <c r="AL80" s="15">
        <f t="shared" si="5"/>
        <v>100</v>
      </c>
      <c r="AM80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81" spans="1:39" x14ac:dyDescent="0.25">
      <c r="A81" t="s">
        <v>50</v>
      </c>
      <c r="B81" t="s">
        <v>135</v>
      </c>
      <c r="C81" t="s">
        <v>142</v>
      </c>
      <c r="D81" t="s">
        <v>91</v>
      </c>
      <c r="E81">
        <v>32</v>
      </c>
      <c r="F81">
        <v>159.36000000000001</v>
      </c>
      <c r="G81">
        <v>0</v>
      </c>
      <c r="H81">
        <v>0</v>
      </c>
      <c r="I81">
        <v>32</v>
      </c>
      <c r="J81">
        <v>159.36000000000001</v>
      </c>
      <c r="K81">
        <f>Table50[[#This Row],[OpeningQty]]+Table50[[#This Row],[PurchasesQty]]-Table50[[#This Row],[ClosingQty]]</f>
        <v>0</v>
      </c>
      <c r="L81">
        <v>0</v>
      </c>
      <c r="M81" s="14">
        <f>Table50[[#This Row],[Usage]]/$L$1</f>
        <v>0</v>
      </c>
      <c r="N81" s="15">
        <f>IFERROR(Table50[[#This Row],[Opening]]/Table50[[#This Row],[OpeningQty]],0)</f>
        <v>4.9800000000000004</v>
      </c>
      <c r="O81" s="15">
        <f>IFERROR(Table50[[#This Row],[Purchases]]/Table50[[#This Row],[PurchasesQty]],0)</f>
        <v>0</v>
      </c>
      <c r="P81" s="15">
        <f>IFERROR(Table50[[#This Row],[Closing]]/Table50[[#This Row],[ClosingQty]],0)</f>
        <v>4.9800000000000004</v>
      </c>
      <c r="Q81" s="15">
        <f>IFERROR(AVERAGEIF(Table50[[#This Row],[OPENING COST PRICE]:[CLOSING COST PRICE]],"&gt;0"),0)</f>
        <v>4.9800000000000004</v>
      </c>
      <c r="R81" s="15">
        <f>IFERROR(Table50[[#This Row],[COST PRICE]]-IFERROR(Table50[[#This Row],[Usage]]/Table50[[#This Row],[UsageQty]],Table50[[#This Row],[COST PRICE]]),0)</f>
        <v>0</v>
      </c>
      <c r="S81" s="16">
        <f>IFERROR(Table50[[#This Row],[COST PRICE CHANGE]]/Table50[[#This Row],[OPENING COST PRICE]],0)</f>
        <v>0</v>
      </c>
      <c r="T81" s="15">
        <f>Table50[[#This Row],[ClosingQty]]-(Table50[[#This Row],[USAGE / DAY]]*(IF(Table50[[#This Row],[ccnt]]="BEV",Table50[[#This Row],[DELIVERY DAY]],Table50[[#This Row],[DELIVERY DAY]])))</f>
        <v>32</v>
      </c>
      <c r="U81" s="15">
        <f>ROUNDUP(Table50[[#This Row],[UsageQty]]/Table50[[#This Row],[DATA POINT]],2)</f>
        <v>0</v>
      </c>
      <c r="V8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81" s="15">
        <f>IFERROR(Table50[[#This Row],[ORDER QTY]]*Table50[[#This Row],[COST PRICE]],0)</f>
        <v>0</v>
      </c>
      <c r="X81" s="15">
        <f>IFERROR(VLOOKUP(C81,[1]!Table49[[#All],[name]:[USAGE / DAY]],19,FALSE),1)</f>
        <v>0</v>
      </c>
      <c r="Y81" s="4">
        <f>IFERROR((Table50[[#This Row],[USAGE / DAY]]-Table50[[#This Row],[USAGE / DAY 2]])/Table50[[#This Row],[USAGE / DAY 2]],0)</f>
        <v>0</v>
      </c>
      <c r="Z81" s="15">
        <f t="shared" si="3"/>
        <v>14</v>
      </c>
      <c r="AA81" s="15">
        <f t="shared" si="4"/>
        <v>9.311854181734148</v>
      </c>
      <c r="AB81" s="15">
        <f>IFERROR(IF(Table50[[#This Row],[ccnt]]="BEV",$AB$2,IF(Table50[[#This Row],[ccnt]]="FOOD",$AC$2,"ENTER # FROM LAST COUNT")),"ENTER # FROM LAST COUNT")</f>
        <v>3</v>
      </c>
      <c r="AC81" s="15">
        <f>(Table50[[#This Row],[OpeningQty]]+Table50[[#This Row],[ClosingQty]])/2</f>
        <v>32</v>
      </c>
      <c r="AD81" s="15">
        <f>IFERROR(Table50[[#This Row],[UsageQty]]/Table50[[#This Row],[AVE INVENTORY]],0)</f>
        <v>0</v>
      </c>
      <c r="AE81" s="15">
        <f>IFERROR(Table50[[#This Row],[DATA POINT]]/Table50[[#This Row],[Inventory Turnover Rate]],0)</f>
        <v>0</v>
      </c>
      <c r="AF81" s="15" t="e">
        <f>Table50[[#This Row],[ClosingQty]]/Table50[[#This Row],[USAGE / DAY]]</f>
        <v>#DIV/0!</v>
      </c>
      <c r="AG81" s="15">
        <f>Table50[[#This Row],[USAGE / DAY]]*7</f>
        <v>0</v>
      </c>
      <c r="AH81" s="15">
        <f>Table50[[#This Row],[USAGE / DAY]]*3</f>
        <v>0</v>
      </c>
      <c r="AI8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1" s="15">
        <f>IFERROR(Table50[[#This Row],[ORDER QTY2]]*Table50[[#This Row],[COST PRICE]],0)</f>
        <v>0</v>
      </c>
      <c r="AK81" s="15">
        <f>(Table50[[#This Row],[REORDER POINT]]*Table50[[#This Row],[COST PRICE]])+Table50[[#This Row],[ORDER COST]]</f>
        <v>159.36000000000001</v>
      </c>
      <c r="AL81" s="15">
        <f t="shared" si="5"/>
        <v>100</v>
      </c>
      <c r="AM81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82" spans="1:39" x14ac:dyDescent="0.25">
      <c r="A82" t="s">
        <v>50</v>
      </c>
      <c r="B82" t="s">
        <v>135</v>
      </c>
      <c r="C82" t="s">
        <v>143</v>
      </c>
      <c r="D82" t="s">
        <v>91</v>
      </c>
      <c r="E82">
        <v>14</v>
      </c>
      <c r="F82">
        <v>55.3</v>
      </c>
      <c r="G82">
        <v>0</v>
      </c>
      <c r="H82">
        <v>0</v>
      </c>
      <c r="I82">
        <v>14</v>
      </c>
      <c r="J82">
        <v>55.3</v>
      </c>
      <c r="K82">
        <f>Table50[[#This Row],[OpeningQty]]+Table50[[#This Row],[PurchasesQty]]-Table50[[#This Row],[ClosingQty]]</f>
        <v>0</v>
      </c>
      <c r="L82">
        <v>0</v>
      </c>
      <c r="M82" s="14">
        <f>Table50[[#This Row],[Usage]]/$L$1</f>
        <v>0</v>
      </c>
      <c r="N82" s="15">
        <f>IFERROR(Table50[[#This Row],[Opening]]/Table50[[#This Row],[OpeningQty]],0)</f>
        <v>3.9499999999999997</v>
      </c>
      <c r="O82" s="15">
        <f>IFERROR(Table50[[#This Row],[Purchases]]/Table50[[#This Row],[PurchasesQty]],0)</f>
        <v>0</v>
      </c>
      <c r="P82" s="15">
        <f>IFERROR(Table50[[#This Row],[Closing]]/Table50[[#This Row],[ClosingQty]],0)</f>
        <v>3.9499999999999997</v>
      </c>
      <c r="Q82" s="15">
        <f>IFERROR(AVERAGEIF(Table50[[#This Row],[OPENING COST PRICE]:[CLOSING COST PRICE]],"&gt;0"),0)</f>
        <v>3.9499999999999997</v>
      </c>
      <c r="R82" s="15">
        <f>IFERROR(Table50[[#This Row],[COST PRICE]]-IFERROR(Table50[[#This Row],[Usage]]/Table50[[#This Row],[UsageQty]],Table50[[#This Row],[COST PRICE]]),0)</f>
        <v>0</v>
      </c>
      <c r="S82" s="16">
        <f>IFERROR(Table50[[#This Row],[COST PRICE CHANGE]]/Table50[[#This Row],[OPENING COST PRICE]],0)</f>
        <v>0</v>
      </c>
      <c r="T82" s="15">
        <f>Table50[[#This Row],[ClosingQty]]-(Table50[[#This Row],[USAGE / DAY]]*(IF(Table50[[#This Row],[ccnt]]="BEV",Table50[[#This Row],[DELIVERY DAY]],Table50[[#This Row],[DELIVERY DAY]])))</f>
        <v>14</v>
      </c>
      <c r="U82" s="15">
        <f>ROUNDUP(Table50[[#This Row],[UsageQty]]/Table50[[#This Row],[DATA POINT]],2)</f>
        <v>0</v>
      </c>
      <c r="V8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82" s="15">
        <f>IFERROR(Table50[[#This Row],[ORDER QTY]]*Table50[[#This Row],[COST PRICE]],0)</f>
        <v>0</v>
      </c>
      <c r="X82" s="15">
        <f>IFERROR(VLOOKUP(C82,[1]!Table49[[#All],[name]:[USAGE / DAY]],19,FALSE),1)</f>
        <v>0</v>
      </c>
      <c r="Y82" s="4">
        <f>IFERROR((Table50[[#This Row],[USAGE / DAY]]-Table50[[#This Row],[USAGE / DAY 2]])/Table50[[#This Row],[USAGE / DAY 2]],0)</f>
        <v>0</v>
      </c>
      <c r="Z82" s="15">
        <f t="shared" si="3"/>
        <v>14</v>
      </c>
      <c r="AA82" s="15">
        <f t="shared" si="4"/>
        <v>9.311854181734148</v>
      </c>
      <c r="AB82" s="15">
        <f>IFERROR(IF(Table50[[#This Row],[ccnt]]="BEV",$AB$2,IF(Table50[[#This Row],[ccnt]]="FOOD",$AC$2,"ENTER # FROM LAST COUNT")),"ENTER # FROM LAST COUNT")</f>
        <v>3</v>
      </c>
      <c r="AC82" s="15">
        <f>(Table50[[#This Row],[OpeningQty]]+Table50[[#This Row],[ClosingQty]])/2</f>
        <v>14</v>
      </c>
      <c r="AD82" s="15">
        <f>IFERROR(Table50[[#This Row],[UsageQty]]/Table50[[#This Row],[AVE INVENTORY]],0)</f>
        <v>0</v>
      </c>
      <c r="AE82" s="15">
        <f>IFERROR(Table50[[#This Row],[DATA POINT]]/Table50[[#This Row],[Inventory Turnover Rate]],0)</f>
        <v>0</v>
      </c>
      <c r="AF82" s="15" t="e">
        <f>Table50[[#This Row],[ClosingQty]]/Table50[[#This Row],[USAGE / DAY]]</f>
        <v>#DIV/0!</v>
      </c>
      <c r="AG82" s="15">
        <f>Table50[[#This Row],[USAGE / DAY]]*7</f>
        <v>0</v>
      </c>
      <c r="AH82" s="15">
        <f>Table50[[#This Row],[USAGE / DAY]]*3</f>
        <v>0</v>
      </c>
      <c r="AI8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2" s="15">
        <f>IFERROR(Table50[[#This Row],[ORDER QTY2]]*Table50[[#This Row],[COST PRICE]],0)</f>
        <v>0</v>
      </c>
      <c r="AK82" s="15">
        <f>(Table50[[#This Row],[REORDER POINT]]*Table50[[#This Row],[COST PRICE]])+Table50[[#This Row],[ORDER COST]]</f>
        <v>55.3</v>
      </c>
      <c r="AL82" s="15">
        <f t="shared" si="5"/>
        <v>100</v>
      </c>
      <c r="AM82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83" spans="1:39" x14ac:dyDescent="0.25">
      <c r="A83" t="s">
        <v>50</v>
      </c>
      <c r="B83" t="s">
        <v>135</v>
      </c>
      <c r="C83" t="s">
        <v>144</v>
      </c>
      <c r="D83" t="s">
        <v>91</v>
      </c>
      <c r="E83">
        <v>10</v>
      </c>
      <c r="F83">
        <v>58.1</v>
      </c>
      <c r="G83">
        <v>30</v>
      </c>
      <c r="H83">
        <v>174.42</v>
      </c>
      <c r="I83">
        <v>31</v>
      </c>
      <c r="J83">
        <v>180.11</v>
      </c>
      <c r="K83">
        <f>Table50[[#This Row],[OpeningQty]]+Table50[[#This Row],[PurchasesQty]]-Table50[[#This Row],[ClosingQty]]</f>
        <v>9</v>
      </c>
      <c r="L83">
        <v>52.41</v>
      </c>
      <c r="M83" s="14">
        <f>Table50[[#This Row],[Usage]]/$L$1</f>
        <v>7.9600276299985953E-5</v>
      </c>
      <c r="N83" s="15">
        <f>IFERROR(Table50[[#This Row],[Opening]]/Table50[[#This Row],[OpeningQty]],0)</f>
        <v>5.8100000000000005</v>
      </c>
      <c r="O83" s="15">
        <f>IFERROR(Table50[[#This Row],[Purchases]]/Table50[[#This Row],[PurchasesQty]],0)</f>
        <v>5.8139999999999992</v>
      </c>
      <c r="P83" s="15">
        <f>IFERROR(Table50[[#This Row],[Closing]]/Table50[[#This Row],[ClosingQty]],0)</f>
        <v>5.8100000000000005</v>
      </c>
      <c r="Q83" s="15">
        <f>IFERROR(AVERAGEIF(Table50[[#This Row],[OPENING COST PRICE]:[CLOSING COST PRICE]],"&gt;0"),0)</f>
        <v>5.8113333333333328</v>
      </c>
      <c r="R83" s="15">
        <f>IFERROR(Table50[[#This Row],[COST PRICE]]-IFERROR(Table50[[#This Row],[Usage]]/Table50[[#This Row],[UsageQty]],Table50[[#This Row],[COST PRICE]]),0)</f>
        <v>-1.2000000000000455E-2</v>
      </c>
      <c r="S83" s="16">
        <f>IFERROR(Table50[[#This Row],[COST PRICE CHANGE]]/Table50[[#This Row],[OPENING COST PRICE]],0)</f>
        <v>-2.0654044750431076E-3</v>
      </c>
      <c r="T83" s="15">
        <f>Table50[[#This Row],[ClosingQty]]-(Table50[[#This Row],[USAGE / DAY]]*(IF(Table50[[#This Row],[ccnt]]="BEV",Table50[[#This Row],[DELIVERY DAY]],Table50[[#This Row],[DELIVERY DAY]])))</f>
        <v>29.05</v>
      </c>
      <c r="U83" s="15">
        <f>ROUNDUP(Table50[[#This Row],[UsageQty]]/Table50[[#This Row],[DATA POINT]],2)</f>
        <v>0.65</v>
      </c>
      <c r="V8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83" s="15">
        <f>IFERROR(Table50[[#This Row],[ORDER QTY]]*Table50[[#This Row],[COST PRICE]],0)</f>
        <v>0</v>
      </c>
      <c r="X83" s="15">
        <f>IFERROR(VLOOKUP(C83,[1]!Table49[[#All],[name]:[USAGE / DAY]],19,FALSE),1)</f>
        <v>0.67</v>
      </c>
      <c r="Y83" s="4">
        <f>IFERROR((Table50[[#This Row],[USAGE / DAY]]-Table50[[#This Row],[USAGE / DAY 2]])/Table50[[#This Row],[USAGE / DAY 2]],0)</f>
        <v>-2.985074626865674E-2</v>
      </c>
      <c r="Z83" s="15">
        <f t="shared" si="3"/>
        <v>14</v>
      </c>
      <c r="AA83" s="15">
        <f t="shared" si="4"/>
        <v>9.311854181734148</v>
      </c>
      <c r="AB83" s="15">
        <f>IFERROR(IF(Table50[[#This Row],[ccnt]]="BEV",$AB$2,IF(Table50[[#This Row],[ccnt]]="FOOD",$AC$2,"ENTER # FROM LAST COUNT")),"ENTER # FROM LAST COUNT")</f>
        <v>3</v>
      </c>
      <c r="AC83" s="15">
        <f>(Table50[[#This Row],[OpeningQty]]+Table50[[#This Row],[ClosingQty]])/2</f>
        <v>20.5</v>
      </c>
      <c r="AD83" s="15">
        <f>IFERROR(Table50[[#This Row],[UsageQty]]/Table50[[#This Row],[AVE INVENTORY]],0)</f>
        <v>0.43902439024390244</v>
      </c>
      <c r="AE83" s="15">
        <f>IFERROR(Table50[[#This Row],[DATA POINT]]/Table50[[#This Row],[Inventory Turnover Rate]],0)</f>
        <v>31.888888888888889</v>
      </c>
      <c r="AF83" s="15">
        <f>Table50[[#This Row],[ClosingQty]]/Table50[[#This Row],[USAGE / DAY]]</f>
        <v>47.692307692307693</v>
      </c>
      <c r="AG83" s="15">
        <f>Table50[[#This Row],[USAGE / DAY]]*7</f>
        <v>4.55</v>
      </c>
      <c r="AH83" s="15">
        <f>Table50[[#This Row],[USAGE / DAY]]*3</f>
        <v>1.9500000000000002</v>
      </c>
      <c r="AI8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3" s="15">
        <f>IFERROR(Table50[[#This Row],[ORDER QTY2]]*Table50[[#This Row],[COST PRICE]],0)</f>
        <v>0</v>
      </c>
      <c r="AK83" s="15">
        <f>(Table50[[#This Row],[REORDER POINT]]*Table50[[#This Row],[COST PRICE]])+Table50[[#This Row],[ORDER COST]]</f>
        <v>168.81923333333333</v>
      </c>
      <c r="AL83" s="15">
        <f t="shared" si="5"/>
        <v>100</v>
      </c>
      <c r="AM83" s="15">
        <f>IFERROR((Table50[[#This Row],[REORDER POINT]]+Table50[[#This Row],[ORDER QTY]])/(Table50[[#This Row],[USAGE / DAY]]*Table50[[#This Row],[DEMAND %]]),Table50[[#This Row],[REORDER POINT]]/Table50[[#This Row],[USAGE / DAY]])</f>
        <v>44.692307692307693</v>
      </c>
    </row>
    <row r="84" spans="1:39" x14ac:dyDescent="0.25">
      <c r="A84" t="s">
        <v>50</v>
      </c>
      <c r="B84" t="s">
        <v>135</v>
      </c>
      <c r="C84" t="s">
        <v>145</v>
      </c>
      <c r="D84" t="s">
        <v>91</v>
      </c>
      <c r="E84">
        <v>25</v>
      </c>
      <c r="F84">
        <v>184</v>
      </c>
      <c r="G84">
        <v>0</v>
      </c>
      <c r="H84">
        <v>0</v>
      </c>
      <c r="I84">
        <v>24</v>
      </c>
      <c r="J84">
        <v>176.64</v>
      </c>
      <c r="K84">
        <f>Table50[[#This Row],[OpeningQty]]+Table50[[#This Row],[PurchasesQty]]-Table50[[#This Row],[ClosingQty]]</f>
        <v>1</v>
      </c>
      <c r="L84">
        <v>7.36</v>
      </c>
      <c r="M84" s="14">
        <f>Table50[[#This Row],[Usage]]/$L$1</f>
        <v>1.11783635483285E-5</v>
      </c>
      <c r="N84" s="15">
        <f>IFERROR(Table50[[#This Row],[Opening]]/Table50[[#This Row],[OpeningQty]],0)</f>
        <v>7.36</v>
      </c>
      <c r="O84" s="15">
        <f>IFERROR(Table50[[#This Row],[Purchases]]/Table50[[#This Row],[PurchasesQty]],0)</f>
        <v>0</v>
      </c>
      <c r="P84" s="15">
        <f>IFERROR(Table50[[#This Row],[Closing]]/Table50[[#This Row],[ClosingQty]],0)</f>
        <v>7.3599999999999994</v>
      </c>
      <c r="Q84" s="15">
        <f>IFERROR(AVERAGEIF(Table50[[#This Row],[OPENING COST PRICE]:[CLOSING COST PRICE]],"&gt;0"),0)</f>
        <v>7.3599999999999994</v>
      </c>
      <c r="R84" s="15">
        <f>IFERROR(Table50[[#This Row],[COST PRICE]]-IFERROR(Table50[[#This Row],[Usage]]/Table50[[#This Row],[UsageQty]],Table50[[#This Row],[COST PRICE]]),0)</f>
        <v>-8.8817841970012523E-16</v>
      </c>
      <c r="S84" s="16">
        <f>IFERROR(Table50[[#This Row],[COST PRICE CHANGE]]/Table50[[#This Row],[OPENING COST PRICE]],0)</f>
        <v>-1.206764157201257E-16</v>
      </c>
      <c r="T84" s="15">
        <f>Table50[[#This Row],[ClosingQty]]-(Table50[[#This Row],[USAGE / DAY]]*(IF(Table50[[#This Row],[ccnt]]="BEV",Table50[[#This Row],[DELIVERY DAY]],Table50[[#This Row],[DELIVERY DAY]])))</f>
        <v>23.76</v>
      </c>
      <c r="U84" s="15">
        <f>ROUNDUP(Table50[[#This Row],[UsageQty]]/Table50[[#This Row],[DATA POINT]],2)</f>
        <v>0.08</v>
      </c>
      <c r="V8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84" s="15">
        <f>IFERROR(Table50[[#This Row],[ORDER QTY]]*Table50[[#This Row],[COST PRICE]],0)</f>
        <v>0</v>
      </c>
      <c r="X84" s="15">
        <f>IFERROR(VLOOKUP(C84,[1]!Table49[[#All],[name]:[USAGE / DAY]],19,FALSE),1)</f>
        <v>6.9999999999999993E-2</v>
      </c>
      <c r="Y84" s="4">
        <f>IFERROR((Table50[[#This Row],[USAGE / DAY]]-Table50[[#This Row],[USAGE / DAY 2]])/Table50[[#This Row],[USAGE / DAY 2]],0)</f>
        <v>0.14285714285714299</v>
      </c>
      <c r="Z84" s="15">
        <f t="shared" si="3"/>
        <v>14</v>
      </c>
      <c r="AA84" s="15">
        <f t="shared" si="4"/>
        <v>9.311854181734148</v>
      </c>
      <c r="AB84" s="15">
        <f>IFERROR(IF(Table50[[#This Row],[ccnt]]="BEV",$AB$2,IF(Table50[[#This Row],[ccnt]]="FOOD",$AC$2,"ENTER # FROM LAST COUNT")),"ENTER # FROM LAST COUNT")</f>
        <v>3</v>
      </c>
      <c r="AC84" s="15">
        <f>(Table50[[#This Row],[OpeningQty]]+Table50[[#This Row],[ClosingQty]])/2</f>
        <v>24.5</v>
      </c>
      <c r="AD84" s="15">
        <f>IFERROR(Table50[[#This Row],[UsageQty]]/Table50[[#This Row],[AVE INVENTORY]],0)</f>
        <v>4.0816326530612242E-2</v>
      </c>
      <c r="AE84" s="15">
        <f>IFERROR(Table50[[#This Row],[DATA POINT]]/Table50[[#This Row],[Inventory Turnover Rate]],0)</f>
        <v>343</v>
      </c>
      <c r="AF84" s="15">
        <f>Table50[[#This Row],[ClosingQty]]/Table50[[#This Row],[USAGE / DAY]]</f>
        <v>300</v>
      </c>
      <c r="AG84" s="15">
        <f>Table50[[#This Row],[USAGE / DAY]]*7</f>
        <v>0.56000000000000005</v>
      </c>
      <c r="AH84" s="15">
        <f>Table50[[#This Row],[USAGE / DAY]]*3</f>
        <v>0.24</v>
      </c>
      <c r="AI8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4" s="15">
        <f>IFERROR(Table50[[#This Row],[ORDER QTY2]]*Table50[[#This Row],[COST PRICE]],0)</f>
        <v>0</v>
      </c>
      <c r="AK84" s="15">
        <f>(Table50[[#This Row],[REORDER POINT]]*Table50[[#This Row],[COST PRICE]])+Table50[[#This Row],[ORDER COST]]</f>
        <v>174.87360000000001</v>
      </c>
      <c r="AL84" s="15">
        <f t="shared" si="5"/>
        <v>100</v>
      </c>
      <c r="AM84" s="15">
        <f>IFERROR((Table50[[#This Row],[REORDER POINT]]+Table50[[#This Row],[ORDER QTY]])/(Table50[[#This Row],[USAGE / DAY]]*Table50[[#This Row],[DEMAND %]]),Table50[[#This Row],[REORDER POINT]]/Table50[[#This Row],[USAGE / DAY]])</f>
        <v>297</v>
      </c>
    </row>
    <row r="85" spans="1:39" x14ac:dyDescent="0.25">
      <c r="A85" t="s">
        <v>50</v>
      </c>
      <c r="B85" t="s">
        <v>135</v>
      </c>
      <c r="C85" t="s">
        <v>146</v>
      </c>
      <c r="D85" t="s">
        <v>91</v>
      </c>
      <c r="E85">
        <v>26</v>
      </c>
      <c r="F85">
        <v>129.22</v>
      </c>
      <c r="G85">
        <v>30</v>
      </c>
      <c r="H85">
        <v>149.07</v>
      </c>
      <c r="I85">
        <v>25</v>
      </c>
      <c r="J85">
        <v>124.25</v>
      </c>
      <c r="K85">
        <f>Table50[[#This Row],[OpeningQty]]+Table50[[#This Row],[PurchasesQty]]-Table50[[#This Row],[ClosingQty]]</f>
        <v>31</v>
      </c>
      <c r="L85">
        <v>154.04</v>
      </c>
      <c r="M85" s="14">
        <f>Table50[[#This Row],[Usage]]/$L$1</f>
        <v>2.3395585882941876E-4</v>
      </c>
      <c r="N85" s="15">
        <f>IFERROR(Table50[[#This Row],[Opening]]/Table50[[#This Row],[OpeningQty]],0)</f>
        <v>4.97</v>
      </c>
      <c r="O85" s="15">
        <f>IFERROR(Table50[[#This Row],[Purchases]]/Table50[[#This Row],[PurchasesQty]],0)</f>
        <v>4.9689999999999994</v>
      </c>
      <c r="P85" s="15">
        <f>IFERROR(Table50[[#This Row],[Closing]]/Table50[[#This Row],[ClosingQty]],0)</f>
        <v>4.97</v>
      </c>
      <c r="Q85" s="15">
        <f>IFERROR(AVERAGEIF(Table50[[#This Row],[OPENING COST PRICE]:[CLOSING COST PRICE]],"&gt;0"),0)</f>
        <v>4.969666666666666</v>
      </c>
      <c r="R85" s="15">
        <f>IFERROR(Table50[[#This Row],[COST PRICE]]-IFERROR(Table50[[#This Row],[Usage]]/Table50[[#This Row],[UsageQty]],Table50[[#This Row],[COST PRICE]]),0)</f>
        <v>6.3440860215013828E-4</v>
      </c>
      <c r="S85" s="16">
        <f>IFERROR(Table50[[#This Row],[COST PRICE CHANGE]]/Table50[[#This Row],[OPENING COST PRICE]],0)</f>
        <v>1.2764760606642623E-4</v>
      </c>
      <c r="T85" s="15">
        <f>Table50[[#This Row],[ClosingQty]]-(Table50[[#This Row],[USAGE / DAY]]*(IF(Table50[[#This Row],[ccnt]]="BEV",Table50[[#This Row],[DELIVERY DAY]],Table50[[#This Row],[DELIVERY DAY]])))</f>
        <v>18.34</v>
      </c>
      <c r="U85" s="15">
        <f>ROUNDUP(Table50[[#This Row],[UsageQty]]/Table50[[#This Row],[DATA POINT]],2)</f>
        <v>2.2199999999999998</v>
      </c>
      <c r="V8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</v>
      </c>
      <c r="W85" s="15">
        <f>IFERROR(Table50[[#This Row],[ORDER QTY]]*Table50[[#This Row],[COST PRICE]],0)</f>
        <v>14.908999999999999</v>
      </c>
      <c r="X85" s="15">
        <f>IFERROR(VLOOKUP(C85,[1]!Table49[[#All],[name]:[USAGE / DAY]],19,FALSE),1)</f>
        <v>2.7399999999999998</v>
      </c>
      <c r="Y85" s="4">
        <f>IFERROR((Table50[[#This Row],[USAGE / DAY]]-Table50[[#This Row],[USAGE / DAY 2]])/Table50[[#This Row],[USAGE / DAY 2]],0)</f>
        <v>-0.18978102189781024</v>
      </c>
      <c r="Z85" s="15">
        <f t="shared" si="3"/>
        <v>14</v>
      </c>
      <c r="AA85" s="15">
        <f t="shared" si="4"/>
        <v>9.311854181734148</v>
      </c>
      <c r="AB85" s="15">
        <f>IFERROR(IF(Table50[[#This Row],[ccnt]]="BEV",$AB$2,IF(Table50[[#This Row],[ccnt]]="FOOD",$AC$2,"ENTER # FROM LAST COUNT")),"ENTER # FROM LAST COUNT")</f>
        <v>3</v>
      </c>
      <c r="AC85" s="15">
        <f>(Table50[[#This Row],[OpeningQty]]+Table50[[#This Row],[ClosingQty]])/2</f>
        <v>25.5</v>
      </c>
      <c r="AD85" s="15">
        <f>IFERROR(Table50[[#This Row],[UsageQty]]/Table50[[#This Row],[AVE INVENTORY]],0)</f>
        <v>1.2156862745098038</v>
      </c>
      <c r="AE85" s="15">
        <f>IFERROR(Table50[[#This Row],[DATA POINT]]/Table50[[#This Row],[Inventory Turnover Rate]],0)</f>
        <v>11.516129032258066</v>
      </c>
      <c r="AF85" s="15">
        <f>Table50[[#This Row],[ClosingQty]]/Table50[[#This Row],[USAGE / DAY]]</f>
        <v>11.261261261261263</v>
      </c>
      <c r="AG85" s="15">
        <f>Table50[[#This Row],[USAGE / DAY]]*7</f>
        <v>15.54</v>
      </c>
      <c r="AH85" s="15">
        <f>Table50[[#This Row],[USAGE / DAY]]*3</f>
        <v>6.6599999999999993</v>
      </c>
      <c r="AI8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5" s="15">
        <f>IFERROR(Table50[[#This Row],[ORDER QTY2]]*Table50[[#This Row],[COST PRICE]],0)</f>
        <v>0</v>
      </c>
      <c r="AK85" s="15">
        <f>(Table50[[#This Row],[REORDER POINT]]*Table50[[#This Row],[COST PRICE]])+Table50[[#This Row],[ORDER COST]]</f>
        <v>106.05268666666666</v>
      </c>
      <c r="AL85" s="15">
        <f t="shared" si="5"/>
        <v>100</v>
      </c>
      <c r="AM85" s="15">
        <f>IFERROR((Table50[[#This Row],[REORDER POINT]]+Table50[[#This Row],[ORDER QTY]])/(Table50[[#This Row],[USAGE / DAY]]*Table50[[#This Row],[DEMAND %]]),Table50[[#This Row],[REORDER POINT]]/Table50[[#This Row],[USAGE / DAY]])</f>
        <v>9.6126126126126143E-2</v>
      </c>
    </row>
    <row r="86" spans="1:39" x14ac:dyDescent="0.25">
      <c r="A86" t="s">
        <v>50</v>
      </c>
      <c r="B86" t="s">
        <v>135</v>
      </c>
      <c r="C86" t="s">
        <v>147</v>
      </c>
      <c r="D86" t="s">
        <v>91</v>
      </c>
      <c r="E86">
        <v>17</v>
      </c>
      <c r="F86">
        <v>161.84</v>
      </c>
      <c r="G86">
        <v>0</v>
      </c>
      <c r="H86">
        <v>0</v>
      </c>
      <c r="I86">
        <v>16</v>
      </c>
      <c r="J86">
        <v>152.32</v>
      </c>
      <c r="K86">
        <f>Table50[[#This Row],[OpeningQty]]+Table50[[#This Row],[PurchasesQty]]-Table50[[#This Row],[ClosingQty]]</f>
        <v>1</v>
      </c>
      <c r="L86">
        <v>9.52</v>
      </c>
      <c r="M86" s="14">
        <f>Table50[[#This Row],[Usage]]/$L$1</f>
        <v>1.4458970241859688E-5</v>
      </c>
      <c r="N86" s="15">
        <f>IFERROR(Table50[[#This Row],[Opening]]/Table50[[#This Row],[OpeningQty]],0)</f>
        <v>9.52</v>
      </c>
      <c r="O86" s="15">
        <f>IFERROR(Table50[[#This Row],[Purchases]]/Table50[[#This Row],[PurchasesQty]],0)</f>
        <v>0</v>
      </c>
      <c r="P86" s="15">
        <f>IFERROR(Table50[[#This Row],[Closing]]/Table50[[#This Row],[ClosingQty]],0)</f>
        <v>9.52</v>
      </c>
      <c r="Q86" s="15">
        <f>IFERROR(AVERAGEIF(Table50[[#This Row],[OPENING COST PRICE]:[CLOSING COST PRICE]],"&gt;0"),0)</f>
        <v>9.52</v>
      </c>
      <c r="R86" s="15">
        <f>IFERROR(Table50[[#This Row],[COST PRICE]]-IFERROR(Table50[[#This Row],[Usage]]/Table50[[#This Row],[UsageQty]],Table50[[#This Row],[COST PRICE]]),0)</f>
        <v>0</v>
      </c>
      <c r="S86" s="16">
        <f>IFERROR(Table50[[#This Row],[COST PRICE CHANGE]]/Table50[[#This Row],[OPENING COST PRICE]],0)</f>
        <v>0</v>
      </c>
      <c r="T86" s="15">
        <f>Table50[[#This Row],[ClosingQty]]-(Table50[[#This Row],[USAGE / DAY]]*(IF(Table50[[#This Row],[ccnt]]="BEV",Table50[[#This Row],[DELIVERY DAY]],Table50[[#This Row],[DELIVERY DAY]])))</f>
        <v>15.76</v>
      </c>
      <c r="U86" s="15">
        <f>ROUNDUP(Table50[[#This Row],[UsageQty]]/Table50[[#This Row],[DATA POINT]],2)</f>
        <v>0.08</v>
      </c>
      <c r="V8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86" s="15">
        <f>IFERROR(Table50[[#This Row],[ORDER QTY]]*Table50[[#This Row],[COST PRICE]],0)</f>
        <v>0</v>
      </c>
      <c r="X86" s="15">
        <f>IFERROR(VLOOKUP(C86,[1]!Table49[[#All],[name]:[USAGE / DAY]],19,FALSE),1)</f>
        <v>6.9999999999999993E-2</v>
      </c>
      <c r="Y86" s="4">
        <f>IFERROR((Table50[[#This Row],[USAGE / DAY]]-Table50[[#This Row],[USAGE / DAY 2]])/Table50[[#This Row],[USAGE / DAY 2]],0)</f>
        <v>0.14285714285714299</v>
      </c>
      <c r="Z86" s="15">
        <f t="shared" si="3"/>
        <v>14</v>
      </c>
      <c r="AA86" s="15">
        <f t="shared" si="4"/>
        <v>9.311854181734148</v>
      </c>
      <c r="AB86" s="15">
        <f>IFERROR(IF(Table50[[#This Row],[ccnt]]="BEV",$AB$2,IF(Table50[[#This Row],[ccnt]]="FOOD",$AC$2,"ENTER # FROM LAST COUNT")),"ENTER # FROM LAST COUNT")</f>
        <v>3</v>
      </c>
      <c r="AC86" s="15">
        <f>(Table50[[#This Row],[OpeningQty]]+Table50[[#This Row],[ClosingQty]])/2</f>
        <v>16.5</v>
      </c>
      <c r="AD86" s="15">
        <f>IFERROR(Table50[[#This Row],[UsageQty]]/Table50[[#This Row],[AVE INVENTORY]],0)</f>
        <v>6.0606060606060608E-2</v>
      </c>
      <c r="AE86" s="15">
        <f>IFERROR(Table50[[#This Row],[DATA POINT]]/Table50[[#This Row],[Inventory Turnover Rate]],0)</f>
        <v>231</v>
      </c>
      <c r="AF86" s="15">
        <f>Table50[[#This Row],[ClosingQty]]/Table50[[#This Row],[USAGE / DAY]]</f>
        <v>200</v>
      </c>
      <c r="AG86" s="15">
        <f>Table50[[#This Row],[USAGE / DAY]]*7</f>
        <v>0.56000000000000005</v>
      </c>
      <c r="AH86" s="15">
        <f>Table50[[#This Row],[USAGE / DAY]]*3</f>
        <v>0.24</v>
      </c>
      <c r="AI8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6" s="15">
        <f>IFERROR(Table50[[#This Row],[ORDER QTY2]]*Table50[[#This Row],[COST PRICE]],0)</f>
        <v>0</v>
      </c>
      <c r="AK86" s="15">
        <f>(Table50[[#This Row],[REORDER POINT]]*Table50[[#This Row],[COST PRICE]])+Table50[[#This Row],[ORDER COST]]</f>
        <v>150.0352</v>
      </c>
      <c r="AL86" s="15">
        <f t="shared" si="5"/>
        <v>100</v>
      </c>
      <c r="AM86" s="15">
        <f>IFERROR((Table50[[#This Row],[REORDER POINT]]+Table50[[#This Row],[ORDER QTY]])/(Table50[[#This Row],[USAGE / DAY]]*Table50[[#This Row],[DEMAND %]]),Table50[[#This Row],[REORDER POINT]]/Table50[[#This Row],[USAGE / DAY]])</f>
        <v>197</v>
      </c>
    </row>
    <row r="87" spans="1:39" x14ac:dyDescent="0.25">
      <c r="A87" t="s">
        <v>50</v>
      </c>
      <c r="B87" t="s">
        <v>135</v>
      </c>
      <c r="C87" t="s">
        <v>148</v>
      </c>
      <c r="D87" t="s">
        <v>91</v>
      </c>
      <c r="E87">
        <v>23</v>
      </c>
      <c r="F87">
        <v>148.35</v>
      </c>
      <c r="G87">
        <v>0</v>
      </c>
      <c r="H87">
        <v>0</v>
      </c>
      <c r="I87">
        <v>0</v>
      </c>
      <c r="J87">
        <v>0</v>
      </c>
      <c r="K87">
        <f>Table50[[#This Row],[OpeningQty]]+Table50[[#This Row],[PurchasesQty]]-Table50[[#This Row],[ClosingQty]]</f>
        <v>23</v>
      </c>
      <c r="L87">
        <v>148.35</v>
      </c>
      <c r="M87" s="14">
        <f>Table50[[#This Row],[Usage]]/$L$1</f>
        <v>2.2531389027099632E-4</v>
      </c>
      <c r="N87" s="15">
        <f>IFERROR(Table50[[#This Row],[Opening]]/Table50[[#This Row],[OpeningQty]],0)</f>
        <v>6.45</v>
      </c>
      <c r="O87" s="15">
        <f>IFERROR(Table50[[#This Row],[Purchases]]/Table50[[#This Row],[PurchasesQty]],0)</f>
        <v>0</v>
      </c>
      <c r="P87" s="15">
        <f>IFERROR(Table50[[#This Row],[Closing]]/Table50[[#This Row],[ClosingQty]],0)</f>
        <v>0</v>
      </c>
      <c r="Q87" s="15">
        <f>IFERROR(AVERAGEIF(Table50[[#This Row],[OPENING COST PRICE]:[CLOSING COST PRICE]],"&gt;0"),0)</f>
        <v>6.45</v>
      </c>
      <c r="R87" s="15">
        <f>IFERROR(Table50[[#This Row],[COST PRICE]]-IFERROR(Table50[[#This Row],[Usage]]/Table50[[#This Row],[UsageQty]],Table50[[#This Row],[COST PRICE]]),0)</f>
        <v>0</v>
      </c>
      <c r="S87" s="16">
        <f>IFERROR(Table50[[#This Row],[COST PRICE CHANGE]]/Table50[[#This Row],[OPENING COST PRICE]],0)</f>
        <v>0</v>
      </c>
      <c r="T87" s="15">
        <f>Table50[[#This Row],[ClosingQty]]-(Table50[[#This Row],[USAGE / DAY]]*(IF(Table50[[#This Row],[ccnt]]="BEV",Table50[[#This Row],[DELIVERY DAY]],Table50[[#This Row],[DELIVERY DAY]])))</f>
        <v>-4.9499999999999993</v>
      </c>
      <c r="U87" s="15">
        <f>ROUNDUP(Table50[[#This Row],[UsageQty]]/Table50[[#This Row],[DATA POINT]],2)</f>
        <v>1.65</v>
      </c>
      <c r="V8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21</v>
      </c>
      <c r="W87" s="15">
        <f>IFERROR(Table50[[#This Row],[ORDER QTY]]*Table50[[#This Row],[COST PRICE]],0)</f>
        <v>135.45000000000002</v>
      </c>
      <c r="X87" s="15">
        <f>IFERROR(VLOOKUP(C87,[1]!Table49[[#All],[name]:[USAGE / DAY]],19,FALSE),1)</f>
        <v>1.07</v>
      </c>
      <c r="Y87" s="4">
        <f>IFERROR((Table50[[#This Row],[USAGE / DAY]]-Table50[[#This Row],[USAGE / DAY 2]])/Table50[[#This Row],[USAGE / DAY 2]],0)</f>
        <v>0.54205607476635498</v>
      </c>
      <c r="Z87" s="15">
        <f t="shared" si="3"/>
        <v>14</v>
      </c>
      <c r="AA87" s="15">
        <f t="shared" si="4"/>
        <v>9.311854181734148</v>
      </c>
      <c r="AB87" s="15">
        <f>IFERROR(IF(Table50[[#This Row],[ccnt]]="BEV",$AB$2,IF(Table50[[#This Row],[ccnt]]="FOOD",$AC$2,"ENTER # FROM LAST COUNT")),"ENTER # FROM LAST COUNT")</f>
        <v>3</v>
      </c>
      <c r="AC87" s="15">
        <f>(Table50[[#This Row],[OpeningQty]]+Table50[[#This Row],[ClosingQty]])/2</f>
        <v>11.5</v>
      </c>
      <c r="AD87" s="15">
        <f>IFERROR(Table50[[#This Row],[UsageQty]]/Table50[[#This Row],[AVE INVENTORY]],0)</f>
        <v>2</v>
      </c>
      <c r="AE87" s="15">
        <f>IFERROR(Table50[[#This Row],[DATA POINT]]/Table50[[#This Row],[Inventory Turnover Rate]],0)</f>
        <v>7</v>
      </c>
      <c r="AF87" s="15">
        <f>Table50[[#This Row],[ClosingQty]]/Table50[[#This Row],[USAGE / DAY]]</f>
        <v>0</v>
      </c>
      <c r="AG87" s="15">
        <f>Table50[[#This Row],[USAGE / DAY]]*7</f>
        <v>11.549999999999999</v>
      </c>
      <c r="AH87" s="15">
        <f>Table50[[#This Row],[USAGE / DAY]]*3</f>
        <v>4.9499999999999993</v>
      </c>
      <c r="AI87" s="15">
        <f>IF(Table50[[#This Row],[FORECASTED DEMAND]]+Table50[[#This Row],[SAFETY STOCK]]-Table50[[#This Row],[ClosingQty]]&gt;0,Table50[[#This Row],[FORECASTED DEMAND]]+Table50[[#This Row],[SAFETY STOCK]]-Table50[[#This Row],[ClosingQty]],"NO ORDER")</f>
        <v>16.5</v>
      </c>
      <c r="AJ87" s="15">
        <f>IFERROR(Table50[[#This Row],[ORDER QTY2]]*Table50[[#This Row],[COST PRICE]],0)</f>
        <v>106.425</v>
      </c>
      <c r="AK87" s="15">
        <f>(Table50[[#This Row],[REORDER POINT]]*Table50[[#This Row],[COST PRICE]])+Table50[[#This Row],[ORDER COST]]</f>
        <v>103.52250000000002</v>
      </c>
      <c r="AL87" s="15">
        <f t="shared" si="5"/>
        <v>100</v>
      </c>
      <c r="AM87" s="15">
        <f>IFERROR((Table50[[#This Row],[REORDER POINT]]+Table50[[#This Row],[ORDER QTY]])/(Table50[[#This Row],[USAGE / DAY]]*Table50[[#This Row],[DEMAND %]]),Table50[[#This Row],[REORDER POINT]]/Table50[[#This Row],[USAGE / DAY]])</f>
        <v>9.7272727272727275E-2</v>
      </c>
    </row>
    <row r="88" spans="1:39" x14ac:dyDescent="0.25">
      <c r="A88" t="s">
        <v>50</v>
      </c>
      <c r="B88" t="s">
        <v>135</v>
      </c>
      <c r="C88" t="s">
        <v>149</v>
      </c>
      <c r="D88" t="s">
        <v>91</v>
      </c>
      <c r="E88">
        <v>27</v>
      </c>
      <c r="F88">
        <v>256.77</v>
      </c>
      <c r="G88">
        <v>0</v>
      </c>
      <c r="H88">
        <v>0</v>
      </c>
      <c r="I88">
        <v>27</v>
      </c>
      <c r="J88">
        <v>256.77</v>
      </c>
      <c r="K88">
        <f>Table50[[#This Row],[OpeningQty]]+Table50[[#This Row],[PurchasesQty]]-Table50[[#This Row],[ClosingQty]]</f>
        <v>0</v>
      </c>
      <c r="L88">
        <v>0</v>
      </c>
      <c r="M88" s="14">
        <f>Table50[[#This Row],[Usage]]/$L$1</f>
        <v>0</v>
      </c>
      <c r="N88" s="15">
        <f>IFERROR(Table50[[#This Row],[Opening]]/Table50[[#This Row],[OpeningQty]],0)</f>
        <v>9.51</v>
      </c>
      <c r="O88" s="15">
        <f>IFERROR(Table50[[#This Row],[Purchases]]/Table50[[#This Row],[PurchasesQty]],0)</f>
        <v>0</v>
      </c>
      <c r="P88" s="15">
        <f>IFERROR(Table50[[#This Row],[Closing]]/Table50[[#This Row],[ClosingQty]],0)</f>
        <v>9.51</v>
      </c>
      <c r="Q88" s="15">
        <f>IFERROR(AVERAGEIF(Table50[[#This Row],[OPENING COST PRICE]:[CLOSING COST PRICE]],"&gt;0"),0)</f>
        <v>9.51</v>
      </c>
      <c r="R88" s="15">
        <f>IFERROR(Table50[[#This Row],[COST PRICE]]-IFERROR(Table50[[#This Row],[Usage]]/Table50[[#This Row],[UsageQty]],Table50[[#This Row],[COST PRICE]]),0)</f>
        <v>0</v>
      </c>
      <c r="S88" s="16">
        <f>IFERROR(Table50[[#This Row],[COST PRICE CHANGE]]/Table50[[#This Row],[OPENING COST PRICE]],0)</f>
        <v>0</v>
      </c>
      <c r="T88" s="15">
        <f>Table50[[#This Row],[ClosingQty]]-(Table50[[#This Row],[USAGE / DAY]]*(IF(Table50[[#This Row],[ccnt]]="BEV",Table50[[#This Row],[DELIVERY DAY]],Table50[[#This Row],[DELIVERY DAY]])))</f>
        <v>27</v>
      </c>
      <c r="U88" s="15">
        <f>ROUNDUP(Table50[[#This Row],[UsageQty]]/Table50[[#This Row],[DATA POINT]],2)</f>
        <v>0</v>
      </c>
      <c r="V8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88" s="15">
        <f>IFERROR(Table50[[#This Row],[ORDER QTY]]*Table50[[#This Row],[COST PRICE]],0)</f>
        <v>0</v>
      </c>
      <c r="X88" s="15">
        <f>IFERROR(VLOOKUP(C88,[1]!Table49[[#All],[name]:[USAGE / DAY]],19,FALSE),1)</f>
        <v>0.54</v>
      </c>
      <c r="Y88" s="4">
        <f>IFERROR((Table50[[#This Row],[USAGE / DAY]]-Table50[[#This Row],[USAGE / DAY 2]])/Table50[[#This Row],[USAGE / DAY 2]],0)</f>
        <v>-1</v>
      </c>
      <c r="Z88" s="15">
        <f t="shared" si="3"/>
        <v>14</v>
      </c>
      <c r="AA88" s="15">
        <f t="shared" si="4"/>
        <v>9.311854181734148</v>
      </c>
      <c r="AB88" s="15">
        <f>IFERROR(IF(Table50[[#This Row],[ccnt]]="BEV",$AB$2,IF(Table50[[#This Row],[ccnt]]="FOOD",$AC$2,"ENTER # FROM LAST COUNT")),"ENTER # FROM LAST COUNT")</f>
        <v>3</v>
      </c>
      <c r="AC88" s="15">
        <f>(Table50[[#This Row],[OpeningQty]]+Table50[[#This Row],[ClosingQty]])/2</f>
        <v>27</v>
      </c>
      <c r="AD88" s="15">
        <f>IFERROR(Table50[[#This Row],[UsageQty]]/Table50[[#This Row],[AVE INVENTORY]],0)</f>
        <v>0</v>
      </c>
      <c r="AE88" s="15">
        <f>IFERROR(Table50[[#This Row],[DATA POINT]]/Table50[[#This Row],[Inventory Turnover Rate]],0)</f>
        <v>0</v>
      </c>
      <c r="AF88" s="15" t="e">
        <f>Table50[[#This Row],[ClosingQty]]/Table50[[#This Row],[USAGE / DAY]]</f>
        <v>#DIV/0!</v>
      </c>
      <c r="AG88" s="15">
        <f>Table50[[#This Row],[USAGE / DAY]]*7</f>
        <v>0</v>
      </c>
      <c r="AH88" s="15">
        <f>Table50[[#This Row],[USAGE / DAY]]*3</f>
        <v>0</v>
      </c>
      <c r="AI8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8" s="15">
        <f>IFERROR(Table50[[#This Row],[ORDER QTY2]]*Table50[[#This Row],[COST PRICE]],0)</f>
        <v>0</v>
      </c>
      <c r="AK88" s="15">
        <f>(Table50[[#This Row],[REORDER POINT]]*Table50[[#This Row],[COST PRICE]])+Table50[[#This Row],[ORDER COST]]</f>
        <v>256.77</v>
      </c>
      <c r="AL88" s="15">
        <f t="shared" si="5"/>
        <v>100</v>
      </c>
      <c r="AM88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89" spans="1:39" x14ac:dyDescent="0.25">
      <c r="A89" t="s">
        <v>50</v>
      </c>
      <c r="B89" t="s">
        <v>135</v>
      </c>
      <c r="C89" t="s">
        <v>150</v>
      </c>
      <c r="D89" t="s">
        <v>91</v>
      </c>
      <c r="E89">
        <v>13</v>
      </c>
      <c r="F89">
        <v>111.54</v>
      </c>
      <c r="G89">
        <v>30</v>
      </c>
      <c r="H89">
        <v>260.93</v>
      </c>
      <c r="I89">
        <v>30</v>
      </c>
      <c r="J89">
        <v>261</v>
      </c>
      <c r="K89">
        <f>Table50[[#This Row],[OpeningQty]]+Table50[[#This Row],[PurchasesQty]]-Table50[[#This Row],[ClosingQty]]</f>
        <v>13</v>
      </c>
      <c r="L89">
        <v>111.47</v>
      </c>
      <c r="M89" s="14">
        <f>Table50[[#This Row],[Usage]]/$L$1</f>
        <v>1.6930056857774155E-4</v>
      </c>
      <c r="N89" s="15">
        <f>IFERROR(Table50[[#This Row],[Opening]]/Table50[[#This Row],[OpeningQty]],0)</f>
        <v>8.58</v>
      </c>
      <c r="O89" s="15">
        <f>IFERROR(Table50[[#This Row],[Purchases]]/Table50[[#This Row],[PurchasesQty]],0)</f>
        <v>8.6976666666666667</v>
      </c>
      <c r="P89" s="15">
        <f>IFERROR(Table50[[#This Row],[Closing]]/Table50[[#This Row],[ClosingQty]],0)</f>
        <v>8.6999999999999993</v>
      </c>
      <c r="Q89" s="15">
        <f>IFERROR(AVERAGEIF(Table50[[#This Row],[OPENING COST PRICE]:[CLOSING COST PRICE]],"&gt;0"),0)</f>
        <v>8.6592222222222226</v>
      </c>
      <c r="R89" s="15">
        <f>IFERROR(Table50[[#This Row],[COST PRICE]]-IFERROR(Table50[[#This Row],[Usage]]/Table50[[#This Row],[UsageQty]],Table50[[#This Row],[COST PRICE]]),0)</f>
        <v>8.460683760683807E-2</v>
      </c>
      <c r="S89" s="16">
        <f>IFERROR(Table50[[#This Row],[COST PRICE CHANGE]]/Table50[[#This Row],[OPENING COST PRICE]],0)</f>
        <v>9.8609367840137609E-3</v>
      </c>
      <c r="T89" s="15">
        <f>Table50[[#This Row],[ClosingQty]]-(Table50[[#This Row],[USAGE / DAY]]*(IF(Table50[[#This Row],[ccnt]]="BEV",Table50[[#This Row],[DELIVERY DAY]],Table50[[#This Row],[DELIVERY DAY]])))</f>
        <v>27.21</v>
      </c>
      <c r="U89" s="15">
        <f>ROUNDUP(Table50[[#This Row],[UsageQty]]/Table50[[#This Row],[DATA POINT]],2)</f>
        <v>0.93</v>
      </c>
      <c r="V8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89" s="15">
        <f>IFERROR(Table50[[#This Row],[ORDER QTY]]*Table50[[#This Row],[COST PRICE]],0)</f>
        <v>0</v>
      </c>
      <c r="X89" s="15">
        <f>IFERROR(VLOOKUP(C89,[1]!Table49[[#All],[name]:[USAGE / DAY]],19,FALSE),1)</f>
        <v>0.87</v>
      </c>
      <c r="Y89" s="4">
        <f>IFERROR((Table50[[#This Row],[USAGE / DAY]]-Table50[[#This Row],[USAGE / DAY 2]])/Table50[[#This Row],[USAGE / DAY 2]],0)</f>
        <v>6.8965517241379379E-2</v>
      </c>
      <c r="Z89" s="15">
        <f t="shared" si="3"/>
        <v>14</v>
      </c>
      <c r="AA89" s="15">
        <f t="shared" si="4"/>
        <v>9.311854181734148</v>
      </c>
      <c r="AB89" s="15">
        <f>IFERROR(IF(Table50[[#This Row],[ccnt]]="BEV",$AB$2,IF(Table50[[#This Row],[ccnt]]="FOOD",$AC$2,"ENTER # FROM LAST COUNT")),"ENTER # FROM LAST COUNT")</f>
        <v>3</v>
      </c>
      <c r="AC89" s="15">
        <f>(Table50[[#This Row],[OpeningQty]]+Table50[[#This Row],[ClosingQty]])/2</f>
        <v>21.5</v>
      </c>
      <c r="AD89" s="15">
        <f>IFERROR(Table50[[#This Row],[UsageQty]]/Table50[[#This Row],[AVE INVENTORY]],0)</f>
        <v>0.60465116279069764</v>
      </c>
      <c r="AE89" s="15">
        <f>IFERROR(Table50[[#This Row],[DATA POINT]]/Table50[[#This Row],[Inventory Turnover Rate]],0)</f>
        <v>23.153846153846157</v>
      </c>
      <c r="AF89" s="15">
        <f>Table50[[#This Row],[ClosingQty]]/Table50[[#This Row],[USAGE / DAY]]</f>
        <v>32.258064516129032</v>
      </c>
      <c r="AG89" s="15">
        <f>Table50[[#This Row],[USAGE / DAY]]*7</f>
        <v>6.5100000000000007</v>
      </c>
      <c r="AH89" s="15">
        <f>Table50[[#This Row],[USAGE / DAY]]*3</f>
        <v>2.79</v>
      </c>
      <c r="AI8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89" s="15">
        <f>IFERROR(Table50[[#This Row],[ORDER QTY2]]*Table50[[#This Row],[COST PRICE]],0)</f>
        <v>0</v>
      </c>
      <c r="AK89" s="15">
        <f>(Table50[[#This Row],[REORDER POINT]]*Table50[[#This Row],[COST PRICE]])+Table50[[#This Row],[ORDER COST]]</f>
        <v>235.61743666666669</v>
      </c>
      <c r="AL89" s="15">
        <f t="shared" si="5"/>
        <v>100</v>
      </c>
      <c r="AM89" s="15">
        <f>IFERROR((Table50[[#This Row],[REORDER POINT]]+Table50[[#This Row],[ORDER QTY]])/(Table50[[#This Row],[USAGE / DAY]]*Table50[[#This Row],[DEMAND %]]),Table50[[#This Row],[REORDER POINT]]/Table50[[#This Row],[USAGE / DAY]])</f>
        <v>29.258064516129032</v>
      </c>
    </row>
    <row r="90" spans="1:39" x14ac:dyDescent="0.25">
      <c r="A90" t="s">
        <v>50</v>
      </c>
      <c r="B90" t="s">
        <v>135</v>
      </c>
      <c r="C90" t="s">
        <v>151</v>
      </c>
      <c r="D90" t="s">
        <v>91</v>
      </c>
      <c r="E90">
        <v>13</v>
      </c>
      <c r="F90">
        <v>135.59</v>
      </c>
      <c r="G90">
        <v>60</v>
      </c>
      <c r="H90">
        <v>625.91999999999996</v>
      </c>
      <c r="I90">
        <v>39</v>
      </c>
      <c r="J90">
        <v>406.77</v>
      </c>
      <c r="K90">
        <f>Table50[[#This Row],[OpeningQty]]+Table50[[#This Row],[PurchasesQty]]-Table50[[#This Row],[ClosingQty]]</f>
        <v>34</v>
      </c>
      <c r="L90">
        <v>354.74</v>
      </c>
      <c r="M90" s="14">
        <f>Table50[[#This Row],[Usage]]/$L$1</f>
        <v>5.3877889743669187E-4</v>
      </c>
      <c r="N90" s="15">
        <f>IFERROR(Table50[[#This Row],[Opening]]/Table50[[#This Row],[OpeningQty]],0)</f>
        <v>10.43</v>
      </c>
      <c r="O90" s="15">
        <f>IFERROR(Table50[[#This Row],[Purchases]]/Table50[[#This Row],[PurchasesQty]],0)</f>
        <v>10.431999999999999</v>
      </c>
      <c r="P90" s="15">
        <f>IFERROR(Table50[[#This Row],[Closing]]/Table50[[#This Row],[ClosingQty]],0)</f>
        <v>10.43</v>
      </c>
      <c r="Q90" s="15">
        <f>IFERROR(AVERAGEIF(Table50[[#This Row],[OPENING COST PRICE]:[CLOSING COST PRICE]],"&gt;0"),0)</f>
        <v>10.430666666666665</v>
      </c>
      <c r="R90" s="15">
        <f>IFERROR(Table50[[#This Row],[COST PRICE]]-IFERROR(Table50[[#This Row],[Usage]]/Table50[[#This Row],[UsageQty]],Table50[[#This Row],[COST PRICE]]),0)</f>
        <v>-2.86274509804052E-3</v>
      </c>
      <c r="S90" s="16">
        <f>IFERROR(Table50[[#This Row],[COST PRICE CHANGE]]/Table50[[#This Row],[OPENING COST PRICE]],0)</f>
        <v>-2.7447220498950334E-4</v>
      </c>
      <c r="T90" s="15">
        <f>Table50[[#This Row],[ClosingQty]]-(Table50[[#This Row],[USAGE / DAY]]*(IF(Table50[[#This Row],[ccnt]]="BEV",Table50[[#This Row],[DELIVERY DAY]],Table50[[#This Row],[DELIVERY DAY]])))</f>
        <v>31.71</v>
      </c>
      <c r="U90" s="15">
        <f>ROUNDUP(Table50[[#This Row],[UsageQty]]/Table50[[#This Row],[DATA POINT]],2)</f>
        <v>2.4299999999999997</v>
      </c>
      <c r="V9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0" s="15">
        <f>IFERROR(Table50[[#This Row],[ORDER QTY]]*Table50[[#This Row],[COST PRICE]],0)</f>
        <v>0</v>
      </c>
      <c r="X90" s="15">
        <f>IFERROR(VLOOKUP(C90,[1]!Table49[[#All],[name]:[USAGE / DAY]],19,FALSE),1)</f>
        <v>2.6</v>
      </c>
      <c r="Y90" s="4">
        <f>IFERROR((Table50[[#This Row],[USAGE / DAY]]-Table50[[#This Row],[USAGE / DAY 2]])/Table50[[#This Row],[USAGE / DAY 2]],0)</f>
        <v>-6.5384615384615527E-2</v>
      </c>
      <c r="Z90" s="15">
        <f t="shared" si="3"/>
        <v>14</v>
      </c>
      <c r="AA90" s="15">
        <f t="shared" si="4"/>
        <v>9.311854181734148</v>
      </c>
      <c r="AB90" s="15">
        <f>IFERROR(IF(Table50[[#This Row],[ccnt]]="BEV",$AB$2,IF(Table50[[#This Row],[ccnt]]="FOOD",$AC$2,"ENTER # FROM LAST COUNT")),"ENTER # FROM LAST COUNT")</f>
        <v>3</v>
      </c>
      <c r="AC90" s="15">
        <f>(Table50[[#This Row],[OpeningQty]]+Table50[[#This Row],[ClosingQty]])/2</f>
        <v>26</v>
      </c>
      <c r="AD90" s="15">
        <f>IFERROR(Table50[[#This Row],[UsageQty]]/Table50[[#This Row],[AVE INVENTORY]],0)</f>
        <v>1.3076923076923077</v>
      </c>
      <c r="AE90" s="15">
        <f>IFERROR(Table50[[#This Row],[DATA POINT]]/Table50[[#This Row],[Inventory Turnover Rate]],0)</f>
        <v>10.705882352941176</v>
      </c>
      <c r="AF90" s="15">
        <f>Table50[[#This Row],[ClosingQty]]/Table50[[#This Row],[USAGE / DAY]]</f>
        <v>16.049382716049383</v>
      </c>
      <c r="AG90" s="15">
        <f>Table50[[#This Row],[USAGE / DAY]]*7</f>
        <v>17.009999999999998</v>
      </c>
      <c r="AH90" s="15">
        <f>Table50[[#This Row],[USAGE / DAY]]*3</f>
        <v>7.2899999999999991</v>
      </c>
      <c r="AI9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0" s="15">
        <f>IFERROR(Table50[[#This Row],[ORDER QTY2]]*Table50[[#This Row],[COST PRICE]],0)</f>
        <v>0</v>
      </c>
      <c r="AK90" s="15">
        <f>(Table50[[#This Row],[REORDER POINT]]*Table50[[#This Row],[COST PRICE]])+Table50[[#This Row],[ORDER COST]]</f>
        <v>330.75644</v>
      </c>
      <c r="AL90" s="15">
        <f t="shared" si="5"/>
        <v>100</v>
      </c>
      <c r="AM90" s="15">
        <f>IFERROR((Table50[[#This Row],[REORDER POINT]]+Table50[[#This Row],[ORDER QTY]])/(Table50[[#This Row],[USAGE / DAY]]*Table50[[#This Row],[DEMAND %]]),Table50[[#This Row],[REORDER POINT]]/Table50[[#This Row],[USAGE / DAY]])</f>
        <v>13.049382716049385</v>
      </c>
    </row>
    <row r="91" spans="1:39" x14ac:dyDescent="0.25">
      <c r="A91" t="s">
        <v>50</v>
      </c>
      <c r="B91" t="s">
        <v>135</v>
      </c>
      <c r="C91" t="s">
        <v>152</v>
      </c>
      <c r="D91" t="s">
        <v>91</v>
      </c>
      <c r="E91">
        <v>38</v>
      </c>
      <c r="F91">
        <v>476.52</v>
      </c>
      <c r="G91">
        <v>0</v>
      </c>
      <c r="H91">
        <v>0</v>
      </c>
      <c r="I91">
        <v>30</v>
      </c>
      <c r="J91">
        <v>376.2</v>
      </c>
      <c r="K91">
        <f>Table50[[#This Row],[OpeningQty]]+Table50[[#This Row],[PurchasesQty]]-Table50[[#This Row],[ClosingQty]]</f>
        <v>8</v>
      </c>
      <c r="L91">
        <v>100.32</v>
      </c>
      <c r="M91" s="14">
        <f>Table50[[#This Row],[Usage]]/$L$1</f>
        <v>1.5236595532178192E-4</v>
      </c>
      <c r="N91" s="15">
        <f>IFERROR(Table50[[#This Row],[Opening]]/Table50[[#This Row],[OpeningQty]],0)</f>
        <v>12.54</v>
      </c>
      <c r="O91" s="15">
        <f>IFERROR(Table50[[#This Row],[Purchases]]/Table50[[#This Row],[PurchasesQty]],0)</f>
        <v>0</v>
      </c>
      <c r="P91" s="15">
        <f>IFERROR(Table50[[#This Row],[Closing]]/Table50[[#This Row],[ClosingQty]],0)</f>
        <v>12.54</v>
      </c>
      <c r="Q91" s="15">
        <f>IFERROR(AVERAGEIF(Table50[[#This Row],[OPENING COST PRICE]:[CLOSING COST PRICE]],"&gt;0"),0)</f>
        <v>12.54</v>
      </c>
      <c r="R91" s="15">
        <f>IFERROR(Table50[[#This Row],[COST PRICE]]-IFERROR(Table50[[#This Row],[Usage]]/Table50[[#This Row],[UsageQty]],Table50[[#This Row],[COST PRICE]]),0)</f>
        <v>0</v>
      </c>
      <c r="S91" s="16">
        <f>IFERROR(Table50[[#This Row],[COST PRICE CHANGE]]/Table50[[#This Row],[OPENING COST PRICE]],0)</f>
        <v>0</v>
      </c>
      <c r="T91" s="15">
        <f>Table50[[#This Row],[ClosingQty]]-(Table50[[#This Row],[USAGE / DAY]]*(IF(Table50[[#This Row],[ccnt]]="BEV",Table50[[#This Row],[DELIVERY DAY]],Table50[[#This Row],[DELIVERY DAY]])))</f>
        <v>28.26</v>
      </c>
      <c r="U91" s="15">
        <f>ROUNDUP(Table50[[#This Row],[UsageQty]]/Table50[[#This Row],[DATA POINT]],2)</f>
        <v>0.57999999999999996</v>
      </c>
      <c r="V9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1" s="15">
        <f>IFERROR(Table50[[#This Row],[ORDER QTY]]*Table50[[#This Row],[COST PRICE]],0)</f>
        <v>0</v>
      </c>
      <c r="X91" s="15">
        <f>IFERROR(VLOOKUP(C91,[1]!Table49[[#All],[name]:[USAGE / DAY]],19,FALSE),1)</f>
        <v>0.27</v>
      </c>
      <c r="Y91" s="4">
        <f>IFERROR((Table50[[#This Row],[USAGE / DAY]]-Table50[[#This Row],[USAGE / DAY 2]])/Table50[[#This Row],[USAGE / DAY 2]],0)</f>
        <v>1.1481481481481479</v>
      </c>
      <c r="Z91" s="15">
        <f t="shared" si="3"/>
        <v>14</v>
      </c>
      <c r="AA91" s="15">
        <f t="shared" si="4"/>
        <v>9.311854181734148</v>
      </c>
      <c r="AB91" s="15">
        <f>IFERROR(IF(Table50[[#This Row],[ccnt]]="BEV",$AB$2,IF(Table50[[#This Row],[ccnt]]="FOOD",$AC$2,"ENTER # FROM LAST COUNT")),"ENTER # FROM LAST COUNT")</f>
        <v>3</v>
      </c>
      <c r="AC91" s="15">
        <f>(Table50[[#This Row],[OpeningQty]]+Table50[[#This Row],[ClosingQty]])/2</f>
        <v>34</v>
      </c>
      <c r="AD91" s="15">
        <f>IFERROR(Table50[[#This Row],[UsageQty]]/Table50[[#This Row],[AVE INVENTORY]],0)</f>
        <v>0.23529411764705882</v>
      </c>
      <c r="AE91" s="15">
        <f>IFERROR(Table50[[#This Row],[DATA POINT]]/Table50[[#This Row],[Inventory Turnover Rate]],0)</f>
        <v>59.5</v>
      </c>
      <c r="AF91" s="15">
        <f>Table50[[#This Row],[ClosingQty]]/Table50[[#This Row],[USAGE / DAY]]</f>
        <v>51.724137931034484</v>
      </c>
      <c r="AG91" s="15">
        <f>Table50[[#This Row],[USAGE / DAY]]*7</f>
        <v>4.0599999999999996</v>
      </c>
      <c r="AH91" s="15">
        <f>Table50[[#This Row],[USAGE / DAY]]*3</f>
        <v>1.7399999999999998</v>
      </c>
      <c r="AI9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1" s="15">
        <f>IFERROR(Table50[[#This Row],[ORDER QTY2]]*Table50[[#This Row],[COST PRICE]],0)</f>
        <v>0</v>
      </c>
      <c r="AK91" s="15">
        <f>(Table50[[#This Row],[REORDER POINT]]*Table50[[#This Row],[COST PRICE]])+Table50[[#This Row],[ORDER COST]]</f>
        <v>354.38040000000001</v>
      </c>
      <c r="AL91" s="15">
        <f t="shared" si="5"/>
        <v>100</v>
      </c>
      <c r="AM91" s="15">
        <f>IFERROR((Table50[[#This Row],[REORDER POINT]]+Table50[[#This Row],[ORDER QTY]])/(Table50[[#This Row],[USAGE / DAY]]*Table50[[#This Row],[DEMAND %]]),Table50[[#This Row],[REORDER POINT]]/Table50[[#This Row],[USAGE / DAY]])</f>
        <v>48.724137931034491</v>
      </c>
    </row>
    <row r="92" spans="1:39" x14ac:dyDescent="0.25">
      <c r="A92" t="s">
        <v>50</v>
      </c>
      <c r="B92" t="s">
        <v>135</v>
      </c>
      <c r="C92" t="s">
        <v>153</v>
      </c>
      <c r="D92" t="s">
        <v>91</v>
      </c>
      <c r="E92">
        <v>15</v>
      </c>
      <c r="F92">
        <v>117</v>
      </c>
      <c r="G92">
        <v>0</v>
      </c>
      <c r="H92">
        <v>0</v>
      </c>
      <c r="I92">
        <v>13</v>
      </c>
      <c r="J92">
        <v>101.4</v>
      </c>
      <c r="K92">
        <f>Table50[[#This Row],[OpeningQty]]+Table50[[#This Row],[PurchasesQty]]-Table50[[#This Row],[ClosingQty]]</f>
        <v>2</v>
      </c>
      <c r="L92">
        <v>15.6</v>
      </c>
      <c r="M92" s="14">
        <f>Table50[[#This Row],[Usage]]/$L$1</f>
        <v>2.3693270564391927E-5</v>
      </c>
      <c r="N92" s="15">
        <f>IFERROR(Table50[[#This Row],[Opening]]/Table50[[#This Row],[OpeningQty]],0)</f>
        <v>7.8</v>
      </c>
      <c r="O92" s="15">
        <f>IFERROR(Table50[[#This Row],[Purchases]]/Table50[[#This Row],[PurchasesQty]],0)</f>
        <v>0</v>
      </c>
      <c r="P92" s="15">
        <f>IFERROR(Table50[[#This Row],[Closing]]/Table50[[#This Row],[ClosingQty]],0)</f>
        <v>7.8000000000000007</v>
      </c>
      <c r="Q92" s="15">
        <f>IFERROR(AVERAGEIF(Table50[[#This Row],[OPENING COST PRICE]:[CLOSING COST PRICE]],"&gt;0"),0)</f>
        <v>7.8000000000000007</v>
      </c>
      <c r="R92" s="15">
        <f>IFERROR(Table50[[#This Row],[COST PRICE]]-IFERROR(Table50[[#This Row],[Usage]]/Table50[[#This Row],[UsageQty]],Table50[[#This Row],[COST PRICE]]),0)</f>
        <v>8.8817841970012523E-16</v>
      </c>
      <c r="S92" s="16">
        <f>IFERROR(Table50[[#This Row],[COST PRICE CHANGE]]/Table50[[#This Row],[OPENING COST PRICE]],0)</f>
        <v>1.1386902816668274E-16</v>
      </c>
      <c r="T92" s="15">
        <f>Table50[[#This Row],[ClosingQty]]-(Table50[[#This Row],[USAGE / DAY]]*(IF(Table50[[#This Row],[ccnt]]="BEV",Table50[[#This Row],[DELIVERY DAY]],Table50[[#This Row],[DELIVERY DAY]])))</f>
        <v>12.55</v>
      </c>
      <c r="U92" s="15">
        <f>ROUNDUP(Table50[[#This Row],[UsageQty]]/Table50[[#This Row],[DATA POINT]],2)</f>
        <v>0.15000000000000002</v>
      </c>
      <c r="V9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2" s="15">
        <f>IFERROR(Table50[[#This Row],[ORDER QTY]]*Table50[[#This Row],[COST PRICE]],0)</f>
        <v>0</v>
      </c>
      <c r="X92" s="15">
        <f>IFERROR(VLOOKUP(C92,[1]!Table49[[#All],[name]:[USAGE / DAY]],19,FALSE),1)</f>
        <v>0.2</v>
      </c>
      <c r="Y92" s="4">
        <f>IFERROR((Table50[[#This Row],[USAGE / DAY]]-Table50[[#This Row],[USAGE / DAY 2]])/Table50[[#This Row],[USAGE / DAY 2]],0)</f>
        <v>-0.24999999999999994</v>
      </c>
      <c r="Z92" s="15">
        <f t="shared" si="3"/>
        <v>14</v>
      </c>
      <c r="AA92" s="15">
        <f t="shared" si="4"/>
        <v>9.311854181734148</v>
      </c>
      <c r="AB92" s="15">
        <f>IFERROR(IF(Table50[[#This Row],[ccnt]]="BEV",$AB$2,IF(Table50[[#This Row],[ccnt]]="FOOD",$AC$2,"ENTER # FROM LAST COUNT")),"ENTER # FROM LAST COUNT")</f>
        <v>3</v>
      </c>
      <c r="AC92" s="15">
        <f>(Table50[[#This Row],[OpeningQty]]+Table50[[#This Row],[ClosingQty]])/2</f>
        <v>14</v>
      </c>
      <c r="AD92" s="15">
        <f>IFERROR(Table50[[#This Row],[UsageQty]]/Table50[[#This Row],[AVE INVENTORY]],0)</f>
        <v>0.14285714285714285</v>
      </c>
      <c r="AE92" s="15">
        <f>IFERROR(Table50[[#This Row],[DATA POINT]]/Table50[[#This Row],[Inventory Turnover Rate]],0)</f>
        <v>98</v>
      </c>
      <c r="AF92" s="15">
        <f>Table50[[#This Row],[ClosingQty]]/Table50[[#This Row],[USAGE / DAY]]</f>
        <v>86.666666666666657</v>
      </c>
      <c r="AG92" s="15">
        <f>Table50[[#This Row],[USAGE / DAY]]*7</f>
        <v>1.0500000000000003</v>
      </c>
      <c r="AH92" s="15">
        <f>Table50[[#This Row],[USAGE / DAY]]*3</f>
        <v>0.45000000000000007</v>
      </c>
      <c r="AI9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2" s="15">
        <f>IFERROR(Table50[[#This Row],[ORDER QTY2]]*Table50[[#This Row],[COST PRICE]],0)</f>
        <v>0</v>
      </c>
      <c r="AK92" s="15">
        <f>(Table50[[#This Row],[REORDER POINT]]*Table50[[#This Row],[COST PRICE]])+Table50[[#This Row],[ORDER COST]]</f>
        <v>97.890000000000015</v>
      </c>
      <c r="AL92" s="15">
        <f t="shared" si="5"/>
        <v>100</v>
      </c>
      <c r="AM92" s="15">
        <f>IFERROR((Table50[[#This Row],[REORDER POINT]]+Table50[[#This Row],[ORDER QTY]])/(Table50[[#This Row],[USAGE / DAY]]*Table50[[#This Row],[DEMAND %]]),Table50[[#This Row],[REORDER POINT]]/Table50[[#This Row],[USAGE / DAY]])</f>
        <v>83.666666666666657</v>
      </c>
    </row>
    <row r="93" spans="1:39" x14ac:dyDescent="0.25">
      <c r="A93" t="s">
        <v>50</v>
      </c>
      <c r="B93" t="s">
        <v>135</v>
      </c>
      <c r="C93" t="s">
        <v>154</v>
      </c>
      <c r="D93" t="s">
        <v>91</v>
      </c>
      <c r="E93">
        <v>30</v>
      </c>
      <c r="F93">
        <v>231</v>
      </c>
      <c r="G93">
        <v>30</v>
      </c>
      <c r="H93">
        <v>230.94</v>
      </c>
      <c r="I93">
        <v>53</v>
      </c>
      <c r="J93">
        <v>408.1</v>
      </c>
      <c r="K93">
        <f>Table50[[#This Row],[OpeningQty]]+Table50[[#This Row],[PurchasesQty]]-Table50[[#This Row],[ClosingQty]]</f>
        <v>7</v>
      </c>
      <c r="L93">
        <v>53.84</v>
      </c>
      <c r="M93" s="14">
        <f>Table50[[#This Row],[Usage]]/$L$1</f>
        <v>8.1772159435055221E-5</v>
      </c>
      <c r="N93" s="15">
        <f>IFERROR(Table50[[#This Row],[Opening]]/Table50[[#This Row],[OpeningQty]],0)</f>
        <v>7.7</v>
      </c>
      <c r="O93" s="15">
        <f>IFERROR(Table50[[#This Row],[Purchases]]/Table50[[#This Row],[PurchasesQty]],0)</f>
        <v>7.6979999999999995</v>
      </c>
      <c r="P93" s="15">
        <f>IFERROR(Table50[[#This Row],[Closing]]/Table50[[#This Row],[ClosingQty]],0)</f>
        <v>7.7</v>
      </c>
      <c r="Q93" s="15">
        <f>IFERROR(AVERAGEIF(Table50[[#This Row],[OPENING COST PRICE]:[CLOSING COST PRICE]],"&gt;0"),0)</f>
        <v>7.6993333333333327</v>
      </c>
      <c r="R93" s="15">
        <f>IFERROR(Table50[[#This Row],[COST PRICE]]-IFERROR(Table50[[#This Row],[Usage]]/Table50[[#This Row],[UsageQty]],Table50[[#This Row],[COST PRICE]]),0)</f>
        <v>7.9047619047605266E-3</v>
      </c>
      <c r="S93" s="16">
        <f>IFERROR(Table50[[#This Row],[COST PRICE CHANGE]]/Table50[[#This Row],[OPENING COST PRICE]],0)</f>
        <v>1.0265924551637047E-3</v>
      </c>
      <c r="T93" s="15">
        <f>Table50[[#This Row],[ClosingQty]]-(Table50[[#This Row],[USAGE / DAY]]*(IF(Table50[[#This Row],[ccnt]]="BEV",Table50[[#This Row],[DELIVERY DAY]],Table50[[#This Row],[DELIVERY DAY]])))</f>
        <v>51.5</v>
      </c>
      <c r="U93" s="15">
        <f>ROUNDUP(Table50[[#This Row],[UsageQty]]/Table50[[#This Row],[DATA POINT]],2)</f>
        <v>0.5</v>
      </c>
      <c r="V9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3" s="15">
        <f>IFERROR(Table50[[#This Row],[ORDER QTY]]*Table50[[#This Row],[COST PRICE]],0)</f>
        <v>0</v>
      </c>
      <c r="X93" s="15">
        <f>IFERROR(VLOOKUP(C93,[1]!Table49[[#All],[name]:[USAGE / DAY]],19,FALSE),1)</f>
        <v>2.0699999999999998</v>
      </c>
      <c r="Y93" s="4">
        <f>IFERROR((Table50[[#This Row],[USAGE / DAY]]-Table50[[#This Row],[USAGE / DAY 2]])/Table50[[#This Row],[USAGE / DAY 2]],0)</f>
        <v>-0.75845410628019316</v>
      </c>
      <c r="Z93" s="15">
        <f t="shared" si="3"/>
        <v>14</v>
      </c>
      <c r="AA93" s="15">
        <f t="shared" si="4"/>
        <v>9.311854181734148</v>
      </c>
      <c r="AB93" s="15">
        <f>IFERROR(IF(Table50[[#This Row],[ccnt]]="BEV",$AB$2,IF(Table50[[#This Row],[ccnt]]="FOOD",$AC$2,"ENTER # FROM LAST COUNT")),"ENTER # FROM LAST COUNT")</f>
        <v>3</v>
      </c>
      <c r="AC93" s="15">
        <f>(Table50[[#This Row],[OpeningQty]]+Table50[[#This Row],[ClosingQty]])/2</f>
        <v>41.5</v>
      </c>
      <c r="AD93" s="15">
        <f>IFERROR(Table50[[#This Row],[UsageQty]]/Table50[[#This Row],[AVE INVENTORY]],0)</f>
        <v>0.16867469879518071</v>
      </c>
      <c r="AE93" s="15">
        <f>IFERROR(Table50[[#This Row],[DATA POINT]]/Table50[[#This Row],[Inventory Turnover Rate]],0)</f>
        <v>83</v>
      </c>
      <c r="AF93" s="15">
        <f>Table50[[#This Row],[ClosingQty]]/Table50[[#This Row],[USAGE / DAY]]</f>
        <v>106</v>
      </c>
      <c r="AG93" s="15">
        <f>Table50[[#This Row],[USAGE / DAY]]*7</f>
        <v>3.5</v>
      </c>
      <c r="AH93" s="15">
        <f>Table50[[#This Row],[USAGE / DAY]]*3</f>
        <v>1.5</v>
      </c>
      <c r="AI9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3" s="15">
        <f>IFERROR(Table50[[#This Row],[ORDER QTY2]]*Table50[[#This Row],[COST PRICE]],0)</f>
        <v>0</v>
      </c>
      <c r="AK93" s="15">
        <f>(Table50[[#This Row],[REORDER POINT]]*Table50[[#This Row],[COST PRICE]])+Table50[[#This Row],[ORDER COST]]</f>
        <v>396.51566666666662</v>
      </c>
      <c r="AL93" s="15">
        <f t="shared" si="5"/>
        <v>100</v>
      </c>
      <c r="AM93" s="15">
        <f>IFERROR((Table50[[#This Row],[REORDER POINT]]+Table50[[#This Row],[ORDER QTY]])/(Table50[[#This Row],[USAGE / DAY]]*Table50[[#This Row],[DEMAND %]]),Table50[[#This Row],[REORDER POINT]]/Table50[[#This Row],[USAGE / DAY]])</f>
        <v>103</v>
      </c>
    </row>
    <row r="94" spans="1:39" x14ac:dyDescent="0.25">
      <c r="A94" t="s">
        <v>50</v>
      </c>
      <c r="B94" t="s">
        <v>135</v>
      </c>
      <c r="C94" t="s">
        <v>155</v>
      </c>
      <c r="D94" t="s">
        <v>91</v>
      </c>
      <c r="E94">
        <v>28</v>
      </c>
      <c r="F94">
        <v>148.68</v>
      </c>
      <c r="G94">
        <v>0</v>
      </c>
      <c r="H94">
        <v>0</v>
      </c>
      <c r="I94">
        <v>22</v>
      </c>
      <c r="J94">
        <v>116.82</v>
      </c>
      <c r="K94">
        <f>Table50[[#This Row],[OpeningQty]]+Table50[[#This Row],[PurchasesQty]]-Table50[[#This Row],[ClosingQty]]</f>
        <v>6</v>
      </c>
      <c r="L94">
        <v>31.86</v>
      </c>
      <c r="M94" s="14">
        <f>Table50[[#This Row],[Usage]]/$L$1</f>
        <v>4.8388948729585051E-5</v>
      </c>
      <c r="N94" s="15">
        <f>IFERROR(Table50[[#This Row],[Opening]]/Table50[[#This Row],[OpeningQty]],0)</f>
        <v>5.3100000000000005</v>
      </c>
      <c r="O94" s="15">
        <f>IFERROR(Table50[[#This Row],[Purchases]]/Table50[[#This Row],[PurchasesQty]],0)</f>
        <v>0</v>
      </c>
      <c r="P94" s="15">
        <f>IFERROR(Table50[[#This Row],[Closing]]/Table50[[#This Row],[ClosingQty]],0)</f>
        <v>5.31</v>
      </c>
      <c r="Q94" s="15">
        <f>IFERROR(AVERAGEIF(Table50[[#This Row],[OPENING COST PRICE]:[CLOSING COST PRICE]],"&gt;0"),0)</f>
        <v>5.3100000000000005</v>
      </c>
      <c r="R94" s="15">
        <f>IFERROR(Table50[[#This Row],[COST PRICE]]-IFERROR(Table50[[#This Row],[Usage]]/Table50[[#This Row],[UsageQty]],Table50[[#This Row],[COST PRICE]]),0)</f>
        <v>8.8817841970012523E-16</v>
      </c>
      <c r="S94" s="16">
        <f>IFERROR(Table50[[#This Row],[COST PRICE CHANGE]]/Table50[[#This Row],[OPENING COST PRICE]],0)</f>
        <v>1.6726523911490117E-16</v>
      </c>
      <c r="T94" s="15">
        <f>Table50[[#This Row],[ClosingQty]]-(Table50[[#This Row],[USAGE / DAY]]*(IF(Table50[[#This Row],[ccnt]]="BEV",Table50[[#This Row],[DELIVERY DAY]],Table50[[#This Row],[DELIVERY DAY]])))</f>
        <v>20.71</v>
      </c>
      <c r="U94" s="15">
        <f>ROUNDUP(Table50[[#This Row],[UsageQty]]/Table50[[#This Row],[DATA POINT]],2)</f>
        <v>0.43</v>
      </c>
      <c r="V9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4" s="15">
        <f>IFERROR(Table50[[#This Row],[ORDER QTY]]*Table50[[#This Row],[COST PRICE]],0)</f>
        <v>0</v>
      </c>
      <c r="X94" s="15">
        <f>IFERROR(VLOOKUP(C94,[1]!Table49[[#All],[name]:[USAGE / DAY]],19,FALSE),1)</f>
        <v>0.4</v>
      </c>
      <c r="Y94" s="4">
        <f>IFERROR((Table50[[#This Row],[USAGE / DAY]]-Table50[[#This Row],[USAGE / DAY 2]])/Table50[[#This Row],[USAGE / DAY 2]],0)</f>
        <v>7.4999999999999928E-2</v>
      </c>
      <c r="Z94" s="15">
        <f t="shared" si="3"/>
        <v>14</v>
      </c>
      <c r="AA94" s="15">
        <f t="shared" si="4"/>
        <v>9.311854181734148</v>
      </c>
      <c r="AB94" s="15">
        <f>IFERROR(IF(Table50[[#This Row],[ccnt]]="BEV",$AB$2,IF(Table50[[#This Row],[ccnt]]="FOOD",$AC$2,"ENTER # FROM LAST COUNT")),"ENTER # FROM LAST COUNT")</f>
        <v>3</v>
      </c>
      <c r="AC94" s="15">
        <f>(Table50[[#This Row],[OpeningQty]]+Table50[[#This Row],[ClosingQty]])/2</f>
        <v>25</v>
      </c>
      <c r="AD94" s="15">
        <f>IFERROR(Table50[[#This Row],[UsageQty]]/Table50[[#This Row],[AVE INVENTORY]],0)</f>
        <v>0.24</v>
      </c>
      <c r="AE94" s="15">
        <f>IFERROR(Table50[[#This Row],[DATA POINT]]/Table50[[#This Row],[Inventory Turnover Rate]],0)</f>
        <v>58.333333333333336</v>
      </c>
      <c r="AF94" s="15">
        <f>Table50[[#This Row],[ClosingQty]]/Table50[[#This Row],[USAGE / DAY]]</f>
        <v>51.162790697674417</v>
      </c>
      <c r="AG94" s="15">
        <f>Table50[[#This Row],[USAGE / DAY]]*7</f>
        <v>3.01</v>
      </c>
      <c r="AH94" s="15">
        <f>Table50[[#This Row],[USAGE / DAY]]*3</f>
        <v>1.29</v>
      </c>
      <c r="AI9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4" s="15">
        <f>IFERROR(Table50[[#This Row],[ORDER QTY2]]*Table50[[#This Row],[COST PRICE]],0)</f>
        <v>0</v>
      </c>
      <c r="AK94" s="15">
        <f>(Table50[[#This Row],[REORDER POINT]]*Table50[[#This Row],[COST PRICE]])+Table50[[#This Row],[ORDER COST]]</f>
        <v>109.97010000000002</v>
      </c>
      <c r="AL94" s="15">
        <f t="shared" si="5"/>
        <v>100</v>
      </c>
      <c r="AM94" s="15">
        <f>IFERROR((Table50[[#This Row],[REORDER POINT]]+Table50[[#This Row],[ORDER QTY]])/(Table50[[#This Row],[USAGE / DAY]]*Table50[[#This Row],[DEMAND %]]),Table50[[#This Row],[REORDER POINT]]/Table50[[#This Row],[USAGE / DAY]])</f>
        <v>48.162790697674424</v>
      </c>
    </row>
    <row r="95" spans="1:39" x14ac:dyDescent="0.25">
      <c r="A95" t="s">
        <v>50</v>
      </c>
      <c r="B95" t="s">
        <v>135</v>
      </c>
      <c r="C95" t="s">
        <v>156</v>
      </c>
      <c r="D95" t="s">
        <v>91</v>
      </c>
      <c r="E95">
        <v>15</v>
      </c>
      <c r="F95">
        <v>76.5</v>
      </c>
      <c r="G95">
        <v>0</v>
      </c>
      <c r="H95">
        <v>0</v>
      </c>
      <c r="I95">
        <v>15</v>
      </c>
      <c r="J95">
        <v>76.5</v>
      </c>
      <c r="K95">
        <f>Table50[[#This Row],[OpeningQty]]+Table50[[#This Row],[PurchasesQty]]-Table50[[#This Row],[ClosingQty]]</f>
        <v>0</v>
      </c>
      <c r="L95">
        <v>0</v>
      </c>
      <c r="M95" s="14">
        <f>Table50[[#This Row],[Usage]]/$L$1</f>
        <v>0</v>
      </c>
      <c r="N95" s="15">
        <f>IFERROR(Table50[[#This Row],[Opening]]/Table50[[#This Row],[OpeningQty]],0)</f>
        <v>5.0999999999999996</v>
      </c>
      <c r="O95" s="15">
        <f>IFERROR(Table50[[#This Row],[Purchases]]/Table50[[#This Row],[PurchasesQty]],0)</f>
        <v>0</v>
      </c>
      <c r="P95" s="15">
        <f>IFERROR(Table50[[#This Row],[Closing]]/Table50[[#This Row],[ClosingQty]],0)</f>
        <v>5.0999999999999996</v>
      </c>
      <c r="Q95" s="15">
        <f>IFERROR(AVERAGEIF(Table50[[#This Row],[OPENING COST PRICE]:[CLOSING COST PRICE]],"&gt;0"),0)</f>
        <v>5.0999999999999996</v>
      </c>
      <c r="R95" s="15">
        <f>IFERROR(Table50[[#This Row],[COST PRICE]]-IFERROR(Table50[[#This Row],[Usage]]/Table50[[#This Row],[UsageQty]],Table50[[#This Row],[COST PRICE]]),0)</f>
        <v>0</v>
      </c>
      <c r="S95" s="16">
        <f>IFERROR(Table50[[#This Row],[COST PRICE CHANGE]]/Table50[[#This Row],[OPENING COST PRICE]],0)</f>
        <v>0</v>
      </c>
      <c r="T95" s="15">
        <f>Table50[[#This Row],[ClosingQty]]-(Table50[[#This Row],[USAGE / DAY]]*(IF(Table50[[#This Row],[ccnt]]="BEV",Table50[[#This Row],[DELIVERY DAY]],Table50[[#This Row],[DELIVERY DAY]])))</f>
        <v>15</v>
      </c>
      <c r="U95" s="15">
        <f>ROUNDUP(Table50[[#This Row],[UsageQty]]/Table50[[#This Row],[DATA POINT]],2)</f>
        <v>0</v>
      </c>
      <c r="V9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5" s="15">
        <f>IFERROR(Table50[[#This Row],[ORDER QTY]]*Table50[[#This Row],[COST PRICE]],0)</f>
        <v>0</v>
      </c>
      <c r="X95" s="15">
        <f>IFERROR(VLOOKUP(C95,[1]!Table49[[#All],[name]:[USAGE / DAY]],19,FALSE),1)</f>
        <v>0</v>
      </c>
      <c r="Y95" s="4">
        <f>IFERROR((Table50[[#This Row],[USAGE / DAY]]-Table50[[#This Row],[USAGE / DAY 2]])/Table50[[#This Row],[USAGE / DAY 2]],0)</f>
        <v>0</v>
      </c>
      <c r="Z95" s="15">
        <f t="shared" si="3"/>
        <v>14</v>
      </c>
      <c r="AA95" s="15">
        <f t="shared" si="4"/>
        <v>9.311854181734148</v>
      </c>
      <c r="AB95" s="15">
        <f>IFERROR(IF(Table50[[#This Row],[ccnt]]="BEV",$AB$2,IF(Table50[[#This Row],[ccnt]]="FOOD",$AC$2,"ENTER # FROM LAST COUNT")),"ENTER # FROM LAST COUNT")</f>
        <v>3</v>
      </c>
      <c r="AC95" s="15">
        <f>(Table50[[#This Row],[OpeningQty]]+Table50[[#This Row],[ClosingQty]])/2</f>
        <v>15</v>
      </c>
      <c r="AD95" s="15">
        <f>IFERROR(Table50[[#This Row],[UsageQty]]/Table50[[#This Row],[AVE INVENTORY]],0)</f>
        <v>0</v>
      </c>
      <c r="AE95" s="15">
        <f>IFERROR(Table50[[#This Row],[DATA POINT]]/Table50[[#This Row],[Inventory Turnover Rate]],0)</f>
        <v>0</v>
      </c>
      <c r="AF95" s="15" t="e">
        <f>Table50[[#This Row],[ClosingQty]]/Table50[[#This Row],[USAGE / DAY]]</f>
        <v>#DIV/0!</v>
      </c>
      <c r="AG95" s="15">
        <f>Table50[[#This Row],[USAGE / DAY]]*7</f>
        <v>0</v>
      </c>
      <c r="AH95" s="15">
        <f>Table50[[#This Row],[USAGE / DAY]]*3</f>
        <v>0</v>
      </c>
      <c r="AI9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5" s="15">
        <f>IFERROR(Table50[[#This Row],[ORDER QTY2]]*Table50[[#This Row],[COST PRICE]],0)</f>
        <v>0</v>
      </c>
      <c r="AK95" s="15">
        <f>(Table50[[#This Row],[REORDER POINT]]*Table50[[#This Row],[COST PRICE]])+Table50[[#This Row],[ORDER COST]]</f>
        <v>76.5</v>
      </c>
      <c r="AL95" s="15">
        <f t="shared" si="5"/>
        <v>100</v>
      </c>
      <c r="AM95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96" spans="1:39" x14ac:dyDescent="0.25">
      <c r="A96" t="s">
        <v>50</v>
      </c>
      <c r="B96" t="s">
        <v>135</v>
      </c>
      <c r="C96" t="s">
        <v>157</v>
      </c>
      <c r="D96" t="s">
        <v>91</v>
      </c>
      <c r="E96">
        <v>1</v>
      </c>
      <c r="F96">
        <v>4.0599999999999996</v>
      </c>
      <c r="G96">
        <v>0</v>
      </c>
      <c r="H96">
        <v>0</v>
      </c>
      <c r="I96">
        <v>1</v>
      </c>
      <c r="J96">
        <v>4.0599999999999996</v>
      </c>
      <c r="K96">
        <f>Table50[[#This Row],[OpeningQty]]+Table50[[#This Row],[PurchasesQty]]-Table50[[#This Row],[ClosingQty]]</f>
        <v>0</v>
      </c>
      <c r="L96">
        <v>0</v>
      </c>
      <c r="M96" s="14">
        <f>Table50[[#This Row],[Usage]]/$L$1</f>
        <v>0</v>
      </c>
      <c r="N96" s="15">
        <f>IFERROR(Table50[[#This Row],[Opening]]/Table50[[#This Row],[OpeningQty]],0)</f>
        <v>4.0599999999999996</v>
      </c>
      <c r="O96" s="15">
        <f>IFERROR(Table50[[#This Row],[Purchases]]/Table50[[#This Row],[PurchasesQty]],0)</f>
        <v>0</v>
      </c>
      <c r="P96" s="15">
        <f>IFERROR(Table50[[#This Row],[Closing]]/Table50[[#This Row],[ClosingQty]],0)</f>
        <v>4.0599999999999996</v>
      </c>
      <c r="Q96" s="15">
        <f>IFERROR(AVERAGEIF(Table50[[#This Row],[OPENING COST PRICE]:[CLOSING COST PRICE]],"&gt;0"),0)</f>
        <v>4.0599999999999996</v>
      </c>
      <c r="R96" s="15">
        <f>IFERROR(Table50[[#This Row],[COST PRICE]]-IFERROR(Table50[[#This Row],[Usage]]/Table50[[#This Row],[UsageQty]],Table50[[#This Row],[COST PRICE]]),0)</f>
        <v>0</v>
      </c>
      <c r="S96" s="16">
        <f>IFERROR(Table50[[#This Row],[COST PRICE CHANGE]]/Table50[[#This Row],[OPENING COST PRICE]],0)</f>
        <v>0</v>
      </c>
      <c r="T96" s="15">
        <f>Table50[[#This Row],[ClosingQty]]-(Table50[[#This Row],[USAGE / DAY]]*(IF(Table50[[#This Row],[ccnt]]="BEV",Table50[[#This Row],[DELIVERY DAY]],Table50[[#This Row],[DELIVERY DAY]])))</f>
        <v>1</v>
      </c>
      <c r="U96" s="15">
        <f>ROUNDUP(Table50[[#This Row],[UsageQty]]/Table50[[#This Row],[DATA POINT]],2)</f>
        <v>0</v>
      </c>
      <c r="V9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6" s="15">
        <f>IFERROR(Table50[[#This Row],[ORDER QTY]]*Table50[[#This Row],[COST PRICE]],0)</f>
        <v>0</v>
      </c>
      <c r="X96" s="15">
        <f>IFERROR(VLOOKUP(C96,[1]!Table49[[#All],[name]:[USAGE / DAY]],19,FALSE),1)</f>
        <v>0</v>
      </c>
      <c r="Y96" s="4">
        <f>IFERROR((Table50[[#This Row],[USAGE / DAY]]-Table50[[#This Row],[USAGE / DAY 2]])/Table50[[#This Row],[USAGE / DAY 2]],0)</f>
        <v>0</v>
      </c>
      <c r="Z96" s="15">
        <f t="shared" si="3"/>
        <v>14</v>
      </c>
      <c r="AA96" s="15">
        <f t="shared" si="4"/>
        <v>9.311854181734148</v>
      </c>
      <c r="AB96" s="15">
        <f>IFERROR(IF(Table50[[#This Row],[ccnt]]="BEV",$AB$2,IF(Table50[[#This Row],[ccnt]]="FOOD",$AC$2,"ENTER # FROM LAST COUNT")),"ENTER # FROM LAST COUNT")</f>
        <v>3</v>
      </c>
      <c r="AC96" s="15">
        <f>(Table50[[#This Row],[OpeningQty]]+Table50[[#This Row],[ClosingQty]])/2</f>
        <v>1</v>
      </c>
      <c r="AD96" s="15">
        <f>IFERROR(Table50[[#This Row],[UsageQty]]/Table50[[#This Row],[AVE INVENTORY]],0)</f>
        <v>0</v>
      </c>
      <c r="AE96" s="15">
        <f>IFERROR(Table50[[#This Row],[DATA POINT]]/Table50[[#This Row],[Inventory Turnover Rate]],0)</f>
        <v>0</v>
      </c>
      <c r="AF96" s="15" t="e">
        <f>Table50[[#This Row],[ClosingQty]]/Table50[[#This Row],[USAGE / DAY]]</f>
        <v>#DIV/0!</v>
      </c>
      <c r="AG96" s="15">
        <f>Table50[[#This Row],[USAGE / DAY]]*7</f>
        <v>0</v>
      </c>
      <c r="AH96" s="15">
        <f>Table50[[#This Row],[USAGE / DAY]]*3</f>
        <v>0</v>
      </c>
      <c r="AI9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6" s="15">
        <f>IFERROR(Table50[[#This Row],[ORDER QTY2]]*Table50[[#This Row],[COST PRICE]],0)</f>
        <v>0</v>
      </c>
      <c r="AK96" s="15">
        <f>(Table50[[#This Row],[REORDER POINT]]*Table50[[#This Row],[COST PRICE]])+Table50[[#This Row],[ORDER COST]]</f>
        <v>4.0599999999999996</v>
      </c>
      <c r="AL96" s="15">
        <f t="shared" si="5"/>
        <v>100</v>
      </c>
      <c r="AM96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97" spans="1:39" x14ac:dyDescent="0.25">
      <c r="A97" t="s">
        <v>50</v>
      </c>
      <c r="B97" t="s">
        <v>135</v>
      </c>
      <c r="C97" t="s">
        <v>158</v>
      </c>
      <c r="D97" t="s">
        <v>91</v>
      </c>
      <c r="E97">
        <v>10</v>
      </c>
      <c r="F97">
        <v>86.9</v>
      </c>
      <c r="G97">
        <v>0</v>
      </c>
      <c r="H97">
        <v>0</v>
      </c>
      <c r="I97">
        <v>10</v>
      </c>
      <c r="J97">
        <v>86.9</v>
      </c>
      <c r="K97">
        <f>Table50[[#This Row],[OpeningQty]]+Table50[[#This Row],[PurchasesQty]]-Table50[[#This Row],[ClosingQty]]</f>
        <v>0</v>
      </c>
      <c r="L97">
        <v>0</v>
      </c>
      <c r="M97" s="14">
        <f>Table50[[#This Row],[Usage]]/$L$1</f>
        <v>0</v>
      </c>
      <c r="N97" s="15">
        <f>IFERROR(Table50[[#This Row],[Opening]]/Table50[[#This Row],[OpeningQty]],0)</f>
        <v>8.6900000000000013</v>
      </c>
      <c r="O97" s="15">
        <f>IFERROR(Table50[[#This Row],[Purchases]]/Table50[[#This Row],[PurchasesQty]],0)</f>
        <v>0</v>
      </c>
      <c r="P97" s="15">
        <f>IFERROR(Table50[[#This Row],[Closing]]/Table50[[#This Row],[ClosingQty]],0)</f>
        <v>8.6900000000000013</v>
      </c>
      <c r="Q97" s="15">
        <f>IFERROR(AVERAGEIF(Table50[[#This Row],[OPENING COST PRICE]:[CLOSING COST PRICE]],"&gt;0"),0)</f>
        <v>8.6900000000000013</v>
      </c>
      <c r="R97" s="15">
        <f>IFERROR(Table50[[#This Row],[COST PRICE]]-IFERROR(Table50[[#This Row],[Usage]]/Table50[[#This Row],[UsageQty]],Table50[[#This Row],[COST PRICE]]),0)</f>
        <v>0</v>
      </c>
      <c r="S97" s="16">
        <f>IFERROR(Table50[[#This Row],[COST PRICE CHANGE]]/Table50[[#This Row],[OPENING COST PRICE]],0)</f>
        <v>0</v>
      </c>
      <c r="T97" s="15">
        <f>Table50[[#This Row],[ClosingQty]]-(Table50[[#This Row],[USAGE / DAY]]*(IF(Table50[[#This Row],[ccnt]]="BEV",Table50[[#This Row],[DELIVERY DAY]],Table50[[#This Row],[DELIVERY DAY]])))</f>
        <v>10</v>
      </c>
      <c r="U97" s="15">
        <f>ROUNDUP(Table50[[#This Row],[UsageQty]]/Table50[[#This Row],[DATA POINT]],2)</f>
        <v>0</v>
      </c>
      <c r="V9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7" s="15">
        <f>IFERROR(Table50[[#This Row],[ORDER QTY]]*Table50[[#This Row],[COST PRICE]],0)</f>
        <v>0</v>
      </c>
      <c r="X97" s="15">
        <f>IFERROR(VLOOKUP(C97,[1]!Table49[[#All],[name]:[USAGE / DAY]],19,FALSE),1)</f>
        <v>0</v>
      </c>
      <c r="Y97" s="4">
        <f>IFERROR((Table50[[#This Row],[USAGE / DAY]]-Table50[[#This Row],[USAGE / DAY 2]])/Table50[[#This Row],[USAGE / DAY 2]],0)</f>
        <v>0</v>
      </c>
      <c r="Z97" s="15">
        <f t="shared" si="3"/>
        <v>14</v>
      </c>
      <c r="AA97" s="15">
        <f t="shared" si="4"/>
        <v>9.311854181734148</v>
      </c>
      <c r="AB97" s="15">
        <f>IFERROR(IF(Table50[[#This Row],[ccnt]]="BEV",$AB$2,IF(Table50[[#This Row],[ccnt]]="FOOD",$AC$2,"ENTER # FROM LAST COUNT")),"ENTER # FROM LAST COUNT")</f>
        <v>3</v>
      </c>
      <c r="AC97" s="15">
        <f>(Table50[[#This Row],[OpeningQty]]+Table50[[#This Row],[ClosingQty]])/2</f>
        <v>10</v>
      </c>
      <c r="AD97" s="15">
        <f>IFERROR(Table50[[#This Row],[UsageQty]]/Table50[[#This Row],[AVE INVENTORY]],0)</f>
        <v>0</v>
      </c>
      <c r="AE97" s="15">
        <f>IFERROR(Table50[[#This Row],[DATA POINT]]/Table50[[#This Row],[Inventory Turnover Rate]],0)</f>
        <v>0</v>
      </c>
      <c r="AF97" s="15" t="e">
        <f>Table50[[#This Row],[ClosingQty]]/Table50[[#This Row],[USAGE / DAY]]</f>
        <v>#DIV/0!</v>
      </c>
      <c r="AG97" s="15">
        <f>Table50[[#This Row],[USAGE / DAY]]*7</f>
        <v>0</v>
      </c>
      <c r="AH97" s="15">
        <f>Table50[[#This Row],[USAGE / DAY]]*3</f>
        <v>0</v>
      </c>
      <c r="AI9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7" s="15">
        <f>IFERROR(Table50[[#This Row],[ORDER QTY2]]*Table50[[#This Row],[COST PRICE]],0)</f>
        <v>0</v>
      </c>
      <c r="AK97" s="15">
        <f>(Table50[[#This Row],[REORDER POINT]]*Table50[[#This Row],[COST PRICE]])+Table50[[#This Row],[ORDER COST]]</f>
        <v>86.9</v>
      </c>
      <c r="AL97" s="15">
        <f t="shared" si="5"/>
        <v>100</v>
      </c>
      <c r="AM97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98" spans="1:39" x14ac:dyDescent="0.25">
      <c r="A98" t="s">
        <v>50</v>
      </c>
      <c r="B98" t="s">
        <v>135</v>
      </c>
      <c r="C98" t="s">
        <v>159</v>
      </c>
      <c r="D98" t="s">
        <v>91</v>
      </c>
      <c r="E98">
        <v>29</v>
      </c>
      <c r="F98">
        <v>86.71</v>
      </c>
      <c r="G98">
        <v>0</v>
      </c>
      <c r="H98">
        <v>0</v>
      </c>
      <c r="I98">
        <v>29</v>
      </c>
      <c r="J98">
        <v>86.71</v>
      </c>
      <c r="K98">
        <f>Table50[[#This Row],[OpeningQty]]+Table50[[#This Row],[PurchasesQty]]-Table50[[#This Row],[ClosingQty]]</f>
        <v>0</v>
      </c>
      <c r="L98">
        <v>0</v>
      </c>
      <c r="M98" s="14">
        <f>Table50[[#This Row],[Usage]]/$L$1</f>
        <v>0</v>
      </c>
      <c r="N98" s="15">
        <f>IFERROR(Table50[[#This Row],[Opening]]/Table50[[#This Row],[OpeningQty]],0)</f>
        <v>2.9899999999999998</v>
      </c>
      <c r="O98" s="15">
        <f>IFERROR(Table50[[#This Row],[Purchases]]/Table50[[#This Row],[PurchasesQty]],0)</f>
        <v>0</v>
      </c>
      <c r="P98" s="15">
        <f>IFERROR(Table50[[#This Row],[Closing]]/Table50[[#This Row],[ClosingQty]],0)</f>
        <v>2.9899999999999998</v>
      </c>
      <c r="Q98" s="15">
        <f>IFERROR(AVERAGEIF(Table50[[#This Row],[OPENING COST PRICE]:[CLOSING COST PRICE]],"&gt;0"),0)</f>
        <v>2.9899999999999998</v>
      </c>
      <c r="R98" s="15">
        <f>IFERROR(Table50[[#This Row],[COST PRICE]]-IFERROR(Table50[[#This Row],[Usage]]/Table50[[#This Row],[UsageQty]],Table50[[#This Row],[COST PRICE]]),0)</f>
        <v>0</v>
      </c>
      <c r="S98" s="16">
        <f>IFERROR(Table50[[#This Row],[COST PRICE CHANGE]]/Table50[[#This Row],[OPENING COST PRICE]],0)</f>
        <v>0</v>
      </c>
      <c r="T98" s="15">
        <f>Table50[[#This Row],[ClosingQty]]-(Table50[[#This Row],[USAGE / DAY]]*(IF(Table50[[#This Row],[ccnt]]="BEV",Table50[[#This Row],[DELIVERY DAY]],Table50[[#This Row],[DELIVERY DAY]])))</f>
        <v>29</v>
      </c>
      <c r="U98" s="15">
        <f>ROUNDUP(Table50[[#This Row],[UsageQty]]/Table50[[#This Row],[DATA POINT]],2)</f>
        <v>0</v>
      </c>
      <c r="V9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8" s="15">
        <f>IFERROR(Table50[[#This Row],[ORDER QTY]]*Table50[[#This Row],[COST PRICE]],0)</f>
        <v>0</v>
      </c>
      <c r="X98" s="15">
        <f>IFERROR(VLOOKUP(C98,[1]!Table49[[#All],[name]:[USAGE / DAY]],19,FALSE),1)</f>
        <v>0</v>
      </c>
      <c r="Y98" s="4">
        <f>IFERROR((Table50[[#This Row],[USAGE / DAY]]-Table50[[#This Row],[USAGE / DAY 2]])/Table50[[#This Row],[USAGE / DAY 2]],0)</f>
        <v>0</v>
      </c>
      <c r="Z98" s="15">
        <f t="shared" si="3"/>
        <v>14</v>
      </c>
      <c r="AA98" s="15">
        <f t="shared" si="4"/>
        <v>9.311854181734148</v>
      </c>
      <c r="AB98" s="15">
        <f>IFERROR(IF(Table50[[#This Row],[ccnt]]="BEV",$AB$2,IF(Table50[[#This Row],[ccnt]]="FOOD",$AC$2,"ENTER # FROM LAST COUNT")),"ENTER # FROM LAST COUNT")</f>
        <v>3</v>
      </c>
      <c r="AC98" s="15">
        <f>(Table50[[#This Row],[OpeningQty]]+Table50[[#This Row],[ClosingQty]])/2</f>
        <v>29</v>
      </c>
      <c r="AD98" s="15">
        <f>IFERROR(Table50[[#This Row],[UsageQty]]/Table50[[#This Row],[AVE INVENTORY]],0)</f>
        <v>0</v>
      </c>
      <c r="AE98" s="15">
        <f>IFERROR(Table50[[#This Row],[DATA POINT]]/Table50[[#This Row],[Inventory Turnover Rate]],0)</f>
        <v>0</v>
      </c>
      <c r="AF98" s="15" t="e">
        <f>Table50[[#This Row],[ClosingQty]]/Table50[[#This Row],[USAGE / DAY]]</f>
        <v>#DIV/0!</v>
      </c>
      <c r="AG98" s="15">
        <f>Table50[[#This Row],[USAGE / DAY]]*7</f>
        <v>0</v>
      </c>
      <c r="AH98" s="15">
        <f>Table50[[#This Row],[USAGE / DAY]]*3</f>
        <v>0</v>
      </c>
      <c r="AI9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8" s="15">
        <f>IFERROR(Table50[[#This Row],[ORDER QTY2]]*Table50[[#This Row],[COST PRICE]],0)</f>
        <v>0</v>
      </c>
      <c r="AK98" s="15">
        <f>(Table50[[#This Row],[REORDER POINT]]*Table50[[#This Row],[COST PRICE]])+Table50[[#This Row],[ORDER COST]]</f>
        <v>86.71</v>
      </c>
      <c r="AL98" s="15">
        <f t="shared" si="5"/>
        <v>100</v>
      </c>
      <c r="AM98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99" spans="1:39" x14ac:dyDescent="0.25">
      <c r="A99" t="s">
        <v>50</v>
      </c>
      <c r="B99" t="s">
        <v>135</v>
      </c>
      <c r="C99" t="s">
        <v>160</v>
      </c>
      <c r="D99" t="s">
        <v>91</v>
      </c>
      <c r="E99">
        <v>18</v>
      </c>
      <c r="F99">
        <v>102.24</v>
      </c>
      <c r="G99">
        <v>0</v>
      </c>
      <c r="H99">
        <v>0</v>
      </c>
      <c r="I99">
        <v>18</v>
      </c>
      <c r="J99">
        <v>102.24</v>
      </c>
      <c r="K99">
        <f>Table50[[#This Row],[OpeningQty]]+Table50[[#This Row],[PurchasesQty]]-Table50[[#This Row],[ClosingQty]]</f>
        <v>0</v>
      </c>
      <c r="L99">
        <v>0</v>
      </c>
      <c r="M99" s="14">
        <f>Table50[[#This Row],[Usage]]/$L$1</f>
        <v>0</v>
      </c>
      <c r="N99" s="15">
        <f>IFERROR(Table50[[#This Row],[Opening]]/Table50[[#This Row],[OpeningQty]],0)</f>
        <v>5.68</v>
      </c>
      <c r="O99" s="15">
        <f>IFERROR(Table50[[#This Row],[Purchases]]/Table50[[#This Row],[PurchasesQty]],0)</f>
        <v>0</v>
      </c>
      <c r="P99" s="15">
        <f>IFERROR(Table50[[#This Row],[Closing]]/Table50[[#This Row],[ClosingQty]],0)</f>
        <v>5.68</v>
      </c>
      <c r="Q99" s="15">
        <f>IFERROR(AVERAGEIF(Table50[[#This Row],[OPENING COST PRICE]:[CLOSING COST PRICE]],"&gt;0"),0)</f>
        <v>5.68</v>
      </c>
      <c r="R99" s="15">
        <f>IFERROR(Table50[[#This Row],[COST PRICE]]-IFERROR(Table50[[#This Row],[Usage]]/Table50[[#This Row],[UsageQty]],Table50[[#This Row],[COST PRICE]]),0)</f>
        <v>0</v>
      </c>
      <c r="S99" s="16">
        <f>IFERROR(Table50[[#This Row],[COST PRICE CHANGE]]/Table50[[#This Row],[OPENING COST PRICE]],0)</f>
        <v>0</v>
      </c>
      <c r="T99" s="15">
        <f>Table50[[#This Row],[ClosingQty]]-(Table50[[#This Row],[USAGE / DAY]]*(IF(Table50[[#This Row],[ccnt]]="BEV",Table50[[#This Row],[DELIVERY DAY]],Table50[[#This Row],[DELIVERY DAY]])))</f>
        <v>18</v>
      </c>
      <c r="U99" s="15">
        <f>ROUNDUP(Table50[[#This Row],[UsageQty]]/Table50[[#This Row],[DATA POINT]],2)</f>
        <v>0</v>
      </c>
      <c r="V9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99" s="15">
        <f>IFERROR(Table50[[#This Row],[ORDER QTY]]*Table50[[#This Row],[COST PRICE]],0)</f>
        <v>0</v>
      </c>
      <c r="X99" s="15">
        <f>IFERROR(VLOOKUP(C99,[1]!Table49[[#All],[name]:[USAGE / DAY]],19,FALSE),1)</f>
        <v>0</v>
      </c>
      <c r="Y99" s="4">
        <f>IFERROR((Table50[[#This Row],[USAGE / DAY]]-Table50[[#This Row],[USAGE / DAY 2]])/Table50[[#This Row],[USAGE / DAY 2]],0)</f>
        <v>0</v>
      </c>
      <c r="Z99" s="15">
        <f t="shared" si="3"/>
        <v>14</v>
      </c>
      <c r="AA99" s="15">
        <f t="shared" si="4"/>
        <v>9.311854181734148</v>
      </c>
      <c r="AB99" s="15">
        <f>IFERROR(IF(Table50[[#This Row],[ccnt]]="BEV",$AB$2,IF(Table50[[#This Row],[ccnt]]="FOOD",$AC$2,"ENTER # FROM LAST COUNT")),"ENTER # FROM LAST COUNT")</f>
        <v>3</v>
      </c>
      <c r="AC99" s="15">
        <f>(Table50[[#This Row],[OpeningQty]]+Table50[[#This Row],[ClosingQty]])/2</f>
        <v>18</v>
      </c>
      <c r="AD99" s="15">
        <f>IFERROR(Table50[[#This Row],[UsageQty]]/Table50[[#This Row],[AVE INVENTORY]],0)</f>
        <v>0</v>
      </c>
      <c r="AE99" s="15">
        <f>IFERROR(Table50[[#This Row],[DATA POINT]]/Table50[[#This Row],[Inventory Turnover Rate]],0)</f>
        <v>0</v>
      </c>
      <c r="AF99" s="15" t="e">
        <f>Table50[[#This Row],[ClosingQty]]/Table50[[#This Row],[USAGE / DAY]]</f>
        <v>#DIV/0!</v>
      </c>
      <c r="AG99" s="15">
        <f>Table50[[#This Row],[USAGE / DAY]]*7</f>
        <v>0</v>
      </c>
      <c r="AH99" s="15">
        <f>Table50[[#This Row],[USAGE / DAY]]*3</f>
        <v>0</v>
      </c>
      <c r="AI9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99" s="15">
        <f>IFERROR(Table50[[#This Row],[ORDER QTY2]]*Table50[[#This Row],[COST PRICE]],0)</f>
        <v>0</v>
      </c>
      <c r="AK99" s="15">
        <f>(Table50[[#This Row],[REORDER POINT]]*Table50[[#This Row],[COST PRICE]])+Table50[[#This Row],[ORDER COST]]</f>
        <v>102.24</v>
      </c>
      <c r="AL99" s="15">
        <f t="shared" si="5"/>
        <v>100</v>
      </c>
      <c r="AM99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00" spans="1:39" x14ac:dyDescent="0.25">
      <c r="A100" t="s">
        <v>50</v>
      </c>
      <c r="B100" t="s">
        <v>135</v>
      </c>
      <c r="C100" t="s">
        <v>161</v>
      </c>
      <c r="D100" t="s">
        <v>91</v>
      </c>
      <c r="E100">
        <v>23</v>
      </c>
      <c r="F100">
        <v>157.78</v>
      </c>
      <c r="G100">
        <v>30</v>
      </c>
      <c r="H100">
        <v>168.4</v>
      </c>
      <c r="I100">
        <v>25</v>
      </c>
      <c r="J100">
        <v>140.25</v>
      </c>
      <c r="K100">
        <f>Table50[[#This Row],[OpeningQty]]+Table50[[#This Row],[PurchasesQty]]-Table50[[#This Row],[ClosingQty]]</f>
        <v>28</v>
      </c>
      <c r="L100">
        <v>185.93</v>
      </c>
      <c r="M100" s="14">
        <f>Table50[[#This Row],[Usage]]/$L$1</f>
        <v>2.8239037154085845E-4</v>
      </c>
      <c r="N100" s="15">
        <f>IFERROR(Table50[[#This Row],[Opening]]/Table50[[#This Row],[OpeningQty]],0)</f>
        <v>6.86</v>
      </c>
      <c r="O100" s="15">
        <f>IFERROR(Table50[[#This Row],[Purchases]]/Table50[[#This Row],[PurchasesQty]],0)</f>
        <v>5.6133333333333333</v>
      </c>
      <c r="P100" s="15">
        <f>IFERROR(Table50[[#This Row],[Closing]]/Table50[[#This Row],[ClosingQty]],0)</f>
        <v>5.61</v>
      </c>
      <c r="Q100" s="15">
        <f>IFERROR(AVERAGEIF(Table50[[#This Row],[OPENING COST PRICE]:[CLOSING COST PRICE]],"&gt;0"),0)</f>
        <v>6.0277777777777777</v>
      </c>
      <c r="R100" s="15">
        <f>IFERROR(Table50[[#This Row],[COST PRICE]]-IFERROR(Table50[[#This Row],[Usage]]/Table50[[#This Row],[UsageQty]],Table50[[#This Row],[COST PRICE]]),0)</f>
        <v>-0.61257936507936517</v>
      </c>
      <c r="S100" s="16">
        <f>IFERROR(Table50[[#This Row],[COST PRICE CHANGE]]/Table50[[#This Row],[OPENING COST PRICE]],0)</f>
        <v>-8.9297283539266054E-2</v>
      </c>
      <c r="T100" s="15">
        <f>Table50[[#This Row],[ClosingQty]]-(Table50[[#This Row],[USAGE / DAY]]*(IF(Table50[[#This Row],[ccnt]]="BEV",Table50[[#This Row],[DELIVERY DAY]],Table50[[#This Row],[DELIVERY DAY]])))</f>
        <v>19</v>
      </c>
      <c r="U100" s="15">
        <f>ROUNDUP(Table50[[#This Row],[UsageQty]]/Table50[[#This Row],[DATA POINT]],2)</f>
        <v>2</v>
      </c>
      <c r="V10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00" s="15">
        <f>IFERROR(Table50[[#This Row],[ORDER QTY]]*Table50[[#This Row],[COST PRICE]],0)</f>
        <v>0</v>
      </c>
      <c r="X100" s="15">
        <f>IFERROR(VLOOKUP(C100,[1]!Table49[[#All],[name]:[USAGE / DAY]],19,FALSE),1)</f>
        <v>2.0699999999999998</v>
      </c>
      <c r="Y100" s="4">
        <f>IFERROR((Table50[[#This Row],[USAGE / DAY]]-Table50[[#This Row],[USAGE / DAY 2]])/Table50[[#This Row],[USAGE / DAY 2]],0)</f>
        <v>-3.3816425120772875E-2</v>
      </c>
      <c r="Z100" s="15">
        <f t="shared" si="3"/>
        <v>14</v>
      </c>
      <c r="AA100" s="15">
        <f t="shared" si="4"/>
        <v>9.311854181734148</v>
      </c>
      <c r="AB100" s="15">
        <f>IFERROR(IF(Table50[[#This Row],[ccnt]]="BEV",$AB$2,IF(Table50[[#This Row],[ccnt]]="FOOD",$AC$2,"ENTER # FROM LAST COUNT")),"ENTER # FROM LAST COUNT")</f>
        <v>3</v>
      </c>
      <c r="AC100" s="15">
        <f>(Table50[[#This Row],[OpeningQty]]+Table50[[#This Row],[ClosingQty]])/2</f>
        <v>24</v>
      </c>
      <c r="AD100" s="15">
        <f>IFERROR(Table50[[#This Row],[UsageQty]]/Table50[[#This Row],[AVE INVENTORY]],0)</f>
        <v>1.1666666666666667</v>
      </c>
      <c r="AE100" s="15">
        <f>IFERROR(Table50[[#This Row],[DATA POINT]]/Table50[[#This Row],[Inventory Turnover Rate]],0)</f>
        <v>12</v>
      </c>
      <c r="AF100" s="15">
        <f>Table50[[#This Row],[ClosingQty]]/Table50[[#This Row],[USAGE / DAY]]</f>
        <v>12.5</v>
      </c>
      <c r="AG100" s="15">
        <f>Table50[[#This Row],[USAGE / DAY]]*7</f>
        <v>14</v>
      </c>
      <c r="AH100" s="15">
        <f>Table50[[#This Row],[USAGE / DAY]]*3</f>
        <v>6</v>
      </c>
      <c r="AI10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0" s="15">
        <f>IFERROR(Table50[[#This Row],[ORDER QTY2]]*Table50[[#This Row],[COST PRICE]],0)</f>
        <v>0</v>
      </c>
      <c r="AK100" s="15">
        <f>(Table50[[#This Row],[REORDER POINT]]*Table50[[#This Row],[COST PRICE]])+Table50[[#This Row],[ORDER COST]]</f>
        <v>114.52777777777777</v>
      </c>
      <c r="AL100" s="15">
        <f t="shared" si="5"/>
        <v>100</v>
      </c>
      <c r="AM100" s="15">
        <f>IFERROR((Table50[[#This Row],[REORDER POINT]]+Table50[[#This Row],[ORDER QTY]])/(Table50[[#This Row],[USAGE / DAY]]*Table50[[#This Row],[DEMAND %]]),Table50[[#This Row],[REORDER POINT]]/Table50[[#This Row],[USAGE / DAY]])</f>
        <v>9.5</v>
      </c>
    </row>
    <row r="101" spans="1:39" x14ac:dyDescent="0.25">
      <c r="A101" t="s">
        <v>50</v>
      </c>
      <c r="B101" t="s">
        <v>135</v>
      </c>
      <c r="C101" t="s">
        <v>162</v>
      </c>
      <c r="D101" t="s">
        <v>91</v>
      </c>
      <c r="E101">
        <v>18</v>
      </c>
      <c r="F101">
        <v>21.42</v>
      </c>
      <c r="G101">
        <v>0</v>
      </c>
      <c r="H101">
        <v>0</v>
      </c>
      <c r="I101">
        <v>18</v>
      </c>
      <c r="J101">
        <v>21.42</v>
      </c>
      <c r="K101">
        <f>Table50[[#This Row],[OpeningQty]]+Table50[[#This Row],[PurchasesQty]]-Table50[[#This Row],[ClosingQty]]</f>
        <v>0</v>
      </c>
      <c r="L101">
        <v>0</v>
      </c>
      <c r="M101" s="14">
        <f>Table50[[#This Row],[Usage]]/$L$1</f>
        <v>0</v>
      </c>
      <c r="N101" s="15">
        <f>IFERROR(Table50[[#This Row],[Opening]]/Table50[[#This Row],[OpeningQty]],0)</f>
        <v>1.1900000000000002</v>
      </c>
      <c r="O101" s="15">
        <f>IFERROR(Table50[[#This Row],[Purchases]]/Table50[[#This Row],[PurchasesQty]],0)</f>
        <v>0</v>
      </c>
      <c r="P101" s="15">
        <f>IFERROR(Table50[[#This Row],[Closing]]/Table50[[#This Row],[ClosingQty]],0)</f>
        <v>1.1900000000000002</v>
      </c>
      <c r="Q101" s="15">
        <f>IFERROR(AVERAGEIF(Table50[[#This Row],[OPENING COST PRICE]:[CLOSING COST PRICE]],"&gt;0"),0)</f>
        <v>1.1900000000000002</v>
      </c>
      <c r="R101" s="15">
        <f>IFERROR(Table50[[#This Row],[COST PRICE]]-IFERROR(Table50[[#This Row],[Usage]]/Table50[[#This Row],[UsageQty]],Table50[[#This Row],[COST PRICE]]),0)</f>
        <v>0</v>
      </c>
      <c r="S101" s="16">
        <f>IFERROR(Table50[[#This Row],[COST PRICE CHANGE]]/Table50[[#This Row],[OPENING COST PRICE]],0)</f>
        <v>0</v>
      </c>
      <c r="T101" s="15">
        <f>Table50[[#This Row],[ClosingQty]]-(Table50[[#This Row],[USAGE / DAY]]*(IF(Table50[[#This Row],[ccnt]]="BEV",Table50[[#This Row],[DELIVERY DAY]],Table50[[#This Row],[DELIVERY DAY]])))</f>
        <v>18</v>
      </c>
      <c r="U101" s="15">
        <f>ROUNDUP(Table50[[#This Row],[UsageQty]]/Table50[[#This Row],[DATA POINT]],2)</f>
        <v>0</v>
      </c>
      <c r="V10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01" s="15">
        <f>IFERROR(Table50[[#This Row],[ORDER QTY]]*Table50[[#This Row],[COST PRICE]],0)</f>
        <v>0</v>
      </c>
      <c r="X101" s="15">
        <f>IFERROR(VLOOKUP(C101,[1]!Table49[[#All],[name]:[USAGE / DAY]],19,FALSE),1)</f>
        <v>0</v>
      </c>
      <c r="Y101" s="4">
        <f>IFERROR((Table50[[#This Row],[USAGE / DAY]]-Table50[[#This Row],[USAGE / DAY 2]])/Table50[[#This Row],[USAGE / DAY 2]],0)</f>
        <v>0</v>
      </c>
      <c r="Z101" s="15">
        <f t="shared" si="3"/>
        <v>14</v>
      </c>
      <c r="AA101" s="15">
        <f t="shared" si="4"/>
        <v>9.311854181734148</v>
      </c>
      <c r="AB101" s="15">
        <f>IFERROR(IF(Table50[[#This Row],[ccnt]]="BEV",$AB$2,IF(Table50[[#This Row],[ccnt]]="FOOD",$AC$2,"ENTER # FROM LAST COUNT")),"ENTER # FROM LAST COUNT")</f>
        <v>3</v>
      </c>
      <c r="AC101" s="15">
        <f>(Table50[[#This Row],[OpeningQty]]+Table50[[#This Row],[ClosingQty]])/2</f>
        <v>18</v>
      </c>
      <c r="AD101" s="15">
        <f>IFERROR(Table50[[#This Row],[UsageQty]]/Table50[[#This Row],[AVE INVENTORY]],0)</f>
        <v>0</v>
      </c>
      <c r="AE101" s="15">
        <f>IFERROR(Table50[[#This Row],[DATA POINT]]/Table50[[#This Row],[Inventory Turnover Rate]],0)</f>
        <v>0</v>
      </c>
      <c r="AF101" s="15" t="e">
        <f>Table50[[#This Row],[ClosingQty]]/Table50[[#This Row],[USAGE / DAY]]</f>
        <v>#DIV/0!</v>
      </c>
      <c r="AG101" s="15">
        <f>Table50[[#This Row],[USAGE / DAY]]*7</f>
        <v>0</v>
      </c>
      <c r="AH101" s="15">
        <f>Table50[[#This Row],[USAGE / DAY]]*3</f>
        <v>0</v>
      </c>
      <c r="AI10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1" s="15">
        <f>IFERROR(Table50[[#This Row],[ORDER QTY2]]*Table50[[#This Row],[COST PRICE]],0)</f>
        <v>0</v>
      </c>
      <c r="AK101" s="15">
        <f>(Table50[[#This Row],[REORDER POINT]]*Table50[[#This Row],[COST PRICE]])+Table50[[#This Row],[ORDER COST]]</f>
        <v>21.42</v>
      </c>
      <c r="AL101" s="15">
        <f t="shared" si="5"/>
        <v>100</v>
      </c>
      <c r="AM101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02" spans="1:39" x14ac:dyDescent="0.25">
      <c r="A102" t="s">
        <v>50</v>
      </c>
      <c r="B102" t="s">
        <v>135</v>
      </c>
      <c r="C102" t="s">
        <v>163</v>
      </c>
      <c r="D102" t="s">
        <v>91</v>
      </c>
      <c r="E102">
        <v>24</v>
      </c>
      <c r="F102">
        <v>112.32</v>
      </c>
      <c r="G102">
        <v>30</v>
      </c>
      <c r="H102">
        <v>138.63</v>
      </c>
      <c r="I102">
        <v>36</v>
      </c>
      <c r="J102">
        <v>166.32</v>
      </c>
      <c r="K102">
        <f>Table50[[#This Row],[OpeningQty]]+Table50[[#This Row],[PurchasesQty]]-Table50[[#This Row],[ClosingQty]]</f>
        <v>18</v>
      </c>
      <c r="L102">
        <v>84.63</v>
      </c>
      <c r="M102" s="14">
        <f>Table50[[#This Row],[Usage]]/$L$1</f>
        <v>1.285359928118262E-4</v>
      </c>
      <c r="N102" s="15">
        <f>IFERROR(Table50[[#This Row],[Opening]]/Table50[[#This Row],[OpeningQty]],0)</f>
        <v>4.68</v>
      </c>
      <c r="O102" s="15">
        <f>IFERROR(Table50[[#This Row],[Purchases]]/Table50[[#This Row],[PurchasesQty]],0)</f>
        <v>4.6209999999999996</v>
      </c>
      <c r="P102" s="15">
        <f>IFERROR(Table50[[#This Row],[Closing]]/Table50[[#This Row],[ClosingQty]],0)</f>
        <v>4.62</v>
      </c>
      <c r="Q102" s="15">
        <f>IFERROR(AVERAGEIF(Table50[[#This Row],[OPENING COST PRICE]:[CLOSING COST PRICE]],"&gt;0"),0)</f>
        <v>4.6403333333333334</v>
      </c>
      <c r="R102" s="15">
        <f>IFERROR(Table50[[#This Row],[COST PRICE]]-IFERROR(Table50[[#This Row],[Usage]]/Table50[[#This Row],[UsageQty]],Table50[[#This Row],[COST PRICE]]),0)</f>
        <v>-6.1333333333332796E-2</v>
      </c>
      <c r="S102" s="16">
        <f>IFERROR(Table50[[#This Row],[COST PRICE CHANGE]]/Table50[[#This Row],[OPENING COST PRICE]],0)</f>
        <v>-1.3105413105412991E-2</v>
      </c>
      <c r="T102" s="15">
        <f>Table50[[#This Row],[ClosingQty]]-(Table50[[#This Row],[USAGE / DAY]]*(IF(Table50[[#This Row],[ccnt]]="BEV",Table50[[#This Row],[DELIVERY DAY]],Table50[[#This Row],[DELIVERY DAY]])))</f>
        <v>32.130000000000003</v>
      </c>
      <c r="U102" s="15">
        <f>ROUNDUP(Table50[[#This Row],[UsageQty]]/Table50[[#This Row],[DATA POINT]],2)</f>
        <v>1.29</v>
      </c>
      <c r="V10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02" s="15">
        <f>IFERROR(Table50[[#This Row],[ORDER QTY]]*Table50[[#This Row],[COST PRICE]],0)</f>
        <v>0</v>
      </c>
      <c r="X102" s="15">
        <f>IFERROR(VLOOKUP(C102,[1]!Table49[[#All],[name]:[USAGE / DAY]],19,FALSE),1)</f>
        <v>2.7399999999999998</v>
      </c>
      <c r="Y102" s="4">
        <f>IFERROR((Table50[[#This Row],[USAGE / DAY]]-Table50[[#This Row],[USAGE / DAY 2]])/Table50[[#This Row],[USAGE / DAY 2]],0)</f>
        <v>-0.52919708029197077</v>
      </c>
      <c r="Z102" s="15">
        <f t="shared" si="3"/>
        <v>14</v>
      </c>
      <c r="AA102" s="15">
        <f t="shared" si="4"/>
        <v>9.311854181734148</v>
      </c>
      <c r="AB102" s="15">
        <f>IFERROR(IF(Table50[[#This Row],[ccnt]]="BEV",$AB$2,IF(Table50[[#This Row],[ccnt]]="FOOD",$AC$2,"ENTER # FROM LAST COUNT")),"ENTER # FROM LAST COUNT")</f>
        <v>3</v>
      </c>
      <c r="AC102" s="15">
        <f>(Table50[[#This Row],[OpeningQty]]+Table50[[#This Row],[ClosingQty]])/2</f>
        <v>30</v>
      </c>
      <c r="AD102" s="15">
        <f>IFERROR(Table50[[#This Row],[UsageQty]]/Table50[[#This Row],[AVE INVENTORY]],0)</f>
        <v>0.6</v>
      </c>
      <c r="AE102" s="15">
        <f>IFERROR(Table50[[#This Row],[DATA POINT]]/Table50[[#This Row],[Inventory Turnover Rate]],0)</f>
        <v>23.333333333333336</v>
      </c>
      <c r="AF102" s="15">
        <f>Table50[[#This Row],[ClosingQty]]/Table50[[#This Row],[USAGE / DAY]]</f>
        <v>27.906976744186046</v>
      </c>
      <c r="AG102" s="15">
        <f>Table50[[#This Row],[USAGE / DAY]]*7</f>
        <v>9.0300000000000011</v>
      </c>
      <c r="AH102" s="15">
        <f>Table50[[#This Row],[USAGE / DAY]]*3</f>
        <v>3.87</v>
      </c>
      <c r="AI10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2" s="15">
        <f>IFERROR(Table50[[#This Row],[ORDER QTY2]]*Table50[[#This Row],[COST PRICE]],0)</f>
        <v>0</v>
      </c>
      <c r="AK102" s="15">
        <f>(Table50[[#This Row],[REORDER POINT]]*Table50[[#This Row],[COST PRICE]])+Table50[[#This Row],[ORDER COST]]</f>
        <v>149.09391000000002</v>
      </c>
      <c r="AL102" s="15">
        <f t="shared" si="5"/>
        <v>100</v>
      </c>
      <c r="AM102" s="15">
        <f>IFERROR((Table50[[#This Row],[REORDER POINT]]+Table50[[#This Row],[ORDER QTY]])/(Table50[[#This Row],[USAGE / DAY]]*Table50[[#This Row],[DEMAND %]]),Table50[[#This Row],[REORDER POINT]]/Table50[[#This Row],[USAGE / DAY]])</f>
        <v>24.906976744186046</v>
      </c>
    </row>
    <row r="103" spans="1:39" x14ac:dyDescent="0.25">
      <c r="A103" t="s">
        <v>50</v>
      </c>
      <c r="B103" t="s">
        <v>135</v>
      </c>
      <c r="C103" t="s">
        <v>164</v>
      </c>
      <c r="D103" t="s">
        <v>91</v>
      </c>
      <c r="E103">
        <v>13</v>
      </c>
      <c r="F103">
        <v>63.83</v>
      </c>
      <c r="G103">
        <v>0</v>
      </c>
      <c r="H103">
        <v>0</v>
      </c>
      <c r="I103">
        <v>13</v>
      </c>
      <c r="J103">
        <v>63.83</v>
      </c>
      <c r="K103">
        <f>Table50[[#This Row],[OpeningQty]]+Table50[[#This Row],[PurchasesQty]]-Table50[[#This Row],[ClosingQty]]</f>
        <v>0</v>
      </c>
      <c r="L103">
        <v>0</v>
      </c>
      <c r="M103" s="14">
        <f>Table50[[#This Row],[Usage]]/$L$1</f>
        <v>0</v>
      </c>
      <c r="N103" s="15">
        <f>IFERROR(Table50[[#This Row],[Opening]]/Table50[[#This Row],[OpeningQty]],0)</f>
        <v>4.91</v>
      </c>
      <c r="O103" s="15">
        <f>IFERROR(Table50[[#This Row],[Purchases]]/Table50[[#This Row],[PurchasesQty]],0)</f>
        <v>0</v>
      </c>
      <c r="P103" s="15">
        <f>IFERROR(Table50[[#This Row],[Closing]]/Table50[[#This Row],[ClosingQty]],0)</f>
        <v>4.91</v>
      </c>
      <c r="Q103" s="15">
        <f>IFERROR(AVERAGEIF(Table50[[#This Row],[OPENING COST PRICE]:[CLOSING COST PRICE]],"&gt;0"),0)</f>
        <v>4.91</v>
      </c>
      <c r="R103" s="15">
        <f>IFERROR(Table50[[#This Row],[COST PRICE]]-IFERROR(Table50[[#This Row],[Usage]]/Table50[[#This Row],[UsageQty]],Table50[[#This Row],[COST PRICE]]),0)</f>
        <v>0</v>
      </c>
      <c r="S103" s="16">
        <f>IFERROR(Table50[[#This Row],[COST PRICE CHANGE]]/Table50[[#This Row],[OPENING COST PRICE]],0)</f>
        <v>0</v>
      </c>
      <c r="T103" s="15">
        <f>Table50[[#This Row],[ClosingQty]]-(Table50[[#This Row],[USAGE / DAY]]*(IF(Table50[[#This Row],[ccnt]]="BEV",Table50[[#This Row],[DELIVERY DAY]],Table50[[#This Row],[DELIVERY DAY]])))</f>
        <v>13</v>
      </c>
      <c r="U103" s="15">
        <f>ROUNDUP(Table50[[#This Row],[UsageQty]]/Table50[[#This Row],[DATA POINT]],2)</f>
        <v>0</v>
      </c>
      <c r="V10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03" s="15">
        <f>IFERROR(Table50[[#This Row],[ORDER QTY]]*Table50[[#This Row],[COST PRICE]],0)</f>
        <v>0</v>
      </c>
      <c r="X103" s="15">
        <f>IFERROR(VLOOKUP(C103,[1]!Table49[[#All],[name]:[USAGE / DAY]],19,FALSE),1)</f>
        <v>6.9999999999999993E-2</v>
      </c>
      <c r="Y103" s="4">
        <f>IFERROR((Table50[[#This Row],[USAGE / DAY]]-Table50[[#This Row],[USAGE / DAY 2]])/Table50[[#This Row],[USAGE / DAY 2]],0)</f>
        <v>-1</v>
      </c>
      <c r="Z103" s="15">
        <f t="shared" si="3"/>
        <v>14</v>
      </c>
      <c r="AA103" s="15">
        <f t="shared" si="4"/>
        <v>9.311854181734148</v>
      </c>
      <c r="AB103" s="15">
        <f>IFERROR(IF(Table50[[#This Row],[ccnt]]="BEV",$AB$2,IF(Table50[[#This Row],[ccnt]]="FOOD",$AC$2,"ENTER # FROM LAST COUNT")),"ENTER # FROM LAST COUNT")</f>
        <v>3</v>
      </c>
      <c r="AC103" s="15">
        <f>(Table50[[#This Row],[OpeningQty]]+Table50[[#This Row],[ClosingQty]])/2</f>
        <v>13</v>
      </c>
      <c r="AD103" s="15">
        <f>IFERROR(Table50[[#This Row],[UsageQty]]/Table50[[#This Row],[AVE INVENTORY]],0)</f>
        <v>0</v>
      </c>
      <c r="AE103" s="15">
        <f>IFERROR(Table50[[#This Row],[DATA POINT]]/Table50[[#This Row],[Inventory Turnover Rate]],0)</f>
        <v>0</v>
      </c>
      <c r="AF103" s="15" t="e">
        <f>Table50[[#This Row],[ClosingQty]]/Table50[[#This Row],[USAGE / DAY]]</f>
        <v>#DIV/0!</v>
      </c>
      <c r="AG103" s="15">
        <f>Table50[[#This Row],[USAGE / DAY]]*7</f>
        <v>0</v>
      </c>
      <c r="AH103" s="15">
        <f>Table50[[#This Row],[USAGE / DAY]]*3</f>
        <v>0</v>
      </c>
      <c r="AI10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3" s="15">
        <f>IFERROR(Table50[[#This Row],[ORDER QTY2]]*Table50[[#This Row],[COST PRICE]],0)</f>
        <v>0</v>
      </c>
      <c r="AK103" s="15">
        <f>(Table50[[#This Row],[REORDER POINT]]*Table50[[#This Row],[COST PRICE]])+Table50[[#This Row],[ORDER COST]]</f>
        <v>63.83</v>
      </c>
      <c r="AL103" s="15">
        <f t="shared" si="5"/>
        <v>100</v>
      </c>
      <c r="AM103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04" spans="1:39" x14ac:dyDescent="0.25">
      <c r="A104" t="s">
        <v>50</v>
      </c>
      <c r="B104" t="s">
        <v>135</v>
      </c>
      <c r="C104" t="s">
        <v>165</v>
      </c>
      <c r="D104" t="s">
        <v>91</v>
      </c>
      <c r="E104">
        <v>40</v>
      </c>
      <c r="F104">
        <v>114.4</v>
      </c>
      <c r="G104">
        <v>0</v>
      </c>
      <c r="H104">
        <v>0</v>
      </c>
      <c r="I104">
        <v>40</v>
      </c>
      <c r="J104">
        <v>114.4</v>
      </c>
      <c r="K104">
        <f>Table50[[#This Row],[OpeningQty]]+Table50[[#This Row],[PurchasesQty]]-Table50[[#This Row],[ClosingQty]]</f>
        <v>0</v>
      </c>
      <c r="L104">
        <v>0</v>
      </c>
      <c r="M104" s="14">
        <f>Table50[[#This Row],[Usage]]/$L$1</f>
        <v>0</v>
      </c>
      <c r="N104" s="15">
        <f>IFERROR(Table50[[#This Row],[Opening]]/Table50[[#This Row],[OpeningQty]],0)</f>
        <v>2.8600000000000003</v>
      </c>
      <c r="O104" s="15">
        <f>IFERROR(Table50[[#This Row],[Purchases]]/Table50[[#This Row],[PurchasesQty]],0)</f>
        <v>0</v>
      </c>
      <c r="P104" s="15">
        <f>IFERROR(Table50[[#This Row],[Closing]]/Table50[[#This Row],[ClosingQty]],0)</f>
        <v>2.8600000000000003</v>
      </c>
      <c r="Q104" s="15">
        <f>IFERROR(AVERAGEIF(Table50[[#This Row],[OPENING COST PRICE]:[CLOSING COST PRICE]],"&gt;0"),0)</f>
        <v>2.8600000000000003</v>
      </c>
      <c r="R104" s="15">
        <f>IFERROR(Table50[[#This Row],[COST PRICE]]-IFERROR(Table50[[#This Row],[Usage]]/Table50[[#This Row],[UsageQty]],Table50[[#This Row],[COST PRICE]]),0)</f>
        <v>0</v>
      </c>
      <c r="S104" s="16">
        <f>IFERROR(Table50[[#This Row],[COST PRICE CHANGE]]/Table50[[#This Row],[OPENING COST PRICE]],0)</f>
        <v>0</v>
      </c>
      <c r="T104" s="15">
        <f>Table50[[#This Row],[ClosingQty]]-(Table50[[#This Row],[USAGE / DAY]]*(IF(Table50[[#This Row],[ccnt]]="BEV",Table50[[#This Row],[DELIVERY DAY]],Table50[[#This Row],[DELIVERY DAY]])))</f>
        <v>40</v>
      </c>
      <c r="U104" s="15">
        <f>ROUNDUP(Table50[[#This Row],[UsageQty]]/Table50[[#This Row],[DATA POINT]],2)</f>
        <v>0</v>
      </c>
      <c r="V10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04" s="15">
        <f>IFERROR(Table50[[#This Row],[ORDER QTY]]*Table50[[#This Row],[COST PRICE]],0)</f>
        <v>0</v>
      </c>
      <c r="X104" s="15">
        <f>IFERROR(VLOOKUP(C104,[1]!Table49[[#All],[name]:[USAGE / DAY]],19,FALSE),1)</f>
        <v>0</v>
      </c>
      <c r="Y104" s="4">
        <f>IFERROR((Table50[[#This Row],[USAGE / DAY]]-Table50[[#This Row],[USAGE / DAY 2]])/Table50[[#This Row],[USAGE / DAY 2]],0)</f>
        <v>0</v>
      </c>
      <c r="Z104" s="15">
        <f t="shared" si="3"/>
        <v>14</v>
      </c>
      <c r="AA104" s="15">
        <f t="shared" si="4"/>
        <v>9.311854181734148</v>
      </c>
      <c r="AB104" s="15">
        <f>IFERROR(IF(Table50[[#This Row],[ccnt]]="BEV",$AB$2,IF(Table50[[#This Row],[ccnt]]="FOOD",$AC$2,"ENTER # FROM LAST COUNT")),"ENTER # FROM LAST COUNT")</f>
        <v>3</v>
      </c>
      <c r="AC104" s="15">
        <f>(Table50[[#This Row],[OpeningQty]]+Table50[[#This Row],[ClosingQty]])/2</f>
        <v>40</v>
      </c>
      <c r="AD104" s="15">
        <f>IFERROR(Table50[[#This Row],[UsageQty]]/Table50[[#This Row],[AVE INVENTORY]],0)</f>
        <v>0</v>
      </c>
      <c r="AE104" s="15">
        <f>IFERROR(Table50[[#This Row],[DATA POINT]]/Table50[[#This Row],[Inventory Turnover Rate]],0)</f>
        <v>0</v>
      </c>
      <c r="AF104" s="15" t="e">
        <f>Table50[[#This Row],[ClosingQty]]/Table50[[#This Row],[USAGE / DAY]]</f>
        <v>#DIV/0!</v>
      </c>
      <c r="AG104" s="15">
        <f>Table50[[#This Row],[USAGE / DAY]]*7</f>
        <v>0</v>
      </c>
      <c r="AH104" s="15">
        <f>Table50[[#This Row],[USAGE / DAY]]*3</f>
        <v>0</v>
      </c>
      <c r="AI10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4" s="15">
        <f>IFERROR(Table50[[#This Row],[ORDER QTY2]]*Table50[[#This Row],[COST PRICE]],0)</f>
        <v>0</v>
      </c>
      <c r="AK104" s="15">
        <f>(Table50[[#This Row],[REORDER POINT]]*Table50[[#This Row],[COST PRICE]])+Table50[[#This Row],[ORDER COST]]</f>
        <v>114.4</v>
      </c>
      <c r="AL104" s="15">
        <f t="shared" si="5"/>
        <v>100</v>
      </c>
      <c r="AM104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05" spans="1:39" x14ac:dyDescent="0.25">
      <c r="A105" t="s">
        <v>50</v>
      </c>
      <c r="B105" t="s">
        <v>135</v>
      </c>
      <c r="C105" t="s">
        <v>166</v>
      </c>
      <c r="D105" t="s">
        <v>91</v>
      </c>
      <c r="E105">
        <v>40</v>
      </c>
      <c r="F105">
        <v>403.2</v>
      </c>
      <c r="G105">
        <v>0</v>
      </c>
      <c r="H105">
        <v>0</v>
      </c>
      <c r="I105">
        <v>40</v>
      </c>
      <c r="J105">
        <v>403.2</v>
      </c>
      <c r="K105">
        <f>Table50[[#This Row],[OpeningQty]]+Table50[[#This Row],[PurchasesQty]]-Table50[[#This Row],[ClosingQty]]</f>
        <v>0</v>
      </c>
      <c r="L105">
        <v>0</v>
      </c>
      <c r="M105" s="14">
        <f>Table50[[#This Row],[Usage]]/$L$1</f>
        <v>0</v>
      </c>
      <c r="N105" s="15">
        <f>IFERROR(Table50[[#This Row],[Opening]]/Table50[[#This Row],[OpeningQty]],0)</f>
        <v>10.08</v>
      </c>
      <c r="O105" s="15">
        <f>IFERROR(Table50[[#This Row],[Purchases]]/Table50[[#This Row],[PurchasesQty]],0)</f>
        <v>0</v>
      </c>
      <c r="P105" s="15">
        <f>IFERROR(Table50[[#This Row],[Closing]]/Table50[[#This Row],[ClosingQty]],0)</f>
        <v>10.08</v>
      </c>
      <c r="Q105" s="15">
        <f>IFERROR(AVERAGEIF(Table50[[#This Row],[OPENING COST PRICE]:[CLOSING COST PRICE]],"&gt;0"),0)</f>
        <v>10.08</v>
      </c>
      <c r="R105" s="15">
        <f>IFERROR(Table50[[#This Row],[COST PRICE]]-IFERROR(Table50[[#This Row],[Usage]]/Table50[[#This Row],[UsageQty]],Table50[[#This Row],[COST PRICE]]),0)</f>
        <v>0</v>
      </c>
      <c r="S105" s="16">
        <f>IFERROR(Table50[[#This Row],[COST PRICE CHANGE]]/Table50[[#This Row],[OPENING COST PRICE]],0)</f>
        <v>0</v>
      </c>
      <c r="T105" s="15">
        <f>Table50[[#This Row],[ClosingQty]]-(Table50[[#This Row],[USAGE / DAY]]*(IF(Table50[[#This Row],[ccnt]]="BEV",Table50[[#This Row],[DELIVERY DAY]],Table50[[#This Row],[DELIVERY DAY]])))</f>
        <v>40</v>
      </c>
      <c r="U105" s="15">
        <f>ROUNDUP(Table50[[#This Row],[UsageQty]]/Table50[[#This Row],[DATA POINT]],2)</f>
        <v>0</v>
      </c>
      <c r="V10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05" s="15">
        <f>IFERROR(Table50[[#This Row],[ORDER QTY]]*Table50[[#This Row],[COST PRICE]],0)</f>
        <v>0</v>
      </c>
      <c r="X105" s="15">
        <f>IFERROR(VLOOKUP(C105,[1]!Table49[[#All],[name]:[USAGE / DAY]],19,FALSE),1)</f>
        <v>0</v>
      </c>
      <c r="Y105" s="4">
        <f>IFERROR((Table50[[#This Row],[USAGE / DAY]]-Table50[[#This Row],[USAGE / DAY 2]])/Table50[[#This Row],[USAGE / DAY 2]],0)</f>
        <v>0</v>
      </c>
      <c r="Z105" s="15">
        <f t="shared" si="3"/>
        <v>14</v>
      </c>
      <c r="AA105" s="15">
        <f t="shared" si="4"/>
        <v>9.311854181734148</v>
      </c>
      <c r="AB105" s="15">
        <f>IFERROR(IF(Table50[[#This Row],[ccnt]]="BEV",$AB$2,IF(Table50[[#This Row],[ccnt]]="FOOD",$AC$2,"ENTER # FROM LAST COUNT")),"ENTER # FROM LAST COUNT")</f>
        <v>3</v>
      </c>
      <c r="AC105" s="15">
        <f>(Table50[[#This Row],[OpeningQty]]+Table50[[#This Row],[ClosingQty]])/2</f>
        <v>40</v>
      </c>
      <c r="AD105" s="15">
        <f>IFERROR(Table50[[#This Row],[UsageQty]]/Table50[[#This Row],[AVE INVENTORY]],0)</f>
        <v>0</v>
      </c>
      <c r="AE105" s="15">
        <f>IFERROR(Table50[[#This Row],[DATA POINT]]/Table50[[#This Row],[Inventory Turnover Rate]],0)</f>
        <v>0</v>
      </c>
      <c r="AF105" s="15" t="e">
        <f>Table50[[#This Row],[ClosingQty]]/Table50[[#This Row],[USAGE / DAY]]</f>
        <v>#DIV/0!</v>
      </c>
      <c r="AG105" s="15">
        <f>Table50[[#This Row],[USAGE / DAY]]*7</f>
        <v>0</v>
      </c>
      <c r="AH105" s="15">
        <f>Table50[[#This Row],[USAGE / DAY]]*3</f>
        <v>0</v>
      </c>
      <c r="AI10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5" s="15">
        <f>IFERROR(Table50[[#This Row],[ORDER QTY2]]*Table50[[#This Row],[COST PRICE]],0)</f>
        <v>0</v>
      </c>
      <c r="AK105" s="15">
        <f>(Table50[[#This Row],[REORDER POINT]]*Table50[[#This Row],[COST PRICE]])+Table50[[#This Row],[ORDER COST]]</f>
        <v>403.2</v>
      </c>
      <c r="AL105" s="15">
        <f t="shared" si="5"/>
        <v>100</v>
      </c>
      <c r="AM105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06" spans="1:39" x14ac:dyDescent="0.25">
      <c r="A106" t="s">
        <v>50</v>
      </c>
      <c r="B106" t="s">
        <v>135</v>
      </c>
      <c r="C106" t="s">
        <v>167</v>
      </c>
      <c r="D106" t="s">
        <v>91</v>
      </c>
      <c r="E106">
        <v>20</v>
      </c>
      <c r="F106">
        <v>170.2</v>
      </c>
      <c r="G106">
        <v>0</v>
      </c>
      <c r="H106">
        <v>0</v>
      </c>
      <c r="I106">
        <v>19</v>
      </c>
      <c r="J106">
        <v>161.69</v>
      </c>
      <c r="K106">
        <f>Table50[[#This Row],[OpeningQty]]+Table50[[#This Row],[PurchasesQty]]-Table50[[#This Row],[ClosingQty]]</f>
        <v>1</v>
      </c>
      <c r="L106">
        <v>8.51</v>
      </c>
      <c r="M106" s="14">
        <f>Table50[[#This Row],[Usage]]/$L$1</f>
        <v>1.2924982852754827E-5</v>
      </c>
      <c r="N106" s="15">
        <f>IFERROR(Table50[[#This Row],[Opening]]/Table50[[#This Row],[OpeningQty]],0)</f>
        <v>8.51</v>
      </c>
      <c r="O106" s="15">
        <f>IFERROR(Table50[[#This Row],[Purchases]]/Table50[[#This Row],[PurchasesQty]],0)</f>
        <v>0</v>
      </c>
      <c r="P106" s="15">
        <f>IFERROR(Table50[[#This Row],[Closing]]/Table50[[#This Row],[ClosingQty]],0)</f>
        <v>8.51</v>
      </c>
      <c r="Q106" s="15">
        <f>IFERROR(AVERAGEIF(Table50[[#This Row],[OPENING COST PRICE]:[CLOSING COST PRICE]],"&gt;0"),0)</f>
        <v>8.51</v>
      </c>
      <c r="R106" s="15">
        <f>IFERROR(Table50[[#This Row],[COST PRICE]]-IFERROR(Table50[[#This Row],[Usage]]/Table50[[#This Row],[UsageQty]],Table50[[#This Row],[COST PRICE]]),0)</f>
        <v>0</v>
      </c>
      <c r="S106" s="16">
        <f>IFERROR(Table50[[#This Row],[COST PRICE CHANGE]]/Table50[[#This Row],[OPENING COST PRICE]],0)</f>
        <v>0</v>
      </c>
      <c r="T106" s="15">
        <f>Table50[[#This Row],[ClosingQty]]-(Table50[[#This Row],[USAGE / DAY]]*(IF(Table50[[#This Row],[ccnt]]="BEV",Table50[[#This Row],[DELIVERY DAY]],Table50[[#This Row],[DELIVERY DAY]])))</f>
        <v>18.760000000000002</v>
      </c>
      <c r="U106" s="15">
        <f>ROUNDUP(Table50[[#This Row],[UsageQty]]/Table50[[#This Row],[DATA POINT]],2)</f>
        <v>0.08</v>
      </c>
      <c r="V10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06" s="15">
        <f>IFERROR(Table50[[#This Row],[ORDER QTY]]*Table50[[#This Row],[COST PRICE]],0)</f>
        <v>0</v>
      </c>
      <c r="X106" s="15">
        <f>IFERROR(VLOOKUP(C106,[1]!Table49[[#All],[name]:[USAGE / DAY]],19,FALSE),1)</f>
        <v>6.9999999999999993E-2</v>
      </c>
      <c r="Y106" s="4">
        <f>IFERROR((Table50[[#This Row],[USAGE / DAY]]-Table50[[#This Row],[USAGE / DAY 2]])/Table50[[#This Row],[USAGE / DAY 2]],0)</f>
        <v>0.14285714285714299</v>
      </c>
      <c r="Z106" s="15">
        <f t="shared" si="3"/>
        <v>14</v>
      </c>
      <c r="AA106" s="15">
        <f t="shared" si="4"/>
        <v>9.311854181734148</v>
      </c>
      <c r="AB106" s="15">
        <f>IFERROR(IF(Table50[[#This Row],[ccnt]]="BEV",$AB$2,IF(Table50[[#This Row],[ccnt]]="FOOD",$AC$2,"ENTER # FROM LAST COUNT")),"ENTER # FROM LAST COUNT")</f>
        <v>3</v>
      </c>
      <c r="AC106" s="15">
        <f>(Table50[[#This Row],[OpeningQty]]+Table50[[#This Row],[ClosingQty]])/2</f>
        <v>19.5</v>
      </c>
      <c r="AD106" s="15">
        <f>IFERROR(Table50[[#This Row],[UsageQty]]/Table50[[#This Row],[AVE INVENTORY]],0)</f>
        <v>5.128205128205128E-2</v>
      </c>
      <c r="AE106" s="15">
        <f>IFERROR(Table50[[#This Row],[DATA POINT]]/Table50[[#This Row],[Inventory Turnover Rate]],0)</f>
        <v>273</v>
      </c>
      <c r="AF106" s="15">
        <f>Table50[[#This Row],[ClosingQty]]/Table50[[#This Row],[USAGE / DAY]]</f>
        <v>237.5</v>
      </c>
      <c r="AG106" s="15">
        <f>Table50[[#This Row],[USAGE / DAY]]*7</f>
        <v>0.56000000000000005</v>
      </c>
      <c r="AH106" s="15">
        <f>Table50[[#This Row],[USAGE / DAY]]*3</f>
        <v>0.24</v>
      </c>
      <c r="AI10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6" s="15">
        <f>IFERROR(Table50[[#This Row],[ORDER QTY2]]*Table50[[#This Row],[COST PRICE]],0)</f>
        <v>0</v>
      </c>
      <c r="AK106" s="15">
        <f>(Table50[[#This Row],[REORDER POINT]]*Table50[[#This Row],[COST PRICE]])+Table50[[#This Row],[ORDER COST]]</f>
        <v>159.64760000000001</v>
      </c>
      <c r="AL106" s="15">
        <f t="shared" si="5"/>
        <v>100</v>
      </c>
      <c r="AM106" s="15">
        <f>IFERROR((Table50[[#This Row],[REORDER POINT]]+Table50[[#This Row],[ORDER QTY]])/(Table50[[#This Row],[USAGE / DAY]]*Table50[[#This Row],[DEMAND %]]),Table50[[#This Row],[REORDER POINT]]/Table50[[#This Row],[USAGE / DAY]])</f>
        <v>234.50000000000003</v>
      </c>
    </row>
    <row r="107" spans="1:39" x14ac:dyDescent="0.25">
      <c r="A107" t="s">
        <v>50</v>
      </c>
      <c r="B107" t="s">
        <v>135</v>
      </c>
      <c r="C107" t="s">
        <v>168</v>
      </c>
      <c r="D107" t="s">
        <v>91</v>
      </c>
      <c r="E107">
        <v>16</v>
      </c>
      <c r="F107">
        <v>132.16</v>
      </c>
      <c r="G107">
        <v>0</v>
      </c>
      <c r="H107">
        <v>0</v>
      </c>
      <c r="I107">
        <v>2</v>
      </c>
      <c r="J107">
        <v>16.52</v>
      </c>
      <c r="K107">
        <f>Table50[[#This Row],[OpeningQty]]+Table50[[#This Row],[PurchasesQty]]-Table50[[#This Row],[ClosingQty]]</f>
        <v>14</v>
      </c>
      <c r="L107">
        <v>115.64</v>
      </c>
      <c r="M107" s="14">
        <f>Table50[[#This Row],[Usage]]/$L$1</f>
        <v>1.7563396205553093E-4</v>
      </c>
      <c r="N107" s="15">
        <f>IFERROR(Table50[[#This Row],[Opening]]/Table50[[#This Row],[OpeningQty]],0)</f>
        <v>8.26</v>
      </c>
      <c r="O107" s="15">
        <f>IFERROR(Table50[[#This Row],[Purchases]]/Table50[[#This Row],[PurchasesQty]],0)</f>
        <v>0</v>
      </c>
      <c r="P107" s="15">
        <f>IFERROR(Table50[[#This Row],[Closing]]/Table50[[#This Row],[ClosingQty]],0)</f>
        <v>8.26</v>
      </c>
      <c r="Q107" s="15">
        <f>IFERROR(AVERAGEIF(Table50[[#This Row],[OPENING COST PRICE]:[CLOSING COST PRICE]],"&gt;0"),0)</f>
        <v>8.26</v>
      </c>
      <c r="R107" s="15">
        <f>IFERROR(Table50[[#This Row],[COST PRICE]]-IFERROR(Table50[[#This Row],[Usage]]/Table50[[#This Row],[UsageQty]],Table50[[#This Row],[COST PRICE]]),0)</f>
        <v>0</v>
      </c>
      <c r="S107" s="16">
        <f>IFERROR(Table50[[#This Row],[COST PRICE CHANGE]]/Table50[[#This Row],[OPENING COST PRICE]],0)</f>
        <v>0</v>
      </c>
      <c r="T107" s="15">
        <f>Table50[[#This Row],[ClosingQty]]-(Table50[[#This Row],[USAGE / DAY]]*(IF(Table50[[#This Row],[ccnt]]="BEV",Table50[[#This Row],[DELIVERY DAY]],Table50[[#This Row],[DELIVERY DAY]])))</f>
        <v>-1</v>
      </c>
      <c r="U107" s="15">
        <f>ROUNDUP(Table50[[#This Row],[UsageQty]]/Table50[[#This Row],[DATA POINT]],2)</f>
        <v>1</v>
      </c>
      <c r="V10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11</v>
      </c>
      <c r="W107" s="15">
        <f>IFERROR(Table50[[#This Row],[ORDER QTY]]*Table50[[#This Row],[COST PRICE]],0)</f>
        <v>90.86</v>
      </c>
      <c r="X107" s="15">
        <f>IFERROR(VLOOKUP(C107,[1]!Table49[[#All],[name]:[USAGE / DAY]],19,FALSE),1)</f>
        <v>1.07</v>
      </c>
      <c r="Y107" s="4">
        <f>IFERROR((Table50[[#This Row],[USAGE / DAY]]-Table50[[#This Row],[USAGE / DAY 2]])/Table50[[#This Row],[USAGE / DAY 2]],0)</f>
        <v>-6.54205607476636E-2</v>
      </c>
      <c r="Z107" s="15">
        <f t="shared" si="3"/>
        <v>14</v>
      </c>
      <c r="AA107" s="15">
        <f t="shared" si="4"/>
        <v>9.311854181734148</v>
      </c>
      <c r="AB107" s="15">
        <f>IFERROR(IF(Table50[[#This Row],[ccnt]]="BEV",$AB$2,IF(Table50[[#This Row],[ccnt]]="FOOD",$AC$2,"ENTER # FROM LAST COUNT")),"ENTER # FROM LAST COUNT")</f>
        <v>3</v>
      </c>
      <c r="AC107" s="15">
        <f>(Table50[[#This Row],[OpeningQty]]+Table50[[#This Row],[ClosingQty]])/2</f>
        <v>9</v>
      </c>
      <c r="AD107" s="15">
        <f>IFERROR(Table50[[#This Row],[UsageQty]]/Table50[[#This Row],[AVE INVENTORY]],0)</f>
        <v>1.5555555555555556</v>
      </c>
      <c r="AE107" s="15">
        <f>IFERROR(Table50[[#This Row],[DATA POINT]]/Table50[[#This Row],[Inventory Turnover Rate]],0)</f>
        <v>9</v>
      </c>
      <c r="AF107" s="15">
        <f>Table50[[#This Row],[ClosingQty]]/Table50[[#This Row],[USAGE / DAY]]</f>
        <v>2</v>
      </c>
      <c r="AG107" s="15">
        <f>Table50[[#This Row],[USAGE / DAY]]*7</f>
        <v>7</v>
      </c>
      <c r="AH107" s="15">
        <f>Table50[[#This Row],[USAGE / DAY]]*3</f>
        <v>3</v>
      </c>
      <c r="AI107" s="15">
        <f>IF(Table50[[#This Row],[FORECASTED DEMAND]]+Table50[[#This Row],[SAFETY STOCK]]-Table50[[#This Row],[ClosingQty]]&gt;0,Table50[[#This Row],[FORECASTED DEMAND]]+Table50[[#This Row],[SAFETY STOCK]]-Table50[[#This Row],[ClosingQty]],"NO ORDER")</f>
        <v>8</v>
      </c>
      <c r="AJ107" s="15">
        <f>IFERROR(Table50[[#This Row],[ORDER QTY2]]*Table50[[#This Row],[COST PRICE]],0)</f>
        <v>66.08</v>
      </c>
      <c r="AK107" s="15">
        <f>(Table50[[#This Row],[REORDER POINT]]*Table50[[#This Row],[COST PRICE]])+Table50[[#This Row],[ORDER COST]]</f>
        <v>82.6</v>
      </c>
      <c r="AL107" s="15">
        <f t="shared" si="5"/>
        <v>100</v>
      </c>
      <c r="AM107" s="15">
        <f>IFERROR((Table50[[#This Row],[REORDER POINT]]+Table50[[#This Row],[ORDER QTY]])/(Table50[[#This Row],[USAGE / DAY]]*Table50[[#This Row],[DEMAND %]]),Table50[[#This Row],[REORDER POINT]]/Table50[[#This Row],[USAGE / DAY]])</f>
        <v>0.1</v>
      </c>
    </row>
    <row r="108" spans="1:39" x14ac:dyDescent="0.25">
      <c r="A108" t="s">
        <v>50</v>
      </c>
      <c r="B108" t="s">
        <v>135</v>
      </c>
      <c r="C108" t="s">
        <v>169</v>
      </c>
      <c r="D108" t="s">
        <v>91</v>
      </c>
      <c r="E108">
        <v>44</v>
      </c>
      <c r="F108">
        <v>363.44</v>
      </c>
      <c r="G108">
        <v>0</v>
      </c>
      <c r="H108">
        <v>0</v>
      </c>
      <c r="I108">
        <v>20</v>
      </c>
      <c r="J108">
        <v>165.2</v>
      </c>
      <c r="K108">
        <f>Table50[[#This Row],[OpeningQty]]+Table50[[#This Row],[PurchasesQty]]-Table50[[#This Row],[ClosingQty]]</f>
        <v>24</v>
      </c>
      <c r="L108">
        <v>198.24</v>
      </c>
      <c r="M108" s="14">
        <f>Table50[[#This Row],[Usage]]/$L$1</f>
        <v>3.0108679209519591E-4</v>
      </c>
      <c r="N108" s="15">
        <f>IFERROR(Table50[[#This Row],[Opening]]/Table50[[#This Row],[OpeningQty]],0)</f>
        <v>8.26</v>
      </c>
      <c r="O108" s="15">
        <f>IFERROR(Table50[[#This Row],[Purchases]]/Table50[[#This Row],[PurchasesQty]],0)</f>
        <v>0</v>
      </c>
      <c r="P108" s="15">
        <f>IFERROR(Table50[[#This Row],[Closing]]/Table50[[#This Row],[ClosingQty]],0)</f>
        <v>8.26</v>
      </c>
      <c r="Q108" s="15">
        <f>IFERROR(AVERAGEIF(Table50[[#This Row],[OPENING COST PRICE]:[CLOSING COST PRICE]],"&gt;0"),0)</f>
        <v>8.26</v>
      </c>
      <c r="R108" s="15">
        <f>IFERROR(Table50[[#This Row],[COST PRICE]]-IFERROR(Table50[[#This Row],[Usage]]/Table50[[#This Row],[UsageQty]],Table50[[#This Row],[COST PRICE]]),0)</f>
        <v>0</v>
      </c>
      <c r="S108" s="16">
        <f>IFERROR(Table50[[#This Row],[COST PRICE CHANGE]]/Table50[[#This Row],[OPENING COST PRICE]],0)</f>
        <v>0</v>
      </c>
      <c r="T108" s="15">
        <f>Table50[[#This Row],[ClosingQty]]-(Table50[[#This Row],[USAGE / DAY]]*(IF(Table50[[#This Row],[ccnt]]="BEV",Table50[[#This Row],[DELIVERY DAY]],Table50[[#This Row],[DELIVERY DAY]])))</f>
        <v>14.84</v>
      </c>
      <c r="U108" s="15">
        <f>ROUNDUP(Table50[[#This Row],[UsageQty]]/Table50[[#This Row],[DATA POINT]],2)</f>
        <v>1.72</v>
      </c>
      <c r="V10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108" s="15">
        <f>IFERROR(Table50[[#This Row],[ORDER QTY]]*Table50[[#This Row],[COST PRICE]],0)</f>
        <v>16.52</v>
      </c>
      <c r="X108" s="15">
        <f>IFERROR(VLOOKUP(C108,[1]!Table49[[#All],[name]:[USAGE / DAY]],19,FALSE),1)</f>
        <v>1.47</v>
      </c>
      <c r="Y108" s="4">
        <f>IFERROR((Table50[[#This Row],[USAGE / DAY]]-Table50[[#This Row],[USAGE / DAY 2]])/Table50[[#This Row],[USAGE / DAY 2]],0)</f>
        <v>0.17006802721088435</v>
      </c>
      <c r="Z108" s="15">
        <f t="shared" si="3"/>
        <v>14</v>
      </c>
      <c r="AA108" s="15">
        <f t="shared" si="4"/>
        <v>9.311854181734148</v>
      </c>
      <c r="AB108" s="15">
        <f>IFERROR(IF(Table50[[#This Row],[ccnt]]="BEV",$AB$2,IF(Table50[[#This Row],[ccnt]]="FOOD",$AC$2,"ENTER # FROM LAST COUNT")),"ENTER # FROM LAST COUNT")</f>
        <v>3</v>
      </c>
      <c r="AC108" s="15">
        <f>(Table50[[#This Row],[OpeningQty]]+Table50[[#This Row],[ClosingQty]])/2</f>
        <v>32</v>
      </c>
      <c r="AD108" s="15">
        <f>IFERROR(Table50[[#This Row],[UsageQty]]/Table50[[#This Row],[AVE INVENTORY]],0)</f>
        <v>0.75</v>
      </c>
      <c r="AE108" s="15">
        <f>IFERROR(Table50[[#This Row],[DATA POINT]]/Table50[[#This Row],[Inventory Turnover Rate]],0)</f>
        <v>18.666666666666668</v>
      </c>
      <c r="AF108" s="15">
        <f>Table50[[#This Row],[ClosingQty]]/Table50[[#This Row],[USAGE / DAY]]</f>
        <v>11.627906976744185</v>
      </c>
      <c r="AG108" s="15">
        <f>Table50[[#This Row],[USAGE / DAY]]*7</f>
        <v>12.04</v>
      </c>
      <c r="AH108" s="15">
        <f>Table50[[#This Row],[USAGE / DAY]]*3</f>
        <v>5.16</v>
      </c>
      <c r="AI10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8" s="15">
        <f>IFERROR(Table50[[#This Row],[ORDER QTY2]]*Table50[[#This Row],[COST PRICE]],0)</f>
        <v>0</v>
      </c>
      <c r="AK108" s="15">
        <f>(Table50[[#This Row],[REORDER POINT]]*Table50[[#This Row],[COST PRICE]])+Table50[[#This Row],[ORDER COST]]</f>
        <v>139.0984</v>
      </c>
      <c r="AL108" s="15">
        <f t="shared" si="5"/>
        <v>100</v>
      </c>
      <c r="AM108" s="15">
        <f>IFERROR((Table50[[#This Row],[REORDER POINT]]+Table50[[#This Row],[ORDER QTY]])/(Table50[[#This Row],[USAGE / DAY]]*Table50[[#This Row],[DEMAND %]]),Table50[[#This Row],[REORDER POINT]]/Table50[[#This Row],[USAGE / DAY]])</f>
        <v>9.7906976744186039E-2</v>
      </c>
    </row>
    <row r="109" spans="1:39" x14ac:dyDescent="0.25">
      <c r="A109" t="s">
        <v>50</v>
      </c>
      <c r="B109" t="s">
        <v>170</v>
      </c>
      <c r="C109" t="s">
        <v>171</v>
      </c>
      <c r="D109" t="s">
        <v>53</v>
      </c>
      <c r="E109">
        <v>2</v>
      </c>
      <c r="F109">
        <v>197.56</v>
      </c>
      <c r="G109">
        <v>0</v>
      </c>
      <c r="H109">
        <v>0</v>
      </c>
      <c r="I109">
        <v>1</v>
      </c>
      <c r="J109">
        <v>98.78</v>
      </c>
      <c r="K109">
        <f>Table50[[#This Row],[OpeningQty]]+Table50[[#This Row],[PurchasesQty]]-Table50[[#This Row],[ClosingQty]]</f>
        <v>1</v>
      </c>
      <c r="L109">
        <v>98.78</v>
      </c>
      <c r="M109" s="14">
        <f>Table50[[#This Row],[Usage]]/$L$1</f>
        <v>1.5002700425324582E-4</v>
      </c>
      <c r="N109" s="15">
        <f>IFERROR(Table50[[#This Row],[Opening]]/Table50[[#This Row],[OpeningQty]],0)</f>
        <v>98.78</v>
      </c>
      <c r="O109" s="15">
        <f>IFERROR(Table50[[#This Row],[Purchases]]/Table50[[#This Row],[PurchasesQty]],0)</f>
        <v>0</v>
      </c>
      <c r="P109" s="15">
        <f>IFERROR(Table50[[#This Row],[Closing]]/Table50[[#This Row],[ClosingQty]],0)</f>
        <v>98.78</v>
      </c>
      <c r="Q109" s="15">
        <f>IFERROR(AVERAGEIF(Table50[[#This Row],[OPENING COST PRICE]:[CLOSING COST PRICE]],"&gt;0"),0)</f>
        <v>98.78</v>
      </c>
      <c r="R109" s="15">
        <f>IFERROR(Table50[[#This Row],[COST PRICE]]-IFERROR(Table50[[#This Row],[Usage]]/Table50[[#This Row],[UsageQty]],Table50[[#This Row],[COST PRICE]]),0)</f>
        <v>0</v>
      </c>
      <c r="S109" s="16">
        <f>IFERROR(Table50[[#This Row],[COST PRICE CHANGE]]/Table50[[#This Row],[OPENING COST PRICE]],0)</f>
        <v>0</v>
      </c>
      <c r="T109" s="15">
        <f>Table50[[#This Row],[ClosingQty]]-(Table50[[#This Row],[USAGE / DAY]]*(IF(Table50[[#This Row],[ccnt]]="BEV",Table50[[#This Row],[DELIVERY DAY]],Table50[[#This Row],[DELIVERY DAY]])))</f>
        <v>0.76</v>
      </c>
      <c r="U109" s="15">
        <f>ROUNDUP(Table50[[#This Row],[UsageQty]]/Table50[[#This Row],[DATA POINT]],2)</f>
        <v>0.08</v>
      </c>
      <c r="V10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09" s="15">
        <f>IFERROR(Table50[[#This Row],[ORDER QTY]]*Table50[[#This Row],[COST PRICE]],0)</f>
        <v>0</v>
      </c>
      <c r="X109" s="15">
        <f>IFERROR(VLOOKUP(C109,[1]!Table49[[#All],[name]:[USAGE / DAY]],19,FALSE),1)</f>
        <v>6.9999999999999993E-2</v>
      </c>
      <c r="Y109" s="4">
        <f>IFERROR((Table50[[#This Row],[USAGE / DAY]]-Table50[[#This Row],[USAGE / DAY 2]])/Table50[[#This Row],[USAGE / DAY 2]],0)</f>
        <v>0.14285714285714299</v>
      </c>
      <c r="Z109" s="15">
        <f t="shared" si="3"/>
        <v>14</v>
      </c>
      <c r="AA109" s="15">
        <f t="shared" si="4"/>
        <v>9.311854181734148</v>
      </c>
      <c r="AB109" s="15">
        <f>IFERROR(IF(Table50[[#This Row],[ccnt]]="BEV",$AB$2,IF(Table50[[#This Row],[ccnt]]="FOOD",$AC$2,"ENTER # FROM LAST COUNT")),"ENTER # FROM LAST COUNT")</f>
        <v>3</v>
      </c>
      <c r="AC109" s="15">
        <f>(Table50[[#This Row],[OpeningQty]]+Table50[[#This Row],[ClosingQty]])/2</f>
        <v>1.5</v>
      </c>
      <c r="AD109" s="15">
        <f>IFERROR(Table50[[#This Row],[UsageQty]]/Table50[[#This Row],[AVE INVENTORY]],0)</f>
        <v>0.66666666666666663</v>
      </c>
      <c r="AE109" s="15">
        <f>IFERROR(Table50[[#This Row],[DATA POINT]]/Table50[[#This Row],[Inventory Turnover Rate]],0)</f>
        <v>21</v>
      </c>
      <c r="AF109" s="15">
        <f>Table50[[#This Row],[ClosingQty]]/Table50[[#This Row],[USAGE / DAY]]</f>
        <v>12.5</v>
      </c>
      <c r="AG109" s="15">
        <f>Table50[[#This Row],[USAGE / DAY]]*7</f>
        <v>0.56000000000000005</v>
      </c>
      <c r="AH109" s="15">
        <f>Table50[[#This Row],[USAGE / DAY]]*3</f>
        <v>0.24</v>
      </c>
      <c r="AI10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09" s="15">
        <f>IFERROR(Table50[[#This Row],[ORDER QTY2]]*Table50[[#This Row],[COST PRICE]],0)</f>
        <v>0</v>
      </c>
      <c r="AK109" s="15">
        <f>(Table50[[#This Row],[REORDER POINT]]*Table50[[#This Row],[COST PRICE]])+Table50[[#This Row],[ORDER COST]]</f>
        <v>75.072800000000001</v>
      </c>
      <c r="AL109" s="15">
        <f t="shared" si="5"/>
        <v>100</v>
      </c>
      <c r="AM109" s="15">
        <f>IFERROR((Table50[[#This Row],[REORDER POINT]]+Table50[[#This Row],[ORDER QTY]])/(Table50[[#This Row],[USAGE / DAY]]*Table50[[#This Row],[DEMAND %]]),Table50[[#This Row],[REORDER POINT]]/Table50[[#This Row],[USAGE / DAY]])</f>
        <v>9.5</v>
      </c>
    </row>
    <row r="110" spans="1:39" x14ac:dyDescent="0.25">
      <c r="A110" t="s">
        <v>50</v>
      </c>
      <c r="B110" t="s">
        <v>170</v>
      </c>
      <c r="C110" t="s">
        <v>172</v>
      </c>
      <c r="D110" t="s">
        <v>138</v>
      </c>
      <c r="E110">
        <v>4.7699999999999996</v>
      </c>
      <c r="F110">
        <v>281.48</v>
      </c>
      <c r="G110">
        <v>10</v>
      </c>
      <c r="H110">
        <v>618.4</v>
      </c>
      <c r="I110">
        <v>5</v>
      </c>
      <c r="J110">
        <v>309.2</v>
      </c>
      <c r="K110">
        <f>Table50[[#This Row],[OpeningQty]]+Table50[[#This Row],[PurchasesQty]]-Table50[[#This Row],[ClosingQty]]</f>
        <v>9.77</v>
      </c>
      <c r="L110">
        <v>590.67999999999995</v>
      </c>
      <c r="M110" s="14">
        <f>Table50[[#This Row],[Usage]]/$L$1</f>
        <v>8.9712442672916818E-4</v>
      </c>
      <c r="N110" s="15">
        <f>IFERROR(Table50[[#This Row],[Opening]]/Table50[[#This Row],[OpeningQty]],0)</f>
        <v>59.010482180293508</v>
      </c>
      <c r="O110" s="15">
        <f>IFERROR(Table50[[#This Row],[Purchases]]/Table50[[#This Row],[PurchasesQty]],0)</f>
        <v>61.839999999999996</v>
      </c>
      <c r="P110" s="15">
        <f>IFERROR(Table50[[#This Row],[Closing]]/Table50[[#This Row],[ClosingQty]],0)</f>
        <v>61.839999999999996</v>
      </c>
      <c r="Q110" s="15">
        <f>IFERROR(AVERAGEIF(Table50[[#This Row],[OPENING COST PRICE]:[CLOSING COST PRICE]],"&gt;0"),0)</f>
        <v>60.896827393431174</v>
      </c>
      <c r="R110" s="15">
        <f>IFERROR(Table50[[#This Row],[COST PRICE]]-IFERROR(Table50[[#This Row],[Usage]]/Table50[[#This Row],[UsageQty]],Table50[[#This Row],[COST PRICE]]),0)</f>
        <v>0.43828082229504872</v>
      </c>
      <c r="S110" s="16">
        <f>IFERROR(Table50[[#This Row],[COST PRICE CHANGE]]/Table50[[#This Row],[OPENING COST PRICE]],0)</f>
        <v>7.4271689723866075E-3</v>
      </c>
      <c r="T110" s="15">
        <f>Table50[[#This Row],[ClosingQty]]-(Table50[[#This Row],[USAGE / DAY]]*(IF(Table50[[#This Row],[ccnt]]="BEV",Table50[[#This Row],[DELIVERY DAY]],Table50[[#This Row],[DELIVERY DAY]])))</f>
        <v>2.9000000000000004</v>
      </c>
      <c r="U110" s="15">
        <f>ROUNDUP(Table50[[#This Row],[UsageQty]]/Table50[[#This Row],[DATA POINT]],2)</f>
        <v>0.7</v>
      </c>
      <c r="V11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110" s="15">
        <f>IFERROR(Table50[[#This Row],[ORDER QTY]]*Table50[[#This Row],[COST PRICE]],0)</f>
        <v>243.5873095737247</v>
      </c>
      <c r="X110" s="15">
        <f>IFERROR(VLOOKUP(C110,[1]!Table49[[#All],[name]:[USAGE / DAY]],19,FALSE),1)</f>
        <v>0.81</v>
      </c>
      <c r="Y110" s="4">
        <f>IFERROR((Table50[[#This Row],[USAGE / DAY]]-Table50[[#This Row],[USAGE / DAY 2]])/Table50[[#This Row],[USAGE / DAY 2]],0)</f>
        <v>-0.13580246913580257</v>
      </c>
      <c r="Z110" s="15">
        <f t="shared" si="3"/>
        <v>14</v>
      </c>
      <c r="AA110" s="15">
        <f t="shared" si="4"/>
        <v>9.311854181734148</v>
      </c>
      <c r="AB110" s="15">
        <f>IFERROR(IF(Table50[[#This Row],[ccnt]]="BEV",$AB$2,IF(Table50[[#This Row],[ccnt]]="FOOD",$AC$2,"ENTER # FROM LAST COUNT")),"ENTER # FROM LAST COUNT")</f>
        <v>3</v>
      </c>
      <c r="AC110" s="15">
        <f>(Table50[[#This Row],[OpeningQty]]+Table50[[#This Row],[ClosingQty]])/2</f>
        <v>4.8849999999999998</v>
      </c>
      <c r="AD110" s="15">
        <f>IFERROR(Table50[[#This Row],[UsageQty]]/Table50[[#This Row],[AVE INVENTORY]],0)</f>
        <v>2</v>
      </c>
      <c r="AE110" s="15">
        <f>IFERROR(Table50[[#This Row],[DATA POINT]]/Table50[[#This Row],[Inventory Turnover Rate]],0)</f>
        <v>7</v>
      </c>
      <c r="AF110" s="15">
        <f>Table50[[#This Row],[ClosingQty]]/Table50[[#This Row],[USAGE / DAY]]</f>
        <v>7.1428571428571432</v>
      </c>
      <c r="AG110" s="15">
        <f>Table50[[#This Row],[USAGE / DAY]]*7</f>
        <v>4.8999999999999995</v>
      </c>
      <c r="AH110" s="15">
        <f>Table50[[#This Row],[USAGE / DAY]]*3</f>
        <v>2.0999999999999996</v>
      </c>
      <c r="AI110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1.9999999999999991</v>
      </c>
      <c r="AJ110" s="15">
        <f>IFERROR(Table50[[#This Row],[ORDER QTY2]]*Table50[[#This Row],[COST PRICE]],0)</f>
        <v>121.79365478686229</v>
      </c>
      <c r="AK110" s="15">
        <f>(Table50[[#This Row],[REORDER POINT]]*Table50[[#This Row],[COST PRICE]])+Table50[[#This Row],[ORDER COST]]</f>
        <v>420.18810901467509</v>
      </c>
      <c r="AL110" s="15">
        <f t="shared" si="5"/>
        <v>100</v>
      </c>
      <c r="AM110" s="15">
        <f>IFERROR((Table50[[#This Row],[REORDER POINT]]+Table50[[#This Row],[ORDER QTY]])/(Table50[[#This Row],[USAGE / DAY]]*Table50[[#This Row],[DEMAND %]]),Table50[[#This Row],[REORDER POINT]]/Table50[[#This Row],[USAGE / DAY]])</f>
        <v>9.8571428571428574E-2</v>
      </c>
    </row>
    <row r="111" spans="1:39" x14ac:dyDescent="0.25">
      <c r="A111" t="s">
        <v>50</v>
      </c>
      <c r="B111" t="s">
        <v>170</v>
      </c>
      <c r="C111" t="s">
        <v>173</v>
      </c>
      <c r="D111" t="s">
        <v>53</v>
      </c>
      <c r="E111">
        <v>6.33</v>
      </c>
      <c r="F111">
        <v>407.21</v>
      </c>
      <c r="G111">
        <v>1</v>
      </c>
      <c r="H111">
        <v>65.62</v>
      </c>
      <c r="I111">
        <v>4.33</v>
      </c>
      <c r="J111">
        <v>284.13</v>
      </c>
      <c r="K111">
        <f>Table50[[#This Row],[OpeningQty]]+Table50[[#This Row],[PurchasesQty]]-Table50[[#This Row],[ClosingQty]]</f>
        <v>3</v>
      </c>
      <c r="L111">
        <v>188.7</v>
      </c>
      <c r="M111" s="14">
        <f>Table50[[#This Row],[Usage]]/$L$1</f>
        <v>2.865974458654331E-4</v>
      </c>
      <c r="N111" s="15">
        <f>IFERROR(Table50[[#This Row],[Opening]]/Table50[[#This Row],[OpeningQty]],0)</f>
        <v>64.330173775671398</v>
      </c>
      <c r="O111" s="15">
        <f>IFERROR(Table50[[#This Row],[Purchases]]/Table50[[#This Row],[PurchasesQty]],0)</f>
        <v>65.62</v>
      </c>
      <c r="P111" s="15">
        <f>IFERROR(Table50[[#This Row],[Closing]]/Table50[[#This Row],[ClosingQty]],0)</f>
        <v>65.618937644341798</v>
      </c>
      <c r="Q111" s="15">
        <f>IFERROR(AVERAGEIF(Table50[[#This Row],[OPENING COST PRICE]:[CLOSING COST PRICE]],"&gt;0"),0)</f>
        <v>65.189703806671062</v>
      </c>
      <c r="R111" s="15">
        <f>IFERROR(Table50[[#This Row],[COST PRICE]]-IFERROR(Table50[[#This Row],[Usage]]/Table50[[#This Row],[UsageQty]],Table50[[#This Row],[COST PRICE]]),0)</f>
        <v>2.2897038066710635</v>
      </c>
      <c r="S111" s="16">
        <f>IFERROR(Table50[[#This Row],[COST PRICE CHANGE]]/Table50[[#This Row],[OPENING COST PRICE]],0)</f>
        <v>3.5592998934770352E-2</v>
      </c>
      <c r="T111" s="15">
        <f>Table50[[#This Row],[ClosingQty]]-(Table50[[#This Row],[USAGE / DAY]]*(IF(Table50[[#This Row],[ccnt]]="BEV",Table50[[#This Row],[DELIVERY DAY]],Table50[[#This Row],[DELIVERY DAY]])))</f>
        <v>3.67</v>
      </c>
      <c r="U111" s="15">
        <f>ROUNDUP(Table50[[#This Row],[UsageQty]]/Table50[[#This Row],[DATA POINT]],2)</f>
        <v>0.22</v>
      </c>
      <c r="V11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11" s="15">
        <f>IFERROR(Table50[[#This Row],[ORDER QTY]]*Table50[[#This Row],[COST PRICE]],0)</f>
        <v>0</v>
      </c>
      <c r="X111" s="15">
        <f>IFERROR(VLOOKUP(C111,[1]!Table49[[#All],[name]:[USAGE / DAY]],19,FALSE),1)</f>
        <v>0.37</v>
      </c>
      <c r="Y111" s="4">
        <f>IFERROR((Table50[[#This Row],[USAGE / DAY]]-Table50[[#This Row],[USAGE / DAY 2]])/Table50[[#This Row],[USAGE / DAY 2]],0)</f>
        <v>-0.40540540540540537</v>
      </c>
      <c r="Z111" s="15">
        <f t="shared" si="3"/>
        <v>14</v>
      </c>
      <c r="AA111" s="15">
        <f t="shared" si="4"/>
        <v>9.311854181734148</v>
      </c>
      <c r="AB111" s="15">
        <f>IFERROR(IF(Table50[[#This Row],[ccnt]]="BEV",$AB$2,IF(Table50[[#This Row],[ccnt]]="FOOD",$AC$2,"ENTER # FROM LAST COUNT")),"ENTER # FROM LAST COUNT")</f>
        <v>3</v>
      </c>
      <c r="AC111" s="15">
        <f>(Table50[[#This Row],[OpeningQty]]+Table50[[#This Row],[ClosingQty]])/2</f>
        <v>5.33</v>
      </c>
      <c r="AD111" s="15">
        <f>IFERROR(Table50[[#This Row],[UsageQty]]/Table50[[#This Row],[AVE INVENTORY]],0)</f>
        <v>0.56285178236397748</v>
      </c>
      <c r="AE111" s="15">
        <f>IFERROR(Table50[[#This Row],[DATA POINT]]/Table50[[#This Row],[Inventory Turnover Rate]],0)</f>
        <v>24.873333333333335</v>
      </c>
      <c r="AF111" s="15">
        <f>Table50[[#This Row],[ClosingQty]]/Table50[[#This Row],[USAGE / DAY]]</f>
        <v>19.681818181818183</v>
      </c>
      <c r="AG111" s="15">
        <f>Table50[[#This Row],[USAGE / DAY]]*7</f>
        <v>1.54</v>
      </c>
      <c r="AH111" s="15">
        <f>Table50[[#This Row],[USAGE / DAY]]*3</f>
        <v>0.66</v>
      </c>
      <c r="AI11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11" s="15">
        <f>IFERROR(Table50[[#This Row],[ORDER QTY2]]*Table50[[#This Row],[COST PRICE]],0)</f>
        <v>0</v>
      </c>
      <c r="AK111" s="15">
        <f>(Table50[[#This Row],[REORDER POINT]]*Table50[[#This Row],[COST PRICE]])+Table50[[#This Row],[ORDER COST]]</f>
        <v>239.24621297048279</v>
      </c>
      <c r="AL111" s="15">
        <f t="shared" si="5"/>
        <v>100</v>
      </c>
      <c r="AM111" s="15">
        <f>IFERROR((Table50[[#This Row],[REORDER POINT]]+Table50[[#This Row],[ORDER QTY]])/(Table50[[#This Row],[USAGE / DAY]]*Table50[[#This Row],[DEMAND %]]),Table50[[#This Row],[REORDER POINT]]/Table50[[#This Row],[USAGE / DAY]])</f>
        <v>16.68181818181818</v>
      </c>
    </row>
    <row r="112" spans="1:39" x14ac:dyDescent="0.25">
      <c r="A112" t="s">
        <v>50</v>
      </c>
      <c r="B112" t="s">
        <v>170</v>
      </c>
      <c r="C112" t="s">
        <v>174</v>
      </c>
      <c r="D112" t="s">
        <v>53</v>
      </c>
      <c r="E112">
        <v>6</v>
      </c>
      <c r="F112">
        <v>385.98</v>
      </c>
      <c r="G112">
        <v>2</v>
      </c>
      <c r="H112">
        <v>131.24</v>
      </c>
      <c r="I112">
        <v>5.2</v>
      </c>
      <c r="J112">
        <v>341.22</v>
      </c>
      <c r="K112">
        <f>Table50[[#This Row],[OpeningQty]]+Table50[[#This Row],[PurchasesQty]]-Table50[[#This Row],[ClosingQty]]</f>
        <v>2.8</v>
      </c>
      <c r="L112">
        <v>176</v>
      </c>
      <c r="M112" s="14">
        <f>Table50[[#This Row],[Usage]]/$L$1</f>
        <v>2.6730869354698586E-4</v>
      </c>
      <c r="N112" s="15">
        <f>IFERROR(Table50[[#This Row],[Opening]]/Table50[[#This Row],[OpeningQty]],0)</f>
        <v>64.33</v>
      </c>
      <c r="O112" s="15">
        <f>IFERROR(Table50[[#This Row],[Purchases]]/Table50[[#This Row],[PurchasesQty]],0)</f>
        <v>65.62</v>
      </c>
      <c r="P112" s="15">
        <f>IFERROR(Table50[[#This Row],[Closing]]/Table50[[#This Row],[ClosingQty]],0)</f>
        <v>65.619230769230768</v>
      </c>
      <c r="Q112" s="15">
        <f>IFERROR(AVERAGEIF(Table50[[#This Row],[OPENING COST PRICE]:[CLOSING COST PRICE]],"&gt;0"),0)</f>
        <v>65.189743589743586</v>
      </c>
      <c r="R112" s="15">
        <f>IFERROR(Table50[[#This Row],[COST PRICE]]-IFERROR(Table50[[#This Row],[Usage]]/Table50[[#This Row],[UsageQty]],Table50[[#This Row],[COST PRICE]]),0)</f>
        <v>2.3326007326007243</v>
      </c>
      <c r="S112" s="16">
        <f>IFERROR(Table50[[#This Row],[COST PRICE CHANGE]]/Table50[[#This Row],[OPENING COST PRICE]],0)</f>
        <v>3.6259921228054166E-2</v>
      </c>
      <c r="T112" s="15">
        <f>Table50[[#This Row],[ClosingQty]]-(Table50[[#This Row],[USAGE / DAY]]*(IF(Table50[[#This Row],[ccnt]]="BEV",Table50[[#This Row],[DELIVERY DAY]],Table50[[#This Row],[DELIVERY DAY]])))</f>
        <v>4.5999999999999996</v>
      </c>
      <c r="U112" s="15">
        <f>ROUNDUP(Table50[[#This Row],[UsageQty]]/Table50[[#This Row],[DATA POINT]],2)</f>
        <v>0.2</v>
      </c>
      <c r="V11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12" s="15">
        <f>IFERROR(Table50[[#This Row],[ORDER QTY]]*Table50[[#This Row],[COST PRICE]],0)</f>
        <v>0</v>
      </c>
      <c r="X112" s="15">
        <f>IFERROR(VLOOKUP(C112,[1]!Table49[[#All],[name]:[USAGE / DAY]],19,FALSE),1)</f>
        <v>0.34</v>
      </c>
      <c r="Y112" s="4">
        <f>IFERROR((Table50[[#This Row],[USAGE / DAY]]-Table50[[#This Row],[USAGE / DAY 2]])/Table50[[#This Row],[USAGE / DAY 2]],0)</f>
        <v>-0.41176470588235298</v>
      </c>
      <c r="Z112" s="15">
        <f t="shared" si="3"/>
        <v>14</v>
      </c>
      <c r="AA112" s="15">
        <f t="shared" si="4"/>
        <v>9.311854181734148</v>
      </c>
      <c r="AB112" s="15">
        <f>IFERROR(IF(Table50[[#This Row],[ccnt]]="BEV",$AB$2,IF(Table50[[#This Row],[ccnt]]="FOOD",$AC$2,"ENTER # FROM LAST COUNT")),"ENTER # FROM LAST COUNT")</f>
        <v>3</v>
      </c>
      <c r="AC112" s="15">
        <f>(Table50[[#This Row],[OpeningQty]]+Table50[[#This Row],[ClosingQty]])/2</f>
        <v>5.6</v>
      </c>
      <c r="AD112" s="15">
        <f>IFERROR(Table50[[#This Row],[UsageQty]]/Table50[[#This Row],[AVE INVENTORY]],0)</f>
        <v>0.5</v>
      </c>
      <c r="AE112" s="15">
        <f>IFERROR(Table50[[#This Row],[DATA POINT]]/Table50[[#This Row],[Inventory Turnover Rate]],0)</f>
        <v>28</v>
      </c>
      <c r="AF112" s="15">
        <f>Table50[[#This Row],[ClosingQty]]/Table50[[#This Row],[USAGE / DAY]]</f>
        <v>26</v>
      </c>
      <c r="AG112" s="15">
        <f>Table50[[#This Row],[USAGE / DAY]]*7</f>
        <v>1.4000000000000001</v>
      </c>
      <c r="AH112" s="15">
        <f>Table50[[#This Row],[USAGE / DAY]]*3</f>
        <v>0.60000000000000009</v>
      </c>
      <c r="AI11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12" s="15">
        <f>IFERROR(Table50[[#This Row],[ORDER QTY2]]*Table50[[#This Row],[COST PRICE]],0)</f>
        <v>0</v>
      </c>
      <c r="AK112" s="15">
        <f>(Table50[[#This Row],[REORDER POINT]]*Table50[[#This Row],[COST PRICE]])+Table50[[#This Row],[ORDER COST]]</f>
        <v>299.87282051282045</v>
      </c>
      <c r="AL112" s="15">
        <f t="shared" si="5"/>
        <v>100</v>
      </c>
      <c r="AM112" s="15">
        <f>IFERROR((Table50[[#This Row],[REORDER POINT]]+Table50[[#This Row],[ORDER QTY]])/(Table50[[#This Row],[USAGE / DAY]]*Table50[[#This Row],[DEMAND %]]),Table50[[#This Row],[REORDER POINT]]/Table50[[#This Row],[USAGE / DAY]])</f>
        <v>22.999999999999996</v>
      </c>
    </row>
    <row r="113" spans="1:39" x14ac:dyDescent="0.25">
      <c r="A113" t="s">
        <v>50</v>
      </c>
      <c r="B113" t="s">
        <v>170</v>
      </c>
      <c r="C113" t="s">
        <v>175</v>
      </c>
      <c r="D113" t="s">
        <v>53</v>
      </c>
      <c r="E113">
        <v>0</v>
      </c>
      <c r="F113">
        <v>0</v>
      </c>
      <c r="G113">
        <v>12</v>
      </c>
      <c r="H113">
        <v>778.8</v>
      </c>
      <c r="I113">
        <v>6.66</v>
      </c>
      <c r="J113">
        <v>427.44</v>
      </c>
      <c r="K113">
        <f>Table50[[#This Row],[OpeningQty]]+Table50[[#This Row],[PurchasesQty]]-Table50[[#This Row],[ClosingQty]]</f>
        <v>5.34</v>
      </c>
      <c r="L113">
        <v>351.36</v>
      </c>
      <c r="M113" s="14">
        <f>Table50[[#This Row],[Usage]]/$L$1</f>
        <v>5.3364535548107363E-4</v>
      </c>
      <c r="N113" s="15">
        <f>IFERROR(Table50[[#This Row],[Opening]]/Table50[[#This Row],[OpeningQty]],0)</f>
        <v>0</v>
      </c>
      <c r="O113" s="15">
        <f>IFERROR(Table50[[#This Row],[Purchases]]/Table50[[#This Row],[PurchasesQty]],0)</f>
        <v>64.899999999999991</v>
      </c>
      <c r="P113" s="15">
        <f>IFERROR(Table50[[#This Row],[Closing]]/Table50[[#This Row],[ClosingQty]],0)</f>
        <v>64.180180180180173</v>
      </c>
      <c r="Q113" s="15">
        <f>IFERROR(AVERAGEIF(Table50[[#This Row],[OPENING COST PRICE]:[CLOSING COST PRICE]],"&gt;0"),0)</f>
        <v>64.540090090090075</v>
      </c>
      <c r="R113" s="15">
        <f>IFERROR(Table50[[#This Row],[COST PRICE]]-IFERROR(Table50[[#This Row],[Usage]]/Table50[[#This Row],[UsageQty]],Table50[[#This Row],[COST PRICE]]),0)</f>
        <v>-1.2576627188986862</v>
      </c>
      <c r="S113" s="16">
        <f>IFERROR(Table50[[#This Row],[COST PRICE CHANGE]]/Table50[[#This Row],[OPENING COST PRICE]],0)</f>
        <v>0</v>
      </c>
      <c r="T113" s="15">
        <f>Table50[[#This Row],[ClosingQty]]-(Table50[[#This Row],[USAGE / DAY]]*(IF(Table50[[#This Row],[ccnt]]="BEV",Table50[[#This Row],[DELIVERY DAY]],Table50[[#This Row],[DELIVERY DAY]])))</f>
        <v>5.49</v>
      </c>
      <c r="U113" s="15">
        <f>ROUNDUP(Table50[[#This Row],[UsageQty]]/Table50[[#This Row],[DATA POINT]],2)</f>
        <v>0.39</v>
      </c>
      <c r="V11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13" s="15">
        <f>IFERROR(Table50[[#This Row],[ORDER QTY]]*Table50[[#This Row],[COST PRICE]],0)</f>
        <v>0</v>
      </c>
      <c r="X113" s="15">
        <f>IFERROR(VLOOKUP(C113,[1]!Table49[[#All],[name]:[USAGE / DAY]],19,FALSE),1)</f>
        <v>0.27</v>
      </c>
      <c r="Y113" s="4">
        <f>IFERROR((Table50[[#This Row],[USAGE / DAY]]-Table50[[#This Row],[USAGE / DAY 2]])/Table50[[#This Row],[USAGE / DAY 2]],0)</f>
        <v>0.44444444444444442</v>
      </c>
      <c r="Z113" s="15">
        <f t="shared" si="3"/>
        <v>14</v>
      </c>
      <c r="AA113" s="15">
        <f t="shared" si="4"/>
        <v>9.311854181734148</v>
      </c>
      <c r="AB113" s="15">
        <f>IFERROR(IF(Table50[[#This Row],[ccnt]]="BEV",$AB$2,IF(Table50[[#This Row],[ccnt]]="FOOD",$AC$2,"ENTER # FROM LAST COUNT")),"ENTER # FROM LAST COUNT")</f>
        <v>3</v>
      </c>
      <c r="AC113" s="15">
        <f>(Table50[[#This Row],[OpeningQty]]+Table50[[#This Row],[ClosingQty]])/2</f>
        <v>3.33</v>
      </c>
      <c r="AD113" s="15">
        <f>IFERROR(Table50[[#This Row],[UsageQty]]/Table50[[#This Row],[AVE INVENTORY]],0)</f>
        <v>1.6036036036036034</v>
      </c>
      <c r="AE113" s="15">
        <f>IFERROR(Table50[[#This Row],[DATA POINT]]/Table50[[#This Row],[Inventory Turnover Rate]],0)</f>
        <v>8.7303370786516865</v>
      </c>
      <c r="AF113" s="15">
        <f>Table50[[#This Row],[ClosingQty]]/Table50[[#This Row],[USAGE / DAY]]</f>
        <v>17.076923076923077</v>
      </c>
      <c r="AG113" s="15">
        <f>Table50[[#This Row],[USAGE / DAY]]*7</f>
        <v>2.73</v>
      </c>
      <c r="AH113" s="15">
        <f>Table50[[#This Row],[USAGE / DAY]]*3</f>
        <v>1.17</v>
      </c>
      <c r="AI11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13" s="15">
        <f>IFERROR(Table50[[#This Row],[ORDER QTY2]]*Table50[[#This Row],[COST PRICE]],0)</f>
        <v>0</v>
      </c>
      <c r="AK113" s="15">
        <f>(Table50[[#This Row],[REORDER POINT]]*Table50[[#This Row],[COST PRICE]])+Table50[[#This Row],[ORDER COST]]</f>
        <v>354.32509459459453</v>
      </c>
      <c r="AL113" s="15">
        <f t="shared" si="5"/>
        <v>100</v>
      </c>
      <c r="AM113" s="15">
        <f>IFERROR((Table50[[#This Row],[REORDER POINT]]+Table50[[#This Row],[ORDER QTY]])/(Table50[[#This Row],[USAGE / DAY]]*Table50[[#This Row],[DEMAND %]]),Table50[[#This Row],[REORDER POINT]]/Table50[[#This Row],[USAGE / DAY]])</f>
        <v>14.076923076923077</v>
      </c>
    </row>
    <row r="114" spans="1:39" x14ac:dyDescent="0.25">
      <c r="A114" t="s">
        <v>50</v>
      </c>
      <c r="B114" t="s">
        <v>170</v>
      </c>
      <c r="C114" t="s">
        <v>176</v>
      </c>
      <c r="D114" t="s">
        <v>138</v>
      </c>
      <c r="E114">
        <v>0.84</v>
      </c>
      <c r="F114">
        <v>66.680000000000007</v>
      </c>
      <c r="G114">
        <v>1</v>
      </c>
      <c r="H114">
        <v>84.01</v>
      </c>
      <c r="I114">
        <v>1</v>
      </c>
      <c r="J114">
        <v>84.01</v>
      </c>
      <c r="K114">
        <f>Table50[[#This Row],[OpeningQty]]+Table50[[#This Row],[PurchasesQty]]-Table50[[#This Row],[ClosingQty]]</f>
        <v>0.83999999999999986</v>
      </c>
      <c r="L114">
        <v>66.680000000000007</v>
      </c>
      <c r="M114" s="14">
        <f>Table50[[#This Row],[Usage]]/$L$1</f>
        <v>1.0127354366882397E-4</v>
      </c>
      <c r="N114" s="15">
        <f>IFERROR(Table50[[#This Row],[Opening]]/Table50[[#This Row],[OpeningQty]],0)</f>
        <v>79.380952380952394</v>
      </c>
      <c r="O114" s="15">
        <f>IFERROR(Table50[[#This Row],[Purchases]]/Table50[[#This Row],[PurchasesQty]],0)</f>
        <v>84.01</v>
      </c>
      <c r="P114" s="15">
        <f>IFERROR(Table50[[#This Row],[Closing]]/Table50[[#This Row],[ClosingQty]],0)</f>
        <v>84.01</v>
      </c>
      <c r="Q114" s="15">
        <f>IFERROR(AVERAGEIF(Table50[[#This Row],[OPENING COST PRICE]:[CLOSING COST PRICE]],"&gt;0"),0)</f>
        <v>82.46698412698413</v>
      </c>
      <c r="R114" s="15">
        <f>IFERROR(Table50[[#This Row],[COST PRICE]]-IFERROR(Table50[[#This Row],[Usage]]/Table50[[#This Row],[UsageQty]],Table50[[#This Row],[COST PRICE]]),0)</f>
        <v>3.0860317460317219</v>
      </c>
      <c r="S114" s="16">
        <f>IFERROR(Table50[[#This Row],[COST PRICE CHANGE]]/Table50[[#This Row],[OPENING COST PRICE]],0)</f>
        <v>3.8876224755048677E-2</v>
      </c>
      <c r="T114" s="15">
        <f>Table50[[#This Row],[ClosingQty]]-(Table50[[#This Row],[USAGE / DAY]]*(IF(Table50[[#This Row],[ccnt]]="BEV",Table50[[#This Row],[DELIVERY DAY]],Table50[[#This Row],[DELIVERY DAY]])))</f>
        <v>0.82000000000000006</v>
      </c>
      <c r="U114" s="15">
        <f>ROUNDUP(Table50[[#This Row],[UsageQty]]/Table50[[#This Row],[DATA POINT]],2)</f>
        <v>0.06</v>
      </c>
      <c r="V11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14" s="15">
        <f>IFERROR(Table50[[#This Row],[ORDER QTY]]*Table50[[#This Row],[COST PRICE]],0)</f>
        <v>0</v>
      </c>
      <c r="X114" s="15">
        <f>IFERROR(VLOOKUP(C114,[1]!Table49[[#All],[name]:[USAGE / DAY]],19,FALSE),1)</f>
        <v>9.9999999999999992E-2</v>
      </c>
      <c r="Y114" s="4">
        <f>IFERROR((Table50[[#This Row],[USAGE / DAY]]-Table50[[#This Row],[USAGE / DAY 2]])/Table50[[#This Row],[USAGE / DAY 2]],0)</f>
        <v>-0.39999999999999997</v>
      </c>
      <c r="Z114" s="15">
        <f t="shared" si="3"/>
        <v>14</v>
      </c>
      <c r="AA114" s="15">
        <f t="shared" si="4"/>
        <v>9.311854181734148</v>
      </c>
      <c r="AB114" s="15">
        <f>IFERROR(IF(Table50[[#This Row],[ccnt]]="BEV",$AB$2,IF(Table50[[#This Row],[ccnt]]="FOOD",$AC$2,"ENTER # FROM LAST COUNT")),"ENTER # FROM LAST COUNT")</f>
        <v>3</v>
      </c>
      <c r="AC114" s="15">
        <f>(Table50[[#This Row],[OpeningQty]]+Table50[[#This Row],[ClosingQty]])/2</f>
        <v>0.91999999999999993</v>
      </c>
      <c r="AD114" s="15">
        <f>IFERROR(Table50[[#This Row],[UsageQty]]/Table50[[#This Row],[AVE INVENTORY]],0)</f>
        <v>0.91304347826086951</v>
      </c>
      <c r="AE114" s="15">
        <f>IFERROR(Table50[[#This Row],[DATA POINT]]/Table50[[#This Row],[Inventory Turnover Rate]],0)</f>
        <v>15.333333333333334</v>
      </c>
      <c r="AF114" s="15">
        <f>Table50[[#This Row],[ClosingQty]]/Table50[[#This Row],[USAGE / DAY]]</f>
        <v>16.666666666666668</v>
      </c>
      <c r="AG114" s="15">
        <f>Table50[[#This Row],[USAGE / DAY]]*7</f>
        <v>0.42</v>
      </c>
      <c r="AH114" s="15">
        <f>Table50[[#This Row],[USAGE / DAY]]*3</f>
        <v>0.18</v>
      </c>
      <c r="AI11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14" s="15">
        <f>IFERROR(Table50[[#This Row],[ORDER QTY2]]*Table50[[#This Row],[COST PRICE]],0)</f>
        <v>0</v>
      </c>
      <c r="AK114" s="15">
        <f>(Table50[[#This Row],[REORDER POINT]]*Table50[[#This Row],[COST PRICE]])+Table50[[#This Row],[ORDER COST]]</f>
        <v>67.622926984126991</v>
      </c>
      <c r="AL114" s="15">
        <f t="shared" si="5"/>
        <v>100</v>
      </c>
      <c r="AM114" s="15">
        <f>IFERROR((Table50[[#This Row],[REORDER POINT]]+Table50[[#This Row],[ORDER QTY]])/(Table50[[#This Row],[USAGE / DAY]]*Table50[[#This Row],[DEMAND %]]),Table50[[#This Row],[REORDER POINT]]/Table50[[#This Row],[USAGE / DAY]])</f>
        <v>13.666666666666668</v>
      </c>
    </row>
    <row r="115" spans="1:39" x14ac:dyDescent="0.25">
      <c r="A115" t="s">
        <v>50</v>
      </c>
      <c r="B115" t="s">
        <v>170</v>
      </c>
      <c r="C115" t="s">
        <v>177</v>
      </c>
      <c r="D115" t="s">
        <v>138</v>
      </c>
      <c r="E115">
        <v>2</v>
      </c>
      <c r="F115">
        <v>137.34</v>
      </c>
      <c r="G115">
        <v>0</v>
      </c>
      <c r="H115">
        <v>0</v>
      </c>
      <c r="I115">
        <v>2</v>
      </c>
      <c r="J115">
        <v>137.34</v>
      </c>
      <c r="K115">
        <f>Table50[[#This Row],[OpeningQty]]+Table50[[#This Row],[PurchasesQty]]-Table50[[#This Row],[ClosingQty]]</f>
        <v>0</v>
      </c>
      <c r="L115">
        <v>0</v>
      </c>
      <c r="M115" s="14">
        <f>Table50[[#This Row],[Usage]]/$L$1</f>
        <v>0</v>
      </c>
      <c r="N115" s="15">
        <f>IFERROR(Table50[[#This Row],[Opening]]/Table50[[#This Row],[OpeningQty]],0)</f>
        <v>68.67</v>
      </c>
      <c r="O115" s="15">
        <f>IFERROR(Table50[[#This Row],[Purchases]]/Table50[[#This Row],[PurchasesQty]],0)</f>
        <v>0</v>
      </c>
      <c r="P115" s="15">
        <f>IFERROR(Table50[[#This Row],[Closing]]/Table50[[#This Row],[ClosingQty]],0)</f>
        <v>68.67</v>
      </c>
      <c r="Q115" s="15">
        <f>IFERROR(AVERAGEIF(Table50[[#This Row],[OPENING COST PRICE]:[CLOSING COST PRICE]],"&gt;0"),0)</f>
        <v>68.67</v>
      </c>
      <c r="R115" s="15">
        <f>IFERROR(Table50[[#This Row],[COST PRICE]]-IFERROR(Table50[[#This Row],[Usage]]/Table50[[#This Row],[UsageQty]],Table50[[#This Row],[COST PRICE]]),0)</f>
        <v>0</v>
      </c>
      <c r="S115" s="16">
        <f>IFERROR(Table50[[#This Row],[COST PRICE CHANGE]]/Table50[[#This Row],[OPENING COST PRICE]],0)</f>
        <v>0</v>
      </c>
      <c r="T115" s="15">
        <f>Table50[[#This Row],[ClosingQty]]-(Table50[[#This Row],[USAGE / DAY]]*(IF(Table50[[#This Row],[ccnt]]="BEV",Table50[[#This Row],[DELIVERY DAY]],Table50[[#This Row],[DELIVERY DAY]])))</f>
        <v>2</v>
      </c>
      <c r="U115" s="15">
        <f>ROUNDUP(Table50[[#This Row],[UsageQty]]/Table50[[#This Row],[DATA POINT]],2)</f>
        <v>0</v>
      </c>
      <c r="V11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15" s="15">
        <f>IFERROR(Table50[[#This Row],[ORDER QTY]]*Table50[[#This Row],[COST PRICE]],0)</f>
        <v>0</v>
      </c>
      <c r="X115" s="15">
        <f>IFERROR(VLOOKUP(C115,[1]!Table49[[#All],[name]:[USAGE / DAY]],19,FALSE),1)</f>
        <v>0</v>
      </c>
      <c r="Y115" s="4">
        <f>IFERROR((Table50[[#This Row],[USAGE / DAY]]-Table50[[#This Row],[USAGE / DAY 2]])/Table50[[#This Row],[USAGE / DAY 2]],0)</f>
        <v>0</v>
      </c>
      <c r="Z115" s="15">
        <f t="shared" si="3"/>
        <v>14</v>
      </c>
      <c r="AA115" s="15">
        <f t="shared" si="4"/>
        <v>9.311854181734148</v>
      </c>
      <c r="AB115" s="15">
        <f>IFERROR(IF(Table50[[#This Row],[ccnt]]="BEV",$AB$2,IF(Table50[[#This Row],[ccnt]]="FOOD",$AC$2,"ENTER # FROM LAST COUNT")),"ENTER # FROM LAST COUNT")</f>
        <v>3</v>
      </c>
      <c r="AC115" s="15">
        <f>(Table50[[#This Row],[OpeningQty]]+Table50[[#This Row],[ClosingQty]])/2</f>
        <v>2</v>
      </c>
      <c r="AD115" s="15">
        <f>IFERROR(Table50[[#This Row],[UsageQty]]/Table50[[#This Row],[AVE INVENTORY]],0)</f>
        <v>0</v>
      </c>
      <c r="AE115" s="15">
        <f>IFERROR(Table50[[#This Row],[DATA POINT]]/Table50[[#This Row],[Inventory Turnover Rate]],0)</f>
        <v>0</v>
      </c>
      <c r="AF115" s="15" t="e">
        <f>Table50[[#This Row],[ClosingQty]]/Table50[[#This Row],[USAGE / DAY]]</f>
        <v>#DIV/0!</v>
      </c>
      <c r="AG115" s="15">
        <f>Table50[[#This Row],[USAGE / DAY]]*7</f>
        <v>0</v>
      </c>
      <c r="AH115" s="15">
        <f>Table50[[#This Row],[USAGE / DAY]]*3</f>
        <v>0</v>
      </c>
      <c r="AI11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15" s="15">
        <f>IFERROR(Table50[[#This Row],[ORDER QTY2]]*Table50[[#This Row],[COST PRICE]],0)</f>
        <v>0</v>
      </c>
      <c r="AK115" s="15">
        <f>(Table50[[#This Row],[REORDER POINT]]*Table50[[#This Row],[COST PRICE]])+Table50[[#This Row],[ORDER COST]]</f>
        <v>137.34</v>
      </c>
      <c r="AL115" s="15">
        <f t="shared" si="5"/>
        <v>100</v>
      </c>
      <c r="AM115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16" spans="1:39" x14ac:dyDescent="0.25">
      <c r="A116" t="s">
        <v>50</v>
      </c>
      <c r="B116" t="s">
        <v>170</v>
      </c>
      <c r="C116" t="s">
        <v>178</v>
      </c>
      <c r="D116" t="s">
        <v>138</v>
      </c>
      <c r="E116">
        <v>5</v>
      </c>
      <c r="F116">
        <v>347.7</v>
      </c>
      <c r="G116">
        <v>0</v>
      </c>
      <c r="H116">
        <v>0</v>
      </c>
      <c r="I116">
        <v>5</v>
      </c>
      <c r="J116">
        <v>347.7</v>
      </c>
      <c r="K116">
        <f>Table50[[#This Row],[OpeningQty]]+Table50[[#This Row],[PurchasesQty]]-Table50[[#This Row],[ClosingQty]]</f>
        <v>0</v>
      </c>
      <c r="L116">
        <v>0</v>
      </c>
      <c r="M116" s="14">
        <f>Table50[[#This Row],[Usage]]/$L$1</f>
        <v>0</v>
      </c>
      <c r="N116" s="15">
        <f>IFERROR(Table50[[#This Row],[Opening]]/Table50[[#This Row],[OpeningQty]],0)</f>
        <v>69.539999999999992</v>
      </c>
      <c r="O116" s="15">
        <f>IFERROR(Table50[[#This Row],[Purchases]]/Table50[[#This Row],[PurchasesQty]],0)</f>
        <v>0</v>
      </c>
      <c r="P116" s="15">
        <f>IFERROR(Table50[[#This Row],[Closing]]/Table50[[#This Row],[ClosingQty]],0)</f>
        <v>69.539999999999992</v>
      </c>
      <c r="Q116" s="15">
        <f>IFERROR(AVERAGEIF(Table50[[#This Row],[OPENING COST PRICE]:[CLOSING COST PRICE]],"&gt;0"),0)</f>
        <v>69.539999999999992</v>
      </c>
      <c r="R116" s="15">
        <f>IFERROR(Table50[[#This Row],[COST PRICE]]-IFERROR(Table50[[#This Row],[Usage]]/Table50[[#This Row],[UsageQty]],Table50[[#This Row],[COST PRICE]]),0)</f>
        <v>0</v>
      </c>
      <c r="S116" s="16">
        <f>IFERROR(Table50[[#This Row],[COST PRICE CHANGE]]/Table50[[#This Row],[OPENING COST PRICE]],0)</f>
        <v>0</v>
      </c>
      <c r="T116" s="15">
        <f>Table50[[#This Row],[ClosingQty]]-(Table50[[#This Row],[USAGE / DAY]]*(IF(Table50[[#This Row],[ccnt]]="BEV",Table50[[#This Row],[DELIVERY DAY]],Table50[[#This Row],[DELIVERY DAY]])))</f>
        <v>5</v>
      </c>
      <c r="U116" s="15">
        <f>ROUNDUP(Table50[[#This Row],[UsageQty]]/Table50[[#This Row],[DATA POINT]],2)</f>
        <v>0</v>
      </c>
      <c r="V11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16" s="15">
        <f>IFERROR(Table50[[#This Row],[ORDER QTY]]*Table50[[#This Row],[COST PRICE]],0)</f>
        <v>0</v>
      </c>
      <c r="X116" s="15">
        <f>IFERROR(VLOOKUP(C116,[1]!Table49[[#All],[name]:[USAGE / DAY]],19,FALSE),1)</f>
        <v>0</v>
      </c>
      <c r="Y116" s="4">
        <f>IFERROR((Table50[[#This Row],[USAGE / DAY]]-Table50[[#This Row],[USAGE / DAY 2]])/Table50[[#This Row],[USAGE / DAY 2]],0)</f>
        <v>0</v>
      </c>
      <c r="Z116" s="15">
        <f t="shared" si="3"/>
        <v>14</v>
      </c>
      <c r="AA116" s="15">
        <f t="shared" si="4"/>
        <v>9.311854181734148</v>
      </c>
      <c r="AB116" s="15">
        <f>IFERROR(IF(Table50[[#This Row],[ccnt]]="BEV",$AB$2,IF(Table50[[#This Row],[ccnt]]="FOOD",$AC$2,"ENTER # FROM LAST COUNT")),"ENTER # FROM LAST COUNT")</f>
        <v>3</v>
      </c>
      <c r="AC116" s="15">
        <f>(Table50[[#This Row],[OpeningQty]]+Table50[[#This Row],[ClosingQty]])/2</f>
        <v>5</v>
      </c>
      <c r="AD116" s="15">
        <f>IFERROR(Table50[[#This Row],[UsageQty]]/Table50[[#This Row],[AVE INVENTORY]],0)</f>
        <v>0</v>
      </c>
      <c r="AE116" s="15">
        <f>IFERROR(Table50[[#This Row],[DATA POINT]]/Table50[[#This Row],[Inventory Turnover Rate]],0)</f>
        <v>0</v>
      </c>
      <c r="AF116" s="15" t="e">
        <f>Table50[[#This Row],[ClosingQty]]/Table50[[#This Row],[USAGE / DAY]]</f>
        <v>#DIV/0!</v>
      </c>
      <c r="AG116" s="15">
        <f>Table50[[#This Row],[USAGE / DAY]]*7</f>
        <v>0</v>
      </c>
      <c r="AH116" s="15">
        <f>Table50[[#This Row],[USAGE / DAY]]*3</f>
        <v>0</v>
      </c>
      <c r="AI11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16" s="15">
        <f>IFERROR(Table50[[#This Row],[ORDER QTY2]]*Table50[[#This Row],[COST PRICE]],0)</f>
        <v>0</v>
      </c>
      <c r="AK116" s="15">
        <f>(Table50[[#This Row],[REORDER POINT]]*Table50[[#This Row],[COST PRICE]])+Table50[[#This Row],[ORDER COST]]</f>
        <v>347.69999999999993</v>
      </c>
      <c r="AL116" s="15">
        <f t="shared" si="5"/>
        <v>100</v>
      </c>
      <c r="AM116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17" spans="1:39" x14ac:dyDescent="0.25">
      <c r="A117" t="s">
        <v>50</v>
      </c>
      <c r="B117" t="s">
        <v>170</v>
      </c>
      <c r="C117" t="s">
        <v>179</v>
      </c>
      <c r="D117" t="s">
        <v>53</v>
      </c>
      <c r="E117">
        <v>3</v>
      </c>
      <c r="F117">
        <v>204.03</v>
      </c>
      <c r="G117">
        <v>4</v>
      </c>
      <c r="H117">
        <v>292.04000000000002</v>
      </c>
      <c r="I117">
        <v>4</v>
      </c>
      <c r="J117">
        <v>292.04000000000002</v>
      </c>
      <c r="K117">
        <f>Table50[[#This Row],[OpeningQty]]+Table50[[#This Row],[PurchasesQty]]-Table50[[#This Row],[ClosingQty]]</f>
        <v>3</v>
      </c>
      <c r="L117">
        <v>204.03</v>
      </c>
      <c r="M117" s="14">
        <f>Table50[[#This Row],[Usage]]/$L$1</f>
        <v>3.0988064059313367E-4</v>
      </c>
      <c r="N117" s="15">
        <f>IFERROR(Table50[[#This Row],[Opening]]/Table50[[#This Row],[OpeningQty]],0)</f>
        <v>68.010000000000005</v>
      </c>
      <c r="O117" s="15">
        <f>IFERROR(Table50[[#This Row],[Purchases]]/Table50[[#This Row],[PurchasesQty]],0)</f>
        <v>73.010000000000005</v>
      </c>
      <c r="P117" s="15">
        <f>IFERROR(Table50[[#This Row],[Closing]]/Table50[[#This Row],[ClosingQty]],0)</f>
        <v>73.010000000000005</v>
      </c>
      <c r="Q117" s="15">
        <f>IFERROR(AVERAGEIF(Table50[[#This Row],[OPENING COST PRICE]:[CLOSING COST PRICE]],"&gt;0"),0)</f>
        <v>71.343333333333348</v>
      </c>
      <c r="R117" s="15">
        <f>IFERROR(Table50[[#This Row],[COST PRICE]]-IFERROR(Table50[[#This Row],[Usage]]/Table50[[#This Row],[UsageQty]],Table50[[#This Row],[COST PRICE]]),0)</f>
        <v>3.3333333333333428</v>
      </c>
      <c r="S117" s="16">
        <f>IFERROR(Table50[[#This Row],[COST PRICE CHANGE]]/Table50[[#This Row],[OPENING COST PRICE]],0)</f>
        <v>4.9012400137234853E-2</v>
      </c>
      <c r="T117" s="15">
        <f>Table50[[#This Row],[ClosingQty]]-(Table50[[#This Row],[USAGE / DAY]]*(IF(Table50[[#This Row],[ccnt]]="BEV",Table50[[#This Row],[DELIVERY DAY]],Table50[[#This Row],[DELIVERY DAY]])))</f>
        <v>3.34</v>
      </c>
      <c r="U117" s="15">
        <f>ROUNDUP(Table50[[#This Row],[UsageQty]]/Table50[[#This Row],[DATA POINT]],2)</f>
        <v>0.22</v>
      </c>
      <c r="V11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17" s="15">
        <f>IFERROR(Table50[[#This Row],[ORDER QTY]]*Table50[[#This Row],[COST PRICE]],0)</f>
        <v>0</v>
      </c>
      <c r="X117" s="15">
        <f>IFERROR(VLOOKUP(C117,[1]!Table49[[#All],[name]:[USAGE / DAY]],19,FALSE),1)</f>
        <v>0.2</v>
      </c>
      <c r="Y117" s="4">
        <f>IFERROR((Table50[[#This Row],[USAGE / DAY]]-Table50[[#This Row],[USAGE / DAY 2]])/Table50[[#This Row],[USAGE / DAY 2]],0)</f>
        <v>9.999999999999995E-2</v>
      </c>
      <c r="Z117" s="15">
        <f t="shared" si="3"/>
        <v>14</v>
      </c>
      <c r="AA117" s="15">
        <f t="shared" si="4"/>
        <v>9.311854181734148</v>
      </c>
      <c r="AB117" s="15">
        <f>IFERROR(IF(Table50[[#This Row],[ccnt]]="BEV",$AB$2,IF(Table50[[#This Row],[ccnt]]="FOOD",$AC$2,"ENTER # FROM LAST COUNT")),"ENTER # FROM LAST COUNT")</f>
        <v>3</v>
      </c>
      <c r="AC117" s="15">
        <f>(Table50[[#This Row],[OpeningQty]]+Table50[[#This Row],[ClosingQty]])/2</f>
        <v>3.5</v>
      </c>
      <c r="AD117" s="15">
        <f>IFERROR(Table50[[#This Row],[UsageQty]]/Table50[[#This Row],[AVE INVENTORY]],0)</f>
        <v>0.8571428571428571</v>
      </c>
      <c r="AE117" s="15">
        <f>IFERROR(Table50[[#This Row],[DATA POINT]]/Table50[[#This Row],[Inventory Turnover Rate]],0)</f>
        <v>16.333333333333336</v>
      </c>
      <c r="AF117" s="15">
        <f>Table50[[#This Row],[ClosingQty]]/Table50[[#This Row],[USAGE / DAY]]</f>
        <v>18.181818181818183</v>
      </c>
      <c r="AG117" s="15">
        <f>Table50[[#This Row],[USAGE / DAY]]*7</f>
        <v>1.54</v>
      </c>
      <c r="AH117" s="15">
        <f>Table50[[#This Row],[USAGE / DAY]]*3</f>
        <v>0.66</v>
      </c>
      <c r="AI11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17" s="15">
        <f>IFERROR(Table50[[#This Row],[ORDER QTY2]]*Table50[[#This Row],[COST PRICE]],0)</f>
        <v>0</v>
      </c>
      <c r="AK117" s="15">
        <f>(Table50[[#This Row],[REORDER POINT]]*Table50[[#This Row],[COST PRICE]])+Table50[[#This Row],[ORDER COST]]</f>
        <v>238.28673333333336</v>
      </c>
      <c r="AL117" s="15">
        <f t="shared" si="5"/>
        <v>100</v>
      </c>
      <c r="AM117" s="15">
        <f>IFERROR((Table50[[#This Row],[REORDER POINT]]+Table50[[#This Row],[ORDER QTY]])/(Table50[[#This Row],[USAGE / DAY]]*Table50[[#This Row],[DEMAND %]]),Table50[[#This Row],[REORDER POINT]]/Table50[[#This Row],[USAGE / DAY]])</f>
        <v>15.181818181818182</v>
      </c>
    </row>
    <row r="118" spans="1:39" x14ac:dyDescent="0.25">
      <c r="A118" t="s">
        <v>50</v>
      </c>
      <c r="B118" t="s">
        <v>170</v>
      </c>
      <c r="C118" t="s">
        <v>180</v>
      </c>
      <c r="D118" t="s">
        <v>138</v>
      </c>
      <c r="E118">
        <v>8</v>
      </c>
      <c r="F118">
        <v>532</v>
      </c>
      <c r="G118">
        <v>0</v>
      </c>
      <c r="H118">
        <v>0</v>
      </c>
      <c r="I118">
        <v>2.33</v>
      </c>
      <c r="J118">
        <v>154.94999999999999</v>
      </c>
      <c r="K118">
        <f>Table50[[#This Row],[OpeningQty]]+Table50[[#This Row],[PurchasesQty]]-Table50[[#This Row],[ClosingQty]]</f>
        <v>5.67</v>
      </c>
      <c r="L118">
        <v>377.05</v>
      </c>
      <c r="M118" s="14">
        <f>Table50[[#This Row],[Usage]]/$L$1</f>
        <v>5.7266331194256266E-4</v>
      </c>
      <c r="N118" s="15">
        <f>IFERROR(Table50[[#This Row],[Opening]]/Table50[[#This Row],[OpeningQty]],0)</f>
        <v>66.5</v>
      </c>
      <c r="O118" s="15">
        <f>IFERROR(Table50[[#This Row],[Purchases]]/Table50[[#This Row],[PurchasesQty]],0)</f>
        <v>0</v>
      </c>
      <c r="P118" s="15">
        <f>IFERROR(Table50[[#This Row],[Closing]]/Table50[[#This Row],[ClosingQty]],0)</f>
        <v>66.502145922746777</v>
      </c>
      <c r="Q118" s="15">
        <f>IFERROR(AVERAGEIF(Table50[[#This Row],[OPENING COST PRICE]:[CLOSING COST PRICE]],"&gt;0"),0)</f>
        <v>66.501072961373382</v>
      </c>
      <c r="R118" s="15">
        <f>IFERROR(Table50[[#This Row],[COST PRICE]]-IFERROR(Table50[[#This Row],[Usage]]/Table50[[#This Row],[UsageQty]],Table50[[#This Row],[COST PRICE]]),0)</f>
        <v>1.9547955885457213E-3</v>
      </c>
      <c r="S118" s="16">
        <f>IFERROR(Table50[[#This Row],[COST PRICE CHANGE]]/Table50[[#This Row],[OPENING COST PRICE]],0)</f>
        <v>2.9395422384146186E-5</v>
      </c>
      <c r="T118" s="15">
        <f>Table50[[#This Row],[ClosingQty]]-(Table50[[#This Row],[USAGE / DAY]]*(IF(Table50[[#This Row],[ccnt]]="BEV",Table50[[#This Row],[DELIVERY DAY]],Table50[[#This Row],[DELIVERY DAY]])))</f>
        <v>1.1000000000000001</v>
      </c>
      <c r="U118" s="15">
        <f>ROUNDUP(Table50[[#This Row],[UsageQty]]/Table50[[#This Row],[DATA POINT]],2)</f>
        <v>0.41000000000000003</v>
      </c>
      <c r="V11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</v>
      </c>
      <c r="W118" s="15">
        <f>IFERROR(Table50[[#This Row],[ORDER QTY]]*Table50[[#This Row],[COST PRICE]],0)</f>
        <v>199.50321888412014</v>
      </c>
      <c r="X118" s="15">
        <f>IFERROR(VLOOKUP(C118,[1]!Table49[[#All],[name]:[USAGE / DAY]],19,FALSE),1)</f>
        <v>0.38</v>
      </c>
      <c r="Y118" s="4">
        <f>IFERROR((Table50[[#This Row],[USAGE / DAY]]-Table50[[#This Row],[USAGE / DAY 2]])/Table50[[#This Row],[USAGE / DAY 2]],0)</f>
        <v>7.8947368421052697E-2</v>
      </c>
      <c r="Z118" s="15">
        <f t="shared" si="3"/>
        <v>14</v>
      </c>
      <c r="AA118" s="15">
        <f t="shared" si="4"/>
        <v>9.311854181734148</v>
      </c>
      <c r="AB118" s="15">
        <f>IFERROR(IF(Table50[[#This Row],[ccnt]]="BEV",$AB$2,IF(Table50[[#This Row],[ccnt]]="FOOD",$AC$2,"ENTER # FROM LAST COUNT")),"ENTER # FROM LAST COUNT")</f>
        <v>3</v>
      </c>
      <c r="AC118" s="15">
        <f>(Table50[[#This Row],[OpeningQty]]+Table50[[#This Row],[ClosingQty]])/2</f>
        <v>5.165</v>
      </c>
      <c r="AD118" s="15">
        <f>IFERROR(Table50[[#This Row],[UsageQty]]/Table50[[#This Row],[AVE INVENTORY]],0)</f>
        <v>1.0977734753146176</v>
      </c>
      <c r="AE118" s="15">
        <f>IFERROR(Table50[[#This Row],[DATA POINT]]/Table50[[#This Row],[Inventory Turnover Rate]],0)</f>
        <v>12.753086419753087</v>
      </c>
      <c r="AF118" s="15">
        <f>Table50[[#This Row],[ClosingQty]]/Table50[[#This Row],[USAGE / DAY]]</f>
        <v>5.6829268292682924</v>
      </c>
      <c r="AG118" s="15">
        <f>Table50[[#This Row],[USAGE / DAY]]*7</f>
        <v>2.87</v>
      </c>
      <c r="AH118" s="15">
        <f>Table50[[#This Row],[USAGE / DAY]]*3</f>
        <v>1.23</v>
      </c>
      <c r="AI118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1.7699999999999996</v>
      </c>
      <c r="AJ118" s="15">
        <f>IFERROR(Table50[[#This Row],[ORDER QTY2]]*Table50[[#This Row],[COST PRICE]],0)</f>
        <v>117.70689914163086</v>
      </c>
      <c r="AK118" s="15">
        <f>(Table50[[#This Row],[REORDER POINT]]*Table50[[#This Row],[COST PRICE]])+Table50[[#This Row],[ORDER COST]]</f>
        <v>272.65439914163085</v>
      </c>
      <c r="AL118" s="15">
        <f t="shared" si="5"/>
        <v>100</v>
      </c>
      <c r="AM118" s="15">
        <f>IFERROR((Table50[[#This Row],[REORDER POINT]]+Table50[[#This Row],[ORDER QTY]])/(Table50[[#This Row],[USAGE / DAY]]*Table50[[#This Row],[DEMAND %]]),Table50[[#This Row],[REORDER POINT]]/Table50[[#This Row],[USAGE / DAY]])</f>
        <v>9.9999999999999992E-2</v>
      </c>
    </row>
    <row r="119" spans="1:39" x14ac:dyDescent="0.25">
      <c r="A119" t="s">
        <v>50</v>
      </c>
      <c r="B119" t="s">
        <v>170</v>
      </c>
      <c r="C119" t="s">
        <v>181</v>
      </c>
      <c r="D119" t="s">
        <v>138</v>
      </c>
      <c r="E119">
        <v>9</v>
      </c>
      <c r="F119">
        <v>676.17</v>
      </c>
      <c r="G119">
        <v>0</v>
      </c>
      <c r="H119">
        <v>0</v>
      </c>
      <c r="I119">
        <v>9</v>
      </c>
      <c r="J119">
        <v>676.17</v>
      </c>
      <c r="K119">
        <f>Table50[[#This Row],[OpeningQty]]+Table50[[#This Row],[PurchasesQty]]-Table50[[#This Row],[ClosingQty]]</f>
        <v>0</v>
      </c>
      <c r="L119">
        <v>0</v>
      </c>
      <c r="M119" s="14">
        <f>Table50[[#This Row],[Usage]]/$L$1</f>
        <v>0</v>
      </c>
      <c r="N119" s="15">
        <f>IFERROR(Table50[[#This Row],[Opening]]/Table50[[#This Row],[OpeningQty]],0)</f>
        <v>75.13</v>
      </c>
      <c r="O119" s="15">
        <f>IFERROR(Table50[[#This Row],[Purchases]]/Table50[[#This Row],[PurchasesQty]],0)</f>
        <v>0</v>
      </c>
      <c r="P119" s="15">
        <f>IFERROR(Table50[[#This Row],[Closing]]/Table50[[#This Row],[ClosingQty]],0)</f>
        <v>75.13</v>
      </c>
      <c r="Q119" s="15">
        <f>IFERROR(AVERAGEIF(Table50[[#This Row],[OPENING COST PRICE]:[CLOSING COST PRICE]],"&gt;0"),0)</f>
        <v>75.13</v>
      </c>
      <c r="R119" s="15">
        <f>IFERROR(Table50[[#This Row],[COST PRICE]]-IFERROR(Table50[[#This Row],[Usage]]/Table50[[#This Row],[UsageQty]],Table50[[#This Row],[COST PRICE]]),0)</f>
        <v>0</v>
      </c>
      <c r="S119" s="16">
        <f>IFERROR(Table50[[#This Row],[COST PRICE CHANGE]]/Table50[[#This Row],[OPENING COST PRICE]],0)</f>
        <v>0</v>
      </c>
      <c r="T119" s="15">
        <f>Table50[[#This Row],[ClosingQty]]-(Table50[[#This Row],[USAGE / DAY]]*(IF(Table50[[#This Row],[ccnt]]="BEV",Table50[[#This Row],[DELIVERY DAY]],Table50[[#This Row],[DELIVERY DAY]])))</f>
        <v>9</v>
      </c>
      <c r="U119" s="15">
        <f>ROUNDUP(Table50[[#This Row],[UsageQty]]/Table50[[#This Row],[DATA POINT]],2)</f>
        <v>0</v>
      </c>
      <c r="V11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19" s="15">
        <f>IFERROR(Table50[[#This Row],[ORDER QTY]]*Table50[[#This Row],[COST PRICE]],0)</f>
        <v>0</v>
      </c>
      <c r="X119" s="15">
        <f>IFERROR(VLOOKUP(C119,[1]!Table49[[#All],[name]:[USAGE / DAY]],19,FALSE),1)</f>
        <v>0</v>
      </c>
      <c r="Y119" s="4">
        <f>IFERROR((Table50[[#This Row],[USAGE / DAY]]-Table50[[#This Row],[USAGE / DAY 2]])/Table50[[#This Row],[USAGE / DAY 2]],0)</f>
        <v>0</v>
      </c>
      <c r="Z119" s="15">
        <f t="shared" si="3"/>
        <v>14</v>
      </c>
      <c r="AA119" s="15">
        <f t="shared" si="4"/>
        <v>9.311854181734148</v>
      </c>
      <c r="AB119" s="15">
        <f>IFERROR(IF(Table50[[#This Row],[ccnt]]="BEV",$AB$2,IF(Table50[[#This Row],[ccnt]]="FOOD",$AC$2,"ENTER # FROM LAST COUNT")),"ENTER # FROM LAST COUNT")</f>
        <v>3</v>
      </c>
      <c r="AC119" s="15">
        <f>(Table50[[#This Row],[OpeningQty]]+Table50[[#This Row],[ClosingQty]])/2</f>
        <v>9</v>
      </c>
      <c r="AD119" s="15">
        <f>IFERROR(Table50[[#This Row],[UsageQty]]/Table50[[#This Row],[AVE INVENTORY]],0)</f>
        <v>0</v>
      </c>
      <c r="AE119" s="15">
        <f>IFERROR(Table50[[#This Row],[DATA POINT]]/Table50[[#This Row],[Inventory Turnover Rate]],0)</f>
        <v>0</v>
      </c>
      <c r="AF119" s="15" t="e">
        <f>Table50[[#This Row],[ClosingQty]]/Table50[[#This Row],[USAGE / DAY]]</f>
        <v>#DIV/0!</v>
      </c>
      <c r="AG119" s="15">
        <f>Table50[[#This Row],[USAGE / DAY]]*7</f>
        <v>0</v>
      </c>
      <c r="AH119" s="15">
        <f>Table50[[#This Row],[USAGE / DAY]]*3</f>
        <v>0</v>
      </c>
      <c r="AI11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19" s="15">
        <f>IFERROR(Table50[[#This Row],[ORDER QTY2]]*Table50[[#This Row],[COST PRICE]],0)</f>
        <v>0</v>
      </c>
      <c r="AK119" s="15">
        <f>(Table50[[#This Row],[REORDER POINT]]*Table50[[#This Row],[COST PRICE]])+Table50[[#This Row],[ORDER COST]]</f>
        <v>676.17</v>
      </c>
      <c r="AL119" s="15">
        <f t="shared" si="5"/>
        <v>100</v>
      </c>
      <c r="AM119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20" spans="1:39" x14ac:dyDescent="0.25">
      <c r="A120" t="s">
        <v>50</v>
      </c>
      <c r="B120" t="s">
        <v>170</v>
      </c>
      <c r="C120" t="s">
        <v>182</v>
      </c>
      <c r="D120" t="s">
        <v>138</v>
      </c>
      <c r="E120">
        <v>2.11</v>
      </c>
      <c r="F120">
        <v>130.27000000000001</v>
      </c>
      <c r="G120">
        <v>17</v>
      </c>
      <c r="H120">
        <v>1173.06</v>
      </c>
      <c r="I120">
        <v>6.66</v>
      </c>
      <c r="J120">
        <v>434.03</v>
      </c>
      <c r="K120">
        <f>Table50[[#This Row],[OpeningQty]]+Table50[[#This Row],[PurchasesQty]]-Table50[[#This Row],[ClosingQty]]</f>
        <v>12.45</v>
      </c>
      <c r="L120">
        <v>869.3</v>
      </c>
      <c r="M120" s="14">
        <f>Table50[[#This Row],[Usage]]/$L$1</f>
        <v>1.3202923142067887E-3</v>
      </c>
      <c r="N120" s="15">
        <f>IFERROR(Table50[[#This Row],[Opening]]/Table50[[#This Row],[OpeningQty]],0)</f>
        <v>61.739336492891006</v>
      </c>
      <c r="O120" s="15">
        <f>IFERROR(Table50[[#This Row],[Purchases]]/Table50[[#This Row],[PurchasesQty]],0)</f>
        <v>69.003529411764703</v>
      </c>
      <c r="P120" s="15">
        <f>IFERROR(Table50[[#This Row],[Closing]]/Table50[[#This Row],[ClosingQty]],0)</f>
        <v>65.169669669669659</v>
      </c>
      <c r="Q120" s="15">
        <f>IFERROR(AVERAGEIF(Table50[[#This Row],[OPENING COST PRICE]:[CLOSING COST PRICE]],"&gt;0"),0)</f>
        <v>65.304178524775125</v>
      </c>
      <c r="R120" s="15">
        <f>IFERROR(Table50[[#This Row],[COST PRICE]]-IFERROR(Table50[[#This Row],[Usage]]/Table50[[#This Row],[UsageQty]],Table50[[#This Row],[COST PRICE]]),0)</f>
        <v>-4.519114647915643</v>
      </c>
      <c r="S120" s="16">
        <f>IFERROR(Table50[[#This Row],[COST PRICE CHANGE]]/Table50[[#This Row],[OPENING COST PRICE]],0)</f>
        <v>-7.3196683097428453E-2</v>
      </c>
      <c r="T120" s="15">
        <f>Table50[[#This Row],[ClosingQty]]-(Table50[[#This Row],[USAGE / DAY]]*(IF(Table50[[#This Row],[ccnt]]="BEV",Table50[[#This Row],[DELIVERY DAY]],Table50[[#This Row],[DELIVERY DAY]])))</f>
        <v>3.99</v>
      </c>
      <c r="U120" s="15">
        <f>ROUNDUP(Table50[[#This Row],[UsageQty]]/Table50[[#This Row],[DATA POINT]],2)</f>
        <v>0.89</v>
      </c>
      <c r="V12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5</v>
      </c>
      <c r="W120" s="15">
        <f>IFERROR(Table50[[#This Row],[ORDER QTY]]*Table50[[#This Row],[COST PRICE]],0)</f>
        <v>326.52089262387562</v>
      </c>
      <c r="X120" s="15">
        <f>IFERROR(VLOOKUP(C120,[1]!Table49[[#All],[name]:[USAGE / DAY]],19,FALSE),1)</f>
        <v>1.1100000000000001</v>
      </c>
      <c r="Y120" s="4">
        <f>IFERROR((Table50[[#This Row],[USAGE / DAY]]-Table50[[#This Row],[USAGE / DAY 2]])/Table50[[#This Row],[USAGE / DAY 2]],0)</f>
        <v>-0.19819819819819826</v>
      </c>
      <c r="Z120" s="15">
        <f t="shared" si="3"/>
        <v>14</v>
      </c>
      <c r="AA120" s="15">
        <f t="shared" si="4"/>
        <v>9.311854181734148</v>
      </c>
      <c r="AB120" s="15">
        <f>IFERROR(IF(Table50[[#This Row],[ccnt]]="BEV",$AB$2,IF(Table50[[#This Row],[ccnt]]="FOOD",$AC$2,"ENTER # FROM LAST COUNT")),"ENTER # FROM LAST COUNT")</f>
        <v>3</v>
      </c>
      <c r="AC120" s="15">
        <f>(Table50[[#This Row],[OpeningQty]]+Table50[[#This Row],[ClosingQty]])/2</f>
        <v>4.3849999999999998</v>
      </c>
      <c r="AD120" s="15">
        <f>IFERROR(Table50[[#This Row],[UsageQty]]/Table50[[#This Row],[AVE INVENTORY]],0)</f>
        <v>2.8392246294184722</v>
      </c>
      <c r="AE120" s="15">
        <f>IFERROR(Table50[[#This Row],[DATA POINT]]/Table50[[#This Row],[Inventory Turnover Rate]],0)</f>
        <v>4.930923694779116</v>
      </c>
      <c r="AF120" s="15">
        <f>Table50[[#This Row],[ClosingQty]]/Table50[[#This Row],[USAGE / DAY]]</f>
        <v>7.4831460674157304</v>
      </c>
      <c r="AG120" s="15">
        <f>Table50[[#This Row],[USAGE / DAY]]*7</f>
        <v>6.23</v>
      </c>
      <c r="AH120" s="15">
        <f>Table50[[#This Row],[USAGE / DAY]]*3</f>
        <v>2.67</v>
      </c>
      <c r="AI120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2.2400000000000002</v>
      </c>
      <c r="AJ120" s="15">
        <f>IFERROR(Table50[[#This Row],[ORDER QTY2]]*Table50[[#This Row],[COST PRICE]],0)</f>
        <v>146.28135989549628</v>
      </c>
      <c r="AK120" s="15">
        <f>(Table50[[#This Row],[REORDER POINT]]*Table50[[#This Row],[COST PRICE]])+Table50[[#This Row],[ORDER COST]]</f>
        <v>587.08456493772837</v>
      </c>
      <c r="AL120" s="15">
        <f t="shared" si="5"/>
        <v>100</v>
      </c>
      <c r="AM120" s="15">
        <f>IFERROR((Table50[[#This Row],[REORDER POINT]]+Table50[[#This Row],[ORDER QTY]])/(Table50[[#This Row],[USAGE / DAY]]*Table50[[#This Row],[DEMAND %]]),Table50[[#This Row],[REORDER POINT]]/Table50[[#This Row],[USAGE / DAY]])</f>
        <v>0.10101123595505618</v>
      </c>
    </row>
    <row r="121" spans="1:39" x14ac:dyDescent="0.25">
      <c r="A121" t="s">
        <v>50</v>
      </c>
      <c r="B121" t="s">
        <v>170</v>
      </c>
      <c r="C121" t="s">
        <v>183</v>
      </c>
      <c r="D121" t="s">
        <v>138</v>
      </c>
      <c r="E121">
        <v>10.66</v>
      </c>
      <c r="F121">
        <v>511.57</v>
      </c>
      <c r="G121">
        <v>8</v>
      </c>
      <c r="H121">
        <v>383.92</v>
      </c>
      <c r="I121">
        <v>0.66</v>
      </c>
      <c r="J121">
        <v>31.67</v>
      </c>
      <c r="K121">
        <f>Table50[[#This Row],[OpeningQty]]+Table50[[#This Row],[PurchasesQty]]-Table50[[#This Row],[ClosingQty]]</f>
        <v>18</v>
      </c>
      <c r="L121">
        <v>863.82</v>
      </c>
      <c r="M121" s="14">
        <f>Table50[[#This Row],[Usage]]/$L$1</f>
        <v>1.3119692935213486E-3</v>
      </c>
      <c r="N121" s="15">
        <f>IFERROR(Table50[[#This Row],[Opening]]/Table50[[#This Row],[OpeningQty]],0)</f>
        <v>47.989681050656657</v>
      </c>
      <c r="O121" s="15">
        <f>IFERROR(Table50[[#This Row],[Purchases]]/Table50[[#This Row],[PurchasesQty]],0)</f>
        <v>47.99</v>
      </c>
      <c r="P121" s="15">
        <f>IFERROR(Table50[[#This Row],[Closing]]/Table50[[#This Row],[ClosingQty]],0)</f>
        <v>47.984848484848484</v>
      </c>
      <c r="Q121" s="15">
        <f>IFERROR(AVERAGEIF(Table50[[#This Row],[OPENING COST PRICE]:[CLOSING COST PRICE]],"&gt;0"),0)</f>
        <v>47.988176511835057</v>
      </c>
      <c r="R121" s="15">
        <f>IFERROR(Table50[[#This Row],[COST PRICE]]-IFERROR(Table50[[#This Row],[Usage]]/Table50[[#This Row],[UsageQty]],Table50[[#This Row],[COST PRICE]]),0)</f>
        <v>-1.8234881649448198E-3</v>
      </c>
      <c r="S121" s="16">
        <f>IFERROR(Table50[[#This Row],[COST PRICE CHANGE]]/Table50[[#This Row],[OPENING COST PRICE]],0)</f>
        <v>-3.7997505401629844E-5</v>
      </c>
      <c r="T121" s="15">
        <f>Table50[[#This Row],[ClosingQty]]-(Table50[[#This Row],[USAGE / DAY]]*(IF(Table50[[#This Row],[ccnt]]="BEV",Table50[[#This Row],[DELIVERY DAY]],Table50[[#This Row],[DELIVERY DAY]])))</f>
        <v>-3.21</v>
      </c>
      <c r="U121" s="15">
        <f>ROUNDUP(Table50[[#This Row],[UsageQty]]/Table50[[#This Row],[DATA POINT]],2)</f>
        <v>1.29</v>
      </c>
      <c r="V12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16</v>
      </c>
      <c r="W121" s="15">
        <f>IFERROR(Table50[[#This Row],[ORDER QTY]]*Table50[[#This Row],[COST PRICE]],0)</f>
        <v>767.81082418936091</v>
      </c>
      <c r="X121" s="15">
        <f>IFERROR(VLOOKUP(C121,[1]!Table49[[#All],[name]:[USAGE / DAY]],19,FALSE),1)</f>
        <v>0.97</v>
      </c>
      <c r="Y121" s="4">
        <f>IFERROR((Table50[[#This Row],[USAGE / DAY]]-Table50[[#This Row],[USAGE / DAY 2]])/Table50[[#This Row],[USAGE / DAY 2]],0)</f>
        <v>0.32989690721649489</v>
      </c>
      <c r="Z121" s="15">
        <f t="shared" si="3"/>
        <v>14</v>
      </c>
      <c r="AA121" s="15">
        <f t="shared" si="4"/>
        <v>9.311854181734148</v>
      </c>
      <c r="AB121" s="15">
        <f>IFERROR(IF(Table50[[#This Row],[ccnt]]="BEV",$AB$2,IF(Table50[[#This Row],[ccnt]]="FOOD",$AC$2,"ENTER # FROM LAST COUNT")),"ENTER # FROM LAST COUNT")</f>
        <v>3</v>
      </c>
      <c r="AC121" s="15">
        <f>(Table50[[#This Row],[OpeningQty]]+Table50[[#This Row],[ClosingQty]])/2</f>
        <v>5.66</v>
      </c>
      <c r="AD121" s="15">
        <f>IFERROR(Table50[[#This Row],[UsageQty]]/Table50[[#This Row],[AVE INVENTORY]],0)</f>
        <v>3.1802120141342756</v>
      </c>
      <c r="AE121" s="15">
        <f>IFERROR(Table50[[#This Row],[DATA POINT]]/Table50[[#This Row],[Inventory Turnover Rate]],0)</f>
        <v>4.402222222222222</v>
      </c>
      <c r="AF121" s="15">
        <f>Table50[[#This Row],[ClosingQty]]/Table50[[#This Row],[USAGE / DAY]]</f>
        <v>0.51162790697674421</v>
      </c>
      <c r="AG121" s="15">
        <f>Table50[[#This Row],[USAGE / DAY]]*7</f>
        <v>9.0300000000000011</v>
      </c>
      <c r="AH121" s="15">
        <f>Table50[[#This Row],[USAGE / DAY]]*3</f>
        <v>3.87</v>
      </c>
      <c r="AI121" s="15">
        <f>IF(Table50[[#This Row],[FORECASTED DEMAND]]+Table50[[#This Row],[SAFETY STOCK]]-Table50[[#This Row],[ClosingQty]]&gt;0,Table50[[#This Row],[FORECASTED DEMAND]]+Table50[[#This Row],[SAFETY STOCK]]-Table50[[#This Row],[ClosingQty]],"NO ORDER")</f>
        <v>12.240000000000002</v>
      </c>
      <c r="AJ121" s="15">
        <f>IFERROR(Table50[[#This Row],[ORDER QTY2]]*Table50[[#This Row],[COST PRICE]],0)</f>
        <v>587.37528050486117</v>
      </c>
      <c r="AK121" s="15">
        <f>(Table50[[#This Row],[REORDER POINT]]*Table50[[#This Row],[COST PRICE]])+Table50[[#This Row],[ORDER COST]]</f>
        <v>613.76877758637033</v>
      </c>
      <c r="AL121" s="15">
        <f t="shared" si="5"/>
        <v>100</v>
      </c>
      <c r="AM121" s="15">
        <f>IFERROR((Table50[[#This Row],[REORDER POINT]]+Table50[[#This Row],[ORDER QTY]])/(Table50[[#This Row],[USAGE / DAY]]*Table50[[#This Row],[DEMAND %]]),Table50[[#This Row],[REORDER POINT]]/Table50[[#This Row],[USAGE / DAY]])</f>
        <v>9.9147286821705413E-2</v>
      </c>
    </row>
    <row r="122" spans="1:39" x14ac:dyDescent="0.25">
      <c r="A122" t="s">
        <v>50</v>
      </c>
      <c r="B122" t="s">
        <v>170</v>
      </c>
      <c r="C122" t="s">
        <v>184</v>
      </c>
      <c r="D122" t="s">
        <v>138</v>
      </c>
      <c r="E122">
        <v>7.22</v>
      </c>
      <c r="F122">
        <v>328.44</v>
      </c>
      <c r="G122">
        <v>0</v>
      </c>
      <c r="H122">
        <v>0</v>
      </c>
      <c r="I122">
        <v>6</v>
      </c>
      <c r="J122">
        <v>272.94</v>
      </c>
      <c r="K122">
        <f>Table50[[#This Row],[OpeningQty]]+Table50[[#This Row],[PurchasesQty]]-Table50[[#This Row],[ClosingQty]]</f>
        <v>1.2199999999999998</v>
      </c>
      <c r="L122">
        <v>55.5</v>
      </c>
      <c r="M122" s="14">
        <f>Table50[[#This Row],[Usage]]/$L$1</f>
        <v>8.4293366431009749E-5</v>
      </c>
      <c r="N122" s="15">
        <f>IFERROR(Table50[[#This Row],[Opening]]/Table50[[#This Row],[OpeningQty]],0)</f>
        <v>45.490304709141277</v>
      </c>
      <c r="O122" s="15">
        <f>IFERROR(Table50[[#This Row],[Purchases]]/Table50[[#This Row],[PurchasesQty]],0)</f>
        <v>0</v>
      </c>
      <c r="P122" s="15">
        <f>IFERROR(Table50[[#This Row],[Closing]]/Table50[[#This Row],[ClosingQty]],0)</f>
        <v>45.49</v>
      </c>
      <c r="Q122" s="15">
        <f>IFERROR(AVERAGEIF(Table50[[#This Row],[OPENING COST PRICE]:[CLOSING COST PRICE]],"&gt;0"),0)</f>
        <v>45.49015235457064</v>
      </c>
      <c r="R122" s="15">
        <f>IFERROR(Table50[[#This Row],[COST PRICE]]-IFERROR(Table50[[#This Row],[Usage]]/Table50[[#This Row],[UsageQty]],Table50[[#This Row],[COST PRICE]]),0)</f>
        <v>-1.6509241178965794E-3</v>
      </c>
      <c r="S122" s="16">
        <f>IFERROR(Table50[[#This Row],[COST PRICE CHANGE]]/Table50[[#This Row],[OPENING COST PRICE]],0)</f>
        <v>-3.6291779719928457E-5</v>
      </c>
      <c r="T122" s="15">
        <f>Table50[[#This Row],[ClosingQty]]-(Table50[[#This Row],[USAGE / DAY]]*(IF(Table50[[#This Row],[ccnt]]="BEV",Table50[[#This Row],[DELIVERY DAY]],Table50[[#This Row],[DELIVERY DAY]])))</f>
        <v>5.73</v>
      </c>
      <c r="U122" s="15">
        <f>ROUNDUP(Table50[[#This Row],[UsageQty]]/Table50[[#This Row],[DATA POINT]],2)</f>
        <v>0.09</v>
      </c>
      <c r="V12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22" s="15">
        <f>IFERROR(Table50[[#This Row],[ORDER QTY]]*Table50[[#This Row],[COST PRICE]],0)</f>
        <v>0</v>
      </c>
      <c r="X122" s="15">
        <f>IFERROR(VLOOKUP(C122,[1]!Table49[[#All],[name]:[USAGE / DAY]],19,FALSE),1)</f>
        <v>0</v>
      </c>
      <c r="Y122" s="4">
        <f>IFERROR((Table50[[#This Row],[USAGE / DAY]]-Table50[[#This Row],[USAGE / DAY 2]])/Table50[[#This Row],[USAGE / DAY 2]],0)</f>
        <v>0</v>
      </c>
      <c r="Z122" s="15">
        <f t="shared" si="3"/>
        <v>14</v>
      </c>
      <c r="AA122" s="15">
        <f t="shared" si="4"/>
        <v>9.311854181734148</v>
      </c>
      <c r="AB122" s="15">
        <f>IFERROR(IF(Table50[[#This Row],[ccnt]]="BEV",$AB$2,IF(Table50[[#This Row],[ccnt]]="FOOD",$AC$2,"ENTER # FROM LAST COUNT")),"ENTER # FROM LAST COUNT")</f>
        <v>3</v>
      </c>
      <c r="AC122" s="15">
        <f>(Table50[[#This Row],[OpeningQty]]+Table50[[#This Row],[ClosingQty]])/2</f>
        <v>6.6099999999999994</v>
      </c>
      <c r="AD122" s="15">
        <f>IFERROR(Table50[[#This Row],[UsageQty]]/Table50[[#This Row],[AVE INVENTORY]],0)</f>
        <v>0.18456883509833583</v>
      </c>
      <c r="AE122" s="15">
        <f>IFERROR(Table50[[#This Row],[DATA POINT]]/Table50[[#This Row],[Inventory Turnover Rate]],0)</f>
        <v>75.852459016393453</v>
      </c>
      <c r="AF122" s="15">
        <f>Table50[[#This Row],[ClosingQty]]/Table50[[#This Row],[USAGE / DAY]]</f>
        <v>66.666666666666671</v>
      </c>
      <c r="AG122" s="15">
        <f>Table50[[#This Row],[USAGE / DAY]]*7</f>
        <v>0.63</v>
      </c>
      <c r="AH122" s="15">
        <f>Table50[[#This Row],[USAGE / DAY]]*3</f>
        <v>0.27</v>
      </c>
      <c r="AI12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22" s="15">
        <f>IFERROR(Table50[[#This Row],[ORDER QTY2]]*Table50[[#This Row],[COST PRICE]],0)</f>
        <v>0</v>
      </c>
      <c r="AK122" s="15">
        <f>(Table50[[#This Row],[REORDER POINT]]*Table50[[#This Row],[COST PRICE]])+Table50[[#This Row],[ORDER COST]]</f>
        <v>260.65857299168977</v>
      </c>
      <c r="AL122" s="15">
        <f t="shared" si="5"/>
        <v>100</v>
      </c>
      <c r="AM122" s="15">
        <f>IFERROR((Table50[[#This Row],[REORDER POINT]]+Table50[[#This Row],[ORDER QTY]])/(Table50[[#This Row],[USAGE / DAY]]*Table50[[#This Row],[DEMAND %]]),Table50[[#This Row],[REORDER POINT]]/Table50[[#This Row],[USAGE / DAY]])</f>
        <v>63.666666666666671</v>
      </c>
    </row>
    <row r="123" spans="1:39" x14ac:dyDescent="0.25">
      <c r="A123" t="s">
        <v>50</v>
      </c>
      <c r="B123" t="s">
        <v>170</v>
      </c>
      <c r="C123" t="s">
        <v>185</v>
      </c>
      <c r="D123" t="s">
        <v>138</v>
      </c>
      <c r="E123">
        <v>1</v>
      </c>
      <c r="F123">
        <v>155.63999999999999</v>
      </c>
      <c r="G123">
        <v>0</v>
      </c>
      <c r="H123">
        <v>0</v>
      </c>
      <c r="I123">
        <v>1</v>
      </c>
      <c r="J123">
        <v>155.63999999999999</v>
      </c>
      <c r="K123">
        <f>Table50[[#This Row],[OpeningQty]]+Table50[[#This Row],[PurchasesQty]]-Table50[[#This Row],[ClosingQty]]</f>
        <v>0</v>
      </c>
      <c r="L123">
        <v>0</v>
      </c>
      <c r="M123" s="14">
        <f>Table50[[#This Row],[Usage]]/$L$1</f>
        <v>0</v>
      </c>
      <c r="N123" s="15">
        <f>IFERROR(Table50[[#This Row],[Opening]]/Table50[[#This Row],[OpeningQty]],0)</f>
        <v>155.63999999999999</v>
      </c>
      <c r="O123" s="15">
        <f>IFERROR(Table50[[#This Row],[Purchases]]/Table50[[#This Row],[PurchasesQty]],0)</f>
        <v>0</v>
      </c>
      <c r="P123" s="15">
        <f>IFERROR(Table50[[#This Row],[Closing]]/Table50[[#This Row],[ClosingQty]],0)</f>
        <v>155.63999999999999</v>
      </c>
      <c r="Q123" s="15">
        <f>IFERROR(AVERAGEIF(Table50[[#This Row],[OPENING COST PRICE]:[CLOSING COST PRICE]],"&gt;0"),0)</f>
        <v>155.63999999999999</v>
      </c>
      <c r="R123" s="15">
        <f>IFERROR(Table50[[#This Row],[COST PRICE]]-IFERROR(Table50[[#This Row],[Usage]]/Table50[[#This Row],[UsageQty]],Table50[[#This Row],[COST PRICE]]),0)</f>
        <v>0</v>
      </c>
      <c r="S123" s="16">
        <f>IFERROR(Table50[[#This Row],[COST PRICE CHANGE]]/Table50[[#This Row],[OPENING COST PRICE]],0)</f>
        <v>0</v>
      </c>
      <c r="T123" s="15">
        <f>Table50[[#This Row],[ClosingQty]]-(Table50[[#This Row],[USAGE / DAY]]*(IF(Table50[[#This Row],[ccnt]]="BEV",Table50[[#This Row],[DELIVERY DAY]],Table50[[#This Row],[DELIVERY DAY]])))</f>
        <v>1</v>
      </c>
      <c r="U123" s="15">
        <f>ROUNDUP(Table50[[#This Row],[UsageQty]]/Table50[[#This Row],[DATA POINT]],2)</f>
        <v>0</v>
      </c>
      <c r="V12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23" s="15">
        <f>IFERROR(Table50[[#This Row],[ORDER QTY]]*Table50[[#This Row],[COST PRICE]],0)</f>
        <v>0</v>
      </c>
      <c r="X123" s="15">
        <f>IFERROR(VLOOKUP(C123,[1]!Table49[[#All],[name]:[USAGE / DAY]],19,FALSE),1)</f>
        <v>0</v>
      </c>
      <c r="Y123" s="4">
        <f>IFERROR((Table50[[#This Row],[USAGE / DAY]]-Table50[[#This Row],[USAGE / DAY 2]])/Table50[[#This Row],[USAGE / DAY 2]],0)</f>
        <v>0</v>
      </c>
      <c r="Z123" s="15">
        <f t="shared" si="3"/>
        <v>14</v>
      </c>
      <c r="AA123" s="15">
        <f t="shared" si="4"/>
        <v>9.311854181734148</v>
      </c>
      <c r="AB123" s="15">
        <f>IFERROR(IF(Table50[[#This Row],[ccnt]]="BEV",$AB$2,IF(Table50[[#This Row],[ccnt]]="FOOD",$AC$2,"ENTER # FROM LAST COUNT")),"ENTER # FROM LAST COUNT")</f>
        <v>3</v>
      </c>
      <c r="AC123" s="15">
        <f>(Table50[[#This Row],[OpeningQty]]+Table50[[#This Row],[ClosingQty]])/2</f>
        <v>1</v>
      </c>
      <c r="AD123" s="15">
        <f>IFERROR(Table50[[#This Row],[UsageQty]]/Table50[[#This Row],[AVE INVENTORY]],0)</f>
        <v>0</v>
      </c>
      <c r="AE123" s="15">
        <f>IFERROR(Table50[[#This Row],[DATA POINT]]/Table50[[#This Row],[Inventory Turnover Rate]],0)</f>
        <v>0</v>
      </c>
      <c r="AF123" s="15" t="e">
        <f>Table50[[#This Row],[ClosingQty]]/Table50[[#This Row],[USAGE / DAY]]</f>
        <v>#DIV/0!</v>
      </c>
      <c r="AG123" s="15">
        <f>Table50[[#This Row],[USAGE / DAY]]*7</f>
        <v>0</v>
      </c>
      <c r="AH123" s="15">
        <f>Table50[[#This Row],[USAGE / DAY]]*3</f>
        <v>0</v>
      </c>
      <c r="AI12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23" s="15">
        <f>IFERROR(Table50[[#This Row],[ORDER QTY2]]*Table50[[#This Row],[COST PRICE]],0)</f>
        <v>0</v>
      </c>
      <c r="AK123" s="15">
        <f>(Table50[[#This Row],[REORDER POINT]]*Table50[[#This Row],[COST PRICE]])+Table50[[#This Row],[ORDER COST]]</f>
        <v>155.63999999999999</v>
      </c>
      <c r="AL123" s="15">
        <f t="shared" si="5"/>
        <v>100</v>
      </c>
      <c r="AM123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24" spans="1:39" x14ac:dyDescent="0.25">
      <c r="A124" t="s">
        <v>50</v>
      </c>
      <c r="B124" t="s">
        <v>170</v>
      </c>
      <c r="C124" t="s">
        <v>186</v>
      </c>
      <c r="D124" t="s">
        <v>138</v>
      </c>
      <c r="E124">
        <v>0</v>
      </c>
      <c r="F124">
        <v>0</v>
      </c>
      <c r="G124">
        <v>4</v>
      </c>
      <c r="H124">
        <v>289.72000000000003</v>
      </c>
      <c r="I124">
        <v>4</v>
      </c>
      <c r="J124">
        <v>289.72000000000003</v>
      </c>
      <c r="K124">
        <f>Table50[[#This Row],[OpeningQty]]+Table50[[#This Row],[PurchasesQty]]-Table50[[#This Row],[ClosingQty]]</f>
        <v>0</v>
      </c>
      <c r="L124">
        <v>0</v>
      </c>
      <c r="M124" s="14">
        <f>Table50[[#This Row],[Usage]]/$L$1</f>
        <v>0</v>
      </c>
      <c r="N124" s="15">
        <f>IFERROR(Table50[[#This Row],[Opening]]/Table50[[#This Row],[OpeningQty]],0)</f>
        <v>0</v>
      </c>
      <c r="O124" s="15">
        <f>IFERROR(Table50[[#This Row],[Purchases]]/Table50[[#This Row],[PurchasesQty]],0)</f>
        <v>72.430000000000007</v>
      </c>
      <c r="P124" s="15">
        <f>IFERROR(Table50[[#This Row],[Closing]]/Table50[[#This Row],[ClosingQty]],0)</f>
        <v>72.430000000000007</v>
      </c>
      <c r="Q124" s="15">
        <f>IFERROR(AVERAGEIF(Table50[[#This Row],[OPENING COST PRICE]:[CLOSING COST PRICE]],"&gt;0"),0)</f>
        <v>72.430000000000007</v>
      </c>
      <c r="R124" s="15">
        <f>IFERROR(Table50[[#This Row],[COST PRICE]]-IFERROR(Table50[[#This Row],[Usage]]/Table50[[#This Row],[UsageQty]],Table50[[#This Row],[COST PRICE]]),0)</f>
        <v>0</v>
      </c>
      <c r="S124" s="16">
        <f>IFERROR(Table50[[#This Row],[COST PRICE CHANGE]]/Table50[[#This Row],[OPENING COST PRICE]],0)</f>
        <v>0</v>
      </c>
      <c r="T124" s="15">
        <f>Table50[[#This Row],[ClosingQty]]-(Table50[[#This Row],[USAGE / DAY]]*(IF(Table50[[#This Row],[ccnt]]="BEV",Table50[[#This Row],[DELIVERY DAY]],Table50[[#This Row],[DELIVERY DAY]])))</f>
        <v>4</v>
      </c>
      <c r="U124" s="15">
        <f>ROUNDUP(Table50[[#This Row],[UsageQty]]/Table50[[#This Row],[DATA POINT]],2)</f>
        <v>0</v>
      </c>
      <c r="V12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24" s="15">
        <f>IFERROR(Table50[[#This Row],[ORDER QTY]]*Table50[[#This Row],[COST PRICE]],0)</f>
        <v>0</v>
      </c>
      <c r="X124" s="15">
        <f>IFERROR(VLOOKUP(C124,[1]!Table49[[#All],[name]:[USAGE / DAY]],19,FALSE),1)</f>
        <v>0.2</v>
      </c>
      <c r="Y124" s="4">
        <f>IFERROR((Table50[[#This Row],[USAGE / DAY]]-Table50[[#This Row],[USAGE / DAY 2]])/Table50[[#This Row],[USAGE / DAY 2]],0)</f>
        <v>-1</v>
      </c>
      <c r="Z124" s="15">
        <f t="shared" si="3"/>
        <v>14</v>
      </c>
      <c r="AA124" s="15">
        <f t="shared" si="4"/>
        <v>9.311854181734148</v>
      </c>
      <c r="AB124" s="15">
        <f>IFERROR(IF(Table50[[#This Row],[ccnt]]="BEV",$AB$2,IF(Table50[[#This Row],[ccnt]]="FOOD",$AC$2,"ENTER # FROM LAST COUNT")),"ENTER # FROM LAST COUNT")</f>
        <v>3</v>
      </c>
      <c r="AC124" s="15">
        <f>(Table50[[#This Row],[OpeningQty]]+Table50[[#This Row],[ClosingQty]])/2</f>
        <v>2</v>
      </c>
      <c r="AD124" s="15">
        <f>IFERROR(Table50[[#This Row],[UsageQty]]/Table50[[#This Row],[AVE INVENTORY]],0)</f>
        <v>0</v>
      </c>
      <c r="AE124" s="15">
        <f>IFERROR(Table50[[#This Row],[DATA POINT]]/Table50[[#This Row],[Inventory Turnover Rate]],0)</f>
        <v>0</v>
      </c>
      <c r="AF124" s="15" t="e">
        <f>Table50[[#This Row],[ClosingQty]]/Table50[[#This Row],[USAGE / DAY]]</f>
        <v>#DIV/0!</v>
      </c>
      <c r="AG124" s="15">
        <f>Table50[[#This Row],[USAGE / DAY]]*7</f>
        <v>0</v>
      </c>
      <c r="AH124" s="15">
        <f>Table50[[#This Row],[USAGE / DAY]]*3</f>
        <v>0</v>
      </c>
      <c r="AI12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24" s="15">
        <f>IFERROR(Table50[[#This Row],[ORDER QTY2]]*Table50[[#This Row],[COST PRICE]],0)</f>
        <v>0</v>
      </c>
      <c r="AK124" s="15">
        <f>(Table50[[#This Row],[REORDER POINT]]*Table50[[#This Row],[COST PRICE]])+Table50[[#This Row],[ORDER COST]]</f>
        <v>289.72000000000003</v>
      </c>
      <c r="AL124" s="15">
        <f t="shared" si="5"/>
        <v>100</v>
      </c>
      <c r="AM124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25" spans="1:39" x14ac:dyDescent="0.25">
      <c r="A125" t="s">
        <v>50</v>
      </c>
      <c r="B125" t="s">
        <v>170</v>
      </c>
      <c r="C125" t="s">
        <v>187</v>
      </c>
      <c r="D125" t="s">
        <v>188</v>
      </c>
      <c r="E125">
        <v>4</v>
      </c>
      <c r="F125">
        <v>507.64</v>
      </c>
      <c r="G125">
        <v>0</v>
      </c>
      <c r="H125">
        <v>0</v>
      </c>
      <c r="I125">
        <v>3</v>
      </c>
      <c r="J125">
        <v>380.73</v>
      </c>
      <c r="K125">
        <f>Table50[[#This Row],[OpeningQty]]+Table50[[#This Row],[PurchasesQty]]-Table50[[#This Row],[ClosingQty]]</f>
        <v>1</v>
      </c>
      <c r="L125">
        <v>126.91</v>
      </c>
      <c r="M125" s="14">
        <f>Table50[[#This Row],[Usage]]/$L$1</f>
        <v>1.9275083123890895E-4</v>
      </c>
      <c r="N125" s="15">
        <f>IFERROR(Table50[[#This Row],[Opening]]/Table50[[#This Row],[OpeningQty]],0)</f>
        <v>126.91</v>
      </c>
      <c r="O125" s="15">
        <f>IFERROR(Table50[[#This Row],[Purchases]]/Table50[[#This Row],[PurchasesQty]],0)</f>
        <v>0</v>
      </c>
      <c r="P125" s="15">
        <f>IFERROR(Table50[[#This Row],[Closing]]/Table50[[#This Row],[ClosingQty]],0)</f>
        <v>126.91000000000001</v>
      </c>
      <c r="Q125" s="15">
        <f>IFERROR(AVERAGEIF(Table50[[#This Row],[OPENING COST PRICE]:[CLOSING COST PRICE]],"&gt;0"),0)</f>
        <v>126.91</v>
      </c>
      <c r="R125" s="15">
        <f>IFERROR(Table50[[#This Row],[COST PRICE]]-IFERROR(Table50[[#This Row],[Usage]]/Table50[[#This Row],[UsageQty]],Table50[[#This Row],[COST PRICE]]),0)</f>
        <v>0</v>
      </c>
      <c r="S125" s="16">
        <f>IFERROR(Table50[[#This Row],[COST PRICE CHANGE]]/Table50[[#This Row],[OPENING COST PRICE]],0)</f>
        <v>0</v>
      </c>
      <c r="T125" s="15">
        <f>Table50[[#This Row],[ClosingQty]]-(Table50[[#This Row],[USAGE / DAY]]*(IF(Table50[[#This Row],[ccnt]]="BEV",Table50[[#This Row],[DELIVERY DAY]],Table50[[#This Row],[DELIVERY DAY]])))</f>
        <v>2.76</v>
      </c>
      <c r="U125" s="15">
        <f>ROUNDUP(Table50[[#This Row],[UsageQty]]/Table50[[#This Row],[DATA POINT]],2)</f>
        <v>0.08</v>
      </c>
      <c r="V12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25" s="15">
        <f>IFERROR(Table50[[#This Row],[ORDER QTY]]*Table50[[#This Row],[COST PRICE]],0)</f>
        <v>0</v>
      </c>
      <c r="X125" s="15">
        <f>IFERROR(VLOOKUP(C125,[1]!Table49[[#All],[name]:[USAGE / DAY]],19,FALSE),1)</f>
        <v>0</v>
      </c>
      <c r="Y125" s="4">
        <f>IFERROR((Table50[[#This Row],[USAGE / DAY]]-Table50[[#This Row],[USAGE / DAY 2]])/Table50[[#This Row],[USAGE / DAY 2]],0)</f>
        <v>0</v>
      </c>
      <c r="Z125" s="15">
        <f t="shared" si="3"/>
        <v>14</v>
      </c>
      <c r="AA125" s="15">
        <f t="shared" si="4"/>
        <v>9.311854181734148</v>
      </c>
      <c r="AB125" s="15">
        <f>IFERROR(IF(Table50[[#This Row],[ccnt]]="BEV",$AB$2,IF(Table50[[#This Row],[ccnt]]="FOOD",$AC$2,"ENTER # FROM LAST COUNT")),"ENTER # FROM LAST COUNT")</f>
        <v>3</v>
      </c>
      <c r="AC125" s="15">
        <f>(Table50[[#This Row],[OpeningQty]]+Table50[[#This Row],[ClosingQty]])/2</f>
        <v>3.5</v>
      </c>
      <c r="AD125" s="15">
        <f>IFERROR(Table50[[#This Row],[UsageQty]]/Table50[[#This Row],[AVE INVENTORY]],0)</f>
        <v>0.2857142857142857</v>
      </c>
      <c r="AE125" s="15">
        <f>IFERROR(Table50[[#This Row],[DATA POINT]]/Table50[[#This Row],[Inventory Turnover Rate]],0)</f>
        <v>49</v>
      </c>
      <c r="AF125" s="15">
        <f>Table50[[#This Row],[ClosingQty]]/Table50[[#This Row],[USAGE / DAY]]</f>
        <v>37.5</v>
      </c>
      <c r="AG125" s="15">
        <f>Table50[[#This Row],[USAGE / DAY]]*7</f>
        <v>0.56000000000000005</v>
      </c>
      <c r="AH125" s="15">
        <f>Table50[[#This Row],[USAGE / DAY]]*3</f>
        <v>0.24</v>
      </c>
      <c r="AI12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25" s="15">
        <f>IFERROR(Table50[[#This Row],[ORDER QTY2]]*Table50[[#This Row],[COST PRICE]],0)</f>
        <v>0</v>
      </c>
      <c r="AK125" s="15">
        <f>(Table50[[#This Row],[REORDER POINT]]*Table50[[#This Row],[COST PRICE]])+Table50[[#This Row],[ORDER COST]]</f>
        <v>350.27159999999998</v>
      </c>
      <c r="AL125" s="15">
        <f t="shared" si="5"/>
        <v>100</v>
      </c>
      <c r="AM125" s="15">
        <f>IFERROR((Table50[[#This Row],[REORDER POINT]]+Table50[[#This Row],[ORDER QTY]])/(Table50[[#This Row],[USAGE / DAY]]*Table50[[#This Row],[DEMAND %]]),Table50[[#This Row],[REORDER POINT]]/Table50[[#This Row],[USAGE / DAY]])</f>
        <v>34.5</v>
      </c>
    </row>
    <row r="126" spans="1:39" x14ac:dyDescent="0.25">
      <c r="A126" t="s">
        <v>50</v>
      </c>
      <c r="B126" t="s">
        <v>170</v>
      </c>
      <c r="C126" t="s">
        <v>189</v>
      </c>
      <c r="D126" t="s">
        <v>53</v>
      </c>
      <c r="E126">
        <v>4.33</v>
      </c>
      <c r="F126">
        <v>257.12</v>
      </c>
      <c r="G126">
        <v>6</v>
      </c>
      <c r="H126">
        <v>356.28</v>
      </c>
      <c r="I126">
        <v>1.33</v>
      </c>
      <c r="J126">
        <v>78.98</v>
      </c>
      <c r="K126">
        <f>Table50[[#This Row],[OpeningQty]]+Table50[[#This Row],[PurchasesQty]]-Table50[[#This Row],[ClosingQty]]</f>
        <v>9</v>
      </c>
      <c r="L126">
        <v>534.41999999999996</v>
      </c>
      <c r="M126" s="14">
        <f>Table50[[#This Row],[Usage]]/$L$1</f>
        <v>8.1167677275784187E-4</v>
      </c>
      <c r="N126" s="15">
        <f>IFERROR(Table50[[#This Row],[Opening]]/Table50[[#This Row],[OpeningQty]],0)</f>
        <v>59.381062355658202</v>
      </c>
      <c r="O126" s="15">
        <f>IFERROR(Table50[[#This Row],[Purchases]]/Table50[[#This Row],[PurchasesQty]],0)</f>
        <v>59.379999999999995</v>
      </c>
      <c r="P126" s="15">
        <f>IFERROR(Table50[[#This Row],[Closing]]/Table50[[#This Row],[ClosingQty]],0)</f>
        <v>59.383458646616539</v>
      </c>
      <c r="Q126" s="15">
        <f>IFERROR(AVERAGEIF(Table50[[#This Row],[OPENING COST PRICE]:[CLOSING COST PRICE]],"&gt;0"),0)</f>
        <v>59.381507000758241</v>
      </c>
      <c r="R126" s="15">
        <f>IFERROR(Table50[[#This Row],[COST PRICE]]-IFERROR(Table50[[#This Row],[Usage]]/Table50[[#This Row],[UsageQty]],Table50[[#This Row],[COST PRICE]]),0)</f>
        <v>1.5070007582451694E-3</v>
      </c>
      <c r="S126" s="16">
        <f>IFERROR(Table50[[#This Row],[COST PRICE CHANGE]]/Table50[[#This Row],[OPENING COST PRICE]],0)</f>
        <v>2.5378474187933975E-5</v>
      </c>
      <c r="T126" s="15">
        <f>Table50[[#This Row],[ClosingQty]]-(Table50[[#This Row],[USAGE / DAY]]*(IF(Table50[[#This Row],[ccnt]]="BEV",Table50[[#This Row],[DELIVERY DAY]],Table50[[#This Row],[DELIVERY DAY]])))</f>
        <v>-0.62000000000000011</v>
      </c>
      <c r="U126" s="15">
        <f>ROUNDUP(Table50[[#This Row],[UsageQty]]/Table50[[#This Row],[DATA POINT]],2)</f>
        <v>0.65</v>
      </c>
      <c r="V12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7</v>
      </c>
      <c r="W126" s="15">
        <f>IFERROR(Table50[[#This Row],[ORDER QTY]]*Table50[[#This Row],[COST PRICE]],0)</f>
        <v>415.67054900530769</v>
      </c>
      <c r="X126" s="15">
        <f>IFERROR(VLOOKUP(C126,[1]!Table49[[#All],[name]:[USAGE / DAY]],19,FALSE),1)</f>
        <v>0.53</v>
      </c>
      <c r="Y126" s="4">
        <f>IFERROR((Table50[[#This Row],[USAGE / DAY]]-Table50[[#This Row],[USAGE / DAY 2]])/Table50[[#This Row],[USAGE / DAY 2]],0)</f>
        <v>0.22641509433962262</v>
      </c>
      <c r="Z126" s="15">
        <f t="shared" si="3"/>
        <v>14</v>
      </c>
      <c r="AA126" s="15">
        <f t="shared" si="4"/>
        <v>9.311854181734148</v>
      </c>
      <c r="AB126" s="15">
        <f>IFERROR(IF(Table50[[#This Row],[ccnt]]="BEV",$AB$2,IF(Table50[[#This Row],[ccnt]]="FOOD",$AC$2,"ENTER # FROM LAST COUNT")),"ENTER # FROM LAST COUNT")</f>
        <v>3</v>
      </c>
      <c r="AC126" s="15">
        <f>(Table50[[#This Row],[OpeningQty]]+Table50[[#This Row],[ClosingQty]])/2</f>
        <v>2.83</v>
      </c>
      <c r="AD126" s="15">
        <f>IFERROR(Table50[[#This Row],[UsageQty]]/Table50[[#This Row],[AVE INVENTORY]],0)</f>
        <v>3.1802120141342756</v>
      </c>
      <c r="AE126" s="15">
        <f>IFERROR(Table50[[#This Row],[DATA POINT]]/Table50[[#This Row],[Inventory Turnover Rate]],0)</f>
        <v>4.402222222222222</v>
      </c>
      <c r="AF126" s="15">
        <f>Table50[[#This Row],[ClosingQty]]/Table50[[#This Row],[USAGE / DAY]]</f>
        <v>2.046153846153846</v>
      </c>
      <c r="AG126" s="15">
        <f>Table50[[#This Row],[USAGE / DAY]]*7</f>
        <v>4.55</v>
      </c>
      <c r="AH126" s="15">
        <f>Table50[[#This Row],[USAGE / DAY]]*3</f>
        <v>1.9500000000000002</v>
      </c>
      <c r="AI126" s="15">
        <f>IF(Table50[[#This Row],[FORECASTED DEMAND]]+Table50[[#This Row],[SAFETY STOCK]]-Table50[[#This Row],[ClosingQty]]&gt;0,Table50[[#This Row],[FORECASTED DEMAND]]+Table50[[#This Row],[SAFETY STOCK]]-Table50[[#This Row],[ClosingQty]],"NO ORDER")</f>
        <v>5.17</v>
      </c>
      <c r="AJ126" s="15">
        <f>IFERROR(Table50[[#This Row],[ORDER QTY2]]*Table50[[#This Row],[COST PRICE]],0)</f>
        <v>307.00239119392012</v>
      </c>
      <c r="AK126" s="15">
        <f>(Table50[[#This Row],[REORDER POINT]]*Table50[[#This Row],[COST PRICE]])+Table50[[#This Row],[ORDER COST]]</f>
        <v>378.85401466483756</v>
      </c>
      <c r="AL126" s="15">
        <f t="shared" si="5"/>
        <v>100</v>
      </c>
      <c r="AM126" s="15">
        <f>IFERROR((Table50[[#This Row],[REORDER POINT]]+Table50[[#This Row],[ORDER QTY]])/(Table50[[#This Row],[USAGE / DAY]]*Table50[[#This Row],[DEMAND %]]),Table50[[#This Row],[REORDER POINT]]/Table50[[#This Row],[USAGE / DAY]])</f>
        <v>9.8153846153846147E-2</v>
      </c>
    </row>
    <row r="127" spans="1:39" x14ac:dyDescent="0.25">
      <c r="A127" t="s">
        <v>50</v>
      </c>
      <c r="B127" t="s">
        <v>170</v>
      </c>
      <c r="C127" t="s">
        <v>190</v>
      </c>
      <c r="D127" t="s">
        <v>53</v>
      </c>
      <c r="E127">
        <v>7</v>
      </c>
      <c r="F127">
        <v>493.85</v>
      </c>
      <c r="G127">
        <v>0</v>
      </c>
      <c r="H127">
        <v>0</v>
      </c>
      <c r="I127">
        <v>4</v>
      </c>
      <c r="J127">
        <v>282.2</v>
      </c>
      <c r="K127">
        <f>Table50[[#This Row],[OpeningQty]]+Table50[[#This Row],[PurchasesQty]]-Table50[[#This Row],[ClosingQty]]</f>
        <v>3</v>
      </c>
      <c r="L127">
        <v>211.65</v>
      </c>
      <c r="M127" s="14">
        <f>Table50[[#This Row],[Usage]]/$L$1</f>
        <v>3.2145389198420202E-4</v>
      </c>
      <c r="N127" s="15">
        <f>IFERROR(Table50[[#This Row],[Opening]]/Table50[[#This Row],[OpeningQty]],0)</f>
        <v>70.55</v>
      </c>
      <c r="O127" s="15">
        <f>IFERROR(Table50[[#This Row],[Purchases]]/Table50[[#This Row],[PurchasesQty]],0)</f>
        <v>0</v>
      </c>
      <c r="P127" s="15">
        <f>IFERROR(Table50[[#This Row],[Closing]]/Table50[[#This Row],[ClosingQty]],0)</f>
        <v>70.55</v>
      </c>
      <c r="Q127" s="15">
        <f>IFERROR(AVERAGEIF(Table50[[#This Row],[OPENING COST PRICE]:[CLOSING COST PRICE]],"&gt;0"),0)</f>
        <v>70.55</v>
      </c>
      <c r="R127" s="15">
        <f>IFERROR(Table50[[#This Row],[COST PRICE]]-IFERROR(Table50[[#This Row],[Usage]]/Table50[[#This Row],[UsageQty]],Table50[[#This Row],[COST PRICE]]),0)</f>
        <v>0</v>
      </c>
      <c r="S127" s="16">
        <f>IFERROR(Table50[[#This Row],[COST PRICE CHANGE]]/Table50[[#This Row],[OPENING COST PRICE]],0)</f>
        <v>0</v>
      </c>
      <c r="T127" s="15">
        <f>Table50[[#This Row],[ClosingQty]]-(Table50[[#This Row],[USAGE / DAY]]*(IF(Table50[[#This Row],[ccnt]]="BEV",Table50[[#This Row],[DELIVERY DAY]],Table50[[#This Row],[DELIVERY DAY]])))</f>
        <v>3.34</v>
      </c>
      <c r="U127" s="15">
        <f>ROUNDUP(Table50[[#This Row],[UsageQty]]/Table50[[#This Row],[DATA POINT]],2)</f>
        <v>0.22</v>
      </c>
      <c r="V12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27" s="15">
        <f>IFERROR(Table50[[#This Row],[ORDER QTY]]*Table50[[#This Row],[COST PRICE]],0)</f>
        <v>0</v>
      </c>
      <c r="X127" s="15">
        <f>IFERROR(VLOOKUP(C127,[1]!Table49[[#All],[name]:[USAGE / DAY]],19,FALSE),1)</f>
        <v>6.9999999999999993E-2</v>
      </c>
      <c r="Y127" s="4">
        <f>IFERROR((Table50[[#This Row],[USAGE / DAY]]-Table50[[#This Row],[USAGE / DAY 2]])/Table50[[#This Row],[USAGE / DAY 2]],0)</f>
        <v>2.1428571428571432</v>
      </c>
      <c r="Z127" s="15">
        <f t="shared" si="3"/>
        <v>14</v>
      </c>
      <c r="AA127" s="15">
        <f t="shared" si="4"/>
        <v>9.311854181734148</v>
      </c>
      <c r="AB127" s="15">
        <f>IFERROR(IF(Table50[[#This Row],[ccnt]]="BEV",$AB$2,IF(Table50[[#This Row],[ccnt]]="FOOD",$AC$2,"ENTER # FROM LAST COUNT")),"ENTER # FROM LAST COUNT")</f>
        <v>3</v>
      </c>
      <c r="AC127" s="15">
        <f>(Table50[[#This Row],[OpeningQty]]+Table50[[#This Row],[ClosingQty]])/2</f>
        <v>5.5</v>
      </c>
      <c r="AD127" s="15">
        <f>IFERROR(Table50[[#This Row],[UsageQty]]/Table50[[#This Row],[AVE INVENTORY]],0)</f>
        <v>0.54545454545454541</v>
      </c>
      <c r="AE127" s="15">
        <f>IFERROR(Table50[[#This Row],[DATA POINT]]/Table50[[#This Row],[Inventory Turnover Rate]],0)</f>
        <v>25.666666666666668</v>
      </c>
      <c r="AF127" s="15">
        <f>Table50[[#This Row],[ClosingQty]]/Table50[[#This Row],[USAGE / DAY]]</f>
        <v>18.181818181818183</v>
      </c>
      <c r="AG127" s="15">
        <f>Table50[[#This Row],[USAGE / DAY]]*7</f>
        <v>1.54</v>
      </c>
      <c r="AH127" s="15">
        <f>Table50[[#This Row],[USAGE / DAY]]*3</f>
        <v>0.66</v>
      </c>
      <c r="AI12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27" s="15">
        <f>IFERROR(Table50[[#This Row],[ORDER QTY2]]*Table50[[#This Row],[COST PRICE]],0)</f>
        <v>0</v>
      </c>
      <c r="AK127" s="15">
        <f>(Table50[[#This Row],[REORDER POINT]]*Table50[[#This Row],[COST PRICE]])+Table50[[#This Row],[ORDER COST]]</f>
        <v>235.63699999999997</v>
      </c>
      <c r="AL127" s="15">
        <f t="shared" si="5"/>
        <v>100</v>
      </c>
      <c r="AM127" s="15">
        <f>IFERROR((Table50[[#This Row],[REORDER POINT]]+Table50[[#This Row],[ORDER QTY]])/(Table50[[#This Row],[USAGE / DAY]]*Table50[[#This Row],[DEMAND %]]),Table50[[#This Row],[REORDER POINT]]/Table50[[#This Row],[USAGE / DAY]])</f>
        <v>15.181818181818182</v>
      </c>
    </row>
    <row r="128" spans="1:39" x14ac:dyDescent="0.25">
      <c r="A128" t="s">
        <v>50</v>
      </c>
      <c r="B128" t="s">
        <v>170</v>
      </c>
      <c r="C128" t="s">
        <v>191</v>
      </c>
      <c r="D128" t="s">
        <v>138</v>
      </c>
      <c r="E128">
        <v>2</v>
      </c>
      <c r="F128">
        <v>132.12</v>
      </c>
      <c r="G128">
        <v>0</v>
      </c>
      <c r="H128">
        <v>0</v>
      </c>
      <c r="I128">
        <v>2</v>
      </c>
      <c r="J128">
        <v>132.12</v>
      </c>
      <c r="K128">
        <f>Table50[[#This Row],[OpeningQty]]+Table50[[#This Row],[PurchasesQty]]-Table50[[#This Row],[ClosingQty]]</f>
        <v>0</v>
      </c>
      <c r="L128">
        <v>0</v>
      </c>
      <c r="M128" s="14">
        <f>Table50[[#This Row],[Usage]]/$L$1</f>
        <v>0</v>
      </c>
      <c r="N128" s="15">
        <f>IFERROR(Table50[[#This Row],[Opening]]/Table50[[#This Row],[OpeningQty]],0)</f>
        <v>66.06</v>
      </c>
      <c r="O128" s="15">
        <f>IFERROR(Table50[[#This Row],[Purchases]]/Table50[[#This Row],[PurchasesQty]],0)</f>
        <v>0</v>
      </c>
      <c r="P128" s="15">
        <f>IFERROR(Table50[[#This Row],[Closing]]/Table50[[#This Row],[ClosingQty]],0)</f>
        <v>66.06</v>
      </c>
      <c r="Q128" s="15">
        <f>IFERROR(AVERAGEIF(Table50[[#This Row],[OPENING COST PRICE]:[CLOSING COST PRICE]],"&gt;0"),0)</f>
        <v>66.06</v>
      </c>
      <c r="R128" s="15">
        <f>IFERROR(Table50[[#This Row],[COST PRICE]]-IFERROR(Table50[[#This Row],[Usage]]/Table50[[#This Row],[UsageQty]],Table50[[#This Row],[COST PRICE]]),0)</f>
        <v>0</v>
      </c>
      <c r="S128" s="16">
        <f>IFERROR(Table50[[#This Row],[COST PRICE CHANGE]]/Table50[[#This Row],[OPENING COST PRICE]],0)</f>
        <v>0</v>
      </c>
      <c r="T128" s="15">
        <f>Table50[[#This Row],[ClosingQty]]-(Table50[[#This Row],[USAGE / DAY]]*(IF(Table50[[#This Row],[ccnt]]="BEV",Table50[[#This Row],[DELIVERY DAY]],Table50[[#This Row],[DELIVERY DAY]])))</f>
        <v>2</v>
      </c>
      <c r="U128" s="15">
        <f>ROUNDUP(Table50[[#This Row],[UsageQty]]/Table50[[#This Row],[DATA POINT]],2)</f>
        <v>0</v>
      </c>
      <c r="V12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28" s="15">
        <f>IFERROR(Table50[[#This Row],[ORDER QTY]]*Table50[[#This Row],[COST PRICE]],0)</f>
        <v>0</v>
      </c>
      <c r="X128" s="15">
        <f>IFERROR(VLOOKUP(C128,[1]!Table49[[#All],[name]:[USAGE / DAY]],19,FALSE),1)</f>
        <v>0</v>
      </c>
      <c r="Y128" s="4">
        <f>IFERROR((Table50[[#This Row],[USAGE / DAY]]-Table50[[#This Row],[USAGE / DAY 2]])/Table50[[#This Row],[USAGE / DAY 2]],0)</f>
        <v>0</v>
      </c>
      <c r="Z128" s="15">
        <f t="shared" si="3"/>
        <v>14</v>
      </c>
      <c r="AA128" s="15">
        <f t="shared" si="4"/>
        <v>9.311854181734148</v>
      </c>
      <c r="AB128" s="15">
        <f>IFERROR(IF(Table50[[#This Row],[ccnt]]="BEV",$AB$2,IF(Table50[[#This Row],[ccnt]]="FOOD",$AC$2,"ENTER # FROM LAST COUNT")),"ENTER # FROM LAST COUNT")</f>
        <v>3</v>
      </c>
      <c r="AC128" s="15">
        <f>(Table50[[#This Row],[OpeningQty]]+Table50[[#This Row],[ClosingQty]])/2</f>
        <v>2</v>
      </c>
      <c r="AD128" s="15">
        <f>IFERROR(Table50[[#This Row],[UsageQty]]/Table50[[#This Row],[AVE INVENTORY]],0)</f>
        <v>0</v>
      </c>
      <c r="AE128" s="15">
        <f>IFERROR(Table50[[#This Row],[DATA POINT]]/Table50[[#This Row],[Inventory Turnover Rate]],0)</f>
        <v>0</v>
      </c>
      <c r="AF128" s="15" t="e">
        <f>Table50[[#This Row],[ClosingQty]]/Table50[[#This Row],[USAGE / DAY]]</f>
        <v>#DIV/0!</v>
      </c>
      <c r="AG128" s="15">
        <f>Table50[[#This Row],[USAGE / DAY]]*7</f>
        <v>0</v>
      </c>
      <c r="AH128" s="15">
        <f>Table50[[#This Row],[USAGE / DAY]]*3</f>
        <v>0</v>
      </c>
      <c r="AI12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28" s="15">
        <f>IFERROR(Table50[[#This Row],[ORDER QTY2]]*Table50[[#This Row],[COST PRICE]],0)</f>
        <v>0</v>
      </c>
      <c r="AK128" s="15">
        <f>(Table50[[#This Row],[REORDER POINT]]*Table50[[#This Row],[COST PRICE]])+Table50[[#This Row],[ORDER COST]]</f>
        <v>132.12</v>
      </c>
      <c r="AL128" s="15">
        <f t="shared" si="5"/>
        <v>100</v>
      </c>
      <c r="AM128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29" spans="1:39" x14ac:dyDescent="0.25">
      <c r="A129" t="s">
        <v>50</v>
      </c>
      <c r="B129" t="s">
        <v>170</v>
      </c>
      <c r="C129" t="s">
        <v>192</v>
      </c>
      <c r="D129" t="s">
        <v>138</v>
      </c>
      <c r="E129">
        <v>0</v>
      </c>
      <c r="F129">
        <v>0</v>
      </c>
      <c r="G129">
        <v>3</v>
      </c>
      <c r="H129">
        <v>208.62</v>
      </c>
      <c r="I129">
        <v>3</v>
      </c>
      <c r="J129">
        <v>208.62</v>
      </c>
      <c r="K129">
        <f>Table50[[#This Row],[OpeningQty]]+Table50[[#This Row],[PurchasesQty]]-Table50[[#This Row],[ClosingQty]]</f>
        <v>0</v>
      </c>
      <c r="L129">
        <v>0</v>
      </c>
      <c r="M129" s="14">
        <f>Table50[[#This Row],[Usage]]/$L$1</f>
        <v>0</v>
      </c>
      <c r="N129" s="15">
        <f>IFERROR(Table50[[#This Row],[Opening]]/Table50[[#This Row],[OpeningQty]],0)</f>
        <v>0</v>
      </c>
      <c r="O129" s="15">
        <f>IFERROR(Table50[[#This Row],[Purchases]]/Table50[[#This Row],[PurchasesQty]],0)</f>
        <v>69.540000000000006</v>
      </c>
      <c r="P129" s="15">
        <f>IFERROR(Table50[[#This Row],[Closing]]/Table50[[#This Row],[ClosingQty]],0)</f>
        <v>69.540000000000006</v>
      </c>
      <c r="Q129" s="15">
        <f>IFERROR(AVERAGEIF(Table50[[#This Row],[OPENING COST PRICE]:[CLOSING COST PRICE]],"&gt;0"),0)</f>
        <v>69.540000000000006</v>
      </c>
      <c r="R129" s="15">
        <f>IFERROR(Table50[[#This Row],[COST PRICE]]-IFERROR(Table50[[#This Row],[Usage]]/Table50[[#This Row],[UsageQty]],Table50[[#This Row],[COST PRICE]]),0)</f>
        <v>0</v>
      </c>
      <c r="S129" s="16">
        <f>IFERROR(Table50[[#This Row],[COST PRICE CHANGE]]/Table50[[#This Row],[OPENING COST PRICE]],0)</f>
        <v>0</v>
      </c>
      <c r="T129" s="15">
        <f>Table50[[#This Row],[ClosingQty]]-(Table50[[#This Row],[USAGE / DAY]]*(IF(Table50[[#This Row],[ccnt]]="BEV",Table50[[#This Row],[DELIVERY DAY]],Table50[[#This Row],[DELIVERY DAY]])))</f>
        <v>3</v>
      </c>
      <c r="U129" s="15">
        <f>ROUNDUP(Table50[[#This Row],[UsageQty]]/Table50[[#This Row],[DATA POINT]],2)</f>
        <v>0</v>
      </c>
      <c r="V12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29" s="15">
        <f>IFERROR(Table50[[#This Row],[ORDER QTY]]*Table50[[#This Row],[COST PRICE]],0)</f>
        <v>0</v>
      </c>
      <c r="X129" s="15">
        <f>IFERROR(VLOOKUP(C129,[1]!Table49[[#All],[name]:[USAGE / DAY]],19,FALSE),1)</f>
        <v>0</v>
      </c>
      <c r="Y129" s="4">
        <f>IFERROR((Table50[[#This Row],[USAGE / DAY]]-Table50[[#This Row],[USAGE / DAY 2]])/Table50[[#This Row],[USAGE / DAY 2]],0)</f>
        <v>0</v>
      </c>
      <c r="Z129" s="15">
        <f t="shared" si="3"/>
        <v>14</v>
      </c>
      <c r="AA129" s="15">
        <f t="shared" si="4"/>
        <v>9.311854181734148</v>
      </c>
      <c r="AB129" s="15">
        <f>IFERROR(IF(Table50[[#This Row],[ccnt]]="BEV",$AB$2,IF(Table50[[#This Row],[ccnt]]="FOOD",$AC$2,"ENTER # FROM LAST COUNT")),"ENTER # FROM LAST COUNT")</f>
        <v>3</v>
      </c>
      <c r="AC129" s="15">
        <f>(Table50[[#This Row],[OpeningQty]]+Table50[[#This Row],[ClosingQty]])/2</f>
        <v>1.5</v>
      </c>
      <c r="AD129" s="15">
        <f>IFERROR(Table50[[#This Row],[UsageQty]]/Table50[[#This Row],[AVE INVENTORY]],0)</f>
        <v>0</v>
      </c>
      <c r="AE129" s="15">
        <f>IFERROR(Table50[[#This Row],[DATA POINT]]/Table50[[#This Row],[Inventory Turnover Rate]],0)</f>
        <v>0</v>
      </c>
      <c r="AF129" s="15" t="e">
        <f>Table50[[#This Row],[ClosingQty]]/Table50[[#This Row],[USAGE / DAY]]</f>
        <v>#DIV/0!</v>
      </c>
      <c r="AG129" s="15">
        <f>Table50[[#This Row],[USAGE / DAY]]*7</f>
        <v>0</v>
      </c>
      <c r="AH129" s="15">
        <f>Table50[[#This Row],[USAGE / DAY]]*3</f>
        <v>0</v>
      </c>
      <c r="AI12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29" s="15">
        <f>IFERROR(Table50[[#This Row],[ORDER QTY2]]*Table50[[#This Row],[COST PRICE]],0)</f>
        <v>0</v>
      </c>
      <c r="AK129" s="15">
        <f>(Table50[[#This Row],[REORDER POINT]]*Table50[[#This Row],[COST PRICE]])+Table50[[#This Row],[ORDER COST]]</f>
        <v>208.62</v>
      </c>
      <c r="AL129" s="15">
        <f t="shared" si="5"/>
        <v>100</v>
      </c>
      <c r="AM129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30" spans="1:39" x14ac:dyDescent="0.25">
      <c r="A130" t="s">
        <v>50</v>
      </c>
      <c r="B130" t="s">
        <v>170</v>
      </c>
      <c r="C130" t="s">
        <v>193</v>
      </c>
      <c r="D130" t="s">
        <v>138</v>
      </c>
      <c r="E130">
        <v>2.1</v>
      </c>
      <c r="F130">
        <v>128.84</v>
      </c>
      <c r="G130">
        <v>6</v>
      </c>
      <c r="H130">
        <v>388.56</v>
      </c>
      <c r="I130">
        <v>0.33</v>
      </c>
      <c r="J130">
        <v>21.37</v>
      </c>
      <c r="K130">
        <f>Table50[[#This Row],[OpeningQty]]+Table50[[#This Row],[PurchasesQty]]-Table50[[#This Row],[ClosingQty]]</f>
        <v>7.77</v>
      </c>
      <c r="L130">
        <v>496.03</v>
      </c>
      <c r="M130" s="14">
        <f>Table50[[#This Row],[Usage]]/$L$1</f>
        <v>7.5337006397790561E-4</v>
      </c>
      <c r="N130" s="15">
        <f>IFERROR(Table50[[#This Row],[Opening]]/Table50[[#This Row],[OpeningQty]],0)</f>
        <v>61.352380952380955</v>
      </c>
      <c r="O130" s="15">
        <f>IFERROR(Table50[[#This Row],[Purchases]]/Table50[[#This Row],[PurchasesQty]],0)</f>
        <v>64.760000000000005</v>
      </c>
      <c r="P130" s="15">
        <f>IFERROR(Table50[[#This Row],[Closing]]/Table50[[#This Row],[ClosingQty]],0)</f>
        <v>64.757575757575751</v>
      </c>
      <c r="Q130" s="15">
        <f>IFERROR(AVERAGEIF(Table50[[#This Row],[OPENING COST PRICE]:[CLOSING COST PRICE]],"&gt;0"),0)</f>
        <v>63.623318903318903</v>
      </c>
      <c r="R130" s="15">
        <f>IFERROR(Table50[[#This Row],[COST PRICE]]-IFERROR(Table50[[#This Row],[Usage]]/Table50[[#This Row],[UsageQty]],Table50[[#This Row],[COST PRICE]]),0)</f>
        <v>-0.21580593580593899</v>
      </c>
      <c r="S130" s="16">
        <f>IFERROR(Table50[[#This Row],[COST PRICE CHANGE]]/Table50[[#This Row],[OPENING COST PRICE]],0)</f>
        <v>-3.517482654396708E-3</v>
      </c>
      <c r="T130" s="15">
        <f>Table50[[#This Row],[ClosingQty]]-(Table50[[#This Row],[USAGE / DAY]]*(IF(Table50[[#This Row],[ccnt]]="BEV",Table50[[#This Row],[DELIVERY DAY]],Table50[[#This Row],[DELIVERY DAY]])))</f>
        <v>-1.35</v>
      </c>
      <c r="U130" s="15">
        <f>ROUNDUP(Table50[[#This Row],[UsageQty]]/Table50[[#This Row],[DATA POINT]],2)</f>
        <v>0.56000000000000005</v>
      </c>
      <c r="V13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7</v>
      </c>
      <c r="W130" s="15">
        <f>IFERROR(Table50[[#This Row],[ORDER QTY]]*Table50[[#This Row],[COST PRICE]],0)</f>
        <v>445.3632323232323</v>
      </c>
      <c r="X130" s="15">
        <f>IFERROR(VLOOKUP(C130,[1]!Table49[[#All],[name]:[USAGE / DAY]],19,FALSE),1)</f>
        <v>0.43</v>
      </c>
      <c r="Y130" s="4">
        <f>IFERROR((Table50[[#This Row],[USAGE / DAY]]-Table50[[#This Row],[USAGE / DAY 2]])/Table50[[#This Row],[USAGE / DAY 2]],0)</f>
        <v>0.30232558139534899</v>
      </c>
      <c r="Z130" s="15">
        <f t="shared" si="3"/>
        <v>14</v>
      </c>
      <c r="AA130" s="15">
        <f t="shared" si="4"/>
        <v>9.311854181734148</v>
      </c>
      <c r="AB130" s="15">
        <f>IFERROR(IF(Table50[[#This Row],[ccnt]]="BEV",$AB$2,IF(Table50[[#This Row],[ccnt]]="FOOD",$AC$2,"ENTER # FROM LAST COUNT")),"ENTER # FROM LAST COUNT")</f>
        <v>3</v>
      </c>
      <c r="AC130" s="15">
        <f>(Table50[[#This Row],[OpeningQty]]+Table50[[#This Row],[ClosingQty]])/2</f>
        <v>1.2150000000000001</v>
      </c>
      <c r="AD130" s="15">
        <f>IFERROR(Table50[[#This Row],[UsageQty]]/Table50[[#This Row],[AVE INVENTORY]],0)</f>
        <v>6.3950617283950608</v>
      </c>
      <c r="AE130" s="15">
        <f>IFERROR(Table50[[#This Row],[DATA POINT]]/Table50[[#This Row],[Inventory Turnover Rate]],0)</f>
        <v>2.1891891891891895</v>
      </c>
      <c r="AF130" s="15">
        <f>Table50[[#This Row],[ClosingQty]]/Table50[[#This Row],[USAGE / DAY]]</f>
        <v>0.5892857142857143</v>
      </c>
      <c r="AG130" s="15">
        <f>Table50[[#This Row],[USAGE / DAY]]*7</f>
        <v>3.9200000000000004</v>
      </c>
      <c r="AH130" s="15">
        <f>Table50[[#This Row],[USAGE / DAY]]*3</f>
        <v>1.6800000000000002</v>
      </c>
      <c r="AI130" s="15">
        <f>IF(Table50[[#This Row],[FORECASTED DEMAND]]+Table50[[#This Row],[SAFETY STOCK]]-Table50[[#This Row],[ClosingQty]]&gt;0,Table50[[#This Row],[FORECASTED DEMAND]]+Table50[[#This Row],[SAFETY STOCK]]-Table50[[#This Row],[ClosingQty]],"NO ORDER")</f>
        <v>5.2700000000000005</v>
      </c>
      <c r="AJ130" s="15">
        <f>IFERROR(Table50[[#This Row],[ORDER QTY2]]*Table50[[#This Row],[COST PRICE]],0)</f>
        <v>335.29489062049066</v>
      </c>
      <c r="AK130" s="15">
        <f>(Table50[[#This Row],[REORDER POINT]]*Table50[[#This Row],[COST PRICE]])+Table50[[#This Row],[ORDER COST]]</f>
        <v>359.47175180375177</v>
      </c>
      <c r="AL130" s="15">
        <f t="shared" si="5"/>
        <v>100</v>
      </c>
      <c r="AM130" s="15">
        <f>IFERROR((Table50[[#This Row],[REORDER POINT]]+Table50[[#This Row],[ORDER QTY]])/(Table50[[#This Row],[USAGE / DAY]]*Table50[[#This Row],[DEMAND %]]),Table50[[#This Row],[REORDER POINT]]/Table50[[#This Row],[USAGE / DAY]])</f>
        <v>0.10089285714285713</v>
      </c>
    </row>
    <row r="131" spans="1:39" x14ac:dyDescent="0.25">
      <c r="A131" t="s">
        <v>50</v>
      </c>
      <c r="B131" t="s">
        <v>170</v>
      </c>
      <c r="C131" t="s">
        <v>194</v>
      </c>
      <c r="D131" t="s">
        <v>138</v>
      </c>
      <c r="E131">
        <v>6</v>
      </c>
      <c r="F131">
        <v>313.02</v>
      </c>
      <c r="G131">
        <v>0</v>
      </c>
      <c r="H131">
        <v>0</v>
      </c>
      <c r="I131">
        <v>3.33</v>
      </c>
      <c r="J131">
        <v>173.73</v>
      </c>
      <c r="K131">
        <f>Table50[[#This Row],[OpeningQty]]+Table50[[#This Row],[PurchasesQty]]-Table50[[#This Row],[ClosingQty]]</f>
        <v>2.67</v>
      </c>
      <c r="L131">
        <v>139.29</v>
      </c>
      <c r="M131" s="14">
        <f>Table50[[#This Row],[Usage]]/$L$1</f>
        <v>2.1155356775090715E-4</v>
      </c>
      <c r="N131" s="15">
        <f>IFERROR(Table50[[#This Row],[Opening]]/Table50[[#This Row],[OpeningQty]],0)</f>
        <v>52.169999999999995</v>
      </c>
      <c r="O131" s="15">
        <f>IFERROR(Table50[[#This Row],[Purchases]]/Table50[[#This Row],[PurchasesQty]],0)</f>
        <v>0</v>
      </c>
      <c r="P131" s="15">
        <f>IFERROR(Table50[[#This Row],[Closing]]/Table50[[#This Row],[ClosingQty]],0)</f>
        <v>52.171171171171167</v>
      </c>
      <c r="Q131" s="15">
        <f>IFERROR(AVERAGEIF(Table50[[#This Row],[OPENING COST PRICE]:[CLOSING COST PRICE]],"&gt;0"),0)</f>
        <v>52.170585585585584</v>
      </c>
      <c r="R131" s="15">
        <f>IFERROR(Table50[[#This Row],[COST PRICE]]-IFERROR(Table50[[#This Row],[Usage]]/Table50[[#This Row],[UsageQty]],Table50[[#This Row],[COST PRICE]]),0)</f>
        <v>2.0462597428902995E-3</v>
      </c>
      <c r="S131" s="16">
        <f>IFERROR(Table50[[#This Row],[COST PRICE CHANGE]]/Table50[[#This Row],[OPENING COST PRICE]],0)</f>
        <v>3.9222920124406746E-5</v>
      </c>
      <c r="T131" s="15">
        <f>Table50[[#This Row],[ClosingQty]]-(Table50[[#This Row],[USAGE / DAY]]*(IF(Table50[[#This Row],[ccnt]]="BEV",Table50[[#This Row],[DELIVERY DAY]],Table50[[#This Row],[DELIVERY DAY]])))</f>
        <v>2.73</v>
      </c>
      <c r="U131" s="15">
        <f>ROUNDUP(Table50[[#This Row],[UsageQty]]/Table50[[#This Row],[DATA POINT]],2)</f>
        <v>0.2</v>
      </c>
      <c r="V13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31" s="15">
        <f>IFERROR(Table50[[#This Row],[ORDER QTY]]*Table50[[#This Row],[COST PRICE]],0)</f>
        <v>0</v>
      </c>
      <c r="X131" s="15">
        <f>IFERROR(VLOOKUP(C131,[1]!Table49[[#All],[name]:[USAGE / DAY]],19,FALSE),1)</f>
        <v>9.9999999999999992E-2</v>
      </c>
      <c r="Y131" s="4">
        <f>IFERROR((Table50[[#This Row],[USAGE / DAY]]-Table50[[#This Row],[USAGE / DAY 2]])/Table50[[#This Row],[USAGE / DAY 2]],0)</f>
        <v>1.0000000000000002</v>
      </c>
      <c r="Z131" s="15">
        <f t="shared" si="3"/>
        <v>14</v>
      </c>
      <c r="AA131" s="15">
        <f t="shared" si="4"/>
        <v>9.311854181734148</v>
      </c>
      <c r="AB131" s="15">
        <f>IFERROR(IF(Table50[[#This Row],[ccnt]]="BEV",$AB$2,IF(Table50[[#This Row],[ccnt]]="FOOD",$AC$2,"ENTER # FROM LAST COUNT")),"ENTER # FROM LAST COUNT")</f>
        <v>3</v>
      </c>
      <c r="AC131" s="15">
        <f>(Table50[[#This Row],[OpeningQty]]+Table50[[#This Row],[ClosingQty]])/2</f>
        <v>4.665</v>
      </c>
      <c r="AD131" s="15">
        <f>IFERROR(Table50[[#This Row],[UsageQty]]/Table50[[#This Row],[AVE INVENTORY]],0)</f>
        <v>0.57234726688102888</v>
      </c>
      <c r="AE131" s="15">
        <f>IFERROR(Table50[[#This Row],[DATA POINT]]/Table50[[#This Row],[Inventory Turnover Rate]],0)</f>
        <v>24.460674157303373</v>
      </c>
      <c r="AF131" s="15">
        <f>Table50[[#This Row],[ClosingQty]]/Table50[[#This Row],[USAGE / DAY]]</f>
        <v>16.649999999999999</v>
      </c>
      <c r="AG131" s="15">
        <f>Table50[[#This Row],[USAGE / DAY]]*7</f>
        <v>1.4000000000000001</v>
      </c>
      <c r="AH131" s="15">
        <f>Table50[[#This Row],[USAGE / DAY]]*3</f>
        <v>0.60000000000000009</v>
      </c>
      <c r="AI13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31" s="15">
        <f>IFERROR(Table50[[#This Row],[ORDER QTY2]]*Table50[[#This Row],[COST PRICE]],0)</f>
        <v>0</v>
      </c>
      <c r="AK131" s="15">
        <f>(Table50[[#This Row],[REORDER POINT]]*Table50[[#This Row],[COST PRICE]])+Table50[[#This Row],[ORDER COST]]</f>
        <v>142.42569864864865</v>
      </c>
      <c r="AL131" s="15">
        <f t="shared" si="5"/>
        <v>100</v>
      </c>
      <c r="AM131" s="15">
        <f>IFERROR((Table50[[#This Row],[REORDER POINT]]+Table50[[#This Row],[ORDER QTY]])/(Table50[[#This Row],[USAGE / DAY]]*Table50[[#This Row],[DEMAND %]]),Table50[[#This Row],[REORDER POINT]]/Table50[[#This Row],[USAGE / DAY]])</f>
        <v>13.649999999999999</v>
      </c>
    </row>
    <row r="132" spans="1:39" x14ac:dyDescent="0.25">
      <c r="A132" t="s">
        <v>50</v>
      </c>
      <c r="B132" t="s">
        <v>170</v>
      </c>
      <c r="C132" t="s">
        <v>195</v>
      </c>
      <c r="D132" t="s">
        <v>138</v>
      </c>
      <c r="E132">
        <v>2</v>
      </c>
      <c r="F132">
        <v>102.26</v>
      </c>
      <c r="G132">
        <v>12</v>
      </c>
      <c r="H132">
        <v>654.15</v>
      </c>
      <c r="I132">
        <v>4.66</v>
      </c>
      <c r="J132">
        <v>254.02</v>
      </c>
      <c r="K132">
        <f>Table50[[#This Row],[OpeningQty]]+Table50[[#This Row],[PurchasesQty]]-Table50[[#This Row],[ClosingQty]]</f>
        <v>9.34</v>
      </c>
      <c r="L132">
        <v>502.39</v>
      </c>
      <c r="M132" s="14">
        <f>Table50[[#This Row],[Usage]]/$L$1</f>
        <v>7.6302962813108082E-4</v>
      </c>
      <c r="N132" s="15">
        <f>IFERROR(Table50[[#This Row],[Opening]]/Table50[[#This Row],[OpeningQty]],0)</f>
        <v>51.13</v>
      </c>
      <c r="O132" s="15">
        <f>IFERROR(Table50[[#This Row],[Purchases]]/Table50[[#This Row],[PurchasesQty]],0)</f>
        <v>54.512499999999996</v>
      </c>
      <c r="P132" s="15">
        <f>IFERROR(Table50[[#This Row],[Closing]]/Table50[[#This Row],[ClosingQty]],0)</f>
        <v>54.510729613733908</v>
      </c>
      <c r="Q132" s="15">
        <f>IFERROR(AVERAGEIF(Table50[[#This Row],[OPENING COST PRICE]:[CLOSING COST PRICE]],"&gt;0"),0)</f>
        <v>53.384409871244635</v>
      </c>
      <c r="R132" s="15">
        <f>IFERROR(Table50[[#This Row],[COST PRICE]]-IFERROR(Table50[[#This Row],[Usage]]/Table50[[#This Row],[UsageQty]],Table50[[#This Row],[COST PRICE]]),0)</f>
        <v>-0.40466935787741676</v>
      </c>
      <c r="S132" s="16">
        <f>IFERROR(Table50[[#This Row],[COST PRICE CHANGE]]/Table50[[#This Row],[OPENING COST PRICE]],0)</f>
        <v>-7.9145190275262418E-3</v>
      </c>
      <c r="T132" s="15">
        <f>Table50[[#This Row],[ClosingQty]]-(Table50[[#This Row],[USAGE / DAY]]*(IF(Table50[[#This Row],[ccnt]]="BEV",Table50[[#This Row],[DELIVERY DAY]],Table50[[#This Row],[DELIVERY DAY]])))</f>
        <v>2.65</v>
      </c>
      <c r="U132" s="15">
        <f>ROUNDUP(Table50[[#This Row],[UsageQty]]/Table50[[#This Row],[DATA POINT]],2)</f>
        <v>0.67</v>
      </c>
      <c r="V13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132" s="15">
        <f>IFERROR(Table50[[#This Row],[ORDER QTY]]*Table50[[#This Row],[COST PRICE]],0)</f>
        <v>213.53763948497854</v>
      </c>
      <c r="X132" s="15">
        <f>IFERROR(VLOOKUP(C132,[1]!Table49[[#All],[name]:[USAGE / DAY]],19,FALSE),1)</f>
        <v>0.73</v>
      </c>
      <c r="Y132" s="4">
        <f>IFERROR((Table50[[#This Row],[USAGE / DAY]]-Table50[[#This Row],[USAGE / DAY 2]])/Table50[[#This Row],[USAGE / DAY 2]],0)</f>
        <v>-8.2191780821917734E-2</v>
      </c>
      <c r="Z132" s="15">
        <f t="shared" ref="Z132:Z195" si="6">_xlfn.DAYS($V$2,$V$1)</f>
        <v>14</v>
      </c>
      <c r="AA132" s="15">
        <f t="shared" ref="AA132:AA195" si="7">($R$2*$R$1)+$R$2</f>
        <v>9.311854181734148</v>
      </c>
      <c r="AB132" s="15">
        <f>IFERROR(IF(Table50[[#This Row],[ccnt]]="BEV",$AB$2,IF(Table50[[#This Row],[ccnt]]="FOOD",$AC$2,"ENTER # FROM LAST COUNT")),"ENTER # FROM LAST COUNT")</f>
        <v>3</v>
      </c>
      <c r="AC132" s="15">
        <f>(Table50[[#This Row],[OpeningQty]]+Table50[[#This Row],[ClosingQty]])/2</f>
        <v>3.33</v>
      </c>
      <c r="AD132" s="15">
        <f>IFERROR(Table50[[#This Row],[UsageQty]]/Table50[[#This Row],[AVE INVENTORY]],0)</f>
        <v>2.8048048048048049</v>
      </c>
      <c r="AE132" s="15">
        <f>IFERROR(Table50[[#This Row],[DATA POINT]]/Table50[[#This Row],[Inventory Turnover Rate]],0)</f>
        <v>4.9914346895074946</v>
      </c>
      <c r="AF132" s="15">
        <f>Table50[[#This Row],[ClosingQty]]/Table50[[#This Row],[USAGE / DAY]]</f>
        <v>6.955223880597015</v>
      </c>
      <c r="AG132" s="15">
        <f>Table50[[#This Row],[USAGE / DAY]]*7</f>
        <v>4.6900000000000004</v>
      </c>
      <c r="AH132" s="15">
        <f>Table50[[#This Row],[USAGE / DAY]]*3</f>
        <v>2.0100000000000002</v>
      </c>
      <c r="AI132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2.0400000000000009</v>
      </c>
      <c r="AJ132" s="15">
        <f>IFERROR(Table50[[#This Row],[ORDER QTY2]]*Table50[[#This Row],[COST PRICE]],0)</f>
        <v>108.9041961373391</v>
      </c>
      <c r="AK132" s="15">
        <f>(Table50[[#This Row],[REORDER POINT]]*Table50[[#This Row],[COST PRICE]])+Table50[[#This Row],[ORDER COST]]</f>
        <v>355.00632564377679</v>
      </c>
      <c r="AL132" s="15">
        <f t="shared" ref="AL132:AL195" si="8">$AL$2</f>
        <v>100</v>
      </c>
      <c r="AM132" s="15">
        <f>IFERROR((Table50[[#This Row],[REORDER POINT]]+Table50[[#This Row],[ORDER QTY]])/(Table50[[#This Row],[USAGE / DAY]]*Table50[[#This Row],[DEMAND %]]),Table50[[#This Row],[REORDER POINT]]/Table50[[#This Row],[USAGE / DAY]])</f>
        <v>9.9253731343283594E-2</v>
      </c>
    </row>
    <row r="133" spans="1:39" x14ac:dyDescent="0.25">
      <c r="A133" t="s">
        <v>50</v>
      </c>
      <c r="B133" t="s">
        <v>170</v>
      </c>
      <c r="C133" t="s">
        <v>196</v>
      </c>
      <c r="D133" t="s">
        <v>138</v>
      </c>
      <c r="E133">
        <v>0.22</v>
      </c>
      <c r="F133">
        <v>17.100000000000001</v>
      </c>
      <c r="G133">
        <v>0</v>
      </c>
      <c r="H133">
        <v>0</v>
      </c>
      <c r="I133">
        <v>0.22</v>
      </c>
      <c r="J133">
        <v>17.100000000000001</v>
      </c>
      <c r="K133">
        <f>Table50[[#This Row],[OpeningQty]]+Table50[[#This Row],[PurchasesQty]]-Table50[[#This Row],[ClosingQty]]</f>
        <v>0</v>
      </c>
      <c r="L133">
        <v>0</v>
      </c>
      <c r="M133" s="14">
        <f>Table50[[#This Row],[Usage]]/$L$1</f>
        <v>0</v>
      </c>
      <c r="N133" s="15">
        <f>IFERROR(Table50[[#This Row],[Opening]]/Table50[[#This Row],[OpeningQty]],0)</f>
        <v>77.727272727272734</v>
      </c>
      <c r="O133" s="15">
        <f>IFERROR(Table50[[#This Row],[Purchases]]/Table50[[#This Row],[PurchasesQty]],0)</f>
        <v>0</v>
      </c>
      <c r="P133" s="15">
        <f>IFERROR(Table50[[#This Row],[Closing]]/Table50[[#This Row],[ClosingQty]],0)</f>
        <v>77.727272727272734</v>
      </c>
      <c r="Q133" s="15">
        <f>IFERROR(AVERAGEIF(Table50[[#This Row],[OPENING COST PRICE]:[CLOSING COST PRICE]],"&gt;0"),0)</f>
        <v>77.727272727272734</v>
      </c>
      <c r="R133" s="15">
        <f>IFERROR(Table50[[#This Row],[COST PRICE]]-IFERROR(Table50[[#This Row],[Usage]]/Table50[[#This Row],[UsageQty]],Table50[[#This Row],[COST PRICE]]),0)</f>
        <v>0</v>
      </c>
      <c r="S133" s="16">
        <f>IFERROR(Table50[[#This Row],[COST PRICE CHANGE]]/Table50[[#This Row],[OPENING COST PRICE]],0)</f>
        <v>0</v>
      </c>
      <c r="T133" s="15">
        <f>Table50[[#This Row],[ClosingQty]]-(Table50[[#This Row],[USAGE / DAY]]*(IF(Table50[[#This Row],[ccnt]]="BEV",Table50[[#This Row],[DELIVERY DAY]],Table50[[#This Row],[DELIVERY DAY]])))</f>
        <v>0.22</v>
      </c>
      <c r="U133" s="15">
        <f>ROUNDUP(Table50[[#This Row],[UsageQty]]/Table50[[#This Row],[DATA POINT]],2)</f>
        <v>0</v>
      </c>
      <c r="V13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33" s="15">
        <f>IFERROR(Table50[[#This Row],[ORDER QTY]]*Table50[[#This Row],[COST PRICE]],0)</f>
        <v>0</v>
      </c>
      <c r="X133" s="15">
        <f>IFERROR(VLOOKUP(C133,[1]!Table49[[#All],[name]:[USAGE / DAY]],19,FALSE),1)</f>
        <v>0</v>
      </c>
      <c r="Y133" s="4">
        <f>IFERROR((Table50[[#This Row],[USAGE / DAY]]-Table50[[#This Row],[USAGE / DAY 2]])/Table50[[#This Row],[USAGE / DAY 2]],0)</f>
        <v>0</v>
      </c>
      <c r="Z133" s="15">
        <f t="shared" si="6"/>
        <v>14</v>
      </c>
      <c r="AA133" s="15">
        <f t="shared" si="7"/>
        <v>9.311854181734148</v>
      </c>
      <c r="AB133" s="15">
        <f>IFERROR(IF(Table50[[#This Row],[ccnt]]="BEV",$AB$2,IF(Table50[[#This Row],[ccnt]]="FOOD",$AC$2,"ENTER # FROM LAST COUNT")),"ENTER # FROM LAST COUNT")</f>
        <v>3</v>
      </c>
      <c r="AC133" s="15">
        <f>(Table50[[#This Row],[OpeningQty]]+Table50[[#This Row],[ClosingQty]])/2</f>
        <v>0.22</v>
      </c>
      <c r="AD133" s="15">
        <f>IFERROR(Table50[[#This Row],[UsageQty]]/Table50[[#This Row],[AVE INVENTORY]],0)</f>
        <v>0</v>
      </c>
      <c r="AE133" s="15">
        <f>IFERROR(Table50[[#This Row],[DATA POINT]]/Table50[[#This Row],[Inventory Turnover Rate]],0)</f>
        <v>0</v>
      </c>
      <c r="AF133" s="15" t="e">
        <f>Table50[[#This Row],[ClosingQty]]/Table50[[#This Row],[USAGE / DAY]]</f>
        <v>#DIV/0!</v>
      </c>
      <c r="AG133" s="15">
        <f>Table50[[#This Row],[USAGE / DAY]]*7</f>
        <v>0</v>
      </c>
      <c r="AH133" s="15">
        <f>Table50[[#This Row],[USAGE / DAY]]*3</f>
        <v>0</v>
      </c>
      <c r="AI13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33" s="15">
        <f>IFERROR(Table50[[#This Row],[ORDER QTY2]]*Table50[[#This Row],[COST PRICE]],0)</f>
        <v>0</v>
      </c>
      <c r="AK133" s="15">
        <f>(Table50[[#This Row],[REORDER POINT]]*Table50[[#This Row],[COST PRICE]])+Table50[[#This Row],[ORDER COST]]</f>
        <v>17.100000000000001</v>
      </c>
      <c r="AL133" s="15">
        <f t="shared" si="8"/>
        <v>100</v>
      </c>
      <c r="AM133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34" spans="1:39" x14ac:dyDescent="0.25">
      <c r="A134" t="s">
        <v>50</v>
      </c>
      <c r="B134" t="s">
        <v>170</v>
      </c>
      <c r="C134" t="s">
        <v>197</v>
      </c>
      <c r="D134" t="s">
        <v>53</v>
      </c>
      <c r="E134">
        <v>21.66</v>
      </c>
      <c r="F134">
        <v>649.79999999999995</v>
      </c>
      <c r="G134">
        <v>24</v>
      </c>
      <c r="H134">
        <v>766.8</v>
      </c>
      <c r="I134">
        <v>19.77</v>
      </c>
      <c r="J134">
        <v>631.65</v>
      </c>
      <c r="K134">
        <f>Table50[[#This Row],[OpeningQty]]+Table50[[#This Row],[PurchasesQty]]-Table50[[#This Row],[ClosingQty]]</f>
        <v>25.889999999999997</v>
      </c>
      <c r="L134">
        <v>784.95</v>
      </c>
      <c r="M134" s="14">
        <f>Table50[[#This Row],[Usage]]/$L$1</f>
        <v>1.1921815852256054E-3</v>
      </c>
      <c r="N134" s="15">
        <f>IFERROR(Table50[[#This Row],[Opening]]/Table50[[#This Row],[OpeningQty]],0)</f>
        <v>29.999999999999996</v>
      </c>
      <c r="O134" s="15">
        <f>IFERROR(Table50[[#This Row],[Purchases]]/Table50[[#This Row],[PurchasesQty]],0)</f>
        <v>31.95</v>
      </c>
      <c r="P134" s="15">
        <f>IFERROR(Table50[[#This Row],[Closing]]/Table50[[#This Row],[ClosingQty]],0)</f>
        <v>31.949924127465856</v>
      </c>
      <c r="Q134" s="15">
        <f>IFERROR(AVERAGEIF(Table50[[#This Row],[OPENING COST PRICE]:[CLOSING COST PRICE]],"&gt;0"),0)</f>
        <v>31.299974709155283</v>
      </c>
      <c r="R134" s="15">
        <f>IFERROR(Table50[[#This Row],[COST PRICE]]-IFERROR(Table50[[#This Row],[Usage]]/Table50[[#This Row],[UsageQty]],Table50[[#This Row],[COST PRICE]]),0)</f>
        <v>0.98131885747509173</v>
      </c>
      <c r="S134" s="16">
        <f>IFERROR(Table50[[#This Row],[COST PRICE CHANGE]]/Table50[[#This Row],[OPENING COST PRICE]],0)</f>
        <v>3.2710628582503058E-2</v>
      </c>
      <c r="T134" s="15">
        <f>Table50[[#This Row],[ClosingQty]]-(Table50[[#This Row],[USAGE / DAY]]*(IF(Table50[[#This Row],[ccnt]]="BEV",Table50[[#This Row],[DELIVERY DAY]],Table50[[#This Row],[DELIVERY DAY]])))</f>
        <v>14.219999999999999</v>
      </c>
      <c r="U134" s="15">
        <f>ROUNDUP(Table50[[#This Row],[UsageQty]]/Table50[[#This Row],[DATA POINT]],2)</f>
        <v>1.85</v>
      </c>
      <c r="V13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134" s="15">
        <f>IFERROR(Table50[[#This Row],[ORDER QTY]]*Table50[[#This Row],[COST PRICE]],0)</f>
        <v>125.19989883662113</v>
      </c>
      <c r="X134" s="15">
        <f>IFERROR(VLOOKUP(C134,[1]!Table49[[#All],[name]:[USAGE / DAY]],19,FALSE),1)</f>
        <v>3.1199999999999997</v>
      </c>
      <c r="Y134" s="4">
        <f>IFERROR((Table50[[#This Row],[USAGE / DAY]]-Table50[[#This Row],[USAGE / DAY 2]])/Table50[[#This Row],[USAGE / DAY 2]],0)</f>
        <v>-0.40705128205128194</v>
      </c>
      <c r="Z134" s="15">
        <f t="shared" si="6"/>
        <v>14</v>
      </c>
      <c r="AA134" s="15">
        <f t="shared" si="7"/>
        <v>9.311854181734148</v>
      </c>
      <c r="AB134" s="15">
        <f>IFERROR(IF(Table50[[#This Row],[ccnt]]="BEV",$AB$2,IF(Table50[[#This Row],[ccnt]]="FOOD",$AC$2,"ENTER # FROM LAST COUNT")),"ENTER # FROM LAST COUNT")</f>
        <v>3</v>
      </c>
      <c r="AC134" s="15">
        <f>(Table50[[#This Row],[OpeningQty]]+Table50[[#This Row],[ClosingQty]])/2</f>
        <v>20.715</v>
      </c>
      <c r="AD134" s="15">
        <f>IFERROR(Table50[[#This Row],[UsageQty]]/Table50[[#This Row],[AVE INVENTORY]],0)</f>
        <v>1.2498189717595944</v>
      </c>
      <c r="AE134" s="15">
        <f>IFERROR(Table50[[#This Row],[DATA POINT]]/Table50[[#This Row],[Inventory Turnover Rate]],0)</f>
        <v>11.201622247972191</v>
      </c>
      <c r="AF134" s="15">
        <f>Table50[[#This Row],[ClosingQty]]/Table50[[#This Row],[USAGE / DAY]]</f>
        <v>10.686486486486485</v>
      </c>
      <c r="AG134" s="15">
        <f>Table50[[#This Row],[USAGE / DAY]]*7</f>
        <v>12.950000000000001</v>
      </c>
      <c r="AH134" s="15">
        <f>Table50[[#This Row],[USAGE / DAY]]*3</f>
        <v>5.5500000000000007</v>
      </c>
      <c r="AI13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34" s="15">
        <f>IFERROR(Table50[[#This Row],[ORDER QTY2]]*Table50[[#This Row],[COST PRICE]],0)</f>
        <v>0</v>
      </c>
      <c r="AK134" s="15">
        <f>(Table50[[#This Row],[REORDER POINT]]*Table50[[#This Row],[COST PRICE]])+Table50[[#This Row],[ORDER COST]]</f>
        <v>570.28553920080924</v>
      </c>
      <c r="AL134" s="15">
        <f t="shared" si="8"/>
        <v>100</v>
      </c>
      <c r="AM134" s="15">
        <f>IFERROR((Table50[[#This Row],[REORDER POINT]]+Table50[[#This Row],[ORDER QTY]])/(Table50[[#This Row],[USAGE / DAY]]*Table50[[#This Row],[DEMAND %]]),Table50[[#This Row],[REORDER POINT]]/Table50[[#This Row],[USAGE / DAY]])</f>
        <v>9.8486486486486474E-2</v>
      </c>
    </row>
    <row r="135" spans="1:39" x14ac:dyDescent="0.25">
      <c r="A135" t="s">
        <v>50</v>
      </c>
      <c r="B135" t="s">
        <v>170</v>
      </c>
      <c r="C135" t="s">
        <v>198</v>
      </c>
      <c r="D135" t="s">
        <v>53</v>
      </c>
      <c r="E135">
        <v>13.66</v>
      </c>
      <c r="F135">
        <v>409.8</v>
      </c>
      <c r="G135">
        <v>12</v>
      </c>
      <c r="H135">
        <v>383.4</v>
      </c>
      <c r="I135">
        <v>7</v>
      </c>
      <c r="J135">
        <v>223.65</v>
      </c>
      <c r="K135">
        <f>Table50[[#This Row],[OpeningQty]]+Table50[[#This Row],[PurchasesQty]]-Table50[[#This Row],[ClosingQty]]</f>
        <v>18.66</v>
      </c>
      <c r="L135">
        <v>569.54999999999995</v>
      </c>
      <c r="M135" s="14">
        <f>Table50[[#This Row],[Usage]]/$L$1</f>
        <v>8.6503219550957832E-4</v>
      </c>
      <c r="N135" s="15">
        <f>IFERROR(Table50[[#This Row],[Opening]]/Table50[[#This Row],[OpeningQty]],0)</f>
        <v>30</v>
      </c>
      <c r="O135" s="15">
        <f>IFERROR(Table50[[#This Row],[Purchases]]/Table50[[#This Row],[PurchasesQty]],0)</f>
        <v>31.95</v>
      </c>
      <c r="P135" s="15">
        <f>IFERROR(Table50[[#This Row],[Closing]]/Table50[[#This Row],[ClosingQty]],0)</f>
        <v>31.95</v>
      </c>
      <c r="Q135" s="15">
        <f>IFERROR(AVERAGEIF(Table50[[#This Row],[OPENING COST PRICE]:[CLOSING COST PRICE]],"&gt;0"),0)</f>
        <v>31.3</v>
      </c>
      <c r="R135" s="15">
        <f>IFERROR(Table50[[#This Row],[COST PRICE]]-IFERROR(Table50[[#This Row],[Usage]]/Table50[[#This Row],[UsageQty]],Table50[[#This Row],[COST PRICE]]),0)</f>
        <v>0.77749196141479615</v>
      </c>
      <c r="S135" s="16">
        <f>IFERROR(Table50[[#This Row],[COST PRICE CHANGE]]/Table50[[#This Row],[OPENING COST PRICE]],0)</f>
        <v>2.591639871382654E-2</v>
      </c>
      <c r="T135" s="15">
        <f>Table50[[#This Row],[ClosingQty]]-(Table50[[#This Row],[USAGE / DAY]]*(IF(Table50[[#This Row],[ccnt]]="BEV",Table50[[#This Row],[DELIVERY DAY]],Table50[[#This Row],[DELIVERY DAY]])))</f>
        <v>2.9799999999999995</v>
      </c>
      <c r="U135" s="15">
        <f>ROUNDUP(Table50[[#This Row],[UsageQty]]/Table50[[#This Row],[DATA POINT]],2)</f>
        <v>1.34</v>
      </c>
      <c r="V13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10</v>
      </c>
      <c r="W135" s="15">
        <f>IFERROR(Table50[[#This Row],[ORDER QTY]]*Table50[[#This Row],[COST PRICE]],0)</f>
        <v>313</v>
      </c>
      <c r="X135" s="15">
        <f>IFERROR(VLOOKUP(C135,[1]!Table49[[#All],[name]:[USAGE / DAY]],19,FALSE),1)</f>
        <v>1.0900000000000001</v>
      </c>
      <c r="Y135" s="4">
        <f>IFERROR((Table50[[#This Row],[USAGE / DAY]]-Table50[[#This Row],[USAGE / DAY 2]])/Table50[[#This Row],[USAGE / DAY 2]],0)</f>
        <v>0.2293577981651376</v>
      </c>
      <c r="Z135" s="15">
        <f t="shared" si="6"/>
        <v>14</v>
      </c>
      <c r="AA135" s="15">
        <f t="shared" si="7"/>
        <v>9.311854181734148</v>
      </c>
      <c r="AB135" s="15">
        <f>IFERROR(IF(Table50[[#This Row],[ccnt]]="BEV",$AB$2,IF(Table50[[#This Row],[ccnt]]="FOOD",$AC$2,"ENTER # FROM LAST COUNT")),"ENTER # FROM LAST COUNT")</f>
        <v>3</v>
      </c>
      <c r="AC135" s="15">
        <f>(Table50[[#This Row],[OpeningQty]]+Table50[[#This Row],[ClosingQty]])/2</f>
        <v>10.33</v>
      </c>
      <c r="AD135" s="15">
        <f>IFERROR(Table50[[#This Row],[UsageQty]]/Table50[[#This Row],[AVE INVENTORY]],0)</f>
        <v>1.8063891577928364</v>
      </c>
      <c r="AE135" s="15">
        <f>IFERROR(Table50[[#This Row],[DATA POINT]]/Table50[[#This Row],[Inventory Turnover Rate]],0)</f>
        <v>7.7502679528403</v>
      </c>
      <c r="AF135" s="15">
        <f>Table50[[#This Row],[ClosingQty]]/Table50[[#This Row],[USAGE / DAY]]</f>
        <v>5.2238805970149249</v>
      </c>
      <c r="AG135" s="15">
        <f>Table50[[#This Row],[USAGE / DAY]]*7</f>
        <v>9.3800000000000008</v>
      </c>
      <c r="AH135" s="15">
        <f>Table50[[#This Row],[USAGE / DAY]]*3</f>
        <v>4.0200000000000005</v>
      </c>
      <c r="AI135" s="15">
        <f>IF(Table50[[#This Row],[FORECASTED DEMAND]]+Table50[[#This Row],[SAFETY STOCK]]-Table50[[#This Row],[ClosingQty]]&gt;0,Table50[[#This Row],[FORECASTED DEMAND]]+Table50[[#This Row],[SAFETY STOCK]]-Table50[[#This Row],[ClosingQty]],"NO ORDER")</f>
        <v>6.4000000000000021</v>
      </c>
      <c r="AJ135" s="15">
        <f>IFERROR(Table50[[#This Row],[ORDER QTY2]]*Table50[[#This Row],[COST PRICE]],0)</f>
        <v>200.32000000000008</v>
      </c>
      <c r="AK135" s="15">
        <f>(Table50[[#This Row],[REORDER POINT]]*Table50[[#This Row],[COST PRICE]])+Table50[[#This Row],[ORDER COST]]</f>
        <v>406.274</v>
      </c>
      <c r="AL135" s="15">
        <f t="shared" si="8"/>
        <v>100</v>
      </c>
      <c r="AM135" s="15">
        <f>IFERROR((Table50[[#This Row],[REORDER POINT]]+Table50[[#This Row],[ORDER QTY]])/(Table50[[#This Row],[USAGE / DAY]]*Table50[[#This Row],[DEMAND %]]),Table50[[#This Row],[REORDER POINT]]/Table50[[#This Row],[USAGE / DAY]])</f>
        <v>9.6865671641791051E-2</v>
      </c>
    </row>
    <row r="136" spans="1:39" x14ac:dyDescent="0.25">
      <c r="A136" t="s">
        <v>50</v>
      </c>
      <c r="B136" t="s">
        <v>170</v>
      </c>
      <c r="C136" t="s">
        <v>199</v>
      </c>
      <c r="D136" t="s">
        <v>53</v>
      </c>
      <c r="E136">
        <v>4.66</v>
      </c>
      <c r="F136">
        <v>139.80000000000001</v>
      </c>
      <c r="G136">
        <v>12</v>
      </c>
      <c r="H136">
        <v>383.4</v>
      </c>
      <c r="I136">
        <v>9.33</v>
      </c>
      <c r="J136">
        <v>298.08999999999997</v>
      </c>
      <c r="K136">
        <f>Table50[[#This Row],[OpeningQty]]+Table50[[#This Row],[PurchasesQty]]-Table50[[#This Row],[ClosingQty]]</f>
        <v>7.33</v>
      </c>
      <c r="L136">
        <v>225.11</v>
      </c>
      <c r="M136" s="14">
        <f>Table50[[#This Row],[Usage]]/$L$1</f>
        <v>3.4189693184296586E-4</v>
      </c>
      <c r="N136" s="15">
        <f>IFERROR(Table50[[#This Row],[Opening]]/Table50[[#This Row],[OpeningQty]],0)</f>
        <v>30</v>
      </c>
      <c r="O136" s="15">
        <f>IFERROR(Table50[[#This Row],[Purchases]]/Table50[[#This Row],[PurchasesQty]],0)</f>
        <v>31.95</v>
      </c>
      <c r="P136" s="15">
        <f>IFERROR(Table50[[#This Row],[Closing]]/Table50[[#This Row],[ClosingQty]],0)</f>
        <v>31.949624866023576</v>
      </c>
      <c r="Q136" s="15">
        <f>IFERROR(AVERAGEIF(Table50[[#This Row],[OPENING COST PRICE]:[CLOSING COST PRICE]],"&gt;0"),0)</f>
        <v>31.299874955341192</v>
      </c>
      <c r="R136" s="15">
        <f>IFERROR(Table50[[#This Row],[COST PRICE]]-IFERROR(Table50[[#This Row],[Usage]]/Table50[[#This Row],[UsageQty]],Table50[[#This Row],[COST PRICE]]),0)</f>
        <v>0.58909732914746726</v>
      </c>
      <c r="S136" s="16">
        <f>IFERROR(Table50[[#This Row],[COST PRICE CHANGE]]/Table50[[#This Row],[OPENING COST PRICE]],0)</f>
        <v>1.9636577638248907E-2</v>
      </c>
      <c r="T136" s="15">
        <f>Table50[[#This Row],[ClosingQty]]-(Table50[[#This Row],[USAGE / DAY]]*(IF(Table50[[#This Row],[ccnt]]="BEV",Table50[[#This Row],[DELIVERY DAY]],Table50[[#This Row],[DELIVERY DAY]])))</f>
        <v>7.74</v>
      </c>
      <c r="U136" s="15">
        <f>ROUNDUP(Table50[[#This Row],[UsageQty]]/Table50[[#This Row],[DATA POINT]],2)</f>
        <v>0.53</v>
      </c>
      <c r="V13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36" s="15">
        <f>IFERROR(Table50[[#This Row],[ORDER QTY]]*Table50[[#This Row],[COST PRICE]],0)</f>
        <v>0</v>
      </c>
      <c r="X136" s="15">
        <f>IFERROR(VLOOKUP(C136,[1]!Table49[[#All],[name]:[USAGE / DAY]],19,FALSE),1)</f>
        <v>0.68</v>
      </c>
      <c r="Y136" s="4">
        <f>IFERROR((Table50[[#This Row],[USAGE / DAY]]-Table50[[#This Row],[USAGE / DAY 2]])/Table50[[#This Row],[USAGE / DAY 2]],0)</f>
        <v>-0.22058823529411767</v>
      </c>
      <c r="Z136" s="15">
        <f t="shared" si="6"/>
        <v>14</v>
      </c>
      <c r="AA136" s="15">
        <f t="shared" si="7"/>
        <v>9.311854181734148</v>
      </c>
      <c r="AB136" s="15">
        <f>IFERROR(IF(Table50[[#This Row],[ccnt]]="BEV",$AB$2,IF(Table50[[#This Row],[ccnt]]="FOOD",$AC$2,"ENTER # FROM LAST COUNT")),"ENTER # FROM LAST COUNT")</f>
        <v>3</v>
      </c>
      <c r="AC136" s="15">
        <f>(Table50[[#This Row],[OpeningQty]]+Table50[[#This Row],[ClosingQty]])/2</f>
        <v>6.9950000000000001</v>
      </c>
      <c r="AD136" s="15">
        <f>IFERROR(Table50[[#This Row],[UsageQty]]/Table50[[#This Row],[AVE INVENTORY]],0)</f>
        <v>1.047891350964975</v>
      </c>
      <c r="AE136" s="15">
        <f>IFERROR(Table50[[#This Row],[DATA POINT]]/Table50[[#This Row],[Inventory Turnover Rate]],0)</f>
        <v>13.360163710777627</v>
      </c>
      <c r="AF136" s="15">
        <f>Table50[[#This Row],[ClosingQty]]/Table50[[#This Row],[USAGE / DAY]]</f>
        <v>17.60377358490566</v>
      </c>
      <c r="AG136" s="15">
        <f>Table50[[#This Row],[USAGE / DAY]]*7</f>
        <v>3.71</v>
      </c>
      <c r="AH136" s="15">
        <f>Table50[[#This Row],[USAGE / DAY]]*3</f>
        <v>1.59</v>
      </c>
      <c r="AI13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36" s="15">
        <f>IFERROR(Table50[[#This Row],[ORDER QTY2]]*Table50[[#This Row],[COST PRICE]],0)</f>
        <v>0</v>
      </c>
      <c r="AK136" s="15">
        <f>(Table50[[#This Row],[REORDER POINT]]*Table50[[#This Row],[COST PRICE]])+Table50[[#This Row],[ORDER COST]]</f>
        <v>242.26103215434082</v>
      </c>
      <c r="AL136" s="15">
        <f t="shared" si="8"/>
        <v>100</v>
      </c>
      <c r="AM136" s="15">
        <f>IFERROR((Table50[[#This Row],[REORDER POINT]]+Table50[[#This Row],[ORDER QTY]])/(Table50[[#This Row],[USAGE / DAY]]*Table50[[#This Row],[DEMAND %]]),Table50[[#This Row],[REORDER POINT]]/Table50[[#This Row],[USAGE / DAY]])</f>
        <v>14.60377358490566</v>
      </c>
    </row>
    <row r="137" spans="1:39" x14ac:dyDescent="0.25">
      <c r="A137" t="s">
        <v>50</v>
      </c>
      <c r="B137" t="s">
        <v>170</v>
      </c>
      <c r="C137" t="s">
        <v>200</v>
      </c>
      <c r="D137" t="s">
        <v>138</v>
      </c>
      <c r="E137">
        <v>4</v>
      </c>
      <c r="F137">
        <v>250.32</v>
      </c>
      <c r="G137">
        <v>6</v>
      </c>
      <c r="H137">
        <v>375.48</v>
      </c>
      <c r="I137">
        <v>4.33</v>
      </c>
      <c r="J137">
        <v>270.97000000000003</v>
      </c>
      <c r="K137">
        <f>Table50[[#This Row],[OpeningQty]]+Table50[[#This Row],[PurchasesQty]]-Table50[[#This Row],[ClosingQty]]</f>
        <v>5.67</v>
      </c>
      <c r="L137">
        <v>354.83</v>
      </c>
      <c r="M137" s="14">
        <f>Table50[[#This Row],[Usage]]/$L$1</f>
        <v>5.3891558938225562E-4</v>
      </c>
      <c r="N137" s="15">
        <f>IFERROR(Table50[[#This Row],[Opening]]/Table50[[#This Row],[OpeningQty]],0)</f>
        <v>62.58</v>
      </c>
      <c r="O137" s="15">
        <f>IFERROR(Table50[[#This Row],[Purchases]]/Table50[[#This Row],[PurchasesQty]],0)</f>
        <v>62.580000000000005</v>
      </c>
      <c r="P137" s="15">
        <f>IFERROR(Table50[[#This Row],[Closing]]/Table50[[#This Row],[ClosingQty]],0)</f>
        <v>62.579676674364904</v>
      </c>
      <c r="Q137" s="15">
        <f>IFERROR(AVERAGEIF(Table50[[#This Row],[OPENING COST PRICE]:[CLOSING COST PRICE]],"&gt;0"),0)</f>
        <v>62.579892224788296</v>
      </c>
      <c r="R137" s="15">
        <f>IFERROR(Table50[[#This Row],[COST PRICE]]-IFERROR(Table50[[#This Row],[Usage]]/Table50[[#This Row],[UsageQty]],Table50[[#This Row],[COST PRICE]]),0)</f>
        <v>-3.5468879195121872E-4</v>
      </c>
      <c r="S137" s="16">
        <f>IFERROR(Table50[[#This Row],[COST PRICE CHANGE]]/Table50[[#This Row],[OPENING COST PRICE]],0)</f>
        <v>-5.66776593082804E-6</v>
      </c>
      <c r="T137" s="15">
        <f>Table50[[#This Row],[ClosingQty]]-(Table50[[#This Row],[USAGE / DAY]]*(IF(Table50[[#This Row],[ccnt]]="BEV",Table50[[#This Row],[DELIVERY DAY]],Table50[[#This Row],[DELIVERY DAY]])))</f>
        <v>3.1</v>
      </c>
      <c r="U137" s="15">
        <f>ROUNDUP(Table50[[#This Row],[UsageQty]]/Table50[[#This Row],[DATA POINT]],2)</f>
        <v>0.41000000000000003</v>
      </c>
      <c r="V13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137" s="15">
        <f>IFERROR(Table50[[#This Row],[ORDER QTY]]*Table50[[#This Row],[COST PRICE]],0)</f>
        <v>62.579892224788296</v>
      </c>
      <c r="X137" s="15">
        <f>IFERROR(VLOOKUP(C137,[1]!Table49[[#All],[name]:[USAGE / DAY]],19,FALSE),1)</f>
        <v>0.32</v>
      </c>
      <c r="Y137" s="4">
        <f>IFERROR((Table50[[#This Row],[USAGE / DAY]]-Table50[[#This Row],[USAGE / DAY 2]])/Table50[[#This Row],[USAGE / DAY 2]],0)</f>
        <v>0.28125000000000006</v>
      </c>
      <c r="Z137" s="15">
        <f t="shared" si="6"/>
        <v>14</v>
      </c>
      <c r="AA137" s="15">
        <f t="shared" si="7"/>
        <v>9.311854181734148</v>
      </c>
      <c r="AB137" s="15">
        <f>IFERROR(IF(Table50[[#This Row],[ccnt]]="BEV",$AB$2,IF(Table50[[#This Row],[ccnt]]="FOOD",$AC$2,"ENTER # FROM LAST COUNT")),"ENTER # FROM LAST COUNT")</f>
        <v>3</v>
      </c>
      <c r="AC137" s="15">
        <f>(Table50[[#This Row],[OpeningQty]]+Table50[[#This Row],[ClosingQty]])/2</f>
        <v>4.165</v>
      </c>
      <c r="AD137" s="15">
        <f>IFERROR(Table50[[#This Row],[UsageQty]]/Table50[[#This Row],[AVE INVENTORY]],0)</f>
        <v>1.3613445378151261</v>
      </c>
      <c r="AE137" s="15">
        <f>IFERROR(Table50[[#This Row],[DATA POINT]]/Table50[[#This Row],[Inventory Turnover Rate]],0)</f>
        <v>10.283950617283951</v>
      </c>
      <c r="AF137" s="15">
        <f>Table50[[#This Row],[ClosingQty]]/Table50[[#This Row],[USAGE / DAY]]</f>
        <v>10.560975609756097</v>
      </c>
      <c r="AG137" s="15">
        <f>Table50[[#This Row],[USAGE / DAY]]*7</f>
        <v>2.87</v>
      </c>
      <c r="AH137" s="15">
        <f>Table50[[#This Row],[USAGE / DAY]]*3</f>
        <v>1.23</v>
      </c>
      <c r="AI13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37" s="15">
        <f>IFERROR(Table50[[#This Row],[ORDER QTY2]]*Table50[[#This Row],[COST PRICE]],0)</f>
        <v>0</v>
      </c>
      <c r="AK137" s="15">
        <f>(Table50[[#This Row],[REORDER POINT]]*Table50[[#This Row],[COST PRICE]])+Table50[[#This Row],[ORDER COST]]</f>
        <v>256.57755812163202</v>
      </c>
      <c r="AL137" s="15">
        <f t="shared" si="8"/>
        <v>100</v>
      </c>
      <c r="AM137" s="15">
        <f>IFERROR((Table50[[#This Row],[REORDER POINT]]+Table50[[#This Row],[ORDER QTY]])/(Table50[[#This Row],[USAGE / DAY]]*Table50[[#This Row],[DEMAND %]]),Table50[[#This Row],[REORDER POINT]]/Table50[[#This Row],[USAGE / DAY]])</f>
        <v>9.9999999999999992E-2</v>
      </c>
    </row>
    <row r="138" spans="1:39" x14ac:dyDescent="0.25">
      <c r="A138" t="s">
        <v>50</v>
      </c>
      <c r="B138" t="s">
        <v>170</v>
      </c>
      <c r="C138" t="s">
        <v>201</v>
      </c>
      <c r="D138" t="s">
        <v>138</v>
      </c>
      <c r="E138">
        <v>4</v>
      </c>
      <c r="F138">
        <v>528.84</v>
      </c>
      <c r="G138">
        <v>0</v>
      </c>
      <c r="H138">
        <v>0</v>
      </c>
      <c r="I138">
        <v>4</v>
      </c>
      <c r="J138">
        <v>528.84</v>
      </c>
      <c r="K138">
        <f>Table50[[#This Row],[OpeningQty]]+Table50[[#This Row],[PurchasesQty]]-Table50[[#This Row],[ClosingQty]]</f>
        <v>0</v>
      </c>
      <c r="L138">
        <v>0</v>
      </c>
      <c r="M138" s="14">
        <f>Table50[[#This Row],[Usage]]/$L$1</f>
        <v>0</v>
      </c>
      <c r="N138" s="15">
        <f>IFERROR(Table50[[#This Row],[Opening]]/Table50[[#This Row],[OpeningQty]],0)</f>
        <v>132.21</v>
      </c>
      <c r="O138" s="15">
        <f>IFERROR(Table50[[#This Row],[Purchases]]/Table50[[#This Row],[PurchasesQty]],0)</f>
        <v>0</v>
      </c>
      <c r="P138" s="15">
        <f>IFERROR(Table50[[#This Row],[Closing]]/Table50[[#This Row],[ClosingQty]],0)</f>
        <v>132.21</v>
      </c>
      <c r="Q138" s="15">
        <f>IFERROR(AVERAGEIF(Table50[[#This Row],[OPENING COST PRICE]:[CLOSING COST PRICE]],"&gt;0"),0)</f>
        <v>132.21</v>
      </c>
      <c r="R138" s="15">
        <f>IFERROR(Table50[[#This Row],[COST PRICE]]-IFERROR(Table50[[#This Row],[Usage]]/Table50[[#This Row],[UsageQty]],Table50[[#This Row],[COST PRICE]]),0)</f>
        <v>0</v>
      </c>
      <c r="S138" s="16">
        <f>IFERROR(Table50[[#This Row],[COST PRICE CHANGE]]/Table50[[#This Row],[OPENING COST PRICE]],0)</f>
        <v>0</v>
      </c>
      <c r="T138" s="15">
        <f>Table50[[#This Row],[ClosingQty]]-(Table50[[#This Row],[USAGE / DAY]]*(IF(Table50[[#This Row],[ccnt]]="BEV",Table50[[#This Row],[DELIVERY DAY]],Table50[[#This Row],[DELIVERY DAY]])))</f>
        <v>4</v>
      </c>
      <c r="U138" s="15">
        <f>ROUNDUP(Table50[[#This Row],[UsageQty]]/Table50[[#This Row],[DATA POINT]],2)</f>
        <v>0</v>
      </c>
      <c r="V13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38" s="15">
        <f>IFERROR(Table50[[#This Row],[ORDER QTY]]*Table50[[#This Row],[COST PRICE]],0)</f>
        <v>0</v>
      </c>
      <c r="X138" s="15">
        <f>IFERROR(VLOOKUP(C138,[1]!Table49[[#All],[name]:[USAGE / DAY]],19,FALSE),1)</f>
        <v>0</v>
      </c>
      <c r="Y138" s="4">
        <f>IFERROR((Table50[[#This Row],[USAGE / DAY]]-Table50[[#This Row],[USAGE / DAY 2]])/Table50[[#This Row],[USAGE / DAY 2]],0)</f>
        <v>0</v>
      </c>
      <c r="Z138" s="15">
        <f t="shared" si="6"/>
        <v>14</v>
      </c>
      <c r="AA138" s="15">
        <f t="shared" si="7"/>
        <v>9.311854181734148</v>
      </c>
      <c r="AB138" s="15">
        <f>IFERROR(IF(Table50[[#This Row],[ccnt]]="BEV",$AB$2,IF(Table50[[#This Row],[ccnt]]="FOOD",$AC$2,"ENTER # FROM LAST COUNT")),"ENTER # FROM LAST COUNT")</f>
        <v>3</v>
      </c>
      <c r="AC138" s="15">
        <f>(Table50[[#This Row],[OpeningQty]]+Table50[[#This Row],[ClosingQty]])/2</f>
        <v>4</v>
      </c>
      <c r="AD138" s="15">
        <f>IFERROR(Table50[[#This Row],[UsageQty]]/Table50[[#This Row],[AVE INVENTORY]],0)</f>
        <v>0</v>
      </c>
      <c r="AE138" s="15">
        <f>IFERROR(Table50[[#This Row],[DATA POINT]]/Table50[[#This Row],[Inventory Turnover Rate]],0)</f>
        <v>0</v>
      </c>
      <c r="AF138" s="15" t="e">
        <f>Table50[[#This Row],[ClosingQty]]/Table50[[#This Row],[USAGE / DAY]]</f>
        <v>#DIV/0!</v>
      </c>
      <c r="AG138" s="15">
        <f>Table50[[#This Row],[USAGE / DAY]]*7</f>
        <v>0</v>
      </c>
      <c r="AH138" s="15">
        <f>Table50[[#This Row],[USAGE / DAY]]*3</f>
        <v>0</v>
      </c>
      <c r="AI13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38" s="15">
        <f>IFERROR(Table50[[#This Row],[ORDER QTY2]]*Table50[[#This Row],[COST PRICE]],0)</f>
        <v>0</v>
      </c>
      <c r="AK138" s="15">
        <f>(Table50[[#This Row],[REORDER POINT]]*Table50[[#This Row],[COST PRICE]])+Table50[[#This Row],[ORDER COST]]</f>
        <v>528.84</v>
      </c>
      <c r="AL138" s="15">
        <f t="shared" si="8"/>
        <v>100</v>
      </c>
      <c r="AM138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39" spans="1:39" x14ac:dyDescent="0.25">
      <c r="A139" t="s">
        <v>50</v>
      </c>
      <c r="B139" t="s">
        <v>170</v>
      </c>
      <c r="C139" t="s">
        <v>202</v>
      </c>
      <c r="D139" t="s">
        <v>53</v>
      </c>
      <c r="E139">
        <v>3.77</v>
      </c>
      <c r="F139">
        <v>173.08</v>
      </c>
      <c r="G139">
        <v>9</v>
      </c>
      <c r="H139">
        <v>417.28</v>
      </c>
      <c r="I139">
        <v>5.33</v>
      </c>
      <c r="J139">
        <v>248.32</v>
      </c>
      <c r="K139">
        <f>Table50[[#This Row],[OpeningQty]]+Table50[[#This Row],[PurchasesQty]]-Table50[[#This Row],[ClosingQty]]</f>
        <v>7.4399999999999995</v>
      </c>
      <c r="L139">
        <v>342.04</v>
      </c>
      <c r="M139" s="14">
        <f>Table50[[#This Row],[Usage]]/$L$1</f>
        <v>5.1949014511824463E-4</v>
      </c>
      <c r="N139" s="15">
        <f>IFERROR(Table50[[#This Row],[Opening]]/Table50[[#This Row],[OpeningQty]],0)</f>
        <v>45.909814323607428</v>
      </c>
      <c r="O139" s="15">
        <f>IFERROR(Table50[[#This Row],[Purchases]]/Table50[[#This Row],[PurchasesQty]],0)</f>
        <v>46.364444444444445</v>
      </c>
      <c r="P139" s="15">
        <f>IFERROR(Table50[[#This Row],[Closing]]/Table50[[#This Row],[ClosingQty]],0)</f>
        <v>46.589118198874296</v>
      </c>
      <c r="Q139" s="15">
        <f>IFERROR(AVERAGEIF(Table50[[#This Row],[OPENING COST PRICE]:[CLOSING COST PRICE]],"&gt;0"),0)</f>
        <v>46.287792322308725</v>
      </c>
      <c r="R139" s="15">
        <f>IFERROR(Table50[[#This Row],[COST PRICE]]-IFERROR(Table50[[#This Row],[Usage]]/Table50[[#This Row],[UsageQty]],Table50[[#This Row],[COST PRICE]]),0)</f>
        <v>0.31467404273882948</v>
      </c>
      <c r="S139" s="16">
        <f>IFERROR(Table50[[#This Row],[COST PRICE CHANGE]]/Table50[[#This Row],[OPENING COST PRICE]],0)</f>
        <v>6.8541780744475799E-3</v>
      </c>
      <c r="T139" s="15">
        <f>Table50[[#This Row],[ClosingQty]]-(Table50[[#This Row],[USAGE / DAY]]*(IF(Table50[[#This Row],[ccnt]]="BEV",Table50[[#This Row],[DELIVERY DAY]],Table50[[#This Row],[DELIVERY DAY]])))</f>
        <v>3.71</v>
      </c>
      <c r="U139" s="15">
        <f>ROUNDUP(Table50[[#This Row],[UsageQty]]/Table50[[#This Row],[DATA POINT]],2)</f>
        <v>0.54</v>
      </c>
      <c r="V13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139" s="15">
        <f>IFERROR(Table50[[#This Row],[ORDER QTY]]*Table50[[#This Row],[COST PRICE]],0)</f>
        <v>92.57558464461745</v>
      </c>
      <c r="X139" s="15">
        <f>IFERROR(VLOOKUP(C139,[1]!Table49[[#All],[name]:[USAGE / DAY]],19,FALSE),1)</f>
        <v>0.27</v>
      </c>
      <c r="Y139" s="4">
        <f>IFERROR((Table50[[#This Row],[USAGE / DAY]]-Table50[[#This Row],[USAGE / DAY 2]])/Table50[[#This Row],[USAGE / DAY 2]],0)</f>
        <v>1</v>
      </c>
      <c r="Z139" s="15">
        <f t="shared" si="6"/>
        <v>14</v>
      </c>
      <c r="AA139" s="15">
        <f t="shared" si="7"/>
        <v>9.311854181734148</v>
      </c>
      <c r="AB139" s="15">
        <f>IFERROR(IF(Table50[[#This Row],[ccnt]]="BEV",$AB$2,IF(Table50[[#This Row],[ccnt]]="FOOD",$AC$2,"ENTER # FROM LAST COUNT")),"ENTER # FROM LAST COUNT")</f>
        <v>3</v>
      </c>
      <c r="AC139" s="15">
        <f>(Table50[[#This Row],[OpeningQty]]+Table50[[#This Row],[ClosingQty]])/2</f>
        <v>4.55</v>
      </c>
      <c r="AD139" s="15">
        <f>IFERROR(Table50[[#This Row],[UsageQty]]/Table50[[#This Row],[AVE INVENTORY]],0)</f>
        <v>1.6351648351648351</v>
      </c>
      <c r="AE139" s="15">
        <f>IFERROR(Table50[[#This Row],[DATA POINT]]/Table50[[#This Row],[Inventory Turnover Rate]],0)</f>
        <v>8.5618279569892479</v>
      </c>
      <c r="AF139" s="15">
        <f>Table50[[#This Row],[ClosingQty]]/Table50[[#This Row],[USAGE / DAY]]</f>
        <v>9.8703703703703702</v>
      </c>
      <c r="AG139" s="15">
        <f>Table50[[#This Row],[USAGE / DAY]]*7</f>
        <v>3.7800000000000002</v>
      </c>
      <c r="AH139" s="15">
        <f>Table50[[#This Row],[USAGE / DAY]]*3</f>
        <v>1.62</v>
      </c>
      <c r="AI139" s="15">
        <f>IF(Table50[[#This Row],[FORECASTED DEMAND]]+Table50[[#This Row],[SAFETY STOCK]]-Table50[[#This Row],[ClosingQty]]&gt;0,Table50[[#This Row],[FORECASTED DEMAND]]+Table50[[#This Row],[SAFETY STOCK]]-Table50[[#This Row],[ClosingQty]],"NO ORDER")</f>
        <v>7.0000000000000284E-2</v>
      </c>
      <c r="AJ139" s="15">
        <f>IFERROR(Table50[[#This Row],[ORDER QTY2]]*Table50[[#This Row],[COST PRICE]],0)</f>
        <v>3.2401454625616237</v>
      </c>
      <c r="AK139" s="15">
        <f>(Table50[[#This Row],[REORDER POINT]]*Table50[[#This Row],[COST PRICE]])+Table50[[#This Row],[ORDER COST]]</f>
        <v>264.30329416038279</v>
      </c>
      <c r="AL139" s="15">
        <f t="shared" si="8"/>
        <v>100</v>
      </c>
      <c r="AM139" s="15">
        <f>IFERROR((Table50[[#This Row],[REORDER POINT]]+Table50[[#This Row],[ORDER QTY]])/(Table50[[#This Row],[USAGE / DAY]]*Table50[[#This Row],[DEMAND %]]),Table50[[#This Row],[REORDER POINT]]/Table50[[#This Row],[USAGE / DAY]])</f>
        <v>0.10574074074074075</v>
      </c>
    </row>
    <row r="140" spans="1:39" x14ac:dyDescent="0.25">
      <c r="A140" t="s">
        <v>50</v>
      </c>
      <c r="B140" t="s">
        <v>170</v>
      </c>
      <c r="C140" t="s">
        <v>203</v>
      </c>
      <c r="D140" t="s">
        <v>138</v>
      </c>
      <c r="E140">
        <v>1.66</v>
      </c>
      <c r="F140">
        <v>76.209999999999994</v>
      </c>
      <c r="G140">
        <v>6</v>
      </c>
      <c r="H140">
        <v>275.45999999999998</v>
      </c>
      <c r="I140">
        <v>5</v>
      </c>
      <c r="J140">
        <v>229.55</v>
      </c>
      <c r="K140">
        <f>Table50[[#This Row],[OpeningQty]]+Table50[[#This Row],[PurchasesQty]]-Table50[[#This Row],[ClosingQty]]</f>
        <v>2.66</v>
      </c>
      <c r="L140">
        <v>122.12</v>
      </c>
      <c r="M140" s="14">
        <f>Table50[[#This Row],[Usage]]/$L$1</f>
        <v>1.8547578213612452E-4</v>
      </c>
      <c r="N140" s="15">
        <f>IFERROR(Table50[[#This Row],[Opening]]/Table50[[#This Row],[OpeningQty]],0)</f>
        <v>45.909638554216869</v>
      </c>
      <c r="O140" s="15">
        <f>IFERROR(Table50[[#This Row],[Purchases]]/Table50[[#This Row],[PurchasesQty]],0)</f>
        <v>45.91</v>
      </c>
      <c r="P140" s="15">
        <f>IFERROR(Table50[[#This Row],[Closing]]/Table50[[#This Row],[ClosingQty]],0)</f>
        <v>45.910000000000004</v>
      </c>
      <c r="Q140" s="15">
        <f>IFERROR(AVERAGEIF(Table50[[#This Row],[OPENING COST PRICE]:[CLOSING COST PRICE]],"&gt;0"),0)</f>
        <v>45.909879518072295</v>
      </c>
      <c r="R140" s="15">
        <f>IFERROR(Table50[[#This Row],[COST PRICE]]-IFERROR(Table50[[#This Row],[Usage]]/Table50[[#This Row],[UsageQty]],Table50[[#This Row],[COST PRICE]]),0)</f>
        <v>1.0508198207048736E-4</v>
      </c>
      <c r="S140" s="16">
        <f>IFERROR(Table50[[#This Row],[COST PRICE CHANGE]]/Table50[[#This Row],[OPENING COST PRICE]],0)</f>
        <v>2.2888871570267549E-6</v>
      </c>
      <c r="T140" s="15">
        <f>Table50[[#This Row],[ClosingQty]]-(Table50[[#This Row],[USAGE / DAY]]*(IF(Table50[[#This Row],[ccnt]]="BEV",Table50[[#This Row],[DELIVERY DAY]],Table50[[#This Row],[DELIVERY DAY]])))</f>
        <v>4.43</v>
      </c>
      <c r="U140" s="15">
        <f>ROUNDUP(Table50[[#This Row],[UsageQty]]/Table50[[#This Row],[DATA POINT]],2)</f>
        <v>0.19</v>
      </c>
      <c r="V14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40" s="15">
        <f>IFERROR(Table50[[#This Row],[ORDER QTY]]*Table50[[#This Row],[COST PRICE]],0)</f>
        <v>0</v>
      </c>
      <c r="X140" s="15">
        <f>IFERROR(VLOOKUP(C140,[1]!Table49[[#All],[name]:[USAGE / DAY]],19,FALSE),1)</f>
        <v>0.29000000000000004</v>
      </c>
      <c r="Y140" s="4">
        <f>IFERROR((Table50[[#This Row],[USAGE / DAY]]-Table50[[#This Row],[USAGE / DAY 2]])/Table50[[#This Row],[USAGE / DAY 2]],0)</f>
        <v>-0.34482758620689663</v>
      </c>
      <c r="Z140" s="15">
        <f t="shared" si="6"/>
        <v>14</v>
      </c>
      <c r="AA140" s="15">
        <f t="shared" si="7"/>
        <v>9.311854181734148</v>
      </c>
      <c r="AB140" s="15">
        <f>IFERROR(IF(Table50[[#This Row],[ccnt]]="BEV",$AB$2,IF(Table50[[#This Row],[ccnt]]="FOOD",$AC$2,"ENTER # FROM LAST COUNT")),"ENTER # FROM LAST COUNT")</f>
        <v>3</v>
      </c>
      <c r="AC140" s="15">
        <f>(Table50[[#This Row],[OpeningQty]]+Table50[[#This Row],[ClosingQty]])/2</f>
        <v>3.33</v>
      </c>
      <c r="AD140" s="15">
        <f>IFERROR(Table50[[#This Row],[UsageQty]]/Table50[[#This Row],[AVE INVENTORY]],0)</f>
        <v>0.79879879879879878</v>
      </c>
      <c r="AE140" s="15">
        <f>IFERROR(Table50[[#This Row],[DATA POINT]]/Table50[[#This Row],[Inventory Turnover Rate]],0)</f>
        <v>17.526315789473685</v>
      </c>
      <c r="AF140" s="15">
        <f>Table50[[#This Row],[ClosingQty]]/Table50[[#This Row],[USAGE / DAY]]</f>
        <v>26.315789473684209</v>
      </c>
      <c r="AG140" s="15">
        <f>Table50[[#This Row],[USAGE / DAY]]*7</f>
        <v>1.33</v>
      </c>
      <c r="AH140" s="15">
        <f>Table50[[#This Row],[USAGE / DAY]]*3</f>
        <v>0.57000000000000006</v>
      </c>
      <c r="AI14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40" s="15">
        <f>IFERROR(Table50[[#This Row],[ORDER QTY2]]*Table50[[#This Row],[COST PRICE]],0)</f>
        <v>0</v>
      </c>
      <c r="AK140" s="15">
        <f>(Table50[[#This Row],[REORDER POINT]]*Table50[[#This Row],[COST PRICE]])+Table50[[#This Row],[ORDER COST]]</f>
        <v>203.38076626506026</v>
      </c>
      <c r="AL140" s="15">
        <f t="shared" si="8"/>
        <v>100</v>
      </c>
      <c r="AM140" s="15">
        <f>IFERROR((Table50[[#This Row],[REORDER POINT]]+Table50[[#This Row],[ORDER QTY]])/(Table50[[#This Row],[USAGE / DAY]]*Table50[[#This Row],[DEMAND %]]),Table50[[#This Row],[REORDER POINT]]/Table50[[#This Row],[USAGE / DAY]])</f>
        <v>23.315789473684209</v>
      </c>
    </row>
    <row r="141" spans="1:39" x14ac:dyDescent="0.25">
      <c r="A141" t="s">
        <v>50</v>
      </c>
      <c r="B141" t="s">
        <v>170</v>
      </c>
      <c r="C141" t="s">
        <v>204</v>
      </c>
      <c r="D141" t="s">
        <v>138</v>
      </c>
      <c r="E141">
        <v>3</v>
      </c>
      <c r="F141">
        <v>482.43</v>
      </c>
      <c r="G141">
        <v>0</v>
      </c>
      <c r="H141">
        <v>0</v>
      </c>
      <c r="I141">
        <v>3</v>
      </c>
      <c r="J141">
        <v>482.43</v>
      </c>
      <c r="K141">
        <f>Table50[[#This Row],[OpeningQty]]+Table50[[#This Row],[PurchasesQty]]-Table50[[#This Row],[ClosingQty]]</f>
        <v>0</v>
      </c>
      <c r="L141">
        <v>0</v>
      </c>
      <c r="M141" s="14">
        <f>Table50[[#This Row],[Usage]]/$L$1</f>
        <v>0</v>
      </c>
      <c r="N141" s="15">
        <f>IFERROR(Table50[[#This Row],[Opening]]/Table50[[#This Row],[OpeningQty]],0)</f>
        <v>160.81</v>
      </c>
      <c r="O141" s="15">
        <f>IFERROR(Table50[[#This Row],[Purchases]]/Table50[[#This Row],[PurchasesQty]],0)</f>
        <v>0</v>
      </c>
      <c r="P141" s="15">
        <f>IFERROR(Table50[[#This Row],[Closing]]/Table50[[#This Row],[ClosingQty]],0)</f>
        <v>160.81</v>
      </c>
      <c r="Q141" s="15">
        <f>IFERROR(AVERAGEIF(Table50[[#This Row],[OPENING COST PRICE]:[CLOSING COST PRICE]],"&gt;0"),0)</f>
        <v>160.81</v>
      </c>
      <c r="R141" s="15">
        <f>IFERROR(Table50[[#This Row],[COST PRICE]]-IFERROR(Table50[[#This Row],[Usage]]/Table50[[#This Row],[UsageQty]],Table50[[#This Row],[COST PRICE]]),0)</f>
        <v>0</v>
      </c>
      <c r="S141" s="16">
        <f>IFERROR(Table50[[#This Row],[COST PRICE CHANGE]]/Table50[[#This Row],[OPENING COST PRICE]],0)</f>
        <v>0</v>
      </c>
      <c r="T141" s="15">
        <f>Table50[[#This Row],[ClosingQty]]-(Table50[[#This Row],[USAGE / DAY]]*(IF(Table50[[#This Row],[ccnt]]="BEV",Table50[[#This Row],[DELIVERY DAY]],Table50[[#This Row],[DELIVERY DAY]])))</f>
        <v>3</v>
      </c>
      <c r="U141" s="15">
        <f>ROUNDUP(Table50[[#This Row],[UsageQty]]/Table50[[#This Row],[DATA POINT]],2)</f>
        <v>0</v>
      </c>
      <c r="V14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41" s="15">
        <f>IFERROR(Table50[[#This Row],[ORDER QTY]]*Table50[[#This Row],[COST PRICE]],0)</f>
        <v>0</v>
      </c>
      <c r="X141" s="15">
        <f>IFERROR(VLOOKUP(C141,[1]!Table49[[#All],[name]:[USAGE / DAY]],19,FALSE),1)</f>
        <v>0</v>
      </c>
      <c r="Y141" s="4">
        <f>IFERROR((Table50[[#This Row],[USAGE / DAY]]-Table50[[#This Row],[USAGE / DAY 2]])/Table50[[#This Row],[USAGE / DAY 2]],0)</f>
        <v>0</v>
      </c>
      <c r="Z141" s="15">
        <f t="shared" si="6"/>
        <v>14</v>
      </c>
      <c r="AA141" s="15">
        <f t="shared" si="7"/>
        <v>9.311854181734148</v>
      </c>
      <c r="AB141" s="15">
        <f>IFERROR(IF(Table50[[#This Row],[ccnt]]="BEV",$AB$2,IF(Table50[[#This Row],[ccnt]]="FOOD",$AC$2,"ENTER # FROM LAST COUNT")),"ENTER # FROM LAST COUNT")</f>
        <v>3</v>
      </c>
      <c r="AC141" s="15">
        <f>(Table50[[#This Row],[OpeningQty]]+Table50[[#This Row],[ClosingQty]])/2</f>
        <v>3</v>
      </c>
      <c r="AD141" s="15">
        <f>IFERROR(Table50[[#This Row],[UsageQty]]/Table50[[#This Row],[AVE INVENTORY]],0)</f>
        <v>0</v>
      </c>
      <c r="AE141" s="15">
        <f>IFERROR(Table50[[#This Row],[DATA POINT]]/Table50[[#This Row],[Inventory Turnover Rate]],0)</f>
        <v>0</v>
      </c>
      <c r="AF141" s="15" t="e">
        <f>Table50[[#This Row],[ClosingQty]]/Table50[[#This Row],[USAGE / DAY]]</f>
        <v>#DIV/0!</v>
      </c>
      <c r="AG141" s="15">
        <f>Table50[[#This Row],[USAGE / DAY]]*7</f>
        <v>0</v>
      </c>
      <c r="AH141" s="15">
        <f>Table50[[#This Row],[USAGE / DAY]]*3</f>
        <v>0</v>
      </c>
      <c r="AI14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41" s="15">
        <f>IFERROR(Table50[[#This Row],[ORDER QTY2]]*Table50[[#This Row],[COST PRICE]],0)</f>
        <v>0</v>
      </c>
      <c r="AK141" s="15">
        <f>(Table50[[#This Row],[REORDER POINT]]*Table50[[#This Row],[COST PRICE]])+Table50[[#This Row],[ORDER COST]]</f>
        <v>482.43</v>
      </c>
      <c r="AL141" s="15">
        <f t="shared" si="8"/>
        <v>100</v>
      </c>
      <c r="AM141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42" spans="1:39" x14ac:dyDescent="0.25">
      <c r="A142" t="s">
        <v>50</v>
      </c>
      <c r="B142" t="s">
        <v>170</v>
      </c>
      <c r="C142" t="s">
        <v>205</v>
      </c>
      <c r="D142" t="s">
        <v>138</v>
      </c>
      <c r="E142">
        <v>0.33</v>
      </c>
      <c r="F142">
        <v>25.57</v>
      </c>
      <c r="G142">
        <v>0</v>
      </c>
      <c r="H142">
        <v>0</v>
      </c>
      <c r="I142">
        <v>0.33</v>
      </c>
      <c r="J142">
        <v>25.57</v>
      </c>
      <c r="K142">
        <f>Table50[[#This Row],[OpeningQty]]+Table50[[#This Row],[PurchasesQty]]-Table50[[#This Row],[ClosingQty]]</f>
        <v>0</v>
      </c>
      <c r="L142">
        <v>0</v>
      </c>
      <c r="M142" s="14">
        <f>Table50[[#This Row],[Usage]]/$L$1</f>
        <v>0</v>
      </c>
      <c r="N142" s="15">
        <f>IFERROR(Table50[[#This Row],[Opening]]/Table50[[#This Row],[OpeningQty]],0)</f>
        <v>77.484848484848484</v>
      </c>
      <c r="O142" s="15">
        <f>IFERROR(Table50[[#This Row],[Purchases]]/Table50[[#This Row],[PurchasesQty]],0)</f>
        <v>0</v>
      </c>
      <c r="P142" s="15">
        <f>IFERROR(Table50[[#This Row],[Closing]]/Table50[[#This Row],[ClosingQty]],0)</f>
        <v>77.484848484848484</v>
      </c>
      <c r="Q142" s="15">
        <f>IFERROR(AVERAGEIF(Table50[[#This Row],[OPENING COST PRICE]:[CLOSING COST PRICE]],"&gt;0"),0)</f>
        <v>77.484848484848484</v>
      </c>
      <c r="R142" s="15">
        <f>IFERROR(Table50[[#This Row],[COST PRICE]]-IFERROR(Table50[[#This Row],[Usage]]/Table50[[#This Row],[UsageQty]],Table50[[#This Row],[COST PRICE]]),0)</f>
        <v>0</v>
      </c>
      <c r="S142" s="16">
        <f>IFERROR(Table50[[#This Row],[COST PRICE CHANGE]]/Table50[[#This Row],[OPENING COST PRICE]],0)</f>
        <v>0</v>
      </c>
      <c r="T142" s="15">
        <f>Table50[[#This Row],[ClosingQty]]-(Table50[[#This Row],[USAGE / DAY]]*(IF(Table50[[#This Row],[ccnt]]="BEV",Table50[[#This Row],[DELIVERY DAY]],Table50[[#This Row],[DELIVERY DAY]])))</f>
        <v>0.33</v>
      </c>
      <c r="U142" s="15">
        <f>ROUNDUP(Table50[[#This Row],[UsageQty]]/Table50[[#This Row],[DATA POINT]],2)</f>
        <v>0</v>
      </c>
      <c r="V14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42" s="15">
        <f>IFERROR(Table50[[#This Row],[ORDER QTY]]*Table50[[#This Row],[COST PRICE]],0)</f>
        <v>0</v>
      </c>
      <c r="X142" s="15">
        <f>IFERROR(VLOOKUP(C142,[1]!Table49[[#All],[name]:[USAGE / DAY]],19,FALSE),1)</f>
        <v>0</v>
      </c>
      <c r="Y142" s="4">
        <f>IFERROR((Table50[[#This Row],[USAGE / DAY]]-Table50[[#This Row],[USAGE / DAY 2]])/Table50[[#This Row],[USAGE / DAY 2]],0)</f>
        <v>0</v>
      </c>
      <c r="Z142" s="15">
        <f t="shared" si="6"/>
        <v>14</v>
      </c>
      <c r="AA142" s="15">
        <f t="shared" si="7"/>
        <v>9.311854181734148</v>
      </c>
      <c r="AB142" s="15">
        <f>IFERROR(IF(Table50[[#This Row],[ccnt]]="BEV",$AB$2,IF(Table50[[#This Row],[ccnt]]="FOOD",$AC$2,"ENTER # FROM LAST COUNT")),"ENTER # FROM LAST COUNT")</f>
        <v>3</v>
      </c>
      <c r="AC142" s="15">
        <f>(Table50[[#This Row],[OpeningQty]]+Table50[[#This Row],[ClosingQty]])/2</f>
        <v>0.33</v>
      </c>
      <c r="AD142" s="15">
        <f>IFERROR(Table50[[#This Row],[UsageQty]]/Table50[[#This Row],[AVE INVENTORY]],0)</f>
        <v>0</v>
      </c>
      <c r="AE142" s="15">
        <f>IFERROR(Table50[[#This Row],[DATA POINT]]/Table50[[#This Row],[Inventory Turnover Rate]],0)</f>
        <v>0</v>
      </c>
      <c r="AF142" s="15" t="e">
        <f>Table50[[#This Row],[ClosingQty]]/Table50[[#This Row],[USAGE / DAY]]</f>
        <v>#DIV/0!</v>
      </c>
      <c r="AG142" s="15">
        <f>Table50[[#This Row],[USAGE / DAY]]*7</f>
        <v>0</v>
      </c>
      <c r="AH142" s="15">
        <f>Table50[[#This Row],[USAGE / DAY]]*3</f>
        <v>0</v>
      </c>
      <c r="AI14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42" s="15">
        <f>IFERROR(Table50[[#This Row],[ORDER QTY2]]*Table50[[#This Row],[COST PRICE]],0)</f>
        <v>0</v>
      </c>
      <c r="AK142" s="15">
        <f>(Table50[[#This Row],[REORDER POINT]]*Table50[[#This Row],[COST PRICE]])+Table50[[#This Row],[ORDER COST]]</f>
        <v>25.57</v>
      </c>
      <c r="AL142" s="15">
        <f t="shared" si="8"/>
        <v>100</v>
      </c>
      <c r="AM142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43" spans="1:39" x14ac:dyDescent="0.25">
      <c r="A143" t="s">
        <v>50</v>
      </c>
      <c r="B143" t="s">
        <v>170</v>
      </c>
      <c r="C143" t="s">
        <v>206</v>
      </c>
      <c r="D143" t="s">
        <v>138</v>
      </c>
      <c r="E143">
        <v>0.31</v>
      </c>
      <c r="F143">
        <v>18.86</v>
      </c>
      <c r="G143">
        <v>15</v>
      </c>
      <c r="H143">
        <v>956.42</v>
      </c>
      <c r="I143">
        <v>7.66</v>
      </c>
      <c r="J143">
        <v>481.89</v>
      </c>
      <c r="K143">
        <f>Table50[[#This Row],[OpeningQty]]+Table50[[#This Row],[PurchasesQty]]-Table50[[#This Row],[ClosingQty]]</f>
        <v>7.65</v>
      </c>
      <c r="L143">
        <v>493.39</v>
      </c>
      <c r="M143" s="14">
        <f>Table50[[#This Row],[Usage]]/$L$1</f>
        <v>7.493604335747009E-4</v>
      </c>
      <c r="N143" s="15">
        <f>IFERROR(Table50[[#This Row],[Opening]]/Table50[[#This Row],[OpeningQty]],0)</f>
        <v>60.838709677419352</v>
      </c>
      <c r="O143" s="15">
        <f>IFERROR(Table50[[#This Row],[Purchases]]/Table50[[#This Row],[PurchasesQty]],0)</f>
        <v>63.761333333333333</v>
      </c>
      <c r="P143" s="15">
        <f>IFERROR(Table50[[#This Row],[Closing]]/Table50[[#This Row],[ClosingQty]],0)</f>
        <v>62.909921671018274</v>
      </c>
      <c r="Q143" s="15">
        <f>IFERROR(AVERAGEIF(Table50[[#This Row],[OPENING COST PRICE]:[CLOSING COST PRICE]],"&gt;0"),0)</f>
        <v>62.503321560590315</v>
      </c>
      <c r="R143" s="15">
        <f>IFERROR(Table50[[#This Row],[COST PRICE]]-IFERROR(Table50[[#This Row],[Usage]]/Table50[[#This Row],[UsageQty]],Table50[[#This Row],[COST PRICE]]),0)</f>
        <v>-1.9921032760109867</v>
      </c>
      <c r="S143" s="16">
        <f>IFERROR(Table50[[#This Row],[COST PRICE CHANGE]]/Table50[[#This Row],[OPENING COST PRICE]],0)</f>
        <v>-3.2744009308770194E-2</v>
      </c>
      <c r="T143" s="15">
        <f>Table50[[#This Row],[ClosingQty]]-(Table50[[#This Row],[USAGE / DAY]]*(IF(Table50[[#This Row],[ccnt]]="BEV",Table50[[#This Row],[DELIVERY DAY]],Table50[[#This Row],[DELIVERY DAY]])))</f>
        <v>6.01</v>
      </c>
      <c r="U143" s="15">
        <f>ROUNDUP(Table50[[#This Row],[UsageQty]]/Table50[[#This Row],[DATA POINT]],2)</f>
        <v>0.55000000000000004</v>
      </c>
      <c r="V14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43" s="15">
        <f>IFERROR(Table50[[#This Row],[ORDER QTY]]*Table50[[#This Row],[COST PRICE]],0)</f>
        <v>0</v>
      </c>
      <c r="X143" s="15">
        <f>IFERROR(VLOOKUP(C143,[1]!Table49[[#All],[name]:[USAGE / DAY]],19,FALSE),1)</f>
        <v>0.49</v>
      </c>
      <c r="Y143" s="4">
        <f>IFERROR((Table50[[#This Row],[USAGE / DAY]]-Table50[[#This Row],[USAGE / DAY 2]])/Table50[[#This Row],[USAGE / DAY 2]],0)</f>
        <v>0.12244897959183684</v>
      </c>
      <c r="Z143" s="15">
        <f t="shared" si="6"/>
        <v>14</v>
      </c>
      <c r="AA143" s="15">
        <f t="shared" si="7"/>
        <v>9.311854181734148</v>
      </c>
      <c r="AB143" s="15">
        <f>IFERROR(IF(Table50[[#This Row],[ccnt]]="BEV",$AB$2,IF(Table50[[#This Row],[ccnt]]="FOOD",$AC$2,"ENTER # FROM LAST COUNT")),"ENTER # FROM LAST COUNT")</f>
        <v>3</v>
      </c>
      <c r="AC143" s="15">
        <f>(Table50[[#This Row],[OpeningQty]]+Table50[[#This Row],[ClosingQty]])/2</f>
        <v>3.9849999999999999</v>
      </c>
      <c r="AD143" s="15">
        <f>IFERROR(Table50[[#This Row],[UsageQty]]/Table50[[#This Row],[AVE INVENTORY]],0)</f>
        <v>1.9196988707653704</v>
      </c>
      <c r="AE143" s="15">
        <f>IFERROR(Table50[[#This Row],[DATA POINT]]/Table50[[#This Row],[Inventory Turnover Rate]],0)</f>
        <v>7.2928104575163388</v>
      </c>
      <c r="AF143" s="15">
        <f>Table50[[#This Row],[ClosingQty]]/Table50[[#This Row],[USAGE / DAY]]</f>
        <v>13.927272727272726</v>
      </c>
      <c r="AG143" s="15">
        <f>Table50[[#This Row],[USAGE / DAY]]*7</f>
        <v>3.8500000000000005</v>
      </c>
      <c r="AH143" s="15">
        <f>Table50[[#This Row],[USAGE / DAY]]*3</f>
        <v>1.6500000000000001</v>
      </c>
      <c r="AI14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43" s="15">
        <f>IFERROR(Table50[[#This Row],[ORDER QTY2]]*Table50[[#This Row],[COST PRICE]],0)</f>
        <v>0</v>
      </c>
      <c r="AK143" s="15">
        <f>(Table50[[#This Row],[REORDER POINT]]*Table50[[#This Row],[COST PRICE]])+Table50[[#This Row],[ORDER COST]]</f>
        <v>375.64496257914777</v>
      </c>
      <c r="AL143" s="15">
        <f t="shared" si="8"/>
        <v>100</v>
      </c>
      <c r="AM143" s="15">
        <f>IFERROR((Table50[[#This Row],[REORDER POINT]]+Table50[[#This Row],[ORDER QTY]])/(Table50[[#This Row],[USAGE / DAY]]*Table50[[#This Row],[DEMAND %]]),Table50[[#This Row],[REORDER POINT]]/Table50[[#This Row],[USAGE / DAY]])</f>
        <v>10.927272727272726</v>
      </c>
    </row>
    <row r="144" spans="1:39" x14ac:dyDescent="0.25">
      <c r="A144" t="s">
        <v>50</v>
      </c>
      <c r="B144" t="s">
        <v>170</v>
      </c>
      <c r="C144" t="s">
        <v>207</v>
      </c>
      <c r="D144" t="s">
        <v>53</v>
      </c>
      <c r="E144">
        <v>5.33</v>
      </c>
      <c r="F144">
        <v>736.66</v>
      </c>
      <c r="G144">
        <v>0</v>
      </c>
      <c r="H144">
        <v>0</v>
      </c>
      <c r="I144">
        <v>4.66</v>
      </c>
      <c r="J144">
        <v>644.05999999999995</v>
      </c>
      <c r="K144">
        <f>Table50[[#This Row],[OpeningQty]]+Table50[[#This Row],[PurchasesQty]]-Table50[[#This Row],[ClosingQty]]</f>
        <v>0.66999999999999993</v>
      </c>
      <c r="L144">
        <v>92.6</v>
      </c>
      <c r="M144" s="14">
        <f>Table50[[#This Row],[Usage]]/$L$1</f>
        <v>1.4064082399119823E-4</v>
      </c>
      <c r="N144" s="15">
        <f>IFERROR(Table50[[#This Row],[Opening]]/Table50[[#This Row],[OpeningQty]],0)</f>
        <v>138.21013133208254</v>
      </c>
      <c r="O144" s="15">
        <f>IFERROR(Table50[[#This Row],[Purchases]]/Table50[[#This Row],[PurchasesQty]],0)</f>
        <v>0</v>
      </c>
      <c r="P144" s="15">
        <f>IFERROR(Table50[[#This Row],[Closing]]/Table50[[#This Row],[ClosingQty]],0)</f>
        <v>138.21030042918454</v>
      </c>
      <c r="Q144" s="15">
        <f>IFERROR(AVERAGEIF(Table50[[#This Row],[OPENING COST PRICE]:[CLOSING COST PRICE]],"&gt;0"),0)</f>
        <v>138.21021588063354</v>
      </c>
      <c r="R144" s="15">
        <f>IFERROR(Table50[[#This Row],[COST PRICE]]-IFERROR(Table50[[#This Row],[Usage]]/Table50[[#This Row],[UsageQty]],Table50[[#This Row],[COST PRICE]]),0)</f>
        <v>1.2606567529473978E-3</v>
      </c>
      <c r="S144" s="16">
        <f>IFERROR(Table50[[#This Row],[COST PRICE CHANGE]]/Table50[[#This Row],[OPENING COST PRICE]],0)</f>
        <v>9.121304934718365E-6</v>
      </c>
      <c r="T144" s="15">
        <f>Table50[[#This Row],[ClosingQty]]-(Table50[[#This Row],[USAGE / DAY]]*(IF(Table50[[#This Row],[ccnt]]="BEV",Table50[[#This Row],[DELIVERY DAY]],Table50[[#This Row],[DELIVERY DAY]])))</f>
        <v>4.51</v>
      </c>
      <c r="U144" s="15">
        <f>ROUNDUP(Table50[[#This Row],[UsageQty]]/Table50[[#This Row],[DATA POINT]],2)</f>
        <v>0.05</v>
      </c>
      <c r="V14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44" s="15">
        <f>IFERROR(Table50[[#This Row],[ORDER QTY]]*Table50[[#This Row],[COST PRICE]],0)</f>
        <v>0</v>
      </c>
      <c r="X144" s="15">
        <f>IFERROR(VLOOKUP(C144,[1]!Table49[[#All],[name]:[USAGE / DAY]],19,FALSE),1)</f>
        <v>6.9999999999999993E-2</v>
      </c>
      <c r="Y144" s="4">
        <f>IFERROR((Table50[[#This Row],[USAGE / DAY]]-Table50[[#This Row],[USAGE / DAY 2]])/Table50[[#This Row],[USAGE / DAY 2]],0)</f>
        <v>-0.28571428571428559</v>
      </c>
      <c r="Z144" s="15">
        <f t="shared" si="6"/>
        <v>14</v>
      </c>
      <c r="AA144" s="15">
        <f t="shared" si="7"/>
        <v>9.311854181734148</v>
      </c>
      <c r="AB144" s="15">
        <f>IFERROR(IF(Table50[[#This Row],[ccnt]]="BEV",$AB$2,IF(Table50[[#This Row],[ccnt]]="FOOD",$AC$2,"ENTER # FROM LAST COUNT")),"ENTER # FROM LAST COUNT")</f>
        <v>3</v>
      </c>
      <c r="AC144" s="15">
        <f>(Table50[[#This Row],[OpeningQty]]+Table50[[#This Row],[ClosingQty]])/2</f>
        <v>4.9950000000000001</v>
      </c>
      <c r="AD144" s="15">
        <f>IFERROR(Table50[[#This Row],[UsageQty]]/Table50[[#This Row],[AVE INVENTORY]],0)</f>
        <v>0.13413413413413411</v>
      </c>
      <c r="AE144" s="15">
        <f>IFERROR(Table50[[#This Row],[DATA POINT]]/Table50[[#This Row],[Inventory Turnover Rate]],0)</f>
        <v>104.37313432835823</v>
      </c>
      <c r="AF144" s="15">
        <f>Table50[[#This Row],[ClosingQty]]/Table50[[#This Row],[USAGE / DAY]]</f>
        <v>93.2</v>
      </c>
      <c r="AG144" s="15">
        <f>Table50[[#This Row],[USAGE / DAY]]*7</f>
        <v>0.35000000000000003</v>
      </c>
      <c r="AH144" s="15">
        <f>Table50[[#This Row],[USAGE / DAY]]*3</f>
        <v>0.15000000000000002</v>
      </c>
      <c r="AI14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44" s="15">
        <f>IFERROR(Table50[[#This Row],[ORDER QTY2]]*Table50[[#This Row],[COST PRICE]],0)</f>
        <v>0</v>
      </c>
      <c r="AK144" s="15">
        <f>(Table50[[#This Row],[REORDER POINT]]*Table50[[#This Row],[COST PRICE]])+Table50[[#This Row],[ORDER COST]]</f>
        <v>623.32807362165727</v>
      </c>
      <c r="AL144" s="15">
        <f t="shared" si="8"/>
        <v>100</v>
      </c>
      <c r="AM144" s="15">
        <f>IFERROR((Table50[[#This Row],[REORDER POINT]]+Table50[[#This Row],[ORDER QTY]])/(Table50[[#This Row],[USAGE / DAY]]*Table50[[#This Row],[DEMAND %]]),Table50[[#This Row],[REORDER POINT]]/Table50[[#This Row],[USAGE / DAY]])</f>
        <v>90.199999999999989</v>
      </c>
    </row>
    <row r="145" spans="1:39" x14ac:dyDescent="0.25">
      <c r="A145" t="s">
        <v>50</v>
      </c>
      <c r="B145" t="s">
        <v>170</v>
      </c>
      <c r="C145" t="s">
        <v>208</v>
      </c>
      <c r="D145" t="s">
        <v>53</v>
      </c>
      <c r="E145">
        <v>3</v>
      </c>
      <c r="F145">
        <v>189.03</v>
      </c>
      <c r="G145">
        <v>0</v>
      </c>
      <c r="H145">
        <v>0</v>
      </c>
      <c r="I145">
        <v>3</v>
      </c>
      <c r="J145">
        <v>189.03</v>
      </c>
      <c r="K145">
        <f>Table50[[#This Row],[OpeningQty]]+Table50[[#This Row],[PurchasesQty]]-Table50[[#This Row],[ClosingQty]]</f>
        <v>0</v>
      </c>
      <c r="L145">
        <v>0</v>
      </c>
      <c r="M145" s="14">
        <f>Table50[[#This Row],[Usage]]/$L$1</f>
        <v>0</v>
      </c>
      <c r="N145" s="15">
        <f>IFERROR(Table50[[#This Row],[Opening]]/Table50[[#This Row],[OpeningQty]],0)</f>
        <v>63.01</v>
      </c>
      <c r="O145" s="15">
        <f>IFERROR(Table50[[#This Row],[Purchases]]/Table50[[#This Row],[PurchasesQty]],0)</f>
        <v>0</v>
      </c>
      <c r="P145" s="15">
        <f>IFERROR(Table50[[#This Row],[Closing]]/Table50[[#This Row],[ClosingQty]],0)</f>
        <v>63.01</v>
      </c>
      <c r="Q145" s="15">
        <f>IFERROR(AVERAGEIF(Table50[[#This Row],[OPENING COST PRICE]:[CLOSING COST PRICE]],"&gt;0"),0)</f>
        <v>63.01</v>
      </c>
      <c r="R145" s="15">
        <f>IFERROR(Table50[[#This Row],[COST PRICE]]-IFERROR(Table50[[#This Row],[Usage]]/Table50[[#This Row],[UsageQty]],Table50[[#This Row],[COST PRICE]]),0)</f>
        <v>0</v>
      </c>
      <c r="S145" s="16">
        <f>IFERROR(Table50[[#This Row],[COST PRICE CHANGE]]/Table50[[#This Row],[OPENING COST PRICE]],0)</f>
        <v>0</v>
      </c>
      <c r="T145" s="15">
        <f>Table50[[#This Row],[ClosingQty]]-(Table50[[#This Row],[USAGE / DAY]]*(IF(Table50[[#This Row],[ccnt]]="BEV",Table50[[#This Row],[DELIVERY DAY]],Table50[[#This Row],[DELIVERY DAY]])))</f>
        <v>3</v>
      </c>
      <c r="U145" s="15">
        <f>ROUNDUP(Table50[[#This Row],[UsageQty]]/Table50[[#This Row],[DATA POINT]],2)</f>
        <v>0</v>
      </c>
      <c r="V14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45" s="15">
        <f>IFERROR(Table50[[#This Row],[ORDER QTY]]*Table50[[#This Row],[COST PRICE]],0)</f>
        <v>0</v>
      </c>
      <c r="X145" s="15">
        <f>IFERROR(VLOOKUP(C145,[1]!Table49[[#All],[name]:[USAGE / DAY]],19,FALSE),1)</f>
        <v>0</v>
      </c>
      <c r="Y145" s="4">
        <f>IFERROR((Table50[[#This Row],[USAGE / DAY]]-Table50[[#This Row],[USAGE / DAY 2]])/Table50[[#This Row],[USAGE / DAY 2]],0)</f>
        <v>0</v>
      </c>
      <c r="Z145" s="15">
        <f t="shared" si="6"/>
        <v>14</v>
      </c>
      <c r="AA145" s="15">
        <f t="shared" si="7"/>
        <v>9.311854181734148</v>
      </c>
      <c r="AB145" s="15">
        <f>IFERROR(IF(Table50[[#This Row],[ccnt]]="BEV",$AB$2,IF(Table50[[#This Row],[ccnt]]="FOOD",$AC$2,"ENTER # FROM LAST COUNT")),"ENTER # FROM LAST COUNT")</f>
        <v>3</v>
      </c>
      <c r="AC145" s="15">
        <f>(Table50[[#This Row],[OpeningQty]]+Table50[[#This Row],[ClosingQty]])/2</f>
        <v>3</v>
      </c>
      <c r="AD145" s="15">
        <f>IFERROR(Table50[[#This Row],[UsageQty]]/Table50[[#This Row],[AVE INVENTORY]],0)</f>
        <v>0</v>
      </c>
      <c r="AE145" s="15">
        <f>IFERROR(Table50[[#This Row],[DATA POINT]]/Table50[[#This Row],[Inventory Turnover Rate]],0)</f>
        <v>0</v>
      </c>
      <c r="AF145" s="15" t="e">
        <f>Table50[[#This Row],[ClosingQty]]/Table50[[#This Row],[USAGE / DAY]]</f>
        <v>#DIV/0!</v>
      </c>
      <c r="AG145" s="15">
        <f>Table50[[#This Row],[USAGE / DAY]]*7</f>
        <v>0</v>
      </c>
      <c r="AH145" s="15">
        <f>Table50[[#This Row],[USAGE / DAY]]*3</f>
        <v>0</v>
      </c>
      <c r="AI14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45" s="15">
        <f>IFERROR(Table50[[#This Row],[ORDER QTY2]]*Table50[[#This Row],[COST PRICE]],0)</f>
        <v>0</v>
      </c>
      <c r="AK145" s="15">
        <f>(Table50[[#This Row],[REORDER POINT]]*Table50[[#This Row],[COST PRICE]])+Table50[[#This Row],[ORDER COST]]</f>
        <v>189.03</v>
      </c>
      <c r="AL145" s="15">
        <f t="shared" si="8"/>
        <v>100</v>
      </c>
      <c r="AM145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46" spans="1:39" x14ac:dyDescent="0.25">
      <c r="A146" t="s">
        <v>50</v>
      </c>
      <c r="B146" t="s">
        <v>170</v>
      </c>
      <c r="C146" t="s">
        <v>209</v>
      </c>
      <c r="D146" t="s">
        <v>138</v>
      </c>
      <c r="E146">
        <v>3.66</v>
      </c>
      <c r="F146">
        <v>166.02</v>
      </c>
      <c r="G146">
        <v>0</v>
      </c>
      <c r="H146">
        <v>0</v>
      </c>
      <c r="I146">
        <v>0.66</v>
      </c>
      <c r="J146">
        <v>29.94</v>
      </c>
      <c r="K146">
        <f>Table50[[#This Row],[OpeningQty]]+Table50[[#This Row],[PurchasesQty]]-Table50[[#This Row],[ClosingQty]]</f>
        <v>3</v>
      </c>
      <c r="L146">
        <v>136.08000000000001</v>
      </c>
      <c r="M146" s="14">
        <f>Table50[[#This Row],[Usage]]/$L$1</f>
        <v>2.0667822169246499E-4</v>
      </c>
      <c r="N146" s="15">
        <f>IFERROR(Table50[[#This Row],[Opening]]/Table50[[#This Row],[OpeningQty]],0)</f>
        <v>45.360655737704917</v>
      </c>
      <c r="O146" s="15">
        <f>IFERROR(Table50[[#This Row],[Purchases]]/Table50[[#This Row],[PurchasesQty]],0)</f>
        <v>0</v>
      </c>
      <c r="P146" s="15">
        <f>IFERROR(Table50[[#This Row],[Closing]]/Table50[[#This Row],[ClosingQty]],0)</f>
        <v>45.363636363636367</v>
      </c>
      <c r="Q146" s="15">
        <f>IFERROR(AVERAGEIF(Table50[[#This Row],[OPENING COST PRICE]:[CLOSING COST PRICE]],"&gt;0"),0)</f>
        <v>45.362146050670646</v>
      </c>
      <c r="R146" s="15">
        <f>IFERROR(Table50[[#This Row],[COST PRICE]]-IFERROR(Table50[[#This Row],[Usage]]/Table50[[#This Row],[UsageQty]],Table50[[#This Row],[COST PRICE]]),0)</f>
        <v>2.1460506706389992E-3</v>
      </c>
      <c r="S146" s="16">
        <f>IFERROR(Table50[[#This Row],[COST PRICE CHANGE]]/Table50[[#This Row],[OPENING COST PRICE]],0)</f>
        <v>4.7310838781705441E-5</v>
      </c>
      <c r="T146" s="15">
        <f>Table50[[#This Row],[ClosingQty]]-(Table50[[#This Row],[USAGE / DAY]]*(IF(Table50[[#This Row],[ccnt]]="BEV",Table50[[#This Row],[DELIVERY DAY]],Table50[[#This Row],[DELIVERY DAY]])))</f>
        <v>0</v>
      </c>
      <c r="U146" s="15">
        <f>ROUNDUP(Table50[[#This Row],[UsageQty]]/Table50[[#This Row],[DATA POINT]],2)</f>
        <v>0.22</v>
      </c>
      <c r="V14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</v>
      </c>
      <c r="W146" s="15">
        <f>IFERROR(Table50[[#This Row],[ORDER QTY]]*Table50[[#This Row],[COST PRICE]],0)</f>
        <v>136.08643815201194</v>
      </c>
      <c r="X146" s="15">
        <f>IFERROR(VLOOKUP(C146,[1]!Table49[[#All],[name]:[USAGE / DAY]],19,FALSE),1)</f>
        <v>0.12</v>
      </c>
      <c r="Y146" s="4">
        <f>IFERROR((Table50[[#This Row],[USAGE / DAY]]-Table50[[#This Row],[USAGE / DAY 2]])/Table50[[#This Row],[USAGE / DAY 2]],0)</f>
        <v>0.83333333333333337</v>
      </c>
      <c r="Z146" s="15">
        <f t="shared" si="6"/>
        <v>14</v>
      </c>
      <c r="AA146" s="15">
        <f t="shared" si="7"/>
        <v>9.311854181734148</v>
      </c>
      <c r="AB146" s="15">
        <f>IFERROR(IF(Table50[[#This Row],[ccnt]]="BEV",$AB$2,IF(Table50[[#This Row],[ccnt]]="FOOD",$AC$2,"ENTER # FROM LAST COUNT")),"ENTER # FROM LAST COUNT")</f>
        <v>3</v>
      </c>
      <c r="AC146" s="15">
        <f>(Table50[[#This Row],[OpeningQty]]+Table50[[#This Row],[ClosingQty]])/2</f>
        <v>2.16</v>
      </c>
      <c r="AD146" s="15">
        <f>IFERROR(Table50[[#This Row],[UsageQty]]/Table50[[#This Row],[AVE INVENTORY]],0)</f>
        <v>1.3888888888888888</v>
      </c>
      <c r="AE146" s="15">
        <f>IFERROR(Table50[[#This Row],[DATA POINT]]/Table50[[#This Row],[Inventory Turnover Rate]],0)</f>
        <v>10.08</v>
      </c>
      <c r="AF146" s="15">
        <f>Table50[[#This Row],[ClosingQty]]/Table50[[#This Row],[USAGE / DAY]]</f>
        <v>3</v>
      </c>
      <c r="AG146" s="15">
        <f>Table50[[#This Row],[USAGE / DAY]]*7</f>
        <v>1.54</v>
      </c>
      <c r="AH146" s="15">
        <f>Table50[[#This Row],[USAGE / DAY]]*3</f>
        <v>0.66</v>
      </c>
      <c r="AI146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1.54</v>
      </c>
      <c r="AJ146" s="15">
        <f>IFERROR(Table50[[#This Row],[ORDER QTY2]]*Table50[[#This Row],[COST PRICE]],0)</f>
        <v>69.857704918032795</v>
      </c>
      <c r="AK146" s="15">
        <f>(Table50[[#This Row],[REORDER POINT]]*Table50[[#This Row],[COST PRICE]])+Table50[[#This Row],[ORDER COST]]</f>
        <v>136.08643815201194</v>
      </c>
      <c r="AL146" s="15">
        <f t="shared" si="8"/>
        <v>100</v>
      </c>
      <c r="AM146" s="15">
        <f>IFERROR((Table50[[#This Row],[REORDER POINT]]+Table50[[#This Row],[ORDER QTY]])/(Table50[[#This Row],[USAGE / DAY]]*Table50[[#This Row],[DEMAND %]]),Table50[[#This Row],[REORDER POINT]]/Table50[[#This Row],[USAGE / DAY]])</f>
        <v>0.13636363636363635</v>
      </c>
    </row>
    <row r="147" spans="1:39" x14ac:dyDescent="0.25">
      <c r="A147" t="s">
        <v>50</v>
      </c>
      <c r="B147" t="s">
        <v>170</v>
      </c>
      <c r="C147" t="s">
        <v>210</v>
      </c>
      <c r="D147" t="s">
        <v>138</v>
      </c>
      <c r="E147">
        <v>3.2</v>
      </c>
      <c r="F147">
        <v>159.41999999999999</v>
      </c>
      <c r="G147">
        <v>24</v>
      </c>
      <c r="H147">
        <v>1171.68</v>
      </c>
      <c r="I147">
        <v>7.66</v>
      </c>
      <c r="J147">
        <v>373.96</v>
      </c>
      <c r="K147">
        <f>Table50[[#This Row],[OpeningQty]]+Table50[[#This Row],[PurchasesQty]]-Table50[[#This Row],[ClosingQty]]</f>
        <v>19.54</v>
      </c>
      <c r="L147">
        <v>957.14</v>
      </c>
      <c r="M147" s="14">
        <f>Table50[[#This Row],[Usage]]/$L$1</f>
        <v>1.453703653077057E-3</v>
      </c>
      <c r="N147" s="15">
        <f>IFERROR(Table50[[#This Row],[Opening]]/Table50[[#This Row],[OpeningQty]],0)</f>
        <v>49.818749999999994</v>
      </c>
      <c r="O147" s="15">
        <f>IFERROR(Table50[[#This Row],[Purchases]]/Table50[[#This Row],[PurchasesQty]],0)</f>
        <v>48.82</v>
      </c>
      <c r="P147" s="15">
        <f>IFERROR(Table50[[#This Row],[Closing]]/Table50[[#This Row],[ClosingQty]],0)</f>
        <v>48.819843342036549</v>
      </c>
      <c r="Q147" s="15">
        <f>IFERROR(AVERAGEIF(Table50[[#This Row],[OPENING COST PRICE]:[CLOSING COST PRICE]],"&gt;0"),0)</f>
        <v>49.152864447345507</v>
      </c>
      <c r="R147" s="15">
        <f>IFERROR(Table50[[#This Row],[COST PRICE]]-IFERROR(Table50[[#This Row],[Usage]]/Table50[[#This Row],[UsageQty]],Table50[[#This Row],[COST PRICE]]),0)</f>
        <v>0.16924111060036751</v>
      </c>
      <c r="S147" s="16">
        <f>IFERROR(Table50[[#This Row],[COST PRICE CHANGE]]/Table50[[#This Row],[OPENING COST PRICE]],0)</f>
        <v>3.3971368330270738E-3</v>
      </c>
      <c r="T147" s="15">
        <f>Table50[[#This Row],[ClosingQty]]-(Table50[[#This Row],[USAGE / DAY]]*(IF(Table50[[#This Row],[ccnt]]="BEV",Table50[[#This Row],[DELIVERY DAY]],Table50[[#This Row],[DELIVERY DAY]])))</f>
        <v>3.4600000000000009</v>
      </c>
      <c r="U147" s="15">
        <f>ROUNDUP(Table50[[#This Row],[UsageQty]]/Table50[[#This Row],[DATA POINT]],2)</f>
        <v>1.4</v>
      </c>
      <c r="V14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10</v>
      </c>
      <c r="W147" s="15">
        <f>IFERROR(Table50[[#This Row],[ORDER QTY]]*Table50[[#This Row],[COST PRICE]],0)</f>
        <v>491.52864447345507</v>
      </c>
      <c r="X147" s="15">
        <f>IFERROR(VLOOKUP(C147,[1]!Table49[[#All],[name]:[USAGE / DAY]],19,FALSE),1)</f>
        <v>1.69</v>
      </c>
      <c r="Y147" s="4">
        <f>IFERROR((Table50[[#This Row],[USAGE / DAY]]-Table50[[#This Row],[USAGE / DAY 2]])/Table50[[#This Row],[USAGE / DAY 2]],0)</f>
        <v>-0.17159763313609469</v>
      </c>
      <c r="Z147" s="15">
        <f t="shared" si="6"/>
        <v>14</v>
      </c>
      <c r="AA147" s="15">
        <f t="shared" si="7"/>
        <v>9.311854181734148</v>
      </c>
      <c r="AB147" s="15">
        <f>IFERROR(IF(Table50[[#This Row],[ccnt]]="BEV",$AB$2,IF(Table50[[#This Row],[ccnt]]="FOOD",$AC$2,"ENTER # FROM LAST COUNT")),"ENTER # FROM LAST COUNT")</f>
        <v>3</v>
      </c>
      <c r="AC147" s="15">
        <f>(Table50[[#This Row],[OpeningQty]]+Table50[[#This Row],[ClosingQty]])/2</f>
        <v>5.43</v>
      </c>
      <c r="AD147" s="15">
        <f>IFERROR(Table50[[#This Row],[UsageQty]]/Table50[[#This Row],[AVE INVENTORY]],0)</f>
        <v>3.5985267034990791</v>
      </c>
      <c r="AE147" s="15">
        <f>IFERROR(Table50[[#This Row],[DATA POINT]]/Table50[[#This Row],[Inventory Turnover Rate]],0)</f>
        <v>3.8904810644831116</v>
      </c>
      <c r="AF147" s="15">
        <f>Table50[[#This Row],[ClosingQty]]/Table50[[#This Row],[USAGE / DAY]]</f>
        <v>5.4714285714285715</v>
      </c>
      <c r="AG147" s="15">
        <f>Table50[[#This Row],[USAGE / DAY]]*7</f>
        <v>9.7999999999999989</v>
      </c>
      <c r="AH147" s="15">
        <f>Table50[[#This Row],[USAGE / DAY]]*3</f>
        <v>4.1999999999999993</v>
      </c>
      <c r="AI147" s="15">
        <f>IF(Table50[[#This Row],[FORECASTED DEMAND]]+Table50[[#This Row],[SAFETY STOCK]]-Table50[[#This Row],[ClosingQty]]&gt;0,Table50[[#This Row],[FORECASTED DEMAND]]+Table50[[#This Row],[SAFETY STOCK]]-Table50[[#This Row],[ClosingQty]],"NO ORDER")</f>
        <v>6.3399999999999981</v>
      </c>
      <c r="AJ147" s="15">
        <f>IFERROR(Table50[[#This Row],[ORDER QTY2]]*Table50[[#This Row],[COST PRICE]],0)</f>
        <v>311.62916059617044</v>
      </c>
      <c r="AK147" s="15">
        <f>(Table50[[#This Row],[REORDER POINT]]*Table50[[#This Row],[COST PRICE]])+Table50[[#This Row],[ORDER COST]]</f>
        <v>661.59755546127053</v>
      </c>
      <c r="AL147" s="15">
        <f t="shared" si="8"/>
        <v>100</v>
      </c>
      <c r="AM147" s="15">
        <f>IFERROR((Table50[[#This Row],[REORDER POINT]]+Table50[[#This Row],[ORDER QTY]])/(Table50[[#This Row],[USAGE / DAY]]*Table50[[#This Row],[DEMAND %]]),Table50[[#This Row],[REORDER POINT]]/Table50[[#This Row],[USAGE / DAY]])</f>
        <v>9.6142857142857155E-2</v>
      </c>
    </row>
    <row r="148" spans="1:39" x14ac:dyDescent="0.25">
      <c r="A148" t="s">
        <v>50</v>
      </c>
      <c r="B148" t="s">
        <v>170</v>
      </c>
      <c r="C148" t="s">
        <v>211</v>
      </c>
      <c r="D148" t="s">
        <v>138</v>
      </c>
      <c r="E148">
        <v>3.33</v>
      </c>
      <c r="F148">
        <v>147.52000000000001</v>
      </c>
      <c r="G148">
        <v>0</v>
      </c>
      <c r="H148">
        <v>0</v>
      </c>
      <c r="I148">
        <v>2.33</v>
      </c>
      <c r="J148">
        <v>103.22</v>
      </c>
      <c r="K148">
        <f>Table50[[#This Row],[OpeningQty]]+Table50[[#This Row],[PurchasesQty]]-Table50[[#This Row],[ClosingQty]]</f>
        <v>1</v>
      </c>
      <c r="L148">
        <v>44.3</v>
      </c>
      <c r="M148" s="14">
        <f>Table50[[#This Row],[Usage]]/$L$1</f>
        <v>6.7282813205292463E-5</v>
      </c>
      <c r="N148" s="15">
        <f>IFERROR(Table50[[#This Row],[Opening]]/Table50[[#This Row],[OpeningQty]],0)</f>
        <v>44.3003003003003</v>
      </c>
      <c r="O148" s="15">
        <f>IFERROR(Table50[[#This Row],[Purchases]]/Table50[[#This Row],[PurchasesQty]],0)</f>
        <v>0</v>
      </c>
      <c r="P148" s="15">
        <f>IFERROR(Table50[[#This Row],[Closing]]/Table50[[#This Row],[ClosingQty]],0)</f>
        <v>44.300429184549351</v>
      </c>
      <c r="Q148" s="15">
        <f>IFERROR(AVERAGEIF(Table50[[#This Row],[OPENING COST PRICE]:[CLOSING COST PRICE]],"&gt;0"),0)</f>
        <v>44.300364742424826</v>
      </c>
      <c r="R148" s="15">
        <f>IFERROR(Table50[[#This Row],[COST PRICE]]-IFERROR(Table50[[#This Row],[Usage]]/Table50[[#This Row],[UsageQty]],Table50[[#This Row],[COST PRICE]]),0)</f>
        <v>3.6474242482853469E-4</v>
      </c>
      <c r="S148" s="16">
        <f>IFERROR(Table50[[#This Row],[COST PRICE CHANGE]]/Table50[[#This Row],[OPENING COST PRICE]],0)</f>
        <v>8.233407501891408E-6</v>
      </c>
      <c r="T148" s="15">
        <f>Table50[[#This Row],[ClosingQty]]-(Table50[[#This Row],[USAGE / DAY]]*(IF(Table50[[#This Row],[ccnt]]="BEV",Table50[[#This Row],[DELIVERY DAY]],Table50[[#This Row],[DELIVERY DAY]])))</f>
        <v>2.09</v>
      </c>
      <c r="U148" s="15">
        <f>ROUNDUP(Table50[[#This Row],[UsageQty]]/Table50[[#This Row],[DATA POINT]],2)</f>
        <v>0.08</v>
      </c>
      <c r="V14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48" s="15">
        <f>IFERROR(Table50[[#This Row],[ORDER QTY]]*Table50[[#This Row],[COST PRICE]],0)</f>
        <v>0</v>
      </c>
      <c r="X148" s="15">
        <f>IFERROR(VLOOKUP(C148,[1]!Table49[[#All],[name]:[USAGE / DAY]],19,FALSE),1)</f>
        <v>0</v>
      </c>
      <c r="Y148" s="4">
        <f>IFERROR((Table50[[#This Row],[USAGE / DAY]]-Table50[[#This Row],[USAGE / DAY 2]])/Table50[[#This Row],[USAGE / DAY 2]],0)</f>
        <v>0</v>
      </c>
      <c r="Z148" s="15">
        <f t="shared" si="6"/>
        <v>14</v>
      </c>
      <c r="AA148" s="15">
        <f t="shared" si="7"/>
        <v>9.311854181734148</v>
      </c>
      <c r="AB148" s="15">
        <f>IFERROR(IF(Table50[[#This Row],[ccnt]]="BEV",$AB$2,IF(Table50[[#This Row],[ccnt]]="FOOD",$AC$2,"ENTER # FROM LAST COUNT")),"ENTER # FROM LAST COUNT")</f>
        <v>3</v>
      </c>
      <c r="AC148" s="15">
        <f>(Table50[[#This Row],[OpeningQty]]+Table50[[#This Row],[ClosingQty]])/2</f>
        <v>2.83</v>
      </c>
      <c r="AD148" s="15">
        <f>IFERROR(Table50[[#This Row],[UsageQty]]/Table50[[#This Row],[AVE INVENTORY]],0)</f>
        <v>0.35335689045936397</v>
      </c>
      <c r="AE148" s="15">
        <f>IFERROR(Table50[[#This Row],[DATA POINT]]/Table50[[#This Row],[Inventory Turnover Rate]],0)</f>
        <v>39.619999999999997</v>
      </c>
      <c r="AF148" s="15">
        <f>Table50[[#This Row],[ClosingQty]]/Table50[[#This Row],[USAGE / DAY]]</f>
        <v>29.125</v>
      </c>
      <c r="AG148" s="15">
        <f>Table50[[#This Row],[USAGE / DAY]]*7</f>
        <v>0.56000000000000005</v>
      </c>
      <c r="AH148" s="15">
        <f>Table50[[#This Row],[USAGE / DAY]]*3</f>
        <v>0.24</v>
      </c>
      <c r="AI14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48" s="15">
        <f>IFERROR(Table50[[#This Row],[ORDER QTY2]]*Table50[[#This Row],[COST PRICE]],0)</f>
        <v>0</v>
      </c>
      <c r="AK148" s="15">
        <f>(Table50[[#This Row],[REORDER POINT]]*Table50[[#This Row],[COST PRICE]])+Table50[[#This Row],[ORDER COST]]</f>
        <v>92.587762311667873</v>
      </c>
      <c r="AL148" s="15">
        <f t="shared" si="8"/>
        <v>100</v>
      </c>
      <c r="AM148" s="15">
        <f>IFERROR((Table50[[#This Row],[REORDER POINT]]+Table50[[#This Row],[ORDER QTY]])/(Table50[[#This Row],[USAGE / DAY]]*Table50[[#This Row],[DEMAND %]]),Table50[[#This Row],[REORDER POINT]]/Table50[[#This Row],[USAGE / DAY]])</f>
        <v>26.124999999999996</v>
      </c>
    </row>
    <row r="149" spans="1:39" x14ac:dyDescent="0.25">
      <c r="A149" t="s">
        <v>50</v>
      </c>
      <c r="B149" t="s">
        <v>170</v>
      </c>
      <c r="C149" t="s">
        <v>212</v>
      </c>
      <c r="D149" t="s">
        <v>53</v>
      </c>
      <c r="E149">
        <v>6.33</v>
      </c>
      <c r="F149">
        <v>290.04000000000002</v>
      </c>
      <c r="G149">
        <v>0</v>
      </c>
      <c r="H149">
        <v>0</v>
      </c>
      <c r="I149">
        <v>4.66</v>
      </c>
      <c r="J149">
        <v>213.52</v>
      </c>
      <c r="K149">
        <f>Table50[[#This Row],[OpeningQty]]+Table50[[#This Row],[PurchasesQty]]-Table50[[#This Row],[ClosingQty]]</f>
        <v>1.67</v>
      </c>
      <c r="L149">
        <v>76.52</v>
      </c>
      <c r="M149" s="14">
        <f>Table50[[#This Row],[Usage]]/$L$1</f>
        <v>1.1621852971713271E-4</v>
      </c>
      <c r="N149" s="15">
        <f>IFERROR(Table50[[#This Row],[Opening]]/Table50[[#This Row],[OpeningQty]],0)</f>
        <v>45.819905213270147</v>
      </c>
      <c r="O149" s="15">
        <f>IFERROR(Table50[[#This Row],[Purchases]]/Table50[[#This Row],[PurchasesQty]],0)</f>
        <v>0</v>
      </c>
      <c r="P149" s="15">
        <f>IFERROR(Table50[[#This Row],[Closing]]/Table50[[#This Row],[ClosingQty]],0)</f>
        <v>45.819742489270389</v>
      </c>
      <c r="Q149" s="15">
        <f>IFERROR(AVERAGEIF(Table50[[#This Row],[OPENING COST PRICE]:[CLOSING COST PRICE]],"&gt;0"),0)</f>
        <v>45.819823851270272</v>
      </c>
      <c r="R149" s="15">
        <f>IFERROR(Table50[[#This Row],[COST PRICE]]-IFERROR(Table50[[#This Row],[Usage]]/Table50[[#This Row],[UsageQty]],Table50[[#This Row],[COST PRICE]]),0)</f>
        <v>-5.3543016685608791E-4</v>
      </c>
      <c r="S149" s="16">
        <f>IFERROR(Table50[[#This Row],[COST PRICE CHANGE]]/Table50[[#This Row],[OPENING COST PRICE]],0)</f>
        <v>-1.1685536326710234E-5</v>
      </c>
      <c r="T149" s="15">
        <f>Table50[[#This Row],[ClosingQty]]-(Table50[[#This Row],[USAGE / DAY]]*(IF(Table50[[#This Row],[ccnt]]="BEV",Table50[[#This Row],[DELIVERY DAY]],Table50[[#This Row],[DELIVERY DAY]])))</f>
        <v>4.3</v>
      </c>
      <c r="U149" s="15">
        <f>ROUNDUP(Table50[[#This Row],[UsageQty]]/Table50[[#This Row],[DATA POINT]],2)</f>
        <v>0.12</v>
      </c>
      <c r="V14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49" s="15">
        <f>IFERROR(Table50[[#This Row],[ORDER QTY]]*Table50[[#This Row],[COST PRICE]],0)</f>
        <v>0</v>
      </c>
      <c r="X149" s="15">
        <f>IFERROR(VLOOKUP(C149,[1]!Table49[[#All],[name]:[USAGE / DAY]],19,FALSE),1)</f>
        <v>0.08</v>
      </c>
      <c r="Y149" s="4">
        <f>IFERROR((Table50[[#This Row],[USAGE / DAY]]-Table50[[#This Row],[USAGE / DAY 2]])/Table50[[#This Row],[USAGE / DAY 2]],0)</f>
        <v>0.49999999999999989</v>
      </c>
      <c r="Z149" s="15">
        <f t="shared" si="6"/>
        <v>14</v>
      </c>
      <c r="AA149" s="15">
        <f t="shared" si="7"/>
        <v>9.311854181734148</v>
      </c>
      <c r="AB149" s="15">
        <f>IFERROR(IF(Table50[[#This Row],[ccnt]]="BEV",$AB$2,IF(Table50[[#This Row],[ccnt]]="FOOD",$AC$2,"ENTER # FROM LAST COUNT")),"ENTER # FROM LAST COUNT")</f>
        <v>3</v>
      </c>
      <c r="AC149" s="15">
        <f>(Table50[[#This Row],[OpeningQty]]+Table50[[#This Row],[ClosingQty]])/2</f>
        <v>5.4950000000000001</v>
      </c>
      <c r="AD149" s="15">
        <f>IFERROR(Table50[[#This Row],[UsageQty]]/Table50[[#This Row],[AVE INVENTORY]],0)</f>
        <v>0.30391264786169242</v>
      </c>
      <c r="AE149" s="15">
        <f>IFERROR(Table50[[#This Row],[DATA POINT]]/Table50[[#This Row],[Inventory Turnover Rate]],0)</f>
        <v>46.065868263473057</v>
      </c>
      <c r="AF149" s="15">
        <f>Table50[[#This Row],[ClosingQty]]/Table50[[#This Row],[USAGE / DAY]]</f>
        <v>38.833333333333336</v>
      </c>
      <c r="AG149" s="15">
        <f>Table50[[#This Row],[USAGE / DAY]]*7</f>
        <v>0.84</v>
      </c>
      <c r="AH149" s="15">
        <f>Table50[[#This Row],[USAGE / DAY]]*3</f>
        <v>0.36</v>
      </c>
      <c r="AI14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49" s="15">
        <f>IFERROR(Table50[[#This Row],[ORDER QTY2]]*Table50[[#This Row],[COST PRICE]],0)</f>
        <v>0</v>
      </c>
      <c r="AK149" s="15">
        <f>(Table50[[#This Row],[REORDER POINT]]*Table50[[#This Row],[COST PRICE]])+Table50[[#This Row],[ORDER COST]]</f>
        <v>197.02524256046215</v>
      </c>
      <c r="AL149" s="15">
        <f t="shared" si="8"/>
        <v>100</v>
      </c>
      <c r="AM149" s="15">
        <f>IFERROR((Table50[[#This Row],[REORDER POINT]]+Table50[[#This Row],[ORDER QTY]])/(Table50[[#This Row],[USAGE / DAY]]*Table50[[#This Row],[DEMAND %]]),Table50[[#This Row],[REORDER POINT]]/Table50[[#This Row],[USAGE / DAY]])</f>
        <v>35.833333333333336</v>
      </c>
    </row>
    <row r="150" spans="1:39" x14ac:dyDescent="0.25">
      <c r="A150" t="s">
        <v>50</v>
      </c>
      <c r="B150" t="s">
        <v>170</v>
      </c>
      <c r="C150" t="s">
        <v>213</v>
      </c>
      <c r="D150" t="s">
        <v>53</v>
      </c>
      <c r="E150">
        <v>6</v>
      </c>
      <c r="F150">
        <v>330.72</v>
      </c>
      <c r="G150">
        <v>6</v>
      </c>
      <c r="H150">
        <v>367.32</v>
      </c>
      <c r="I150">
        <v>7</v>
      </c>
      <c r="J150">
        <v>428.54</v>
      </c>
      <c r="K150">
        <f>Table50[[#This Row],[OpeningQty]]+Table50[[#This Row],[PurchasesQty]]-Table50[[#This Row],[ClosingQty]]</f>
        <v>5</v>
      </c>
      <c r="L150">
        <v>269.5</v>
      </c>
      <c r="M150" s="14">
        <f>Table50[[#This Row],[Usage]]/$L$1</f>
        <v>4.0931643699382211E-4</v>
      </c>
      <c r="N150" s="15">
        <f>IFERROR(Table50[[#This Row],[Opening]]/Table50[[#This Row],[OpeningQty]],0)</f>
        <v>55.120000000000005</v>
      </c>
      <c r="O150" s="15">
        <f>IFERROR(Table50[[#This Row],[Purchases]]/Table50[[#This Row],[PurchasesQty]],0)</f>
        <v>61.22</v>
      </c>
      <c r="P150" s="15">
        <f>IFERROR(Table50[[#This Row],[Closing]]/Table50[[#This Row],[ClosingQty]],0)</f>
        <v>61.220000000000006</v>
      </c>
      <c r="Q150" s="15">
        <f>IFERROR(AVERAGEIF(Table50[[#This Row],[OPENING COST PRICE]:[CLOSING COST PRICE]],"&gt;0"),0)</f>
        <v>59.186666666666667</v>
      </c>
      <c r="R150" s="15">
        <f>IFERROR(Table50[[#This Row],[COST PRICE]]-IFERROR(Table50[[#This Row],[Usage]]/Table50[[#This Row],[UsageQty]],Table50[[#This Row],[COST PRICE]]),0)</f>
        <v>5.2866666666666688</v>
      </c>
      <c r="S150" s="16">
        <f>IFERROR(Table50[[#This Row],[COST PRICE CHANGE]]/Table50[[#This Row],[OPENING COST PRICE]],0)</f>
        <v>9.5911949685534625E-2</v>
      </c>
      <c r="T150" s="15">
        <f>Table50[[#This Row],[ClosingQty]]-(Table50[[#This Row],[USAGE / DAY]]*(IF(Table50[[#This Row],[ccnt]]="BEV",Table50[[#This Row],[DELIVERY DAY]],Table50[[#This Row],[DELIVERY DAY]])))</f>
        <v>5.92</v>
      </c>
      <c r="U150" s="15">
        <f>ROUNDUP(Table50[[#This Row],[UsageQty]]/Table50[[#This Row],[DATA POINT]],2)</f>
        <v>0.36</v>
      </c>
      <c r="V15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50" s="15">
        <f>IFERROR(Table50[[#This Row],[ORDER QTY]]*Table50[[#This Row],[COST PRICE]],0)</f>
        <v>0</v>
      </c>
      <c r="X150" s="15">
        <f>IFERROR(VLOOKUP(C150,[1]!Table49[[#All],[name]:[USAGE / DAY]],19,FALSE),1)</f>
        <v>0.54</v>
      </c>
      <c r="Y150" s="4">
        <f>IFERROR((Table50[[#This Row],[USAGE / DAY]]-Table50[[#This Row],[USAGE / DAY 2]])/Table50[[#This Row],[USAGE / DAY 2]],0)</f>
        <v>-0.33333333333333343</v>
      </c>
      <c r="Z150" s="15">
        <f t="shared" si="6"/>
        <v>14</v>
      </c>
      <c r="AA150" s="15">
        <f t="shared" si="7"/>
        <v>9.311854181734148</v>
      </c>
      <c r="AB150" s="15">
        <f>IFERROR(IF(Table50[[#This Row],[ccnt]]="BEV",$AB$2,IF(Table50[[#This Row],[ccnt]]="FOOD",$AC$2,"ENTER # FROM LAST COUNT")),"ENTER # FROM LAST COUNT")</f>
        <v>3</v>
      </c>
      <c r="AC150" s="15">
        <f>(Table50[[#This Row],[OpeningQty]]+Table50[[#This Row],[ClosingQty]])/2</f>
        <v>6.5</v>
      </c>
      <c r="AD150" s="15">
        <f>IFERROR(Table50[[#This Row],[UsageQty]]/Table50[[#This Row],[AVE INVENTORY]],0)</f>
        <v>0.76923076923076927</v>
      </c>
      <c r="AE150" s="15">
        <f>IFERROR(Table50[[#This Row],[DATA POINT]]/Table50[[#This Row],[Inventory Turnover Rate]],0)</f>
        <v>18.2</v>
      </c>
      <c r="AF150" s="15">
        <f>Table50[[#This Row],[ClosingQty]]/Table50[[#This Row],[USAGE / DAY]]</f>
        <v>19.444444444444446</v>
      </c>
      <c r="AG150" s="15">
        <f>Table50[[#This Row],[USAGE / DAY]]*7</f>
        <v>2.52</v>
      </c>
      <c r="AH150" s="15">
        <f>Table50[[#This Row],[USAGE / DAY]]*3</f>
        <v>1.08</v>
      </c>
      <c r="AI15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50" s="15">
        <f>IFERROR(Table50[[#This Row],[ORDER QTY2]]*Table50[[#This Row],[COST PRICE]],0)</f>
        <v>0</v>
      </c>
      <c r="AK150" s="15">
        <f>(Table50[[#This Row],[REORDER POINT]]*Table50[[#This Row],[COST PRICE]])+Table50[[#This Row],[ORDER COST]]</f>
        <v>350.38506666666666</v>
      </c>
      <c r="AL150" s="15">
        <f t="shared" si="8"/>
        <v>100</v>
      </c>
      <c r="AM150" s="15">
        <f>IFERROR((Table50[[#This Row],[REORDER POINT]]+Table50[[#This Row],[ORDER QTY]])/(Table50[[#This Row],[USAGE / DAY]]*Table50[[#This Row],[DEMAND %]]),Table50[[#This Row],[REORDER POINT]]/Table50[[#This Row],[USAGE / DAY]])</f>
        <v>16.444444444444446</v>
      </c>
    </row>
    <row r="151" spans="1:39" x14ac:dyDescent="0.25">
      <c r="A151" t="s">
        <v>50</v>
      </c>
      <c r="B151" t="s">
        <v>170</v>
      </c>
      <c r="C151" t="s">
        <v>214</v>
      </c>
      <c r="D151" t="s">
        <v>138</v>
      </c>
      <c r="E151">
        <v>1</v>
      </c>
      <c r="F151">
        <v>50.11</v>
      </c>
      <c r="G151">
        <v>0</v>
      </c>
      <c r="H151">
        <v>0</v>
      </c>
      <c r="I151">
        <v>1</v>
      </c>
      <c r="J151">
        <v>50.11</v>
      </c>
      <c r="K151">
        <f>Table50[[#This Row],[OpeningQty]]+Table50[[#This Row],[PurchasesQty]]-Table50[[#This Row],[ClosingQty]]</f>
        <v>0</v>
      </c>
      <c r="L151">
        <v>0</v>
      </c>
      <c r="M151" s="14">
        <f>Table50[[#This Row],[Usage]]/$L$1</f>
        <v>0</v>
      </c>
      <c r="N151" s="15">
        <f>IFERROR(Table50[[#This Row],[Opening]]/Table50[[#This Row],[OpeningQty]],0)</f>
        <v>50.11</v>
      </c>
      <c r="O151" s="15">
        <f>IFERROR(Table50[[#This Row],[Purchases]]/Table50[[#This Row],[PurchasesQty]],0)</f>
        <v>0</v>
      </c>
      <c r="P151" s="15">
        <f>IFERROR(Table50[[#This Row],[Closing]]/Table50[[#This Row],[ClosingQty]],0)</f>
        <v>50.11</v>
      </c>
      <c r="Q151" s="15">
        <f>IFERROR(AVERAGEIF(Table50[[#This Row],[OPENING COST PRICE]:[CLOSING COST PRICE]],"&gt;0"),0)</f>
        <v>50.11</v>
      </c>
      <c r="R151" s="15">
        <f>IFERROR(Table50[[#This Row],[COST PRICE]]-IFERROR(Table50[[#This Row],[Usage]]/Table50[[#This Row],[UsageQty]],Table50[[#This Row],[COST PRICE]]),0)</f>
        <v>0</v>
      </c>
      <c r="S151" s="16">
        <f>IFERROR(Table50[[#This Row],[COST PRICE CHANGE]]/Table50[[#This Row],[OPENING COST PRICE]],0)</f>
        <v>0</v>
      </c>
      <c r="T151" s="15">
        <f>Table50[[#This Row],[ClosingQty]]-(Table50[[#This Row],[USAGE / DAY]]*(IF(Table50[[#This Row],[ccnt]]="BEV",Table50[[#This Row],[DELIVERY DAY]],Table50[[#This Row],[DELIVERY DAY]])))</f>
        <v>1</v>
      </c>
      <c r="U151" s="15">
        <f>ROUNDUP(Table50[[#This Row],[UsageQty]]/Table50[[#This Row],[DATA POINT]],2)</f>
        <v>0</v>
      </c>
      <c r="V15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151" s="15">
        <f>IFERROR(Table50[[#This Row],[ORDER QTY]]*Table50[[#This Row],[COST PRICE]],0)</f>
        <v>0</v>
      </c>
      <c r="X151" s="15">
        <f>IFERROR(VLOOKUP(C151,[1]!Table49[[#All],[name]:[USAGE / DAY]],19,FALSE),1)</f>
        <v>0</v>
      </c>
      <c r="Y151" s="4">
        <f>IFERROR((Table50[[#This Row],[USAGE / DAY]]-Table50[[#This Row],[USAGE / DAY 2]])/Table50[[#This Row],[USAGE / DAY 2]],0)</f>
        <v>0</v>
      </c>
      <c r="Z151" s="15">
        <f t="shared" si="6"/>
        <v>14</v>
      </c>
      <c r="AA151" s="15">
        <f t="shared" si="7"/>
        <v>9.311854181734148</v>
      </c>
      <c r="AB151" s="15">
        <f>IFERROR(IF(Table50[[#This Row],[ccnt]]="BEV",$AB$2,IF(Table50[[#This Row],[ccnt]]="FOOD",$AC$2,"ENTER # FROM LAST COUNT")),"ENTER # FROM LAST COUNT")</f>
        <v>3</v>
      </c>
      <c r="AC151" s="15">
        <f>(Table50[[#This Row],[OpeningQty]]+Table50[[#This Row],[ClosingQty]])/2</f>
        <v>1</v>
      </c>
      <c r="AD151" s="15">
        <f>IFERROR(Table50[[#This Row],[UsageQty]]/Table50[[#This Row],[AVE INVENTORY]],0)</f>
        <v>0</v>
      </c>
      <c r="AE151" s="15">
        <f>IFERROR(Table50[[#This Row],[DATA POINT]]/Table50[[#This Row],[Inventory Turnover Rate]],0)</f>
        <v>0</v>
      </c>
      <c r="AF151" s="15" t="e">
        <f>Table50[[#This Row],[ClosingQty]]/Table50[[#This Row],[USAGE / DAY]]</f>
        <v>#DIV/0!</v>
      </c>
      <c r="AG151" s="15">
        <f>Table50[[#This Row],[USAGE / DAY]]*7</f>
        <v>0</v>
      </c>
      <c r="AH151" s="15">
        <f>Table50[[#This Row],[USAGE / DAY]]*3</f>
        <v>0</v>
      </c>
      <c r="AI15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51" s="15">
        <f>IFERROR(Table50[[#This Row],[ORDER QTY2]]*Table50[[#This Row],[COST PRICE]],0)</f>
        <v>0</v>
      </c>
      <c r="AK151" s="15">
        <f>(Table50[[#This Row],[REORDER POINT]]*Table50[[#This Row],[COST PRICE]])+Table50[[#This Row],[ORDER COST]]</f>
        <v>50.11</v>
      </c>
      <c r="AL151" s="15">
        <f t="shared" si="8"/>
        <v>100</v>
      </c>
      <c r="AM151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152" spans="1:39" hidden="1" x14ac:dyDescent="0.25">
      <c r="A152" t="s">
        <v>215</v>
      </c>
      <c r="B152" t="s">
        <v>216</v>
      </c>
      <c r="C152" t="s">
        <v>217</v>
      </c>
      <c r="D152" t="s">
        <v>53</v>
      </c>
      <c r="E152">
        <v>0</v>
      </c>
      <c r="F152">
        <v>0</v>
      </c>
      <c r="G152">
        <v>1</v>
      </c>
      <c r="H152">
        <v>3485</v>
      </c>
      <c r="I152">
        <v>0</v>
      </c>
      <c r="J152">
        <v>0</v>
      </c>
      <c r="K152">
        <f>Table50[[#This Row],[OpeningQty]]+Table50[[#This Row],[PurchasesQty]]-Table50[[#This Row],[ClosingQty]]</f>
        <v>1</v>
      </c>
      <c r="L152">
        <v>3485</v>
      </c>
      <c r="M152" s="14">
        <f>Table50[[#This Row],[Usage]]/$L$1</f>
        <v>5.2930158921093507E-3</v>
      </c>
      <c r="N152" s="15">
        <f>IFERROR(Table50[[#This Row],[Opening]]/Table50[[#This Row],[OpeningQty]],0)</f>
        <v>0</v>
      </c>
      <c r="O152" s="15">
        <f>IFERROR(Table50[[#This Row],[Purchases]]/Table50[[#This Row],[PurchasesQty]],0)</f>
        <v>3485</v>
      </c>
      <c r="P152" s="15">
        <f>IFERROR(Table50[[#This Row],[Closing]]/Table50[[#This Row],[ClosingQty]],0)</f>
        <v>0</v>
      </c>
      <c r="Q152" s="15">
        <f>IFERROR(AVERAGEIF(Table50[[#This Row],[OPENING COST PRICE]:[CLOSING COST PRICE]],"&gt;0"),0)</f>
        <v>3485</v>
      </c>
      <c r="R152" s="15">
        <f>IFERROR(Table50[[#This Row],[COST PRICE]]-IFERROR(Table50[[#This Row],[Usage]]/Table50[[#This Row],[UsageQty]],Table50[[#This Row],[COST PRICE]]),0)</f>
        <v>0</v>
      </c>
      <c r="S152" s="16">
        <f>IFERROR(Table50[[#This Row],[COST PRICE CHANGE]]/Table50[[#This Row],[OPENING COST PRICE]],0)</f>
        <v>0</v>
      </c>
      <c r="T152" s="15" t="e">
        <f>Table50[[#This Row],[ClosingQty]]-(Table50[[#This Row],[USAGE / DAY]]*(IF(Table50[[#This Row],[ccnt]]="BEV",Table50[[#This Row],[DELIVERY DAY]],Table50[[#This Row],[DELIVERY DAY]])))</f>
        <v>#VALUE!</v>
      </c>
      <c r="U152" s="15">
        <f>ROUNDUP(Table50[[#This Row],[UsageQty]]/Table50[[#This Row],[DATA POINT]],2)</f>
        <v>0.08</v>
      </c>
      <c r="V152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52" s="15">
        <f>IFERROR(Table50[[#This Row],[ORDER QTY]]*Table50[[#This Row],[COST PRICE]],0)</f>
        <v>0</v>
      </c>
      <c r="X152" s="15">
        <f>IFERROR(VLOOKUP(C152,[1]!Table48[[#All],[name]:[USAGE / DAY]],18,FALSE),1)</f>
        <v>2.7199999999999998</v>
      </c>
      <c r="Y152" s="4">
        <f>IFERROR((Table50[[#This Row],[USAGE / DAY]]-Table50[[#This Row],[USAGE / DAY 2]])/Table50[[#This Row],[USAGE / DAY 2]],0)</f>
        <v>-0.97058823529411764</v>
      </c>
      <c r="Z152" s="15">
        <f t="shared" si="6"/>
        <v>14</v>
      </c>
      <c r="AA152" s="15">
        <f t="shared" si="7"/>
        <v>9.311854181734148</v>
      </c>
      <c r="AB152" s="15" t="str">
        <f>IFERROR(IF(Table50[[#This Row],[ccnt]]="BEV",$AB$2,IF(Table50[[#This Row],[ccnt]]="FOOD",$AC$2,"ENTER # FROM LAST COUNT")),"ENTER # FROM LAST COUNT")</f>
        <v>ENTER # FROM LAST COUNT</v>
      </c>
      <c r="AC152" s="15">
        <f>(Table50[[#This Row],[OpeningQty]]+Table50[[#This Row],[ClosingQty]])/2</f>
        <v>0</v>
      </c>
      <c r="AD152" s="15">
        <f>IFERROR(Table50[[#This Row],[UsageQty]]/Table50[[#This Row],[AVE INVENTORY]],0)</f>
        <v>0</v>
      </c>
      <c r="AE152" s="15">
        <f>IFERROR(Table50[[#This Row],[DATA POINT]]/Table50[[#This Row],[Inventory Turnover Rate]],0)</f>
        <v>0</v>
      </c>
      <c r="AF152" s="15">
        <f>Table50[[#This Row],[ClosingQty]]/Table50[[#This Row],[USAGE / DAY]]</f>
        <v>0</v>
      </c>
      <c r="AG152" s="15">
        <f>Table50[[#This Row],[USAGE / DAY]]*7</f>
        <v>0.56000000000000005</v>
      </c>
      <c r="AH152" s="15">
        <f>Table50[[#This Row],[USAGE / DAY]]*3</f>
        <v>0.24</v>
      </c>
      <c r="AI152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52" s="15">
        <f>IFERROR(Table50[[#This Row],[ORDER QTY2]]*Table50[[#This Row],[COST PRICE]],0)</f>
        <v>2788</v>
      </c>
      <c r="AK152" s="15" t="e">
        <f>(Table50[[#This Row],[REORDER POINT]]*Table50[[#This Row],[COST PRICE]])+Table50[[#This Row],[ORDER COST]]</f>
        <v>#VALUE!</v>
      </c>
      <c r="AL152" s="15">
        <f t="shared" si="8"/>
        <v>100</v>
      </c>
      <c r="AM152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53" spans="1:39" hidden="1" x14ac:dyDescent="0.25">
      <c r="A153" t="s">
        <v>215</v>
      </c>
      <c r="B153" t="s">
        <v>216</v>
      </c>
      <c r="C153" t="s">
        <v>218</v>
      </c>
      <c r="D153" t="s">
        <v>53</v>
      </c>
      <c r="E153">
        <v>0</v>
      </c>
      <c r="F153">
        <v>0</v>
      </c>
      <c r="G153">
        <v>1</v>
      </c>
      <c r="H153">
        <v>3158.16</v>
      </c>
      <c r="I153">
        <v>0</v>
      </c>
      <c r="J153">
        <v>0</v>
      </c>
      <c r="K153">
        <f>Table50[[#This Row],[OpeningQty]]+Table50[[#This Row],[PurchasesQty]]-Table50[[#This Row],[ClosingQty]]</f>
        <v>1</v>
      </c>
      <c r="L153">
        <v>3158.16</v>
      </c>
      <c r="M153" s="14">
        <f>Table50[[#This Row],[Usage]]/$L$1</f>
        <v>4.7966114977974362E-3</v>
      </c>
      <c r="N153" s="15">
        <f>IFERROR(Table50[[#This Row],[Opening]]/Table50[[#This Row],[OpeningQty]],0)</f>
        <v>0</v>
      </c>
      <c r="O153" s="15">
        <f>IFERROR(Table50[[#This Row],[Purchases]]/Table50[[#This Row],[PurchasesQty]],0)</f>
        <v>3158.16</v>
      </c>
      <c r="P153" s="15">
        <f>IFERROR(Table50[[#This Row],[Closing]]/Table50[[#This Row],[ClosingQty]],0)</f>
        <v>0</v>
      </c>
      <c r="Q153" s="15">
        <f>IFERROR(AVERAGEIF(Table50[[#This Row],[OPENING COST PRICE]:[CLOSING COST PRICE]],"&gt;0"),0)</f>
        <v>3158.16</v>
      </c>
      <c r="R153" s="15">
        <f>IFERROR(Table50[[#This Row],[COST PRICE]]-IFERROR(Table50[[#This Row],[Usage]]/Table50[[#This Row],[UsageQty]],Table50[[#This Row],[COST PRICE]]),0)</f>
        <v>0</v>
      </c>
      <c r="S153" s="16">
        <f>IFERROR(Table50[[#This Row],[COST PRICE CHANGE]]/Table50[[#This Row],[OPENING COST PRICE]],0)</f>
        <v>0</v>
      </c>
      <c r="T153" s="15" t="e">
        <f>Table50[[#This Row],[ClosingQty]]-(Table50[[#This Row],[USAGE / DAY]]*(IF(Table50[[#This Row],[ccnt]]="BEV",Table50[[#This Row],[DELIVERY DAY]],Table50[[#This Row],[DELIVERY DAY]])))</f>
        <v>#VALUE!</v>
      </c>
      <c r="U153" s="15">
        <f>ROUNDUP(Table50[[#This Row],[UsageQty]]/Table50[[#This Row],[DATA POINT]],2)</f>
        <v>0.08</v>
      </c>
      <c r="V153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53" s="15">
        <f>IFERROR(Table50[[#This Row],[ORDER QTY]]*Table50[[#This Row],[COST PRICE]],0)</f>
        <v>0</v>
      </c>
      <c r="X153" s="15">
        <f>IFERROR(VLOOKUP(C153,[1]!Table48[[#All],[name]:[USAGE / DAY]],18,FALSE),1)</f>
        <v>1</v>
      </c>
      <c r="Y153" s="4">
        <f>IFERROR((Table50[[#This Row],[USAGE / DAY]]-Table50[[#This Row],[USAGE / DAY 2]])/Table50[[#This Row],[USAGE / DAY 2]],0)</f>
        <v>-0.92</v>
      </c>
      <c r="Z153" s="15">
        <f t="shared" si="6"/>
        <v>14</v>
      </c>
      <c r="AA153" s="15">
        <f t="shared" si="7"/>
        <v>9.311854181734148</v>
      </c>
      <c r="AB153" s="15" t="str">
        <f>IFERROR(IF(Table50[[#This Row],[ccnt]]="BEV",$AB$2,IF(Table50[[#This Row],[ccnt]]="FOOD",$AC$2,"ENTER # FROM LAST COUNT")),"ENTER # FROM LAST COUNT")</f>
        <v>ENTER # FROM LAST COUNT</v>
      </c>
      <c r="AC153" s="15">
        <f>(Table50[[#This Row],[OpeningQty]]+Table50[[#This Row],[ClosingQty]])/2</f>
        <v>0</v>
      </c>
      <c r="AD153" s="15">
        <f>IFERROR(Table50[[#This Row],[UsageQty]]/Table50[[#This Row],[AVE INVENTORY]],0)</f>
        <v>0</v>
      </c>
      <c r="AE153" s="15">
        <f>IFERROR(Table50[[#This Row],[DATA POINT]]/Table50[[#This Row],[Inventory Turnover Rate]],0)</f>
        <v>0</v>
      </c>
      <c r="AF153" s="15">
        <f>Table50[[#This Row],[ClosingQty]]/Table50[[#This Row],[USAGE / DAY]]</f>
        <v>0</v>
      </c>
      <c r="AG153" s="15">
        <f>Table50[[#This Row],[USAGE / DAY]]*7</f>
        <v>0.56000000000000005</v>
      </c>
      <c r="AH153" s="15">
        <f>Table50[[#This Row],[USAGE / DAY]]*3</f>
        <v>0.24</v>
      </c>
      <c r="AI153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53" s="15">
        <f>IFERROR(Table50[[#This Row],[ORDER QTY2]]*Table50[[#This Row],[COST PRICE]],0)</f>
        <v>2526.5280000000002</v>
      </c>
      <c r="AK153" s="15" t="e">
        <f>(Table50[[#This Row],[REORDER POINT]]*Table50[[#This Row],[COST PRICE]])+Table50[[#This Row],[ORDER COST]]</f>
        <v>#VALUE!</v>
      </c>
      <c r="AL153" s="15">
        <f t="shared" si="8"/>
        <v>100</v>
      </c>
      <c r="AM153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54" spans="1:39" hidden="1" x14ac:dyDescent="0.25">
      <c r="A154" t="s">
        <v>215</v>
      </c>
      <c r="B154" t="s">
        <v>219</v>
      </c>
      <c r="C154" t="s">
        <v>220</v>
      </c>
      <c r="D154" t="s">
        <v>53</v>
      </c>
      <c r="E154">
        <v>0</v>
      </c>
      <c r="F154">
        <v>0</v>
      </c>
      <c r="G154">
        <v>1</v>
      </c>
      <c r="H154">
        <v>124958</v>
      </c>
      <c r="I154">
        <v>0</v>
      </c>
      <c r="J154">
        <v>0</v>
      </c>
      <c r="K154">
        <f>Table50[[#This Row],[OpeningQty]]+Table50[[#This Row],[PurchasesQty]]-Table50[[#This Row],[ClosingQty]]</f>
        <v>1</v>
      </c>
      <c r="L154">
        <v>124958</v>
      </c>
      <c r="M154" s="14">
        <f>Table50[[#This Row],[Usage]]/$L$1</f>
        <v>0.18978613481956966</v>
      </c>
      <c r="N154" s="15">
        <f>IFERROR(Table50[[#This Row],[Opening]]/Table50[[#This Row],[OpeningQty]],0)</f>
        <v>0</v>
      </c>
      <c r="O154" s="15">
        <f>IFERROR(Table50[[#This Row],[Purchases]]/Table50[[#This Row],[PurchasesQty]],0)</f>
        <v>124958</v>
      </c>
      <c r="P154" s="15">
        <f>IFERROR(Table50[[#This Row],[Closing]]/Table50[[#This Row],[ClosingQty]],0)</f>
        <v>0</v>
      </c>
      <c r="Q154" s="15">
        <f>IFERROR(AVERAGEIF(Table50[[#This Row],[OPENING COST PRICE]:[CLOSING COST PRICE]],"&gt;0"),0)</f>
        <v>124958</v>
      </c>
      <c r="R154" s="15">
        <f>IFERROR(Table50[[#This Row],[COST PRICE]]-IFERROR(Table50[[#This Row],[Usage]]/Table50[[#This Row],[UsageQty]],Table50[[#This Row],[COST PRICE]]),0)</f>
        <v>0</v>
      </c>
      <c r="S154" s="16">
        <f>IFERROR(Table50[[#This Row],[COST PRICE CHANGE]]/Table50[[#This Row],[OPENING COST PRICE]],0)</f>
        <v>0</v>
      </c>
      <c r="T154" s="15" t="e">
        <f>Table50[[#This Row],[ClosingQty]]-(Table50[[#This Row],[USAGE / DAY]]*(IF(Table50[[#This Row],[ccnt]]="BEV",Table50[[#This Row],[DELIVERY DAY]],Table50[[#This Row],[DELIVERY DAY]])))</f>
        <v>#VALUE!</v>
      </c>
      <c r="U154" s="15">
        <f>ROUNDUP(Table50[[#This Row],[UsageQty]]/Table50[[#This Row],[DATA POINT]],2)</f>
        <v>0.08</v>
      </c>
      <c r="V154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54" s="15">
        <f>IFERROR(Table50[[#This Row],[ORDER QTY]]*Table50[[#This Row],[COST PRICE]],0)</f>
        <v>0</v>
      </c>
      <c r="X154" s="15">
        <f>IFERROR(VLOOKUP(C154,[1]!Table48[[#All],[name]:[USAGE / DAY]],18,FALSE),1)</f>
        <v>1</v>
      </c>
      <c r="Y154" s="4">
        <f>IFERROR((Table50[[#This Row],[USAGE / DAY]]-Table50[[#This Row],[USAGE / DAY 2]])/Table50[[#This Row],[USAGE / DAY 2]],0)</f>
        <v>-0.92</v>
      </c>
      <c r="Z154" s="15">
        <f t="shared" si="6"/>
        <v>14</v>
      </c>
      <c r="AA154" s="15">
        <f t="shared" si="7"/>
        <v>9.311854181734148</v>
      </c>
      <c r="AB154" s="15" t="str">
        <f>IFERROR(IF(Table50[[#This Row],[ccnt]]="BEV",$AB$2,IF(Table50[[#This Row],[ccnt]]="FOOD",$AC$2,"ENTER # FROM LAST COUNT")),"ENTER # FROM LAST COUNT")</f>
        <v>ENTER # FROM LAST COUNT</v>
      </c>
      <c r="AC154" s="15">
        <f>(Table50[[#This Row],[OpeningQty]]+Table50[[#This Row],[ClosingQty]])/2</f>
        <v>0</v>
      </c>
      <c r="AD154" s="15">
        <f>IFERROR(Table50[[#This Row],[UsageQty]]/Table50[[#This Row],[AVE INVENTORY]],0)</f>
        <v>0</v>
      </c>
      <c r="AE154" s="15">
        <f>IFERROR(Table50[[#This Row],[DATA POINT]]/Table50[[#This Row],[Inventory Turnover Rate]],0)</f>
        <v>0</v>
      </c>
      <c r="AF154" s="15">
        <f>Table50[[#This Row],[ClosingQty]]/Table50[[#This Row],[USAGE / DAY]]</f>
        <v>0</v>
      </c>
      <c r="AG154" s="15">
        <f>Table50[[#This Row],[USAGE / DAY]]*7</f>
        <v>0.56000000000000005</v>
      </c>
      <c r="AH154" s="15">
        <f>Table50[[#This Row],[USAGE / DAY]]*3</f>
        <v>0.24</v>
      </c>
      <c r="AI154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54" s="15">
        <f>IFERROR(Table50[[#This Row],[ORDER QTY2]]*Table50[[#This Row],[COST PRICE]],0)</f>
        <v>99966.400000000009</v>
      </c>
      <c r="AK154" s="15" t="e">
        <f>(Table50[[#This Row],[REORDER POINT]]*Table50[[#This Row],[COST PRICE]])+Table50[[#This Row],[ORDER COST]]</f>
        <v>#VALUE!</v>
      </c>
      <c r="AL154" s="15">
        <f t="shared" si="8"/>
        <v>100</v>
      </c>
      <c r="AM154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55" spans="1:39" hidden="1" x14ac:dyDescent="0.25">
      <c r="A155" t="s">
        <v>215</v>
      </c>
      <c r="B155" t="s">
        <v>221</v>
      </c>
      <c r="C155" t="s">
        <v>222</v>
      </c>
      <c r="D155" t="s">
        <v>53</v>
      </c>
      <c r="E155">
        <v>0</v>
      </c>
      <c r="F155">
        <v>0</v>
      </c>
      <c r="G155">
        <v>1</v>
      </c>
      <c r="H155">
        <v>78</v>
      </c>
      <c r="I155">
        <v>0</v>
      </c>
      <c r="J155">
        <v>0</v>
      </c>
      <c r="K155">
        <f>Table50[[#This Row],[OpeningQty]]+Table50[[#This Row],[PurchasesQty]]-Table50[[#This Row],[ClosingQty]]</f>
        <v>1</v>
      </c>
      <c r="L155">
        <v>78</v>
      </c>
      <c r="M155" s="14">
        <f>Table50[[#This Row],[Usage]]/$L$1</f>
        <v>1.1846635282195965E-4</v>
      </c>
      <c r="N155" s="15">
        <f>IFERROR(Table50[[#This Row],[Opening]]/Table50[[#This Row],[OpeningQty]],0)</f>
        <v>0</v>
      </c>
      <c r="O155" s="15">
        <f>IFERROR(Table50[[#This Row],[Purchases]]/Table50[[#This Row],[PurchasesQty]],0)</f>
        <v>78</v>
      </c>
      <c r="P155" s="15">
        <f>IFERROR(Table50[[#This Row],[Closing]]/Table50[[#This Row],[ClosingQty]],0)</f>
        <v>0</v>
      </c>
      <c r="Q155" s="15">
        <f>IFERROR(AVERAGEIF(Table50[[#This Row],[OPENING COST PRICE]:[CLOSING COST PRICE]],"&gt;0"),0)</f>
        <v>78</v>
      </c>
      <c r="R155" s="15">
        <f>IFERROR(Table50[[#This Row],[COST PRICE]]-IFERROR(Table50[[#This Row],[Usage]]/Table50[[#This Row],[UsageQty]],Table50[[#This Row],[COST PRICE]]),0)</f>
        <v>0</v>
      </c>
      <c r="S155" s="16">
        <f>IFERROR(Table50[[#This Row],[COST PRICE CHANGE]]/Table50[[#This Row],[OPENING COST PRICE]],0)</f>
        <v>0</v>
      </c>
      <c r="T155" s="15" t="e">
        <f>Table50[[#This Row],[ClosingQty]]-(Table50[[#This Row],[USAGE / DAY]]*(IF(Table50[[#This Row],[ccnt]]="BEV",Table50[[#This Row],[DELIVERY DAY]],Table50[[#This Row],[DELIVERY DAY]])))</f>
        <v>#VALUE!</v>
      </c>
      <c r="U155" s="15">
        <f>ROUNDUP(Table50[[#This Row],[UsageQty]]/Table50[[#This Row],[DATA POINT]],2)</f>
        <v>0.08</v>
      </c>
      <c r="V155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55" s="15">
        <f>IFERROR(Table50[[#This Row],[ORDER QTY]]*Table50[[#This Row],[COST PRICE]],0)</f>
        <v>0</v>
      </c>
      <c r="X155" s="15">
        <f>IFERROR(VLOOKUP(C155,[1]!Table48[[#All],[name]:[USAGE / DAY]],18,FALSE),1)</f>
        <v>1</v>
      </c>
      <c r="Y155" s="4">
        <f>IFERROR((Table50[[#This Row],[USAGE / DAY]]-Table50[[#This Row],[USAGE / DAY 2]])/Table50[[#This Row],[USAGE / DAY 2]],0)</f>
        <v>-0.92</v>
      </c>
      <c r="Z155" s="15">
        <f t="shared" si="6"/>
        <v>14</v>
      </c>
      <c r="AA155" s="15">
        <f t="shared" si="7"/>
        <v>9.311854181734148</v>
      </c>
      <c r="AB155" s="15" t="str">
        <f>IFERROR(IF(Table50[[#This Row],[ccnt]]="BEV",$AB$2,IF(Table50[[#This Row],[ccnt]]="FOOD",$AC$2,"ENTER # FROM LAST COUNT")),"ENTER # FROM LAST COUNT")</f>
        <v>ENTER # FROM LAST COUNT</v>
      </c>
      <c r="AC155" s="15">
        <f>(Table50[[#This Row],[OpeningQty]]+Table50[[#This Row],[ClosingQty]])/2</f>
        <v>0</v>
      </c>
      <c r="AD155" s="15">
        <f>IFERROR(Table50[[#This Row],[UsageQty]]/Table50[[#This Row],[AVE INVENTORY]],0)</f>
        <v>0</v>
      </c>
      <c r="AE155" s="15">
        <f>IFERROR(Table50[[#This Row],[DATA POINT]]/Table50[[#This Row],[Inventory Turnover Rate]],0)</f>
        <v>0</v>
      </c>
      <c r="AF155" s="15">
        <f>Table50[[#This Row],[ClosingQty]]/Table50[[#This Row],[USAGE / DAY]]</f>
        <v>0</v>
      </c>
      <c r="AG155" s="15">
        <f>Table50[[#This Row],[USAGE / DAY]]*7</f>
        <v>0.56000000000000005</v>
      </c>
      <c r="AH155" s="15">
        <f>Table50[[#This Row],[USAGE / DAY]]*3</f>
        <v>0.24</v>
      </c>
      <c r="AI155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55" s="15">
        <f>IFERROR(Table50[[#This Row],[ORDER QTY2]]*Table50[[#This Row],[COST PRICE]],0)</f>
        <v>62.400000000000006</v>
      </c>
      <c r="AK155" s="15" t="e">
        <f>(Table50[[#This Row],[REORDER POINT]]*Table50[[#This Row],[COST PRICE]])+Table50[[#This Row],[ORDER COST]]</f>
        <v>#VALUE!</v>
      </c>
      <c r="AL155" s="15">
        <f t="shared" si="8"/>
        <v>100</v>
      </c>
      <c r="AM155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56" spans="1:39" hidden="1" x14ac:dyDescent="0.25">
      <c r="A156" t="s">
        <v>215</v>
      </c>
      <c r="B156" t="s">
        <v>223</v>
      </c>
      <c r="C156" t="s">
        <v>224</v>
      </c>
      <c r="E156">
        <v>0</v>
      </c>
      <c r="F156">
        <v>0</v>
      </c>
      <c r="G156">
        <v>14</v>
      </c>
      <c r="H156">
        <v>0</v>
      </c>
      <c r="I156">
        <v>0</v>
      </c>
      <c r="J156">
        <v>0</v>
      </c>
      <c r="K156">
        <f>Table50[[#This Row],[OpeningQty]]+Table50[[#This Row],[PurchasesQty]]-Table50[[#This Row],[ClosingQty]]</f>
        <v>14</v>
      </c>
      <c r="L156">
        <v>0</v>
      </c>
      <c r="M156" s="14">
        <f>Table50[[#This Row],[Usage]]/$L$1</f>
        <v>0</v>
      </c>
      <c r="N156" s="15">
        <f>IFERROR(Table50[[#This Row],[Opening]]/Table50[[#This Row],[OpeningQty]],0)</f>
        <v>0</v>
      </c>
      <c r="O156" s="15">
        <f>IFERROR(Table50[[#This Row],[Purchases]]/Table50[[#This Row],[PurchasesQty]],0)</f>
        <v>0</v>
      </c>
      <c r="P156" s="15">
        <f>IFERROR(Table50[[#This Row],[Closing]]/Table50[[#This Row],[ClosingQty]],0)</f>
        <v>0</v>
      </c>
      <c r="Q156" s="15">
        <f>IFERROR(AVERAGEIF(Table50[[#This Row],[OPENING COST PRICE]:[CLOSING COST PRICE]],"&gt;0"),0)</f>
        <v>0</v>
      </c>
      <c r="R156" s="15">
        <f>IFERROR(Table50[[#This Row],[COST PRICE]]-IFERROR(Table50[[#This Row],[Usage]]/Table50[[#This Row],[UsageQty]],Table50[[#This Row],[COST PRICE]]),0)</f>
        <v>0</v>
      </c>
      <c r="S156" s="16">
        <f>IFERROR(Table50[[#This Row],[COST PRICE CHANGE]]/Table50[[#This Row],[OPENING COST PRICE]],0)</f>
        <v>0</v>
      </c>
      <c r="T156" s="15" t="e">
        <f>Table50[[#This Row],[ClosingQty]]-(Table50[[#This Row],[USAGE / DAY]]*(IF(Table50[[#This Row],[ccnt]]="BEV",Table50[[#This Row],[DELIVERY DAY]],Table50[[#This Row],[DELIVERY DAY]])))</f>
        <v>#VALUE!</v>
      </c>
      <c r="U156" s="15">
        <f>ROUNDUP(Table50[[#This Row],[UsageQty]]/Table50[[#This Row],[DATA POINT]],2)</f>
        <v>1</v>
      </c>
      <c r="V156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56" s="15">
        <f>IFERROR(Table50[[#This Row],[ORDER QTY]]*Table50[[#This Row],[COST PRICE]],0)</f>
        <v>0</v>
      </c>
      <c r="X156" s="15">
        <f>IFERROR(VLOOKUP(C156,[1]!Table48[[#All],[name]:[USAGE / DAY]],18,FALSE),1)</f>
        <v>1</v>
      </c>
      <c r="Y156" s="4">
        <f>IFERROR((Table50[[#This Row],[USAGE / DAY]]-Table50[[#This Row],[USAGE / DAY 2]])/Table50[[#This Row],[USAGE / DAY 2]],0)</f>
        <v>0</v>
      </c>
      <c r="Z156" s="15">
        <f t="shared" si="6"/>
        <v>14</v>
      </c>
      <c r="AA156" s="15">
        <f t="shared" si="7"/>
        <v>9.311854181734148</v>
      </c>
      <c r="AB156" s="15" t="str">
        <f>IFERROR(IF(Table50[[#This Row],[ccnt]]="BEV",$AB$2,IF(Table50[[#This Row],[ccnt]]="FOOD",$AC$2,"ENTER # FROM LAST COUNT")),"ENTER # FROM LAST COUNT")</f>
        <v>ENTER # FROM LAST COUNT</v>
      </c>
      <c r="AC156" s="15">
        <f>(Table50[[#This Row],[OpeningQty]]+Table50[[#This Row],[ClosingQty]])/2</f>
        <v>0</v>
      </c>
      <c r="AD156" s="15">
        <f>IFERROR(Table50[[#This Row],[UsageQty]]/Table50[[#This Row],[AVE INVENTORY]],0)</f>
        <v>0</v>
      </c>
      <c r="AE156" s="15">
        <f>IFERROR(Table50[[#This Row],[DATA POINT]]/Table50[[#This Row],[Inventory Turnover Rate]],0)</f>
        <v>0</v>
      </c>
      <c r="AF156" s="15">
        <f>Table50[[#This Row],[ClosingQty]]/Table50[[#This Row],[USAGE / DAY]]</f>
        <v>0</v>
      </c>
      <c r="AG156" s="15">
        <f>Table50[[#This Row],[USAGE / DAY]]*7</f>
        <v>7</v>
      </c>
      <c r="AH156" s="15">
        <f>Table50[[#This Row],[USAGE / DAY]]*3</f>
        <v>3</v>
      </c>
      <c r="AI156" s="15">
        <f>IF(Table50[[#This Row],[FORECASTED DEMAND]]+Table50[[#This Row],[SAFETY STOCK]]-Table50[[#This Row],[ClosingQty]]&gt;0,Table50[[#This Row],[FORECASTED DEMAND]]+Table50[[#This Row],[SAFETY STOCK]]-Table50[[#This Row],[ClosingQty]],"NO ORDER")</f>
        <v>10</v>
      </c>
      <c r="AJ156" s="15">
        <f>IFERROR(Table50[[#This Row],[ORDER QTY2]]*Table50[[#This Row],[COST PRICE]],0)</f>
        <v>0</v>
      </c>
      <c r="AK156" s="15" t="e">
        <f>(Table50[[#This Row],[REORDER POINT]]*Table50[[#This Row],[COST PRICE]])+Table50[[#This Row],[ORDER COST]]</f>
        <v>#VALUE!</v>
      </c>
      <c r="AL156" s="15">
        <f t="shared" si="8"/>
        <v>100</v>
      </c>
      <c r="AM156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57" spans="1:39" hidden="1" x14ac:dyDescent="0.25">
      <c r="A157" t="s">
        <v>215</v>
      </c>
      <c r="B157" t="s">
        <v>225</v>
      </c>
      <c r="C157" t="s">
        <v>226</v>
      </c>
      <c r="D157" t="s">
        <v>76</v>
      </c>
      <c r="E157">
        <v>0</v>
      </c>
      <c r="F157">
        <v>0</v>
      </c>
      <c r="G157">
        <v>25</v>
      </c>
      <c r="H157">
        <v>715</v>
      </c>
      <c r="I157">
        <v>0</v>
      </c>
      <c r="J157">
        <v>0</v>
      </c>
      <c r="K157">
        <f>Table50[[#This Row],[OpeningQty]]+Table50[[#This Row],[PurchasesQty]]-Table50[[#This Row],[ClosingQty]]</f>
        <v>25</v>
      </c>
      <c r="L157">
        <v>715</v>
      </c>
      <c r="M157" s="14">
        <f>Table50[[#This Row],[Usage]]/$L$1</f>
        <v>1.0859415675346302E-3</v>
      </c>
      <c r="N157" s="15">
        <f>IFERROR(Table50[[#This Row],[Opening]]/Table50[[#This Row],[OpeningQty]],0)</f>
        <v>0</v>
      </c>
      <c r="O157" s="15">
        <f>IFERROR(Table50[[#This Row],[Purchases]]/Table50[[#This Row],[PurchasesQty]],0)</f>
        <v>28.6</v>
      </c>
      <c r="P157" s="15">
        <f>IFERROR(Table50[[#This Row],[Closing]]/Table50[[#This Row],[ClosingQty]],0)</f>
        <v>0</v>
      </c>
      <c r="Q157" s="15">
        <f>IFERROR(AVERAGEIF(Table50[[#This Row],[OPENING COST PRICE]:[CLOSING COST PRICE]],"&gt;0"),0)</f>
        <v>28.6</v>
      </c>
      <c r="R157" s="15">
        <f>IFERROR(Table50[[#This Row],[COST PRICE]]-IFERROR(Table50[[#This Row],[Usage]]/Table50[[#This Row],[UsageQty]],Table50[[#This Row],[COST PRICE]]),0)</f>
        <v>0</v>
      </c>
      <c r="S157" s="16">
        <f>IFERROR(Table50[[#This Row],[COST PRICE CHANGE]]/Table50[[#This Row],[OPENING COST PRICE]],0)</f>
        <v>0</v>
      </c>
      <c r="T157" s="15" t="e">
        <f>Table50[[#This Row],[ClosingQty]]-(Table50[[#This Row],[USAGE / DAY]]*(IF(Table50[[#This Row],[ccnt]]="BEV",Table50[[#This Row],[DELIVERY DAY]],Table50[[#This Row],[DELIVERY DAY]])))</f>
        <v>#VALUE!</v>
      </c>
      <c r="U157" s="15">
        <f>ROUNDUP(Table50[[#This Row],[UsageQty]]/Table50[[#This Row],[DATA POINT]],2)</f>
        <v>1.79</v>
      </c>
      <c r="V157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57" s="15">
        <f>IFERROR(Table50[[#This Row],[ORDER QTY]]*Table50[[#This Row],[COST PRICE]],0)</f>
        <v>0</v>
      </c>
      <c r="X157" s="15">
        <f>IFERROR(VLOOKUP(C157,[1]!Table48[[#All],[name]:[USAGE / DAY]],18,FALSE),1)</f>
        <v>1</v>
      </c>
      <c r="Y157" s="4">
        <f>IFERROR((Table50[[#This Row],[USAGE / DAY]]-Table50[[#This Row],[USAGE / DAY 2]])/Table50[[#This Row],[USAGE / DAY 2]],0)</f>
        <v>0.79</v>
      </c>
      <c r="Z157" s="15">
        <f t="shared" si="6"/>
        <v>14</v>
      </c>
      <c r="AA157" s="15">
        <f t="shared" si="7"/>
        <v>9.311854181734148</v>
      </c>
      <c r="AB157" s="15" t="str">
        <f>IFERROR(IF(Table50[[#This Row],[ccnt]]="BEV",$AB$2,IF(Table50[[#This Row],[ccnt]]="FOOD",$AC$2,"ENTER # FROM LAST COUNT")),"ENTER # FROM LAST COUNT")</f>
        <v>ENTER # FROM LAST COUNT</v>
      </c>
      <c r="AC157" s="15">
        <f>(Table50[[#This Row],[OpeningQty]]+Table50[[#This Row],[ClosingQty]])/2</f>
        <v>0</v>
      </c>
      <c r="AD157" s="15">
        <f>IFERROR(Table50[[#This Row],[UsageQty]]/Table50[[#This Row],[AVE INVENTORY]],0)</f>
        <v>0</v>
      </c>
      <c r="AE157" s="15">
        <f>IFERROR(Table50[[#This Row],[DATA POINT]]/Table50[[#This Row],[Inventory Turnover Rate]],0)</f>
        <v>0</v>
      </c>
      <c r="AF157" s="15">
        <f>Table50[[#This Row],[ClosingQty]]/Table50[[#This Row],[USAGE / DAY]]</f>
        <v>0</v>
      </c>
      <c r="AG157" s="15">
        <f>Table50[[#This Row],[USAGE / DAY]]*7</f>
        <v>12.530000000000001</v>
      </c>
      <c r="AH157" s="15">
        <f>Table50[[#This Row],[USAGE / DAY]]*3</f>
        <v>5.37</v>
      </c>
      <c r="AI157" s="15">
        <f>IF(Table50[[#This Row],[FORECASTED DEMAND]]+Table50[[#This Row],[SAFETY STOCK]]-Table50[[#This Row],[ClosingQty]]&gt;0,Table50[[#This Row],[FORECASTED DEMAND]]+Table50[[#This Row],[SAFETY STOCK]]-Table50[[#This Row],[ClosingQty]],"NO ORDER")</f>
        <v>17.900000000000002</v>
      </c>
      <c r="AJ157" s="15">
        <f>IFERROR(Table50[[#This Row],[ORDER QTY2]]*Table50[[#This Row],[COST PRICE]],0)</f>
        <v>511.94000000000011</v>
      </c>
      <c r="AK157" s="15" t="e">
        <f>(Table50[[#This Row],[REORDER POINT]]*Table50[[#This Row],[COST PRICE]])+Table50[[#This Row],[ORDER COST]]</f>
        <v>#VALUE!</v>
      </c>
      <c r="AL157" s="15">
        <f t="shared" si="8"/>
        <v>100</v>
      </c>
      <c r="AM157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58" spans="1:39" hidden="1" x14ac:dyDescent="0.25">
      <c r="A158" t="s">
        <v>215</v>
      </c>
      <c r="B158" t="s">
        <v>225</v>
      </c>
      <c r="C158" t="s">
        <v>227</v>
      </c>
      <c r="D158" t="s">
        <v>76</v>
      </c>
      <c r="E158">
        <v>0</v>
      </c>
      <c r="F158">
        <v>0</v>
      </c>
      <c r="G158">
        <v>25</v>
      </c>
      <c r="H158">
        <v>685</v>
      </c>
      <c r="I158">
        <v>0</v>
      </c>
      <c r="J158">
        <v>0</v>
      </c>
      <c r="K158">
        <f>Table50[[#This Row],[OpeningQty]]+Table50[[#This Row],[PurchasesQty]]-Table50[[#This Row],[ClosingQty]]</f>
        <v>25</v>
      </c>
      <c r="L158">
        <v>685</v>
      </c>
      <c r="M158" s="14">
        <f>Table50[[#This Row],[Usage]]/$L$1</f>
        <v>1.0403775856800302E-3</v>
      </c>
      <c r="N158" s="15">
        <f>IFERROR(Table50[[#This Row],[Opening]]/Table50[[#This Row],[OpeningQty]],0)</f>
        <v>0</v>
      </c>
      <c r="O158" s="15">
        <f>IFERROR(Table50[[#This Row],[Purchases]]/Table50[[#This Row],[PurchasesQty]],0)</f>
        <v>27.4</v>
      </c>
      <c r="P158" s="15">
        <f>IFERROR(Table50[[#This Row],[Closing]]/Table50[[#This Row],[ClosingQty]],0)</f>
        <v>0</v>
      </c>
      <c r="Q158" s="15">
        <f>IFERROR(AVERAGEIF(Table50[[#This Row],[OPENING COST PRICE]:[CLOSING COST PRICE]],"&gt;0"),0)</f>
        <v>27.4</v>
      </c>
      <c r="R158" s="15">
        <f>IFERROR(Table50[[#This Row],[COST PRICE]]-IFERROR(Table50[[#This Row],[Usage]]/Table50[[#This Row],[UsageQty]],Table50[[#This Row],[COST PRICE]]),0)</f>
        <v>0</v>
      </c>
      <c r="S158" s="16">
        <f>IFERROR(Table50[[#This Row],[COST PRICE CHANGE]]/Table50[[#This Row],[OPENING COST PRICE]],0)</f>
        <v>0</v>
      </c>
      <c r="T158" s="15" t="e">
        <f>Table50[[#This Row],[ClosingQty]]-(Table50[[#This Row],[USAGE / DAY]]*(IF(Table50[[#This Row],[ccnt]]="BEV",Table50[[#This Row],[DELIVERY DAY]],Table50[[#This Row],[DELIVERY DAY]])))</f>
        <v>#VALUE!</v>
      </c>
      <c r="U158" s="15">
        <f>ROUNDUP(Table50[[#This Row],[UsageQty]]/Table50[[#This Row],[DATA POINT]],2)</f>
        <v>1.79</v>
      </c>
      <c r="V158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58" s="15">
        <f>IFERROR(Table50[[#This Row],[ORDER QTY]]*Table50[[#This Row],[COST PRICE]],0)</f>
        <v>0</v>
      </c>
      <c r="X158" s="15">
        <f>IFERROR(VLOOKUP(C158,[1]!Table48[[#All],[name]:[USAGE / DAY]],18,FALSE),1)</f>
        <v>1</v>
      </c>
      <c r="Y158" s="4">
        <f>IFERROR((Table50[[#This Row],[USAGE / DAY]]-Table50[[#This Row],[USAGE / DAY 2]])/Table50[[#This Row],[USAGE / DAY 2]],0)</f>
        <v>0.79</v>
      </c>
      <c r="Z158" s="15">
        <f t="shared" si="6"/>
        <v>14</v>
      </c>
      <c r="AA158" s="15">
        <f t="shared" si="7"/>
        <v>9.311854181734148</v>
      </c>
      <c r="AB158" s="15" t="str">
        <f>IFERROR(IF(Table50[[#This Row],[ccnt]]="BEV",$AB$2,IF(Table50[[#This Row],[ccnt]]="FOOD",$AC$2,"ENTER # FROM LAST COUNT")),"ENTER # FROM LAST COUNT")</f>
        <v>ENTER # FROM LAST COUNT</v>
      </c>
      <c r="AC158" s="15">
        <f>(Table50[[#This Row],[OpeningQty]]+Table50[[#This Row],[ClosingQty]])/2</f>
        <v>0</v>
      </c>
      <c r="AD158" s="15">
        <f>IFERROR(Table50[[#This Row],[UsageQty]]/Table50[[#This Row],[AVE INVENTORY]],0)</f>
        <v>0</v>
      </c>
      <c r="AE158" s="15">
        <f>IFERROR(Table50[[#This Row],[DATA POINT]]/Table50[[#This Row],[Inventory Turnover Rate]],0)</f>
        <v>0</v>
      </c>
      <c r="AF158" s="15">
        <f>Table50[[#This Row],[ClosingQty]]/Table50[[#This Row],[USAGE / DAY]]</f>
        <v>0</v>
      </c>
      <c r="AG158" s="15">
        <f>Table50[[#This Row],[USAGE / DAY]]*7</f>
        <v>12.530000000000001</v>
      </c>
      <c r="AH158" s="15">
        <f>Table50[[#This Row],[USAGE / DAY]]*3</f>
        <v>5.37</v>
      </c>
      <c r="AI158" s="15">
        <f>IF(Table50[[#This Row],[FORECASTED DEMAND]]+Table50[[#This Row],[SAFETY STOCK]]-Table50[[#This Row],[ClosingQty]]&gt;0,Table50[[#This Row],[FORECASTED DEMAND]]+Table50[[#This Row],[SAFETY STOCK]]-Table50[[#This Row],[ClosingQty]],"NO ORDER")</f>
        <v>17.900000000000002</v>
      </c>
      <c r="AJ158" s="15">
        <f>IFERROR(Table50[[#This Row],[ORDER QTY2]]*Table50[[#This Row],[COST PRICE]],0)</f>
        <v>490.46000000000004</v>
      </c>
      <c r="AK158" s="15" t="e">
        <f>(Table50[[#This Row],[REORDER POINT]]*Table50[[#This Row],[COST PRICE]])+Table50[[#This Row],[ORDER COST]]</f>
        <v>#VALUE!</v>
      </c>
      <c r="AL158" s="15">
        <f t="shared" si="8"/>
        <v>100</v>
      </c>
      <c r="AM158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59" spans="1:39" hidden="1" x14ac:dyDescent="0.25">
      <c r="A159" t="s">
        <v>215</v>
      </c>
      <c r="B159" t="s">
        <v>225</v>
      </c>
      <c r="C159" t="s">
        <v>228</v>
      </c>
      <c r="D159" t="s">
        <v>53</v>
      </c>
      <c r="E159">
        <v>0</v>
      </c>
      <c r="F159">
        <v>0</v>
      </c>
      <c r="G159">
        <v>400</v>
      </c>
      <c r="H159">
        <v>399.55</v>
      </c>
      <c r="I159">
        <v>0</v>
      </c>
      <c r="J159">
        <v>0</v>
      </c>
      <c r="K159">
        <f>Table50[[#This Row],[OpeningQty]]+Table50[[#This Row],[PurchasesQty]]-Table50[[#This Row],[ClosingQty]]</f>
        <v>400</v>
      </c>
      <c r="L159">
        <v>399.55</v>
      </c>
      <c r="M159" s="14">
        <f>Table50[[#This Row],[Usage]]/$L$1</f>
        <v>6.0683629833351255E-4</v>
      </c>
      <c r="N159" s="15">
        <f>IFERROR(Table50[[#This Row],[Opening]]/Table50[[#This Row],[OpeningQty]],0)</f>
        <v>0</v>
      </c>
      <c r="O159" s="15">
        <f>IFERROR(Table50[[#This Row],[Purchases]]/Table50[[#This Row],[PurchasesQty]],0)</f>
        <v>0.99887500000000007</v>
      </c>
      <c r="P159" s="15">
        <f>IFERROR(Table50[[#This Row],[Closing]]/Table50[[#This Row],[ClosingQty]],0)</f>
        <v>0</v>
      </c>
      <c r="Q159" s="15">
        <f>IFERROR(AVERAGEIF(Table50[[#This Row],[OPENING COST PRICE]:[CLOSING COST PRICE]],"&gt;0"),0)</f>
        <v>0.99887500000000007</v>
      </c>
      <c r="R159" s="15">
        <f>IFERROR(Table50[[#This Row],[COST PRICE]]-IFERROR(Table50[[#This Row],[Usage]]/Table50[[#This Row],[UsageQty]],Table50[[#This Row],[COST PRICE]]),0)</f>
        <v>0</v>
      </c>
      <c r="S159" s="16">
        <f>IFERROR(Table50[[#This Row],[COST PRICE CHANGE]]/Table50[[#This Row],[OPENING COST PRICE]],0)</f>
        <v>0</v>
      </c>
      <c r="T159" s="15" t="e">
        <f>Table50[[#This Row],[ClosingQty]]-(Table50[[#This Row],[USAGE / DAY]]*(IF(Table50[[#This Row],[ccnt]]="BEV",Table50[[#This Row],[DELIVERY DAY]],Table50[[#This Row],[DELIVERY DAY]])))</f>
        <v>#VALUE!</v>
      </c>
      <c r="U159" s="15">
        <f>ROUNDUP(Table50[[#This Row],[UsageQty]]/Table50[[#This Row],[DATA POINT]],2)</f>
        <v>28.580000000000002</v>
      </c>
      <c r="V159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59" s="15">
        <f>IFERROR(Table50[[#This Row],[ORDER QTY]]*Table50[[#This Row],[COST PRICE]],0)</f>
        <v>0</v>
      </c>
      <c r="X159" s="15">
        <f>IFERROR(VLOOKUP(C159,[1]!Table48[[#All],[name]:[USAGE / DAY]],18,FALSE),1)</f>
        <v>1</v>
      </c>
      <c r="Y159" s="4">
        <f>IFERROR((Table50[[#This Row],[USAGE / DAY]]-Table50[[#This Row],[USAGE / DAY 2]])/Table50[[#This Row],[USAGE / DAY 2]],0)</f>
        <v>27.580000000000002</v>
      </c>
      <c r="Z159" s="15">
        <f t="shared" si="6"/>
        <v>14</v>
      </c>
      <c r="AA159" s="15">
        <f t="shared" si="7"/>
        <v>9.311854181734148</v>
      </c>
      <c r="AB159" s="15" t="str">
        <f>IFERROR(IF(Table50[[#This Row],[ccnt]]="BEV",$AB$2,IF(Table50[[#This Row],[ccnt]]="FOOD",$AC$2,"ENTER # FROM LAST COUNT")),"ENTER # FROM LAST COUNT")</f>
        <v>ENTER # FROM LAST COUNT</v>
      </c>
      <c r="AC159" s="15">
        <f>(Table50[[#This Row],[OpeningQty]]+Table50[[#This Row],[ClosingQty]])/2</f>
        <v>0</v>
      </c>
      <c r="AD159" s="15">
        <f>IFERROR(Table50[[#This Row],[UsageQty]]/Table50[[#This Row],[AVE INVENTORY]],0)</f>
        <v>0</v>
      </c>
      <c r="AE159" s="15">
        <f>IFERROR(Table50[[#This Row],[DATA POINT]]/Table50[[#This Row],[Inventory Turnover Rate]],0)</f>
        <v>0</v>
      </c>
      <c r="AF159" s="15">
        <f>Table50[[#This Row],[ClosingQty]]/Table50[[#This Row],[USAGE / DAY]]</f>
        <v>0</v>
      </c>
      <c r="AG159" s="15">
        <f>Table50[[#This Row],[USAGE / DAY]]*7</f>
        <v>200.06</v>
      </c>
      <c r="AH159" s="15">
        <f>Table50[[#This Row],[USAGE / DAY]]*3</f>
        <v>85.740000000000009</v>
      </c>
      <c r="AI159" s="15">
        <f>IF(Table50[[#This Row],[FORECASTED DEMAND]]+Table50[[#This Row],[SAFETY STOCK]]-Table50[[#This Row],[ClosingQty]]&gt;0,Table50[[#This Row],[FORECASTED DEMAND]]+Table50[[#This Row],[SAFETY STOCK]]-Table50[[#This Row],[ClosingQty]],"NO ORDER")</f>
        <v>285.8</v>
      </c>
      <c r="AJ159" s="15">
        <f>IFERROR(Table50[[#This Row],[ORDER QTY2]]*Table50[[#This Row],[COST PRICE]],0)</f>
        <v>285.478475</v>
      </c>
      <c r="AK159" s="15" t="e">
        <f>(Table50[[#This Row],[REORDER POINT]]*Table50[[#This Row],[COST PRICE]])+Table50[[#This Row],[ORDER COST]]</f>
        <v>#VALUE!</v>
      </c>
      <c r="AL159" s="15">
        <f t="shared" si="8"/>
        <v>100</v>
      </c>
      <c r="AM159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0" spans="1:39" hidden="1" x14ac:dyDescent="0.25">
      <c r="A160" t="s">
        <v>215</v>
      </c>
      <c r="B160" t="s">
        <v>225</v>
      </c>
      <c r="C160" t="s">
        <v>229</v>
      </c>
      <c r="D160" t="s">
        <v>76</v>
      </c>
      <c r="E160">
        <v>0</v>
      </c>
      <c r="F160">
        <v>0</v>
      </c>
      <c r="G160">
        <v>125</v>
      </c>
      <c r="H160">
        <v>2946.95</v>
      </c>
      <c r="I160">
        <v>0</v>
      </c>
      <c r="J160">
        <v>0</v>
      </c>
      <c r="K160">
        <f>Table50[[#This Row],[OpeningQty]]+Table50[[#This Row],[PurchasesQty]]-Table50[[#This Row],[ClosingQty]]</f>
        <v>125</v>
      </c>
      <c r="L160">
        <v>2946.95</v>
      </c>
      <c r="M160" s="14">
        <f>Table50[[#This Row],[Usage]]/$L$1</f>
        <v>4.4758258775471019E-3</v>
      </c>
      <c r="N160" s="15">
        <f>IFERROR(Table50[[#This Row],[Opening]]/Table50[[#This Row],[OpeningQty]],0)</f>
        <v>0</v>
      </c>
      <c r="O160" s="15">
        <f>IFERROR(Table50[[#This Row],[Purchases]]/Table50[[#This Row],[PurchasesQty]],0)</f>
        <v>23.575599999999998</v>
      </c>
      <c r="P160" s="15">
        <f>IFERROR(Table50[[#This Row],[Closing]]/Table50[[#This Row],[ClosingQty]],0)</f>
        <v>0</v>
      </c>
      <c r="Q160" s="15">
        <f>IFERROR(AVERAGEIF(Table50[[#This Row],[OPENING COST PRICE]:[CLOSING COST PRICE]],"&gt;0"),0)</f>
        <v>23.575599999999998</v>
      </c>
      <c r="R160" s="15">
        <f>IFERROR(Table50[[#This Row],[COST PRICE]]-IFERROR(Table50[[#This Row],[Usage]]/Table50[[#This Row],[UsageQty]],Table50[[#This Row],[COST PRICE]]),0)</f>
        <v>0</v>
      </c>
      <c r="S160" s="16">
        <f>IFERROR(Table50[[#This Row],[COST PRICE CHANGE]]/Table50[[#This Row],[OPENING COST PRICE]],0)</f>
        <v>0</v>
      </c>
      <c r="T160" s="15" t="e">
        <f>Table50[[#This Row],[ClosingQty]]-(Table50[[#This Row],[USAGE / DAY]]*(IF(Table50[[#This Row],[ccnt]]="BEV",Table50[[#This Row],[DELIVERY DAY]],Table50[[#This Row],[DELIVERY DAY]])))</f>
        <v>#VALUE!</v>
      </c>
      <c r="U160" s="15">
        <f>ROUNDUP(Table50[[#This Row],[UsageQty]]/Table50[[#This Row],[DATA POINT]],2)</f>
        <v>8.93</v>
      </c>
      <c r="V160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0" s="15">
        <f>IFERROR(Table50[[#This Row],[ORDER QTY]]*Table50[[#This Row],[COST PRICE]],0)</f>
        <v>0</v>
      </c>
      <c r="X160" s="15">
        <f>IFERROR(VLOOKUP(C160,[1]!Table48[[#All],[name]:[USAGE / DAY]],18,FALSE),1)</f>
        <v>7.1499999999999995</v>
      </c>
      <c r="Y160" s="4">
        <f>IFERROR((Table50[[#This Row],[USAGE / DAY]]-Table50[[#This Row],[USAGE / DAY 2]])/Table50[[#This Row],[USAGE / DAY 2]],0)</f>
        <v>0.248951048951049</v>
      </c>
      <c r="Z160" s="15">
        <f t="shared" si="6"/>
        <v>14</v>
      </c>
      <c r="AA160" s="15">
        <f t="shared" si="7"/>
        <v>9.311854181734148</v>
      </c>
      <c r="AB160" s="15" t="str">
        <f>IFERROR(IF(Table50[[#This Row],[ccnt]]="BEV",$AB$2,IF(Table50[[#This Row],[ccnt]]="FOOD",$AC$2,"ENTER # FROM LAST COUNT")),"ENTER # FROM LAST COUNT")</f>
        <v>ENTER # FROM LAST COUNT</v>
      </c>
      <c r="AC160" s="15">
        <f>(Table50[[#This Row],[OpeningQty]]+Table50[[#This Row],[ClosingQty]])/2</f>
        <v>0</v>
      </c>
      <c r="AD160" s="15">
        <f>IFERROR(Table50[[#This Row],[UsageQty]]/Table50[[#This Row],[AVE INVENTORY]],0)</f>
        <v>0</v>
      </c>
      <c r="AE160" s="15">
        <f>IFERROR(Table50[[#This Row],[DATA POINT]]/Table50[[#This Row],[Inventory Turnover Rate]],0)</f>
        <v>0</v>
      </c>
      <c r="AF160" s="15">
        <f>Table50[[#This Row],[ClosingQty]]/Table50[[#This Row],[USAGE / DAY]]</f>
        <v>0</v>
      </c>
      <c r="AG160" s="15">
        <f>Table50[[#This Row],[USAGE / DAY]]*7</f>
        <v>62.51</v>
      </c>
      <c r="AH160" s="15">
        <f>Table50[[#This Row],[USAGE / DAY]]*3</f>
        <v>26.79</v>
      </c>
      <c r="AI160" s="15">
        <f>IF(Table50[[#This Row],[FORECASTED DEMAND]]+Table50[[#This Row],[SAFETY STOCK]]-Table50[[#This Row],[ClosingQty]]&gt;0,Table50[[#This Row],[FORECASTED DEMAND]]+Table50[[#This Row],[SAFETY STOCK]]-Table50[[#This Row],[ClosingQty]],"NO ORDER")</f>
        <v>89.3</v>
      </c>
      <c r="AJ160" s="15">
        <f>IFERROR(Table50[[#This Row],[ORDER QTY2]]*Table50[[#This Row],[COST PRICE]],0)</f>
        <v>2105.3010799999997</v>
      </c>
      <c r="AK160" s="15" t="e">
        <f>(Table50[[#This Row],[REORDER POINT]]*Table50[[#This Row],[COST PRICE]])+Table50[[#This Row],[ORDER COST]]</f>
        <v>#VALUE!</v>
      </c>
      <c r="AL160" s="15">
        <f t="shared" si="8"/>
        <v>100</v>
      </c>
      <c r="AM160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1" spans="1:39" hidden="1" x14ac:dyDescent="0.25">
      <c r="A161" t="s">
        <v>215</v>
      </c>
      <c r="B161" t="s">
        <v>225</v>
      </c>
      <c r="C161" t="s">
        <v>230</v>
      </c>
      <c r="D161" t="s">
        <v>76</v>
      </c>
      <c r="E161">
        <v>0</v>
      </c>
      <c r="F161">
        <v>0</v>
      </c>
      <c r="G161">
        <v>5</v>
      </c>
      <c r="H161">
        <v>122.12</v>
      </c>
      <c r="I161">
        <v>0</v>
      </c>
      <c r="J161">
        <v>0</v>
      </c>
      <c r="K161">
        <f>Table50[[#This Row],[OpeningQty]]+Table50[[#This Row],[PurchasesQty]]-Table50[[#This Row],[ClosingQty]]</f>
        <v>5</v>
      </c>
      <c r="L161">
        <v>122.12</v>
      </c>
      <c r="M161" s="14">
        <f>Table50[[#This Row],[Usage]]/$L$1</f>
        <v>1.8547578213612452E-4</v>
      </c>
      <c r="N161" s="15">
        <f>IFERROR(Table50[[#This Row],[Opening]]/Table50[[#This Row],[OpeningQty]],0)</f>
        <v>0</v>
      </c>
      <c r="O161" s="15">
        <f>IFERROR(Table50[[#This Row],[Purchases]]/Table50[[#This Row],[PurchasesQty]],0)</f>
        <v>24.423999999999999</v>
      </c>
      <c r="P161" s="15">
        <f>IFERROR(Table50[[#This Row],[Closing]]/Table50[[#This Row],[ClosingQty]],0)</f>
        <v>0</v>
      </c>
      <c r="Q161" s="15">
        <f>IFERROR(AVERAGEIF(Table50[[#This Row],[OPENING COST PRICE]:[CLOSING COST PRICE]],"&gt;0"),0)</f>
        <v>24.423999999999999</v>
      </c>
      <c r="R161" s="15">
        <f>IFERROR(Table50[[#This Row],[COST PRICE]]-IFERROR(Table50[[#This Row],[Usage]]/Table50[[#This Row],[UsageQty]],Table50[[#This Row],[COST PRICE]]),0)</f>
        <v>0</v>
      </c>
      <c r="S161" s="16">
        <f>IFERROR(Table50[[#This Row],[COST PRICE CHANGE]]/Table50[[#This Row],[OPENING COST PRICE]],0)</f>
        <v>0</v>
      </c>
      <c r="T161" s="15" t="e">
        <f>Table50[[#This Row],[ClosingQty]]-(Table50[[#This Row],[USAGE / DAY]]*(IF(Table50[[#This Row],[ccnt]]="BEV",Table50[[#This Row],[DELIVERY DAY]],Table50[[#This Row],[DELIVERY DAY]])))</f>
        <v>#VALUE!</v>
      </c>
      <c r="U161" s="15">
        <f>ROUNDUP(Table50[[#This Row],[UsageQty]]/Table50[[#This Row],[DATA POINT]],2)</f>
        <v>0.36</v>
      </c>
      <c r="V161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1" s="15">
        <f>IFERROR(Table50[[#This Row],[ORDER QTY]]*Table50[[#This Row],[COST PRICE]],0)</f>
        <v>0</v>
      </c>
      <c r="X161" s="15">
        <f>IFERROR(VLOOKUP(C161,[1]!Table48[[#All],[name]:[USAGE / DAY]],18,FALSE),1)</f>
        <v>1</v>
      </c>
      <c r="Y161" s="4">
        <f>IFERROR((Table50[[#This Row],[USAGE / DAY]]-Table50[[#This Row],[USAGE / DAY 2]])/Table50[[#This Row],[USAGE / DAY 2]],0)</f>
        <v>-0.64</v>
      </c>
      <c r="Z161" s="15">
        <f t="shared" si="6"/>
        <v>14</v>
      </c>
      <c r="AA161" s="15">
        <f t="shared" si="7"/>
        <v>9.311854181734148</v>
      </c>
      <c r="AB161" s="15" t="str">
        <f>IFERROR(IF(Table50[[#This Row],[ccnt]]="BEV",$AB$2,IF(Table50[[#This Row],[ccnt]]="FOOD",$AC$2,"ENTER # FROM LAST COUNT")),"ENTER # FROM LAST COUNT")</f>
        <v>ENTER # FROM LAST COUNT</v>
      </c>
      <c r="AC161" s="15">
        <f>(Table50[[#This Row],[OpeningQty]]+Table50[[#This Row],[ClosingQty]])/2</f>
        <v>0</v>
      </c>
      <c r="AD161" s="15">
        <f>IFERROR(Table50[[#This Row],[UsageQty]]/Table50[[#This Row],[AVE INVENTORY]],0)</f>
        <v>0</v>
      </c>
      <c r="AE161" s="15">
        <f>IFERROR(Table50[[#This Row],[DATA POINT]]/Table50[[#This Row],[Inventory Turnover Rate]],0)</f>
        <v>0</v>
      </c>
      <c r="AF161" s="15">
        <f>Table50[[#This Row],[ClosingQty]]/Table50[[#This Row],[USAGE / DAY]]</f>
        <v>0</v>
      </c>
      <c r="AG161" s="15">
        <f>Table50[[#This Row],[USAGE / DAY]]*7</f>
        <v>2.52</v>
      </c>
      <c r="AH161" s="15">
        <f>Table50[[#This Row],[USAGE / DAY]]*3</f>
        <v>1.08</v>
      </c>
      <c r="AI161" s="15">
        <f>IF(Table50[[#This Row],[FORECASTED DEMAND]]+Table50[[#This Row],[SAFETY STOCK]]-Table50[[#This Row],[ClosingQty]]&gt;0,Table50[[#This Row],[FORECASTED DEMAND]]+Table50[[#This Row],[SAFETY STOCK]]-Table50[[#This Row],[ClosingQty]],"NO ORDER")</f>
        <v>3.6</v>
      </c>
      <c r="AJ161" s="15">
        <f>IFERROR(Table50[[#This Row],[ORDER QTY2]]*Table50[[#This Row],[COST PRICE]],0)</f>
        <v>87.926400000000001</v>
      </c>
      <c r="AK161" s="15" t="e">
        <f>(Table50[[#This Row],[REORDER POINT]]*Table50[[#This Row],[COST PRICE]])+Table50[[#This Row],[ORDER COST]]</f>
        <v>#VALUE!</v>
      </c>
      <c r="AL161" s="15">
        <f t="shared" si="8"/>
        <v>100</v>
      </c>
      <c r="AM161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2" spans="1:39" hidden="1" x14ac:dyDescent="0.25">
      <c r="A162" t="s">
        <v>215</v>
      </c>
      <c r="B162" t="s">
        <v>225</v>
      </c>
      <c r="C162" t="s">
        <v>231</v>
      </c>
      <c r="D162" t="s">
        <v>53</v>
      </c>
      <c r="E162">
        <v>0</v>
      </c>
      <c r="F162">
        <v>0</v>
      </c>
      <c r="G162">
        <v>3</v>
      </c>
      <c r="H162">
        <v>173.11</v>
      </c>
      <c r="I162">
        <v>0</v>
      </c>
      <c r="J162">
        <v>0</v>
      </c>
      <c r="K162">
        <f>Table50[[#This Row],[OpeningQty]]+Table50[[#This Row],[PurchasesQty]]-Table50[[#This Row],[ClosingQty]]</f>
        <v>3</v>
      </c>
      <c r="L162">
        <v>173.11</v>
      </c>
      <c r="M162" s="14">
        <f>Table50[[#This Row],[Usage]]/$L$1</f>
        <v>2.6291936329499274E-4</v>
      </c>
      <c r="N162" s="15">
        <f>IFERROR(Table50[[#This Row],[Opening]]/Table50[[#This Row],[OpeningQty]],0)</f>
        <v>0</v>
      </c>
      <c r="O162" s="15">
        <f>IFERROR(Table50[[#This Row],[Purchases]]/Table50[[#This Row],[PurchasesQty]],0)</f>
        <v>57.70333333333334</v>
      </c>
      <c r="P162" s="15">
        <f>IFERROR(Table50[[#This Row],[Closing]]/Table50[[#This Row],[ClosingQty]],0)</f>
        <v>0</v>
      </c>
      <c r="Q162" s="15">
        <f>IFERROR(AVERAGEIF(Table50[[#This Row],[OPENING COST PRICE]:[CLOSING COST PRICE]],"&gt;0"),0)</f>
        <v>57.70333333333334</v>
      </c>
      <c r="R162" s="15">
        <f>IFERROR(Table50[[#This Row],[COST PRICE]]-IFERROR(Table50[[#This Row],[Usage]]/Table50[[#This Row],[UsageQty]],Table50[[#This Row],[COST PRICE]]),0)</f>
        <v>0</v>
      </c>
      <c r="S162" s="16">
        <f>IFERROR(Table50[[#This Row],[COST PRICE CHANGE]]/Table50[[#This Row],[OPENING COST PRICE]],0)</f>
        <v>0</v>
      </c>
      <c r="T162" s="15" t="e">
        <f>Table50[[#This Row],[ClosingQty]]-(Table50[[#This Row],[USAGE / DAY]]*(IF(Table50[[#This Row],[ccnt]]="BEV",Table50[[#This Row],[DELIVERY DAY]],Table50[[#This Row],[DELIVERY DAY]])))</f>
        <v>#VALUE!</v>
      </c>
      <c r="U162" s="15">
        <f>ROUNDUP(Table50[[#This Row],[UsageQty]]/Table50[[#This Row],[DATA POINT]],2)</f>
        <v>0.22</v>
      </c>
      <c r="V162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2" s="15">
        <f>IFERROR(Table50[[#This Row],[ORDER QTY]]*Table50[[#This Row],[COST PRICE]],0)</f>
        <v>0</v>
      </c>
      <c r="X162" s="15">
        <f>IFERROR(VLOOKUP(C162,[1]!Table48[[#All],[name]:[USAGE / DAY]],18,FALSE),1)</f>
        <v>1</v>
      </c>
      <c r="Y162" s="4">
        <f>IFERROR((Table50[[#This Row],[USAGE / DAY]]-Table50[[#This Row],[USAGE / DAY 2]])/Table50[[#This Row],[USAGE / DAY 2]],0)</f>
        <v>-0.78</v>
      </c>
      <c r="Z162" s="15">
        <f t="shared" si="6"/>
        <v>14</v>
      </c>
      <c r="AA162" s="15">
        <f t="shared" si="7"/>
        <v>9.311854181734148</v>
      </c>
      <c r="AB162" s="15" t="str">
        <f>IFERROR(IF(Table50[[#This Row],[ccnt]]="BEV",$AB$2,IF(Table50[[#This Row],[ccnt]]="FOOD",$AC$2,"ENTER # FROM LAST COUNT")),"ENTER # FROM LAST COUNT")</f>
        <v>ENTER # FROM LAST COUNT</v>
      </c>
      <c r="AC162" s="15">
        <f>(Table50[[#This Row],[OpeningQty]]+Table50[[#This Row],[ClosingQty]])/2</f>
        <v>0</v>
      </c>
      <c r="AD162" s="15">
        <f>IFERROR(Table50[[#This Row],[UsageQty]]/Table50[[#This Row],[AVE INVENTORY]],0)</f>
        <v>0</v>
      </c>
      <c r="AE162" s="15">
        <f>IFERROR(Table50[[#This Row],[DATA POINT]]/Table50[[#This Row],[Inventory Turnover Rate]],0)</f>
        <v>0</v>
      </c>
      <c r="AF162" s="15">
        <f>Table50[[#This Row],[ClosingQty]]/Table50[[#This Row],[USAGE / DAY]]</f>
        <v>0</v>
      </c>
      <c r="AG162" s="15">
        <f>Table50[[#This Row],[USAGE / DAY]]*7</f>
        <v>1.54</v>
      </c>
      <c r="AH162" s="15">
        <f>Table50[[#This Row],[USAGE / DAY]]*3</f>
        <v>0.66</v>
      </c>
      <c r="AI162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2.2000000000000002</v>
      </c>
      <c r="AJ162" s="15">
        <f>IFERROR(Table50[[#This Row],[ORDER QTY2]]*Table50[[#This Row],[COST PRICE]],0)</f>
        <v>126.94733333333336</v>
      </c>
      <c r="AK162" s="15" t="e">
        <f>(Table50[[#This Row],[REORDER POINT]]*Table50[[#This Row],[COST PRICE]])+Table50[[#This Row],[ORDER COST]]</f>
        <v>#VALUE!</v>
      </c>
      <c r="AL162" s="15">
        <f t="shared" si="8"/>
        <v>100</v>
      </c>
      <c r="AM162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3" spans="1:39" hidden="1" x14ac:dyDescent="0.25">
      <c r="A163" t="s">
        <v>215</v>
      </c>
      <c r="B163" t="s">
        <v>225</v>
      </c>
      <c r="C163" t="s">
        <v>232</v>
      </c>
      <c r="D163" t="s">
        <v>53</v>
      </c>
      <c r="E163">
        <v>0</v>
      </c>
      <c r="F163">
        <v>0</v>
      </c>
      <c r="G163">
        <v>6</v>
      </c>
      <c r="H163">
        <v>1120.29</v>
      </c>
      <c r="I163">
        <v>0</v>
      </c>
      <c r="J163">
        <v>0</v>
      </c>
      <c r="K163">
        <f>Table50[[#This Row],[OpeningQty]]+Table50[[#This Row],[PurchasesQty]]-Table50[[#This Row],[ClosingQty]]</f>
        <v>6</v>
      </c>
      <c r="L163">
        <v>1120.29</v>
      </c>
      <c r="M163" s="14">
        <f>Table50[[#This Row],[Usage]]/$L$1</f>
        <v>1.7014957743963226E-3</v>
      </c>
      <c r="N163" s="15">
        <f>IFERROR(Table50[[#This Row],[Opening]]/Table50[[#This Row],[OpeningQty]],0)</f>
        <v>0</v>
      </c>
      <c r="O163" s="15">
        <f>IFERROR(Table50[[#This Row],[Purchases]]/Table50[[#This Row],[PurchasesQty]],0)</f>
        <v>186.715</v>
      </c>
      <c r="P163" s="15">
        <f>IFERROR(Table50[[#This Row],[Closing]]/Table50[[#This Row],[ClosingQty]],0)</f>
        <v>0</v>
      </c>
      <c r="Q163" s="15">
        <f>IFERROR(AVERAGEIF(Table50[[#This Row],[OPENING COST PRICE]:[CLOSING COST PRICE]],"&gt;0"),0)</f>
        <v>186.715</v>
      </c>
      <c r="R163" s="15">
        <f>IFERROR(Table50[[#This Row],[COST PRICE]]-IFERROR(Table50[[#This Row],[Usage]]/Table50[[#This Row],[UsageQty]],Table50[[#This Row],[COST PRICE]]),0)</f>
        <v>0</v>
      </c>
      <c r="S163" s="16">
        <f>IFERROR(Table50[[#This Row],[COST PRICE CHANGE]]/Table50[[#This Row],[OPENING COST PRICE]],0)</f>
        <v>0</v>
      </c>
      <c r="T163" s="15" t="e">
        <f>Table50[[#This Row],[ClosingQty]]-(Table50[[#This Row],[USAGE / DAY]]*(IF(Table50[[#This Row],[ccnt]]="BEV",Table50[[#This Row],[DELIVERY DAY]],Table50[[#This Row],[DELIVERY DAY]])))</f>
        <v>#VALUE!</v>
      </c>
      <c r="U163" s="15">
        <f>ROUNDUP(Table50[[#This Row],[UsageQty]]/Table50[[#This Row],[DATA POINT]],2)</f>
        <v>0.43</v>
      </c>
      <c r="V163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3" s="15">
        <f>IFERROR(Table50[[#This Row],[ORDER QTY]]*Table50[[#This Row],[COST PRICE]],0)</f>
        <v>0</v>
      </c>
      <c r="X163" s="15">
        <f>IFERROR(VLOOKUP(C163,[1]!Table48[[#All],[name]:[USAGE / DAY]],18,FALSE),1)</f>
        <v>0.29000000000000004</v>
      </c>
      <c r="Y163" s="4">
        <f>IFERROR((Table50[[#This Row],[USAGE / DAY]]-Table50[[#This Row],[USAGE / DAY 2]])/Table50[[#This Row],[USAGE / DAY 2]],0)</f>
        <v>0.48275862068965497</v>
      </c>
      <c r="Z163" s="15">
        <f t="shared" si="6"/>
        <v>14</v>
      </c>
      <c r="AA163" s="15">
        <f t="shared" si="7"/>
        <v>9.311854181734148</v>
      </c>
      <c r="AB163" s="15" t="str">
        <f>IFERROR(IF(Table50[[#This Row],[ccnt]]="BEV",$AB$2,IF(Table50[[#This Row],[ccnt]]="FOOD",$AC$2,"ENTER # FROM LAST COUNT")),"ENTER # FROM LAST COUNT")</f>
        <v>ENTER # FROM LAST COUNT</v>
      </c>
      <c r="AC163" s="15">
        <f>(Table50[[#This Row],[OpeningQty]]+Table50[[#This Row],[ClosingQty]])/2</f>
        <v>0</v>
      </c>
      <c r="AD163" s="15">
        <f>IFERROR(Table50[[#This Row],[UsageQty]]/Table50[[#This Row],[AVE INVENTORY]],0)</f>
        <v>0</v>
      </c>
      <c r="AE163" s="15">
        <f>IFERROR(Table50[[#This Row],[DATA POINT]]/Table50[[#This Row],[Inventory Turnover Rate]],0)</f>
        <v>0</v>
      </c>
      <c r="AF163" s="15">
        <f>Table50[[#This Row],[ClosingQty]]/Table50[[#This Row],[USAGE / DAY]]</f>
        <v>0</v>
      </c>
      <c r="AG163" s="15">
        <f>Table50[[#This Row],[USAGE / DAY]]*7</f>
        <v>3.01</v>
      </c>
      <c r="AH163" s="15">
        <f>Table50[[#This Row],[USAGE / DAY]]*3</f>
        <v>1.29</v>
      </c>
      <c r="AI163" s="15">
        <f>IF(Table50[[#This Row],[FORECASTED DEMAND]]+Table50[[#This Row],[SAFETY STOCK]]-Table50[[#This Row],[ClosingQty]]&gt;0,Table50[[#This Row],[FORECASTED DEMAND]]+Table50[[#This Row],[SAFETY STOCK]]-Table50[[#This Row],[ClosingQty]],"NO ORDER")</f>
        <v>4.3</v>
      </c>
      <c r="AJ163" s="15">
        <f>IFERROR(Table50[[#This Row],[ORDER QTY2]]*Table50[[#This Row],[COST PRICE]],0)</f>
        <v>802.87450000000001</v>
      </c>
      <c r="AK163" s="15" t="e">
        <f>(Table50[[#This Row],[REORDER POINT]]*Table50[[#This Row],[COST PRICE]])+Table50[[#This Row],[ORDER COST]]</f>
        <v>#VALUE!</v>
      </c>
      <c r="AL163" s="15">
        <f t="shared" si="8"/>
        <v>100</v>
      </c>
      <c r="AM163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4" spans="1:39" hidden="1" x14ac:dyDescent="0.25">
      <c r="A164" t="s">
        <v>215</v>
      </c>
      <c r="B164" t="s">
        <v>225</v>
      </c>
      <c r="C164" t="s">
        <v>233</v>
      </c>
      <c r="D164" t="s">
        <v>53</v>
      </c>
      <c r="E164">
        <v>0</v>
      </c>
      <c r="F164">
        <v>0</v>
      </c>
      <c r="G164">
        <v>1</v>
      </c>
      <c r="H164">
        <v>279.95</v>
      </c>
      <c r="I164">
        <v>0</v>
      </c>
      <c r="J164">
        <v>0</v>
      </c>
      <c r="K164">
        <f>Table50[[#This Row],[OpeningQty]]+Table50[[#This Row],[PurchasesQty]]-Table50[[#This Row],[ClosingQty]]</f>
        <v>1</v>
      </c>
      <c r="L164">
        <v>279.95</v>
      </c>
      <c r="M164" s="14">
        <f>Table50[[#This Row],[Usage]]/$L$1</f>
        <v>4.2518789067317437E-4</v>
      </c>
      <c r="N164" s="15">
        <f>IFERROR(Table50[[#This Row],[Opening]]/Table50[[#This Row],[OpeningQty]],0)</f>
        <v>0</v>
      </c>
      <c r="O164" s="15">
        <f>IFERROR(Table50[[#This Row],[Purchases]]/Table50[[#This Row],[PurchasesQty]],0)</f>
        <v>279.95</v>
      </c>
      <c r="P164" s="15">
        <f>IFERROR(Table50[[#This Row],[Closing]]/Table50[[#This Row],[ClosingQty]],0)</f>
        <v>0</v>
      </c>
      <c r="Q164" s="15">
        <f>IFERROR(AVERAGEIF(Table50[[#This Row],[OPENING COST PRICE]:[CLOSING COST PRICE]],"&gt;0"),0)</f>
        <v>279.95</v>
      </c>
      <c r="R164" s="15">
        <f>IFERROR(Table50[[#This Row],[COST PRICE]]-IFERROR(Table50[[#This Row],[Usage]]/Table50[[#This Row],[UsageQty]],Table50[[#This Row],[COST PRICE]]),0)</f>
        <v>0</v>
      </c>
      <c r="S164" s="16">
        <f>IFERROR(Table50[[#This Row],[COST PRICE CHANGE]]/Table50[[#This Row],[OPENING COST PRICE]],0)</f>
        <v>0</v>
      </c>
      <c r="T164" s="15" t="e">
        <f>Table50[[#This Row],[ClosingQty]]-(Table50[[#This Row],[USAGE / DAY]]*(IF(Table50[[#This Row],[ccnt]]="BEV",Table50[[#This Row],[DELIVERY DAY]],Table50[[#This Row],[DELIVERY DAY]])))</f>
        <v>#VALUE!</v>
      </c>
      <c r="U164" s="15">
        <f>ROUNDUP(Table50[[#This Row],[UsageQty]]/Table50[[#This Row],[DATA POINT]],2)</f>
        <v>0.08</v>
      </c>
      <c r="V164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4" s="15">
        <f>IFERROR(Table50[[#This Row],[ORDER QTY]]*Table50[[#This Row],[COST PRICE]],0)</f>
        <v>0</v>
      </c>
      <c r="X164" s="15">
        <f>IFERROR(VLOOKUP(C164,[1]!Table48[[#All],[name]:[USAGE / DAY]],18,FALSE),1)</f>
        <v>0.08</v>
      </c>
      <c r="Y164" s="4">
        <f>IFERROR((Table50[[#This Row],[USAGE / DAY]]-Table50[[#This Row],[USAGE / DAY 2]])/Table50[[#This Row],[USAGE / DAY 2]],0)</f>
        <v>0</v>
      </c>
      <c r="Z164" s="15">
        <f t="shared" si="6"/>
        <v>14</v>
      </c>
      <c r="AA164" s="15">
        <f t="shared" si="7"/>
        <v>9.311854181734148</v>
      </c>
      <c r="AB164" s="15" t="str">
        <f>IFERROR(IF(Table50[[#This Row],[ccnt]]="BEV",$AB$2,IF(Table50[[#This Row],[ccnt]]="FOOD",$AC$2,"ENTER # FROM LAST COUNT")),"ENTER # FROM LAST COUNT")</f>
        <v>ENTER # FROM LAST COUNT</v>
      </c>
      <c r="AC164" s="15">
        <f>(Table50[[#This Row],[OpeningQty]]+Table50[[#This Row],[ClosingQty]])/2</f>
        <v>0</v>
      </c>
      <c r="AD164" s="15">
        <f>IFERROR(Table50[[#This Row],[UsageQty]]/Table50[[#This Row],[AVE INVENTORY]],0)</f>
        <v>0</v>
      </c>
      <c r="AE164" s="15">
        <f>IFERROR(Table50[[#This Row],[DATA POINT]]/Table50[[#This Row],[Inventory Turnover Rate]],0)</f>
        <v>0</v>
      </c>
      <c r="AF164" s="15">
        <f>Table50[[#This Row],[ClosingQty]]/Table50[[#This Row],[USAGE / DAY]]</f>
        <v>0</v>
      </c>
      <c r="AG164" s="15">
        <f>Table50[[#This Row],[USAGE / DAY]]*7</f>
        <v>0.56000000000000005</v>
      </c>
      <c r="AH164" s="15">
        <f>Table50[[#This Row],[USAGE / DAY]]*3</f>
        <v>0.24</v>
      </c>
      <c r="AI164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64" s="15">
        <f>IFERROR(Table50[[#This Row],[ORDER QTY2]]*Table50[[#This Row],[COST PRICE]],0)</f>
        <v>223.96</v>
      </c>
      <c r="AK164" s="15" t="e">
        <f>(Table50[[#This Row],[REORDER POINT]]*Table50[[#This Row],[COST PRICE]])+Table50[[#This Row],[ORDER COST]]</f>
        <v>#VALUE!</v>
      </c>
      <c r="AL164" s="15">
        <f t="shared" si="8"/>
        <v>100</v>
      </c>
      <c r="AM164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5" spans="1:39" hidden="1" x14ac:dyDescent="0.25">
      <c r="A165" t="s">
        <v>215</v>
      </c>
      <c r="B165" t="s">
        <v>225</v>
      </c>
      <c r="C165" t="s">
        <v>234</v>
      </c>
      <c r="D165" t="s">
        <v>235</v>
      </c>
      <c r="E165">
        <v>0</v>
      </c>
      <c r="F165">
        <v>0</v>
      </c>
      <c r="G165">
        <v>2</v>
      </c>
      <c r="H165">
        <v>79.900000000000006</v>
      </c>
      <c r="I165">
        <v>0</v>
      </c>
      <c r="J165">
        <v>0</v>
      </c>
      <c r="K165">
        <f>Table50[[#This Row],[OpeningQty]]+Table50[[#This Row],[PurchasesQty]]-Table50[[#This Row],[ClosingQty]]</f>
        <v>2</v>
      </c>
      <c r="L165">
        <v>79.900000000000006</v>
      </c>
      <c r="M165" s="14">
        <f>Table50[[#This Row],[Usage]]/$L$1</f>
        <v>1.2135207167275097E-4</v>
      </c>
      <c r="N165" s="15">
        <f>IFERROR(Table50[[#This Row],[Opening]]/Table50[[#This Row],[OpeningQty]],0)</f>
        <v>0</v>
      </c>
      <c r="O165" s="15">
        <f>IFERROR(Table50[[#This Row],[Purchases]]/Table50[[#This Row],[PurchasesQty]],0)</f>
        <v>39.950000000000003</v>
      </c>
      <c r="P165" s="15">
        <f>IFERROR(Table50[[#This Row],[Closing]]/Table50[[#This Row],[ClosingQty]],0)</f>
        <v>0</v>
      </c>
      <c r="Q165" s="15">
        <f>IFERROR(AVERAGEIF(Table50[[#This Row],[OPENING COST PRICE]:[CLOSING COST PRICE]],"&gt;0"),0)</f>
        <v>39.950000000000003</v>
      </c>
      <c r="R165" s="15">
        <f>IFERROR(Table50[[#This Row],[COST PRICE]]-IFERROR(Table50[[#This Row],[Usage]]/Table50[[#This Row],[UsageQty]],Table50[[#This Row],[COST PRICE]]),0)</f>
        <v>0</v>
      </c>
      <c r="S165" s="16">
        <f>IFERROR(Table50[[#This Row],[COST PRICE CHANGE]]/Table50[[#This Row],[OPENING COST PRICE]],0)</f>
        <v>0</v>
      </c>
      <c r="T165" s="15" t="e">
        <f>Table50[[#This Row],[ClosingQty]]-(Table50[[#This Row],[USAGE / DAY]]*(IF(Table50[[#This Row],[ccnt]]="BEV",Table50[[#This Row],[DELIVERY DAY]],Table50[[#This Row],[DELIVERY DAY]])))</f>
        <v>#VALUE!</v>
      </c>
      <c r="U165" s="15">
        <f>ROUNDUP(Table50[[#This Row],[UsageQty]]/Table50[[#This Row],[DATA POINT]],2)</f>
        <v>0.15000000000000002</v>
      </c>
      <c r="V165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5" s="15">
        <f>IFERROR(Table50[[#This Row],[ORDER QTY]]*Table50[[#This Row],[COST PRICE]],0)</f>
        <v>0</v>
      </c>
      <c r="X165" s="15">
        <f>IFERROR(VLOOKUP(C165,[1]!Table48[[#All],[name]:[USAGE / DAY]],18,FALSE),1)</f>
        <v>1</v>
      </c>
      <c r="Y165" s="4">
        <f>IFERROR((Table50[[#This Row],[USAGE / DAY]]-Table50[[#This Row],[USAGE / DAY 2]])/Table50[[#This Row],[USAGE / DAY 2]],0)</f>
        <v>-0.85</v>
      </c>
      <c r="Z165" s="15">
        <f t="shared" si="6"/>
        <v>14</v>
      </c>
      <c r="AA165" s="15">
        <f t="shared" si="7"/>
        <v>9.311854181734148</v>
      </c>
      <c r="AB165" s="15" t="str">
        <f>IFERROR(IF(Table50[[#This Row],[ccnt]]="BEV",$AB$2,IF(Table50[[#This Row],[ccnt]]="FOOD",$AC$2,"ENTER # FROM LAST COUNT")),"ENTER # FROM LAST COUNT")</f>
        <v>ENTER # FROM LAST COUNT</v>
      </c>
      <c r="AC165" s="15">
        <f>(Table50[[#This Row],[OpeningQty]]+Table50[[#This Row],[ClosingQty]])/2</f>
        <v>0</v>
      </c>
      <c r="AD165" s="15">
        <f>IFERROR(Table50[[#This Row],[UsageQty]]/Table50[[#This Row],[AVE INVENTORY]],0)</f>
        <v>0</v>
      </c>
      <c r="AE165" s="15">
        <f>IFERROR(Table50[[#This Row],[DATA POINT]]/Table50[[#This Row],[Inventory Turnover Rate]],0)</f>
        <v>0</v>
      </c>
      <c r="AF165" s="15">
        <f>Table50[[#This Row],[ClosingQty]]/Table50[[#This Row],[USAGE / DAY]]</f>
        <v>0</v>
      </c>
      <c r="AG165" s="15">
        <f>Table50[[#This Row],[USAGE / DAY]]*7</f>
        <v>1.0500000000000003</v>
      </c>
      <c r="AH165" s="15">
        <f>Table50[[#This Row],[USAGE / DAY]]*3</f>
        <v>0.45000000000000007</v>
      </c>
      <c r="AI165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165" s="15">
        <f>IFERROR(Table50[[#This Row],[ORDER QTY2]]*Table50[[#This Row],[COST PRICE]],0)</f>
        <v>59.925000000000018</v>
      </c>
      <c r="AK165" s="15" t="e">
        <f>(Table50[[#This Row],[REORDER POINT]]*Table50[[#This Row],[COST PRICE]])+Table50[[#This Row],[ORDER COST]]</f>
        <v>#VALUE!</v>
      </c>
      <c r="AL165" s="15">
        <f t="shared" si="8"/>
        <v>100</v>
      </c>
      <c r="AM165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6" spans="1:39" hidden="1" x14ac:dyDescent="0.25">
      <c r="A166" t="s">
        <v>215</v>
      </c>
      <c r="B166" t="s">
        <v>225</v>
      </c>
      <c r="C166" t="s">
        <v>236</v>
      </c>
      <c r="D166" t="s">
        <v>237</v>
      </c>
      <c r="E166">
        <v>0</v>
      </c>
      <c r="F166">
        <v>0</v>
      </c>
      <c r="G166">
        <v>2</v>
      </c>
      <c r="H166">
        <v>159.9</v>
      </c>
      <c r="I166">
        <v>0</v>
      </c>
      <c r="J166">
        <v>0</v>
      </c>
      <c r="K166">
        <f>Table50[[#This Row],[OpeningQty]]+Table50[[#This Row],[PurchasesQty]]-Table50[[#This Row],[ClosingQty]]</f>
        <v>2</v>
      </c>
      <c r="L166">
        <v>159.9</v>
      </c>
      <c r="M166" s="14">
        <f>Table50[[#This Row],[Usage]]/$L$1</f>
        <v>2.4285602328501729E-4</v>
      </c>
      <c r="N166" s="15">
        <f>IFERROR(Table50[[#This Row],[Opening]]/Table50[[#This Row],[OpeningQty]],0)</f>
        <v>0</v>
      </c>
      <c r="O166" s="15">
        <f>IFERROR(Table50[[#This Row],[Purchases]]/Table50[[#This Row],[PurchasesQty]],0)</f>
        <v>79.95</v>
      </c>
      <c r="P166" s="15">
        <f>IFERROR(Table50[[#This Row],[Closing]]/Table50[[#This Row],[ClosingQty]],0)</f>
        <v>0</v>
      </c>
      <c r="Q166" s="15">
        <f>IFERROR(AVERAGEIF(Table50[[#This Row],[OPENING COST PRICE]:[CLOSING COST PRICE]],"&gt;0"),0)</f>
        <v>79.95</v>
      </c>
      <c r="R166" s="15">
        <f>IFERROR(Table50[[#This Row],[COST PRICE]]-IFERROR(Table50[[#This Row],[Usage]]/Table50[[#This Row],[UsageQty]],Table50[[#This Row],[COST PRICE]]),0)</f>
        <v>0</v>
      </c>
      <c r="S166" s="16">
        <f>IFERROR(Table50[[#This Row],[COST PRICE CHANGE]]/Table50[[#This Row],[OPENING COST PRICE]],0)</f>
        <v>0</v>
      </c>
      <c r="T166" s="15" t="e">
        <f>Table50[[#This Row],[ClosingQty]]-(Table50[[#This Row],[USAGE / DAY]]*(IF(Table50[[#This Row],[ccnt]]="BEV",Table50[[#This Row],[DELIVERY DAY]],Table50[[#This Row],[DELIVERY DAY]])))</f>
        <v>#VALUE!</v>
      </c>
      <c r="U166" s="15">
        <f>ROUNDUP(Table50[[#This Row],[UsageQty]]/Table50[[#This Row],[DATA POINT]],2)</f>
        <v>0.15000000000000002</v>
      </c>
      <c r="V166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6" s="15">
        <f>IFERROR(Table50[[#This Row],[ORDER QTY]]*Table50[[#This Row],[COST PRICE]],0)</f>
        <v>0</v>
      </c>
      <c r="X166" s="15">
        <f>IFERROR(VLOOKUP(C166,[1]!Table48[[#All],[name]:[USAGE / DAY]],18,FALSE),1)</f>
        <v>0.15000000000000002</v>
      </c>
      <c r="Y166" s="4">
        <f>IFERROR((Table50[[#This Row],[USAGE / DAY]]-Table50[[#This Row],[USAGE / DAY 2]])/Table50[[#This Row],[USAGE / DAY 2]],0)</f>
        <v>0</v>
      </c>
      <c r="Z166" s="15">
        <f t="shared" si="6"/>
        <v>14</v>
      </c>
      <c r="AA166" s="15">
        <f t="shared" si="7"/>
        <v>9.311854181734148</v>
      </c>
      <c r="AB166" s="15" t="str">
        <f>IFERROR(IF(Table50[[#This Row],[ccnt]]="BEV",$AB$2,IF(Table50[[#This Row],[ccnt]]="FOOD",$AC$2,"ENTER # FROM LAST COUNT")),"ENTER # FROM LAST COUNT")</f>
        <v>ENTER # FROM LAST COUNT</v>
      </c>
      <c r="AC166" s="15">
        <f>(Table50[[#This Row],[OpeningQty]]+Table50[[#This Row],[ClosingQty]])/2</f>
        <v>0</v>
      </c>
      <c r="AD166" s="15">
        <f>IFERROR(Table50[[#This Row],[UsageQty]]/Table50[[#This Row],[AVE INVENTORY]],0)</f>
        <v>0</v>
      </c>
      <c r="AE166" s="15">
        <f>IFERROR(Table50[[#This Row],[DATA POINT]]/Table50[[#This Row],[Inventory Turnover Rate]],0)</f>
        <v>0</v>
      </c>
      <c r="AF166" s="15">
        <f>Table50[[#This Row],[ClosingQty]]/Table50[[#This Row],[USAGE / DAY]]</f>
        <v>0</v>
      </c>
      <c r="AG166" s="15">
        <f>Table50[[#This Row],[USAGE / DAY]]*7</f>
        <v>1.0500000000000003</v>
      </c>
      <c r="AH166" s="15">
        <f>Table50[[#This Row],[USAGE / DAY]]*3</f>
        <v>0.45000000000000007</v>
      </c>
      <c r="AI166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166" s="15">
        <f>IFERROR(Table50[[#This Row],[ORDER QTY2]]*Table50[[#This Row],[COST PRICE]],0)</f>
        <v>119.92500000000004</v>
      </c>
      <c r="AK166" s="15" t="e">
        <f>(Table50[[#This Row],[REORDER POINT]]*Table50[[#This Row],[COST PRICE]])+Table50[[#This Row],[ORDER COST]]</f>
        <v>#VALUE!</v>
      </c>
      <c r="AL166" s="15">
        <f t="shared" si="8"/>
        <v>100</v>
      </c>
      <c r="AM166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7" spans="1:39" hidden="1" x14ac:dyDescent="0.25">
      <c r="A167" t="s">
        <v>215</v>
      </c>
      <c r="B167" t="s">
        <v>225</v>
      </c>
      <c r="C167" t="s">
        <v>238</v>
      </c>
      <c r="D167" t="s">
        <v>237</v>
      </c>
      <c r="E167">
        <v>0</v>
      </c>
      <c r="F167">
        <v>0</v>
      </c>
      <c r="G167">
        <v>2</v>
      </c>
      <c r="H167">
        <v>159.9</v>
      </c>
      <c r="I167">
        <v>0</v>
      </c>
      <c r="J167">
        <v>0</v>
      </c>
      <c r="K167">
        <f>Table50[[#This Row],[OpeningQty]]+Table50[[#This Row],[PurchasesQty]]-Table50[[#This Row],[ClosingQty]]</f>
        <v>2</v>
      </c>
      <c r="L167">
        <v>159.9</v>
      </c>
      <c r="M167" s="14">
        <f>Table50[[#This Row],[Usage]]/$L$1</f>
        <v>2.4285602328501729E-4</v>
      </c>
      <c r="N167" s="15">
        <f>IFERROR(Table50[[#This Row],[Opening]]/Table50[[#This Row],[OpeningQty]],0)</f>
        <v>0</v>
      </c>
      <c r="O167" s="15">
        <f>IFERROR(Table50[[#This Row],[Purchases]]/Table50[[#This Row],[PurchasesQty]],0)</f>
        <v>79.95</v>
      </c>
      <c r="P167" s="15">
        <f>IFERROR(Table50[[#This Row],[Closing]]/Table50[[#This Row],[ClosingQty]],0)</f>
        <v>0</v>
      </c>
      <c r="Q167" s="15">
        <f>IFERROR(AVERAGEIF(Table50[[#This Row],[OPENING COST PRICE]:[CLOSING COST PRICE]],"&gt;0"),0)</f>
        <v>79.95</v>
      </c>
      <c r="R167" s="15">
        <f>IFERROR(Table50[[#This Row],[COST PRICE]]-IFERROR(Table50[[#This Row],[Usage]]/Table50[[#This Row],[UsageQty]],Table50[[#This Row],[COST PRICE]]),0)</f>
        <v>0</v>
      </c>
      <c r="S167" s="16">
        <f>IFERROR(Table50[[#This Row],[COST PRICE CHANGE]]/Table50[[#This Row],[OPENING COST PRICE]],0)</f>
        <v>0</v>
      </c>
      <c r="T167" s="15" t="e">
        <f>Table50[[#This Row],[ClosingQty]]-(Table50[[#This Row],[USAGE / DAY]]*(IF(Table50[[#This Row],[ccnt]]="BEV",Table50[[#This Row],[DELIVERY DAY]],Table50[[#This Row],[DELIVERY DAY]])))</f>
        <v>#VALUE!</v>
      </c>
      <c r="U167" s="15">
        <f>ROUNDUP(Table50[[#This Row],[UsageQty]]/Table50[[#This Row],[DATA POINT]],2)</f>
        <v>0.15000000000000002</v>
      </c>
      <c r="V167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7" s="15">
        <f>IFERROR(Table50[[#This Row],[ORDER QTY]]*Table50[[#This Row],[COST PRICE]],0)</f>
        <v>0</v>
      </c>
      <c r="X167" s="15">
        <f>IFERROR(VLOOKUP(C167,[1]!Table48[[#All],[name]:[USAGE / DAY]],18,FALSE),1)</f>
        <v>0.15000000000000002</v>
      </c>
      <c r="Y167" s="4">
        <f>IFERROR((Table50[[#This Row],[USAGE / DAY]]-Table50[[#This Row],[USAGE / DAY 2]])/Table50[[#This Row],[USAGE / DAY 2]],0)</f>
        <v>0</v>
      </c>
      <c r="Z167" s="15">
        <f t="shared" si="6"/>
        <v>14</v>
      </c>
      <c r="AA167" s="15">
        <f t="shared" si="7"/>
        <v>9.311854181734148</v>
      </c>
      <c r="AB167" s="15" t="str">
        <f>IFERROR(IF(Table50[[#This Row],[ccnt]]="BEV",$AB$2,IF(Table50[[#This Row],[ccnt]]="FOOD",$AC$2,"ENTER # FROM LAST COUNT")),"ENTER # FROM LAST COUNT")</f>
        <v>ENTER # FROM LAST COUNT</v>
      </c>
      <c r="AC167" s="15">
        <f>(Table50[[#This Row],[OpeningQty]]+Table50[[#This Row],[ClosingQty]])/2</f>
        <v>0</v>
      </c>
      <c r="AD167" s="15">
        <f>IFERROR(Table50[[#This Row],[UsageQty]]/Table50[[#This Row],[AVE INVENTORY]],0)</f>
        <v>0</v>
      </c>
      <c r="AE167" s="15">
        <f>IFERROR(Table50[[#This Row],[DATA POINT]]/Table50[[#This Row],[Inventory Turnover Rate]],0)</f>
        <v>0</v>
      </c>
      <c r="AF167" s="15">
        <f>Table50[[#This Row],[ClosingQty]]/Table50[[#This Row],[USAGE / DAY]]</f>
        <v>0</v>
      </c>
      <c r="AG167" s="15">
        <f>Table50[[#This Row],[USAGE / DAY]]*7</f>
        <v>1.0500000000000003</v>
      </c>
      <c r="AH167" s="15">
        <f>Table50[[#This Row],[USAGE / DAY]]*3</f>
        <v>0.45000000000000007</v>
      </c>
      <c r="AI167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167" s="15">
        <f>IFERROR(Table50[[#This Row],[ORDER QTY2]]*Table50[[#This Row],[COST PRICE]],0)</f>
        <v>119.92500000000004</v>
      </c>
      <c r="AK167" s="15" t="e">
        <f>(Table50[[#This Row],[REORDER POINT]]*Table50[[#This Row],[COST PRICE]])+Table50[[#This Row],[ORDER COST]]</f>
        <v>#VALUE!</v>
      </c>
      <c r="AL167" s="15">
        <f t="shared" si="8"/>
        <v>100</v>
      </c>
      <c r="AM167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8" spans="1:39" hidden="1" x14ac:dyDescent="0.25">
      <c r="A168" t="s">
        <v>215</v>
      </c>
      <c r="B168" t="s">
        <v>225</v>
      </c>
      <c r="C168" t="s">
        <v>239</v>
      </c>
      <c r="D168" t="s">
        <v>76</v>
      </c>
      <c r="E168">
        <v>0</v>
      </c>
      <c r="F168">
        <v>0</v>
      </c>
      <c r="G168">
        <v>20</v>
      </c>
      <c r="H168">
        <v>488.76</v>
      </c>
      <c r="I168">
        <v>0</v>
      </c>
      <c r="J168">
        <v>0</v>
      </c>
      <c r="K168">
        <f>Table50[[#This Row],[OpeningQty]]+Table50[[#This Row],[PurchasesQty]]-Table50[[#This Row],[ClosingQty]]</f>
        <v>20</v>
      </c>
      <c r="L168">
        <v>488.76</v>
      </c>
      <c r="M168" s="14">
        <f>Table50[[#This Row],[Usage]]/$L$1</f>
        <v>7.4232839237514095E-4</v>
      </c>
      <c r="N168" s="15">
        <f>IFERROR(Table50[[#This Row],[Opening]]/Table50[[#This Row],[OpeningQty]],0)</f>
        <v>0</v>
      </c>
      <c r="O168" s="15">
        <f>IFERROR(Table50[[#This Row],[Purchases]]/Table50[[#This Row],[PurchasesQty]],0)</f>
        <v>24.437999999999999</v>
      </c>
      <c r="P168" s="15">
        <f>IFERROR(Table50[[#This Row],[Closing]]/Table50[[#This Row],[ClosingQty]],0)</f>
        <v>0</v>
      </c>
      <c r="Q168" s="15">
        <f>IFERROR(AVERAGEIF(Table50[[#This Row],[OPENING COST PRICE]:[CLOSING COST PRICE]],"&gt;0"),0)</f>
        <v>24.437999999999999</v>
      </c>
      <c r="R168" s="15">
        <f>IFERROR(Table50[[#This Row],[COST PRICE]]-IFERROR(Table50[[#This Row],[Usage]]/Table50[[#This Row],[UsageQty]],Table50[[#This Row],[COST PRICE]]),0)</f>
        <v>0</v>
      </c>
      <c r="S168" s="16">
        <f>IFERROR(Table50[[#This Row],[COST PRICE CHANGE]]/Table50[[#This Row],[OPENING COST PRICE]],0)</f>
        <v>0</v>
      </c>
      <c r="T168" s="15" t="e">
        <f>Table50[[#This Row],[ClosingQty]]-(Table50[[#This Row],[USAGE / DAY]]*(IF(Table50[[#This Row],[ccnt]]="BEV",Table50[[#This Row],[DELIVERY DAY]],Table50[[#This Row],[DELIVERY DAY]])))</f>
        <v>#VALUE!</v>
      </c>
      <c r="U168" s="15">
        <f>ROUNDUP(Table50[[#This Row],[UsageQty]]/Table50[[#This Row],[DATA POINT]],2)</f>
        <v>1.43</v>
      </c>
      <c r="V168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8" s="15">
        <f>IFERROR(Table50[[#This Row],[ORDER QTY]]*Table50[[#This Row],[COST PRICE]],0)</f>
        <v>0</v>
      </c>
      <c r="X168" s="15">
        <f>IFERROR(VLOOKUP(C168,[1]!Table48[[#All],[name]:[USAGE / DAY]],18,FALSE),1)</f>
        <v>1.43</v>
      </c>
      <c r="Y168" s="4">
        <f>IFERROR((Table50[[#This Row],[USAGE / DAY]]-Table50[[#This Row],[USAGE / DAY 2]])/Table50[[#This Row],[USAGE / DAY 2]],0)</f>
        <v>0</v>
      </c>
      <c r="Z168" s="15">
        <f t="shared" si="6"/>
        <v>14</v>
      </c>
      <c r="AA168" s="15">
        <f t="shared" si="7"/>
        <v>9.311854181734148</v>
      </c>
      <c r="AB168" s="15" t="str">
        <f>IFERROR(IF(Table50[[#This Row],[ccnt]]="BEV",$AB$2,IF(Table50[[#This Row],[ccnt]]="FOOD",$AC$2,"ENTER # FROM LAST COUNT")),"ENTER # FROM LAST COUNT")</f>
        <v>ENTER # FROM LAST COUNT</v>
      </c>
      <c r="AC168" s="15">
        <f>(Table50[[#This Row],[OpeningQty]]+Table50[[#This Row],[ClosingQty]])/2</f>
        <v>0</v>
      </c>
      <c r="AD168" s="15">
        <f>IFERROR(Table50[[#This Row],[UsageQty]]/Table50[[#This Row],[AVE INVENTORY]],0)</f>
        <v>0</v>
      </c>
      <c r="AE168" s="15">
        <f>IFERROR(Table50[[#This Row],[DATA POINT]]/Table50[[#This Row],[Inventory Turnover Rate]],0)</f>
        <v>0</v>
      </c>
      <c r="AF168" s="15">
        <f>Table50[[#This Row],[ClosingQty]]/Table50[[#This Row],[USAGE / DAY]]</f>
        <v>0</v>
      </c>
      <c r="AG168" s="15">
        <f>Table50[[#This Row],[USAGE / DAY]]*7</f>
        <v>10.01</v>
      </c>
      <c r="AH168" s="15">
        <f>Table50[[#This Row],[USAGE / DAY]]*3</f>
        <v>4.29</v>
      </c>
      <c r="AI168" s="15">
        <f>IF(Table50[[#This Row],[FORECASTED DEMAND]]+Table50[[#This Row],[SAFETY STOCK]]-Table50[[#This Row],[ClosingQty]]&gt;0,Table50[[#This Row],[FORECASTED DEMAND]]+Table50[[#This Row],[SAFETY STOCK]]-Table50[[#This Row],[ClosingQty]],"NO ORDER")</f>
        <v>14.3</v>
      </c>
      <c r="AJ168" s="15">
        <f>IFERROR(Table50[[#This Row],[ORDER QTY2]]*Table50[[#This Row],[COST PRICE]],0)</f>
        <v>349.46339999999998</v>
      </c>
      <c r="AK168" s="15" t="e">
        <f>(Table50[[#This Row],[REORDER POINT]]*Table50[[#This Row],[COST PRICE]])+Table50[[#This Row],[ORDER COST]]</f>
        <v>#VALUE!</v>
      </c>
      <c r="AL168" s="15">
        <f t="shared" si="8"/>
        <v>100</v>
      </c>
      <c r="AM168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69" spans="1:39" hidden="1" x14ac:dyDescent="0.25">
      <c r="A169" t="s">
        <v>215</v>
      </c>
      <c r="B169" t="s">
        <v>225</v>
      </c>
      <c r="C169" t="s">
        <v>240</v>
      </c>
      <c r="D169" t="s">
        <v>237</v>
      </c>
      <c r="E169">
        <v>0</v>
      </c>
      <c r="F169">
        <v>0</v>
      </c>
      <c r="G169">
        <v>1</v>
      </c>
      <c r="H169">
        <v>29.93</v>
      </c>
      <c r="I169">
        <v>0</v>
      </c>
      <c r="J169">
        <v>0</v>
      </c>
      <c r="K169">
        <f>Table50[[#This Row],[OpeningQty]]+Table50[[#This Row],[PurchasesQty]]-Table50[[#This Row],[ClosingQty]]</f>
        <v>1</v>
      </c>
      <c r="L169">
        <v>29.93</v>
      </c>
      <c r="M169" s="14">
        <f>Table50[[#This Row],[Usage]]/$L$1</f>
        <v>4.5457665896939127E-5</v>
      </c>
      <c r="N169" s="15">
        <f>IFERROR(Table50[[#This Row],[Opening]]/Table50[[#This Row],[OpeningQty]],0)</f>
        <v>0</v>
      </c>
      <c r="O169" s="15">
        <f>IFERROR(Table50[[#This Row],[Purchases]]/Table50[[#This Row],[PurchasesQty]],0)</f>
        <v>29.93</v>
      </c>
      <c r="P169" s="15">
        <f>IFERROR(Table50[[#This Row],[Closing]]/Table50[[#This Row],[ClosingQty]],0)</f>
        <v>0</v>
      </c>
      <c r="Q169" s="15">
        <f>IFERROR(AVERAGEIF(Table50[[#This Row],[OPENING COST PRICE]:[CLOSING COST PRICE]],"&gt;0"),0)</f>
        <v>29.93</v>
      </c>
      <c r="R169" s="15">
        <f>IFERROR(Table50[[#This Row],[COST PRICE]]-IFERROR(Table50[[#This Row],[Usage]]/Table50[[#This Row],[UsageQty]],Table50[[#This Row],[COST PRICE]]),0)</f>
        <v>0</v>
      </c>
      <c r="S169" s="16">
        <f>IFERROR(Table50[[#This Row],[COST PRICE CHANGE]]/Table50[[#This Row],[OPENING COST PRICE]],0)</f>
        <v>0</v>
      </c>
      <c r="T169" s="15" t="e">
        <f>Table50[[#This Row],[ClosingQty]]-(Table50[[#This Row],[USAGE / DAY]]*(IF(Table50[[#This Row],[ccnt]]="BEV",Table50[[#This Row],[DELIVERY DAY]],Table50[[#This Row],[DELIVERY DAY]])))</f>
        <v>#VALUE!</v>
      </c>
      <c r="U169" s="15">
        <f>ROUNDUP(Table50[[#This Row],[UsageQty]]/Table50[[#This Row],[DATA POINT]],2)</f>
        <v>0.08</v>
      </c>
      <c r="V169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69" s="15">
        <f>IFERROR(Table50[[#This Row],[ORDER QTY]]*Table50[[#This Row],[COST PRICE]],0)</f>
        <v>0</v>
      </c>
      <c r="X169" s="15">
        <f>IFERROR(VLOOKUP(C169,[1]!Table48[[#All],[name]:[USAGE / DAY]],18,FALSE),1)</f>
        <v>1</v>
      </c>
      <c r="Y169" s="4">
        <f>IFERROR((Table50[[#This Row],[USAGE / DAY]]-Table50[[#This Row],[USAGE / DAY 2]])/Table50[[#This Row],[USAGE / DAY 2]],0)</f>
        <v>-0.92</v>
      </c>
      <c r="Z169" s="15">
        <f t="shared" si="6"/>
        <v>14</v>
      </c>
      <c r="AA169" s="15">
        <f t="shared" si="7"/>
        <v>9.311854181734148</v>
      </c>
      <c r="AB169" s="15" t="str">
        <f>IFERROR(IF(Table50[[#This Row],[ccnt]]="BEV",$AB$2,IF(Table50[[#This Row],[ccnt]]="FOOD",$AC$2,"ENTER # FROM LAST COUNT")),"ENTER # FROM LAST COUNT")</f>
        <v>ENTER # FROM LAST COUNT</v>
      </c>
      <c r="AC169" s="15">
        <f>(Table50[[#This Row],[OpeningQty]]+Table50[[#This Row],[ClosingQty]])/2</f>
        <v>0</v>
      </c>
      <c r="AD169" s="15">
        <f>IFERROR(Table50[[#This Row],[UsageQty]]/Table50[[#This Row],[AVE INVENTORY]],0)</f>
        <v>0</v>
      </c>
      <c r="AE169" s="15">
        <f>IFERROR(Table50[[#This Row],[DATA POINT]]/Table50[[#This Row],[Inventory Turnover Rate]],0)</f>
        <v>0</v>
      </c>
      <c r="AF169" s="15">
        <f>Table50[[#This Row],[ClosingQty]]/Table50[[#This Row],[USAGE / DAY]]</f>
        <v>0</v>
      </c>
      <c r="AG169" s="15">
        <f>Table50[[#This Row],[USAGE / DAY]]*7</f>
        <v>0.56000000000000005</v>
      </c>
      <c r="AH169" s="15">
        <f>Table50[[#This Row],[USAGE / DAY]]*3</f>
        <v>0.24</v>
      </c>
      <c r="AI169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69" s="15">
        <f>IFERROR(Table50[[#This Row],[ORDER QTY2]]*Table50[[#This Row],[COST PRICE]],0)</f>
        <v>23.944000000000003</v>
      </c>
      <c r="AK169" s="15" t="e">
        <f>(Table50[[#This Row],[REORDER POINT]]*Table50[[#This Row],[COST PRICE]])+Table50[[#This Row],[ORDER COST]]</f>
        <v>#VALUE!</v>
      </c>
      <c r="AL169" s="15">
        <f t="shared" si="8"/>
        <v>100</v>
      </c>
      <c r="AM169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0" spans="1:39" hidden="1" x14ac:dyDescent="0.25">
      <c r="A170" t="s">
        <v>215</v>
      </c>
      <c r="B170" t="s">
        <v>225</v>
      </c>
      <c r="C170" t="s">
        <v>241</v>
      </c>
      <c r="D170" t="s">
        <v>53</v>
      </c>
      <c r="E170">
        <v>0</v>
      </c>
      <c r="F170">
        <v>0</v>
      </c>
      <c r="G170">
        <v>1</v>
      </c>
      <c r="H170">
        <v>143.77000000000001</v>
      </c>
      <c r="I170">
        <v>0</v>
      </c>
      <c r="J170">
        <v>0</v>
      </c>
      <c r="K170">
        <f>Table50[[#This Row],[OpeningQty]]+Table50[[#This Row],[PurchasesQty]]-Table50[[#This Row],[ClosingQty]]</f>
        <v>1</v>
      </c>
      <c r="L170">
        <v>143.77000000000001</v>
      </c>
      <c r="M170" s="14">
        <f>Table50[[#This Row],[Usage]]/$L$1</f>
        <v>2.1835778904119409E-4</v>
      </c>
      <c r="N170" s="15">
        <f>IFERROR(Table50[[#This Row],[Opening]]/Table50[[#This Row],[OpeningQty]],0)</f>
        <v>0</v>
      </c>
      <c r="O170" s="15">
        <f>IFERROR(Table50[[#This Row],[Purchases]]/Table50[[#This Row],[PurchasesQty]],0)</f>
        <v>143.77000000000001</v>
      </c>
      <c r="P170" s="15">
        <f>IFERROR(Table50[[#This Row],[Closing]]/Table50[[#This Row],[ClosingQty]],0)</f>
        <v>0</v>
      </c>
      <c r="Q170" s="15">
        <f>IFERROR(AVERAGEIF(Table50[[#This Row],[OPENING COST PRICE]:[CLOSING COST PRICE]],"&gt;0"),0)</f>
        <v>143.77000000000001</v>
      </c>
      <c r="R170" s="15">
        <f>IFERROR(Table50[[#This Row],[COST PRICE]]-IFERROR(Table50[[#This Row],[Usage]]/Table50[[#This Row],[UsageQty]],Table50[[#This Row],[COST PRICE]]),0)</f>
        <v>0</v>
      </c>
      <c r="S170" s="16">
        <f>IFERROR(Table50[[#This Row],[COST PRICE CHANGE]]/Table50[[#This Row],[OPENING COST PRICE]],0)</f>
        <v>0</v>
      </c>
      <c r="T170" s="15" t="e">
        <f>Table50[[#This Row],[ClosingQty]]-(Table50[[#This Row],[USAGE / DAY]]*(IF(Table50[[#This Row],[ccnt]]="BEV",Table50[[#This Row],[DELIVERY DAY]],Table50[[#This Row],[DELIVERY DAY]])))</f>
        <v>#VALUE!</v>
      </c>
      <c r="U170" s="15">
        <f>ROUNDUP(Table50[[#This Row],[UsageQty]]/Table50[[#This Row],[DATA POINT]],2)</f>
        <v>0.08</v>
      </c>
      <c r="V170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0" s="15">
        <f>IFERROR(Table50[[#This Row],[ORDER QTY]]*Table50[[#This Row],[COST PRICE]],0)</f>
        <v>0</v>
      </c>
      <c r="X170" s="15">
        <f>IFERROR(VLOOKUP(C170,[1]!Table48[[#All],[name]:[USAGE / DAY]],18,FALSE),1)</f>
        <v>1</v>
      </c>
      <c r="Y170" s="4">
        <f>IFERROR((Table50[[#This Row],[USAGE / DAY]]-Table50[[#This Row],[USAGE / DAY 2]])/Table50[[#This Row],[USAGE / DAY 2]],0)</f>
        <v>-0.92</v>
      </c>
      <c r="Z170" s="15">
        <f t="shared" si="6"/>
        <v>14</v>
      </c>
      <c r="AA170" s="15">
        <f t="shared" si="7"/>
        <v>9.311854181734148</v>
      </c>
      <c r="AB170" s="15" t="str">
        <f>IFERROR(IF(Table50[[#This Row],[ccnt]]="BEV",$AB$2,IF(Table50[[#This Row],[ccnt]]="FOOD",$AC$2,"ENTER # FROM LAST COUNT")),"ENTER # FROM LAST COUNT")</f>
        <v>ENTER # FROM LAST COUNT</v>
      </c>
      <c r="AC170" s="15">
        <f>(Table50[[#This Row],[OpeningQty]]+Table50[[#This Row],[ClosingQty]])/2</f>
        <v>0</v>
      </c>
      <c r="AD170" s="15">
        <f>IFERROR(Table50[[#This Row],[UsageQty]]/Table50[[#This Row],[AVE INVENTORY]],0)</f>
        <v>0</v>
      </c>
      <c r="AE170" s="15">
        <f>IFERROR(Table50[[#This Row],[DATA POINT]]/Table50[[#This Row],[Inventory Turnover Rate]],0)</f>
        <v>0</v>
      </c>
      <c r="AF170" s="15">
        <f>Table50[[#This Row],[ClosingQty]]/Table50[[#This Row],[USAGE / DAY]]</f>
        <v>0</v>
      </c>
      <c r="AG170" s="15">
        <f>Table50[[#This Row],[USAGE / DAY]]*7</f>
        <v>0.56000000000000005</v>
      </c>
      <c r="AH170" s="15">
        <f>Table50[[#This Row],[USAGE / DAY]]*3</f>
        <v>0.24</v>
      </c>
      <c r="AI170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70" s="15">
        <f>IFERROR(Table50[[#This Row],[ORDER QTY2]]*Table50[[#This Row],[COST PRICE]],0)</f>
        <v>115.01600000000002</v>
      </c>
      <c r="AK170" s="15" t="e">
        <f>(Table50[[#This Row],[REORDER POINT]]*Table50[[#This Row],[COST PRICE]])+Table50[[#This Row],[ORDER COST]]</f>
        <v>#VALUE!</v>
      </c>
      <c r="AL170" s="15">
        <f t="shared" si="8"/>
        <v>100</v>
      </c>
      <c r="AM170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1" spans="1:39" hidden="1" x14ac:dyDescent="0.25">
      <c r="A171" t="s">
        <v>215</v>
      </c>
      <c r="B171" t="s">
        <v>225</v>
      </c>
      <c r="C171" t="s">
        <v>242</v>
      </c>
      <c r="D171" t="s">
        <v>53</v>
      </c>
      <c r="E171">
        <v>0</v>
      </c>
      <c r="F171">
        <v>0</v>
      </c>
      <c r="G171">
        <v>3</v>
      </c>
      <c r="H171">
        <v>481.38</v>
      </c>
      <c r="I171">
        <v>0</v>
      </c>
      <c r="J171">
        <v>0</v>
      </c>
      <c r="K171">
        <f>Table50[[#This Row],[OpeningQty]]+Table50[[#This Row],[PurchasesQty]]-Table50[[#This Row],[ClosingQty]]</f>
        <v>3</v>
      </c>
      <c r="L171">
        <v>481.38</v>
      </c>
      <c r="M171" s="14">
        <f>Table50[[#This Row],[Usage]]/$L$1</f>
        <v>7.3111965283890936E-4</v>
      </c>
      <c r="N171" s="15">
        <f>IFERROR(Table50[[#This Row],[Opening]]/Table50[[#This Row],[OpeningQty]],0)</f>
        <v>0</v>
      </c>
      <c r="O171" s="15">
        <f>IFERROR(Table50[[#This Row],[Purchases]]/Table50[[#This Row],[PurchasesQty]],0)</f>
        <v>160.46</v>
      </c>
      <c r="P171" s="15">
        <f>IFERROR(Table50[[#This Row],[Closing]]/Table50[[#This Row],[ClosingQty]],0)</f>
        <v>0</v>
      </c>
      <c r="Q171" s="15">
        <f>IFERROR(AVERAGEIF(Table50[[#This Row],[OPENING COST PRICE]:[CLOSING COST PRICE]],"&gt;0"),0)</f>
        <v>160.46</v>
      </c>
      <c r="R171" s="15">
        <f>IFERROR(Table50[[#This Row],[COST PRICE]]-IFERROR(Table50[[#This Row],[Usage]]/Table50[[#This Row],[UsageQty]],Table50[[#This Row],[COST PRICE]]),0)</f>
        <v>0</v>
      </c>
      <c r="S171" s="16">
        <f>IFERROR(Table50[[#This Row],[COST PRICE CHANGE]]/Table50[[#This Row],[OPENING COST PRICE]],0)</f>
        <v>0</v>
      </c>
      <c r="T171" s="15" t="e">
        <f>Table50[[#This Row],[ClosingQty]]-(Table50[[#This Row],[USAGE / DAY]]*(IF(Table50[[#This Row],[ccnt]]="BEV",Table50[[#This Row],[DELIVERY DAY]],Table50[[#This Row],[DELIVERY DAY]])))</f>
        <v>#VALUE!</v>
      </c>
      <c r="U171" s="15">
        <f>ROUNDUP(Table50[[#This Row],[UsageQty]]/Table50[[#This Row],[DATA POINT]],2)</f>
        <v>0.22</v>
      </c>
      <c r="V171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1" s="15">
        <f>IFERROR(Table50[[#This Row],[ORDER QTY]]*Table50[[#This Row],[COST PRICE]],0)</f>
        <v>0</v>
      </c>
      <c r="X171" s="15">
        <f>IFERROR(VLOOKUP(C171,[1]!Table48[[#All],[name]:[USAGE / DAY]],18,FALSE),1)</f>
        <v>0.15000000000000002</v>
      </c>
      <c r="Y171" s="4">
        <f>IFERROR((Table50[[#This Row],[USAGE / DAY]]-Table50[[#This Row],[USAGE / DAY 2]])/Table50[[#This Row],[USAGE / DAY 2]],0)</f>
        <v>0.46666666666666645</v>
      </c>
      <c r="Z171" s="15">
        <f t="shared" si="6"/>
        <v>14</v>
      </c>
      <c r="AA171" s="15">
        <f t="shared" si="7"/>
        <v>9.311854181734148</v>
      </c>
      <c r="AB171" s="15" t="str">
        <f>IFERROR(IF(Table50[[#This Row],[ccnt]]="BEV",$AB$2,IF(Table50[[#This Row],[ccnt]]="FOOD",$AC$2,"ENTER # FROM LAST COUNT")),"ENTER # FROM LAST COUNT")</f>
        <v>ENTER # FROM LAST COUNT</v>
      </c>
      <c r="AC171" s="15">
        <f>(Table50[[#This Row],[OpeningQty]]+Table50[[#This Row],[ClosingQty]])/2</f>
        <v>0</v>
      </c>
      <c r="AD171" s="15">
        <f>IFERROR(Table50[[#This Row],[UsageQty]]/Table50[[#This Row],[AVE INVENTORY]],0)</f>
        <v>0</v>
      </c>
      <c r="AE171" s="15">
        <f>IFERROR(Table50[[#This Row],[DATA POINT]]/Table50[[#This Row],[Inventory Turnover Rate]],0)</f>
        <v>0</v>
      </c>
      <c r="AF171" s="15">
        <f>Table50[[#This Row],[ClosingQty]]/Table50[[#This Row],[USAGE / DAY]]</f>
        <v>0</v>
      </c>
      <c r="AG171" s="15">
        <f>Table50[[#This Row],[USAGE / DAY]]*7</f>
        <v>1.54</v>
      </c>
      <c r="AH171" s="15">
        <f>Table50[[#This Row],[USAGE / DAY]]*3</f>
        <v>0.66</v>
      </c>
      <c r="AI171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2.2000000000000002</v>
      </c>
      <c r="AJ171" s="15">
        <f>IFERROR(Table50[[#This Row],[ORDER QTY2]]*Table50[[#This Row],[COST PRICE]],0)</f>
        <v>353.01200000000006</v>
      </c>
      <c r="AK171" s="15" t="e">
        <f>(Table50[[#This Row],[REORDER POINT]]*Table50[[#This Row],[COST PRICE]])+Table50[[#This Row],[ORDER COST]]</f>
        <v>#VALUE!</v>
      </c>
      <c r="AL171" s="15">
        <f t="shared" si="8"/>
        <v>100</v>
      </c>
      <c r="AM171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2" spans="1:39" hidden="1" x14ac:dyDescent="0.25">
      <c r="A172" t="s">
        <v>215</v>
      </c>
      <c r="B172" t="s">
        <v>225</v>
      </c>
      <c r="C172" t="s">
        <v>243</v>
      </c>
      <c r="D172" t="s">
        <v>53</v>
      </c>
      <c r="E172">
        <v>0</v>
      </c>
      <c r="F172">
        <v>0</v>
      </c>
      <c r="G172">
        <v>9</v>
      </c>
      <c r="H172">
        <v>809.55</v>
      </c>
      <c r="I172">
        <v>0</v>
      </c>
      <c r="J172">
        <v>0</v>
      </c>
      <c r="K172">
        <f>Table50[[#This Row],[OpeningQty]]+Table50[[#This Row],[PurchasesQty]]-Table50[[#This Row],[ClosingQty]]</f>
        <v>9</v>
      </c>
      <c r="L172">
        <v>809.55</v>
      </c>
      <c r="M172" s="14">
        <f>Table50[[#This Row],[Usage]]/$L$1</f>
        <v>1.2295440503463772E-3</v>
      </c>
      <c r="N172" s="15">
        <f>IFERROR(Table50[[#This Row],[Opening]]/Table50[[#This Row],[OpeningQty]],0)</f>
        <v>0</v>
      </c>
      <c r="O172" s="15">
        <f>IFERROR(Table50[[#This Row],[Purchases]]/Table50[[#This Row],[PurchasesQty]],0)</f>
        <v>89.949999999999989</v>
      </c>
      <c r="P172" s="15">
        <f>IFERROR(Table50[[#This Row],[Closing]]/Table50[[#This Row],[ClosingQty]],0)</f>
        <v>0</v>
      </c>
      <c r="Q172" s="15">
        <f>IFERROR(AVERAGEIF(Table50[[#This Row],[OPENING COST PRICE]:[CLOSING COST PRICE]],"&gt;0"),0)</f>
        <v>89.949999999999989</v>
      </c>
      <c r="R172" s="15">
        <f>IFERROR(Table50[[#This Row],[COST PRICE]]-IFERROR(Table50[[#This Row],[Usage]]/Table50[[#This Row],[UsageQty]],Table50[[#This Row],[COST PRICE]]),0)</f>
        <v>0</v>
      </c>
      <c r="S172" s="16">
        <f>IFERROR(Table50[[#This Row],[COST PRICE CHANGE]]/Table50[[#This Row],[OPENING COST PRICE]],0)</f>
        <v>0</v>
      </c>
      <c r="T172" s="15" t="e">
        <f>Table50[[#This Row],[ClosingQty]]-(Table50[[#This Row],[USAGE / DAY]]*(IF(Table50[[#This Row],[ccnt]]="BEV",Table50[[#This Row],[DELIVERY DAY]],Table50[[#This Row],[DELIVERY DAY]])))</f>
        <v>#VALUE!</v>
      </c>
      <c r="U172" s="15">
        <f>ROUNDUP(Table50[[#This Row],[UsageQty]]/Table50[[#This Row],[DATA POINT]],2)</f>
        <v>0.65</v>
      </c>
      <c r="V172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2" s="15">
        <f>IFERROR(Table50[[#This Row],[ORDER QTY]]*Table50[[#This Row],[COST PRICE]],0)</f>
        <v>0</v>
      </c>
      <c r="X172" s="15">
        <f>IFERROR(VLOOKUP(C172,[1]!Table48[[#All],[name]:[USAGE / DAY]],18,FALSE),1)</f>
        <v>0.93</v>
      </c>
      <c r="Y172" s="4">
        <f>IFERROR((Table50[[#This Row],[USAGE / DAY]]-Table50[[#This Row],[USAGE / DAY 2]])/Table50[[#This Row],[USAGE / DAY 2]],0)</f>
        <v>-0.30107526881720431</v>
      </c>
      <c r="Z172" s="15">
        <f t="shared" si="6"/>
        <v>14</v>
      </c>
      <c r="AA172" s="15">
        <f t="shared" si="7"/>
        <v>9.311854181734148</v>
      </c>
      <c r="AB172" s="15" t="str">
        <f>IFERROR(IF(Table50[[#This Row],[ccnt]]="BEV",$AB$2,IF(Table50[[#This Row],[ccnt]]="FOOD",$AC$2,"ENTER # FROM LAST COUNT")),"ENTER # FROM LAST COUNT")</f>
        <v>ENTER # FROM LAST COUNT</v>
      </c>
      <c r="AC172" s="15">
        <f>(Table50[[#This Row],[OpeningQty]]+Table50[[#This Row],[ClosingQty]])/2</f>
        <v>0</v>
      </c>
      <c r="AD172" s="15">
        <f>IFERROR(Table50[[#This Row],[UsageQty]]/Table50[[#This Row],[AVE INVENTORY]],0)</f>
        <v>0</v>
      </c>
      <c r="AE172" s="15">
        <f>IFERROR(Table50[[#This Row],[DATA POINT]]/Table50[[#This Row],[Inventory Turnover Rate]],0)</f>
        <v>0</v>
      </c>
      <c r="AF172" s="15">
        <f>Table50[[#This Row],[ClosingQty]]/Table50[[#This Row],[USAGE / DAY]]</f>
        <v>0</v>
      </c>
      <c r="AG172" s="15">
        <f>Table50[[#This Row],[USAGE / DAY]]*7</f>
        <v>4.55</v>
      </c>
      <c r="AH172" s="15">
        <f>Table50[[#This Row],[USAGE / DAY]]*3</f>
        <v>1.9500000000000002</v>
      </c>
      <c r="AI172" s="15">
        <f>IF(Table50[[#This Row],[FORECASTED DEMAND]]+Table50[[#This Row],[SAFETY STOCK]]-Table50[[#This Row],[ClosingQty]]&gt;0,Table50[[#This Row],[FORECASTED DEMAND]]+Table50[[#This Row],[SAFETY STOCK]]-Table50[[#This Row],[ClosingQty]],"NO ORDER")</f>
        <v>6.5</v>
      </c>
      <c r="AJ172" s="15">
        <f>IFERROR(Table50[[#This Row],[ORDER QTY2]]*Table50[[#This Row],[COST PRICE]],0)</f>
        <v>584.67499999999995</v>
      </c>
      <c r="AK172" s="15" t="e">
        <f>(Table50[[#This Row],[REORDER POINT]]*Table50[[#This Row],[COST PRICE]])+Table50[[#This Row],[ORDER COST]]</f>
        <v>#VALUE!</v>
      </c>
      <c r="AL172" s="15">
        <f t="shared" si="8"/>
        <v>100</v>
      </c>
      <c r="AM172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3" spans="1:39" hidden="1" x14ac:dyDescent="0.25">
      <c r="A173" t="s">
        <v>215</v>
      </c>
      <c r="B173" t="s">
        <v>225</v>
      </c>
      <c r="C173" t="s">
        <v>244</v>
      </c>
      <c r="D173" t="s">
        <v>245</v>
      </c>
      <c r="E173">
        <v>0</v>
      </c>
      <c r="F173">
        <v>0</v>
      </c>
      <c r="G173">
        <v>2</v>
      </c>
      <c r="H173">
        <v>804.6</v>
      </c>
      <c r="I173">
        <v>0</v>
      </c>
      <c r="J173">
        <v>0</v>
      </c>
      <c r="K173">
        <f>Table50[[#This Row],[OpeningQty]]+Table50[[#This Row],[PurchasesQty]]-Table50[[#This Row],[ClosingQty]]</f>
        <v>2</v>
      </c>
      <c r="L173">
        <v>804.6</v>
      </c>
      <c r="M173" s="14">
        <f>Table50[[#This Row],[Usage]]/$L$1</f>
        <v>1.2220259933403684E-3</v>
      </c>
      <c r="N173" s="15">
        <f>IFERROR(Table50[[#This Row],[Opening]]/Table50[[#This Row],[OpeningQty]],0)</f>
        <v>0</v>
      </c>
      <c r="O173" s="15">
        <f>IFERROR(Table50[[#This Row],[Purchases]]/Table50[[#This Row],[PurchasesQty]],0)</f>
        <v>402.3</v>
      </c>
      <c r="P173" s="15">
        <f>IFERROR(Table50[[#This Row],[Closing]]/Table50[[#This Row],[ClosingQty]],0)</f>
        <v>0</v>
      </c>
      <c r="Q173" s="15">
        <f>IFERROR(AVERAGEIF(Table50[[#This Row],[OPENING COST PRICE]:[CLOSING COST PRICE]],"&gt;0"),0)</f>
        <v>402.3</v>
      </c>
      <c r="R173" s="15">
        <f>IFERROR(Table50[[#This Row],[COST PRICE]]-IFERROR(Table50[[#This Row],[Usage]]/Table50[[#This Row],[UsageQty]],Table50[[#This Row],[COST PRICE]]),0)</f>
        <v>0</v>
      </c>
      <c r="S173" s="16">
        <f>IFERROR(Table50[[#This Row],[COST PRICE CHANGE]]/Table50[[#This Row],[OPENING COST PRICE]],0)</f>
        <v>0</v>
      </c>
      <c r="T173" s="15" t="e">
        <f>Table50[[#This Row],[ClosingQty]]-(Table50[[#This Row],[USAGE / DAY]]*(IF(Table50[[#This Row],[ccnt]]="BEV",Table50[[#This Row],[DELIVERY DAY]],Table50[[#This Row],[DELIVERY DAY]])))</f>
        <v>#VALUE!</v>
      </c>
      <c r="U173" s="15">
        <f>ROUNDUP(Table50[[#This Row],[UsageQty]]/Table50[[#This Row],[DATA POINT]],2)</f>
        <v>0.15000000000000002</v>
      </c>
      <c r="V173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3" s="15">
        <f>IFERROR(Table50[[#This Row],[ORDER QTY]]*Table50[[#This Row],[COST PRICE]],0)</f>
        <v>0</v>
      </c>
      <c r="X173" s="15">
        <f>IFERROR(VLOOKUP(C173,[1]!Table48[[#All],[name]:[USAGE / DAY]],18,FALSE),1)</f>
        <v>0.15000000000000002</v>
      </c>
      <c r="Y173" s="4">
        <f>IFERROR((Table50[[#This Row],[USAGE / DAY]]-Table50[[#This Row],[USAGE / DAY 2]])/Table50[[#This Row],[USAGE / DAY 2]],0)</f>
        <v>0</v>
      </c>
      <c r="Z173" s="15">
        <f t="shared" si="6"/>
        <v>14</v>
      </c>
      <c r="AA173" s="15">
        <f t="shared" si="7"/>
        <v>9.311854181734148</v>
      </c>
      <c r="AB173" s="15" t="str">
        <f>IFERROR(IF(Table50[[#This Row],[ccnt]]="BEV",$AB$2,IF(Table50[[#This Row],[ccnt]]="FOOD",$AC$2,"ENTER # FROM LAST COUNT")),"ENTER # FROM LAST COUNT")</f>
        <v>ENTER # FROM LAST COUNT</v>
      </c>
      <c r="AC173" s="15">
        <f>(Table50[[#This Row],[OpeningQty]]+Table50[[#This Row],[ClosingQty]])/2</f>
        <v>0</v>
      </c>
      <c r="AD173" s="15">
        <f>IFERROR(Table50[[#This Row],[UsageQty]]/Table50[[#This Row],[AVE INVENTORY]],0)</f>
        <v>0</v>
      </c>
      <c r="AE173" s="15">
        <f>IFERROR(Table50[[#This Row],[DATA POINT]]/Table50[[#This Row],[Inventory Turnover Rate]],0)</f>
        <v>0</v>
      </c>
      <c r="AF173" s="15">
        <f>Table50[[#This Row],[ClosingQty]]/Table50[[#This Row],[USAGE / DAY]]</f>
        <v>0</v>
      </c>
      <c r="AG173" s="15">
        <f>Table50[[#This Row],[USAGE / DAY]]*7</f>
        <v>1.0500000000000003</v>
      </c>
      <c r="AH173" s="15">
        <f>Table50[[#This Row],[USAGE / DAY]]*3</f>
        <v>0.45000000000000007</v>
      </c>
      <c r="AI173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173" s="15">
        <f>IFERROR(Table50[[#This Row],[ORDER QTY2]]*Table50[[#This Row],[COST PRICE]],0)</f>
        <v>603.45000000000016</v>
      </c>
      <c r="AK173" s="15" t="e">
        <f>(Table50[[#This Row],[REORDER POINT]]*Table50[[#This Row],[COST PRICE]])+Table50[[#This Row],[ORDER COST]]</f>
        <v>#VALUE!</v>
      </c>
      <c r="AL173" s="15">
        <f t="shared" si="8"/>
        <v>100</v>
      </c>
      <c r="AM173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4" spans="1:39" hidden="1" x14ac:dyDescent="0.25">
      <c r="A174" t="s">
        <v>215</v>
      </c>
      <c r="B174" t="s">
        <v>225</v>
      </c>
      <c r="C174" t="s">
        <v>246</v>
      </c>
      <c r="D174" t="s">
        <v>237</v>
      </c>
      <c r="E174">
        <v>0</v>
      </c>
      <c r="F174">
        <v>0</v>
      </c>
      <c r="G174">
        <v>2</v>
      </c>
      <c r="H174">
        <v>430</v>
      </c>
      <c r="I174">
        <v>0</v>
      </c>
      <c r="J174">
        <v>0</v>
      </c>
      <c r="K174">
        <f>Table50[[#This Row],[OpeningQty]]+Table50[[#This Row],[PurchasesQty]]-Table50[[#This Row],[ClosingQty]]</f>
        <v>2</v>
      </c>
      <c r="L174">
        <v>430</v>
      </c>
      <c r="M174" s="14">
        <f>Table50[[#This Row],[Usage]]/$L$1</f>
        <v>6.5308373991593142E-4</v>
      </c>
      <c r="N174" s="15">
        <f>IFERROR(Table50[[#This Row],[Opening]]/Table50[[#This Row],[OpeningQty]],0)</f>
        <v>0</v>
      </c>
      <c r="O174" s="15">
        <f>IFERROR(Table50[[#This Row],[Purchases]]/Table50[[#This Row],[PurchasesQty]],0)</f>
        <v>215</v>
      </c>
      <c r="P174" s="15">
        <f>IFERROR(Table50[[#This Row],[Closing]]/Table50[[#This Row],[ClosingQty]],0)</f>
        <v>0</v>
      </c>
      <c r="Q174" s="15">
        <f>IFERROR(AVERAGEIF(Table50[[#This Row],[OPENING COST PRICE]:[CLOSING COST PRICE]],"&gt;0"),0)</f>
        <v>215</v>
      </c>
      <c r="R174" s="15">
        <f>IFERROR(Table50[[#This Row],[COST PRICE]]-IFERROR(Table50[[#This Row],[Usage]]/Table50[[#This Row],[UsageQty]],Table50[[#This Row],[COST PRICE]]),0)</f>
        <v>0</v>
      </c>
      <c r="S174" s="16">
        <f>IFERROR(Table50[[#This Row],[COST PRICE CHANGE]]/Table50[[#This Row],[OPENING COST PRICE]],0)</f>
        <v>0</v>
      </c>
      <c r="T174" s="15" t="e">
        <f>Table50[[#This Row],[ClosingQty]]-(Table50[[#This Row],[USAGE / DAY]]*(IF(Table50[[#This Row],[ccnt]]="BEV",Table50[[#This Row],[DELIVERY DAY]],Table50[[#This Row],[DELIVERY DAY]])))</f>
        <v>#VALUE!</v>
      </c>
      <c r="U174" s="15">
        <f>ROUNDUP(Table50[[#This Row],[UsageQty]]/Table50[[#This Row],[DATA POINT]],2)</f>
        <v>0.15000000000000002</v>
      </c>
      <c r="V174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4" s="15">
        <f>IFERROR(Table50[[#This Row],[ORDER QTY]]*Table50[[#This Row],[COST PRICE]],0)</f>
        <v>0</v>
      </c>
      <c r="X174" s="15">
        <f>IFERROR(VLOOKUP(C174,[1]!Table48[[#All],[name]:[USAGE / DAY]],18,FALSE),1)</f>
        <v>0.29000000000000004</v>
      </c>
      <c r="Y174" s="4">
        <f>IFERROR((Table50[[#This Row],[USAGE / DAY]]-Table50[[#This Row],[USAGE / DAY 2]])/Table50[[#This Row],[USAGE / DAY 2]],0)</f>
        <v>-0.48275862068965514</v>
      </c>
      <c r="Z174" s="15">
        <f t="shared" si="6"/>
        <v>14</v>
      </c>
      <c r="AA174" s="15">
        <f t="shared" si="7"/>
        <v>9.311854181734148</v>
      </c>
      <c r="AB174" s="15" t="str">
        <f>IFERROR(IF(Table50[[#This Row],[ccnt]]="BEV",$AB$2,IF(Table50[[#This Row],[ccnt]]="FOOD",$AC$2,"ENTER # FROM LAST COUNT")),"ENTER # FROM LAST COUNT")</f>
        <v>ENTER # FROM LAST COUNT</v>
      </c>
      <c r="AC174" s="15">
        <f>(Table50[[#This Row],[OpeningQty]]+Table50[[#This Row],[ClosingQty]])/2</f>
        <v>0</v>
      </c>
      <c r="AD174" s="15">
        <f>IFERROR(Table50[[#This Row],[UsageQty]]/Table50[[#This Row],[AVE INVENTORY]],0)</f>
        <v>0</v>
      </c>
      <c r="AE174" s="15">
        <f>IFERROR(Table50[[#This Row],[DATA POINT]]/Table50[[#This Row],[Inventory Turnover Rate]],0)</f>
        <v>0</v>
      </c>
      <c r="AF174" s="15">
        <f>Table50[[#This Row],[ClosingQty]]/Table50[[#This Row],[USAGE / DAY]]</f>
        <v>0</v>
      </c>
      <c r="AG174" s="15">
        <f>Table50[[#This Row],[USAGE / DAY]]*7</f>
        <v>1.0500000000000003</v>
      </c>
      <c r="AH174" s="15">
        <f>Table50[[#This Row],[USAGE / DAY]]*3</f>
        <v>0.45000000000000007</v>
      </c>
      <c r="AI174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174" s="15">
        <f>IFERROR(Table50[[#This Row],[ORDER QTY2]]*Table50[[#This Row],[COST PRICE]],0)</f>
        <v>322.50000000000011</v>
      </c>
      <c r="AK174" s="15" t="e">
        <f>(Table50[[#This Row],[REORDER POINT]]*Table50[[#This Row],[COST PRICE]])+Table50[[#This Row],[ORDER COST]]</f>
        <v>#VALUE!</v>
      </c>
      <c r="AL174" s="15">
        <f t="shared" si="8"/>
        <v>100</v>
      </c>
      <c r="AM174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5" spans="1:39" hidden="1" x14ac:dyDescent="0.25">
      <c r="A175" t="s">
        <v>215</v>
      </c>
      <c r="B175" t="s">
        <v>225</v>
      </c>
      <c r="C175" t="s">
        <v>247</v>
      </c>
      <c r="D175" t="s">
        <v>53</v>
      </c>
      <c r="E175">
        <v>0</v>
      </c>
      <c r="F175">
        <v>0</v>
      </c>
      <c r="G175">
        <v>1</v>
      </c>
      <c r="H175">
        <v>686.8</v>
      </c>
      <c r="I175">
        <v>0</v>
      </c>
      <c r="J175">
        <v>0</v>
      </c>
      <c r="K175">
        <f>Table50[[#This Row],[OpeningQty]]+Table50[[#This Row],[PurchasesQty]]-Table50[[#This Row],[ClosingQty]]</f>
        <v>1</v>
      </c>
      <c r="L175">
        <v>686.8</v>
      </c>
      <c r="M175" s="14">
        <f>Table50[[#This Row],[Usage]]/$L$1</f>
        <v>1.0431114245913061E-3</v>
      </c>
      <c r="N175" s="15">
        <f>IFERROR(Table50[[#This Row],[Opening]]/Table50[[#This Row],[OpeningQty]],0)</f>
        <v>0</v>
      </c>
      <c r="O175" s="15">
        <f>IFERROR(Table50[[#This Row],[Purchases]]/Table50[[#This Row],[PurchasesQty]],0)</f>
        <v>686.8</v>
      </c>
      <c r="P175" s="15">
        <f>IFERROR(Table50[[#This Row],[Closing]]/Table50[[#This Row],[ClosingQty]],0)</f>
        <v>0</v>
      </c>
      <c r="Q175" s="15">
        <f>IFERROR(AVERAGEIF(Table50[[#This Row],[OPENING COST PRICE]:[CLOSING COST PRICE]],"&gt;0"),0)</f>
        <v>686.8</v>
      </c>
      <c r="R175" s="15">
        <f>IFERROR(Table50[[#This Row],[COST PRICE]]-IFERROR(Table50[[#This Row],[Usage]]/Table50[[#This Row],[UsageQty]],Table50[[#This Row],[COST PRICE]]),0)</f>
        <v>0</v>
      </c>
      <c r="S175" s="16">
        <f>IFERROR(Table50[[#This Row],[COST PRICE CHANGE]]/Table50[[#This Row],[OPENING COST PRICE]],0)</f>
        <v>0</v>
      </c>
      <c r="T175" s="15" t="e">
        <f>Table50[[#This Row],[ClosingQty]]-(Table50[[#This Row],[USAGE / DAY]]*(IF(Table50[[#This Row],[ccnt]]="BEV",Table50[[#This Row],[DELIVERY DAY]],Table50[[#This Row],[DELIVERY DAY]])))</f>
        <v>#VALUE!</v>
      </c>
      <c r="U175" s="15">
        <f>ROUNDUP(Table50[[#This Row],[UsageQty]]/Table50[[#This Row],[DATA POINT]],2)</f>
        <v>0.08</v>
      </c>
      <c r="V175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5" s="15">
        <f>IFERROR(Table50[[#This Row],[ORDER QTY]]*Table50[[#This Row],[COST PRICE]],0)</f>
        <v>0</v>
      </c>
      <c r="X175" s="15">
        <f>IFERROR(VLOOKUP(C175,[1]!Table48[[#All],[name]:[USAGE / DAY]],18,FALSE),1)</f>
        <v>1</v>
      </c>
      <c r="Y175" s="4">
        <f>IFERROR((Table50[[#This Row],[USAGE / DAY]]-Table50[[#This Row],[USAGE / DAY 2]])/Table50[[#This Row],[USAGE / DAY 2]],0)</f>
        <v>-0.92</v>
      </c>
      <c r="Z175" s="15">
        <f t="shared" si="6"/>
        <v>14</v>
      </c>
      <c r="AA175" s="15">
        <f t="shared" si="7"/>
        <v>9.311854181734148</v>
      </c>
      <c r="AB175" s="15" t="str">
        <f>IFERROR(IF(Table50[[#This Row],[ccnt]]="BEV",$AB$2,IF(Table50[[#This Row],[ccnt]]="FOOD",$AC$2,"ENTER # FROM LAST COUNT")),"ENTER # FROM LAST COUNT")</f>
        <v>ENTER # FROM LAST COUNT</v>
      </c>
      <c r="AC175" s="15">
        <f>(Table50[[#This Row],[OpeningQty]]+Table50[[#This Row],[ClosingQty]])/2</f>
        <v>0</v>
      </c>
      <c r="AD175" s="15">
        <f>IFERROR(Table50[[#This Row],[UsageQty]]/Table50[[#This Row],[AVE INVENTORY]],0)</f>
        <v>0</v>
      </c>
      <c r="AE175" s="15">
        <f>IFERROR(Table50[[#This Row],[DATA POINT]]/Table50[[#This Row],[Inventory Turnover Rate]],0)</f>
        <v>0</v>
      </c>
      <c r="AF175" s="15">
        <f>Table50[[#This Row],[ClosingQty]]/Table50[[#This Row],[USAGE / DAY]]</f>
        <v>0</v>
      </c>
      <c r="AG175" s="15">
        <f>Table50[[#This Row],[USAGE / DAY]]*7</f>
        <v>0.56000000000000005</v>
      </c>
      <c r="AH175" s="15">
        <f>Table50[[#This Row],[USAGE / DAY]]*3</f>
        <v>0.24</v>
      </c>
      <c r="AI175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75" s="15">
        <f>IFERROR(Table50[[#This Row],[ORDER QTY2]]*Table50[[#This Row],[COST PRICE]],0)</f>
        <v>549.43999999999994</v>
      </c>
      <c r="AK175" s="15" t="e">
        <f>(Table50[[#This Row],[REORDER POINT]]*Table50[[#This Row],[COST PRICE]])+Table50[[#This Row],[ORDER COST]]</f>
        <v>#VALUE!</v>
      </c>
      <c r="AL175" s="15">
        <f t="shared" si="8"/>
        <v>100</v>
      </c>
      <c r="AM175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6" spans="1:39" hidden="1" x14ac:dyDescent="0.25">
      <c r="A176" t="s">
        <v>215</v>
      </c>
      <c r="B176" t="s">
        <v>225</v>
      </c>
      <c r="C176" t="s">
        <v>248</v>
      </c>
      <c r="D176" t="s">
        <v>237</v>
      </c>
      <c r="E176">
        <v>0</v>
      </c>
      <c r="F176">
        <v>0</v>
      </c>
      <c r="G176">
        <v>1</v>
      </c>
      <c r="H176">
        <v>294.95</v>
      </c>
      <c r="I176">
        <v>0</v>
      </c>
      <c r="J176">
        <v>0</v>
      </c>
      <c r="K176">
        <f>Table50[[#This Row],[OpeningQty]]+Table50[[#This Row],[PurchasesQty]]-Table50[[#This Row],[ClosingQty]]</f>
        <v>1</v>
      </c>
      <c r="L176">
        <v>294.95</v>
      </c>
      <c r="M176" s="14">
        <f>Table50[[#This Row],[Usage]]/$L$1</f>
        <v>4.4796988160047431E-4</v>
      </c>
      <c r="N176" s="15">
        <f>IFERROR(Table50[[#This Row],[Opening]]/Table50[[#This Row],[OpeningQty]],0)</f>
        <v>0</v>
      </c>
      <c r="O176" s="15">
        <f>IFERROR(Table50[[#This Row],[Purchases]]/Table50[[#This Row],[PurchasesQty]],0)</f>
        <v>294.95</v>
      </c>
      <c r="P176" s="15">
        <f>IFERROR(Table50[[#This Row],[Closing]]/Table50[[#This Row],[ClosingQty]],0)</f>
        <v>0</v>
      </c>
      <c r="Q176" s="15">
        <f>IFERROR(AVERAGEIF(Table50[[#This Row],[OPENING COST PRICE]:[CLOSING COST PRICE]],"&gt;0"),0)</f>
        <v>294.95</v>
      </c>
      <c r="R176" s="15">
        <f>IFERROR(Table50[[#This Row],[COST PRICE]]-IFERROR(Table50[[#This Row],[Usage]]/Table50[[#This Row],[UsageQty]],Table50[[#This Row],[COST PRICE]]),0)</f>
        <v>0</v>
      </c>
      <c r="S176" s="16">
        <f>IFERROR(Table50[[#This Row],[COST PRICE CHANGE]]/Table50[[#This Row],[OPENING COST PRICE]],0)</f>
        <v>0</v>
      </c>
      <c r="T176" s="15" t="e">
        <f>Table50[[#This Row],[ClosingQty]]-(Table50[[#This Row],[USAGE / DAY]]*(IF(Table50[[#This Row],[ccnt]]="BEV",Table50[[#This Row],[DELIVERY DAY]],Table50[[#This Row],[DELIVERY DAY]])))</f>
        <v>#VALUE!</v>
      </c>
      <c r="U176" s="15">
        <f>ROUNDUP(Table50[[#This Row],[UsageQty]]/Table50[[#This Row],[DATA POINT]],2)</f>
        <v>0.08</v>
      </c>
      <c r="V176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6" s="15">
        <f>IFERROR(Table50[[#This Row],[ORDER QTY]]*Table50[[#This Row],[COST PRICE]],0)</f>
        <v>0</v>
      </c>
      <c r="X176" s="15">
        <f>IFERROR(VLOOKUP(C176,[1]!Table48[[#All],[name]:[USAGE / DAY]],18,FALSE),1)</f>
        <v>0.08</v>
      </c>
      <c r="Y176" s="4">
        <f>IFERROR((Table50[[#This Row],[USAGE / DAY]]-Table50[[#This Row],[USAGE / DAY 2]])/Table50[[#This Row],[USAGE / DAY 2]],0)</f>
        <v>0</v>
      </c>
      <c r="Z176" s="15">
        <f t="shared" si="6"/>
        <v>14</v>
      </c>
      <c r="AA176" s="15">
        <f t="shared" si="7"/>
        <v>9.311854181734148</v>
      </c>
      <c r="AB176" s="15" t="str">
        <f>IFERROR(IF(Table50[[#This Row],[ccnt]]="BEV",$AB$2,IF(Table50[[#This Row],[ccnt]]="FOOD",$AC$2,"ENTER # FROM LAST COUNT")),"ENTER # FROM LAST COUNT")</f>
        <v>ENTER # FROM LAST COUNT</v>
      </c>
      <c r="AC176" s="15">
        <f>(Table50[[#This Row],[OpeningQty]]+Table50[[#This Row],[ClosingQty]])/2</f>
        <v>0</v>
      </c>
      <c r="AD176" s="15">
        <f>IFERROR(Table50[[#This Row],[UsageQty]]/Table50[[#This Row],[AVE INVENTORY]],0)</f>
        <v>0</v>
      </c>
      <c r="AE176" s="15">
        <f>IFERROR(Table50[[#This Row],[DATA POINT]]/Table50[[#This Row],[Inventory Turnover Rate]],0)</f>
        <v>0</v>
      </c>
      <c r="AF176" s="15">
        <f>Table50[[#This Row],[ClosingQty]]/Table50[[#This Row],[USAGE / DAY]]</f>
        <v>0</v>
      </c>
      <c r="AG176" s="15">
        <f>Table50[[#This Row],[USAGE / DAY]]*7</f>
        <v>0.56000000000000005</v>
      </c>
      <c r="AH176" s="15">
        <f>Table50[[#This Row],[USAGE / DAY]]*3</f>
        <v>0.24</v>
      </c>
      <c r="AI176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76" s="15">
        <f>IFERROR(Table50[[#This Row],[ORDER QTY2]]*Table50[[#This Row],[COST PRICE]],0)</f>
        <v>235.96</v>
      </c>
      <c r="AK176" s="15" t="e">
        <f>(Table50[[#This Row],[REORDER POINT]]*Table50[[#This Row],[COST PRICE]])+Table50[[#This Row],[ORDER COST]]</f>
        <v>#VALUE!</v>
      </c>
      <c r="AL176" s="15">
        <f t="shared" si="8"/>
        <v>100</v>
      </c>
      <c r="AM176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7" spans="1:39" hidden="1" x14ac:dyDescent="0.25">
      <c r="A177" t="s">
        <v>215</v>
      </c>
      <c r="B177" t="s">
        <v>225</v>
      </c>
      <c r="C177" t="s">
        <v>249</v>
      </c>
      <c r="D177" t="s">
        <v>53</v>
      </c>
      <c r="E177">
        <v>0</v>
      </c>
      <c r="F177">
        <v>0</v>
      </c>
      <c r="G177">
        <v>1</v>
      </c>
      <c r="H177">
        <v>497.34</v>
      </c>
      <c r="I177">
        <v>0</v>
      </c>
      <c r="J177">
        <v>0</v>
      </c>
      <c r="K177">
        <f>Table50[[#This Row],[OpeningQty]]+Table50[[#This Row],[PurchasesQty]]-Table50[[#This Row],[ClosingQty]]</f>
        <v>1</v>
      </c>
      <c r="L177">
        <v>497.34</v>
      </c>
      <c r="M177" s="14">
        <f>Table50[[#This Row],[Usage]]/$L$1</f>
        <v>7.5535969118555653E-4</v>
      </c>
      <c r="N177" s="15">
        <f>IFERROR(Table50[[#This Row],[Opening]]/Table50[[#This Row],[OpeningQty]],0)</f>
        <v>0</v>
      </c>
      <c r="O177" s="15">
        <f>IFERROR(Table50[[#This Row],[Purchases]]/Table50[[#This Row],[PurchasesQty]],0)</f>
        <v>497.34</v>
      </c>
      <c r="P177" s="15">
        <f>IFERROR(Table50[[#This Row],[Closing]]/Table50[[#This Row],[ClosingQty]],0)</f>
        <v>0</v>
      </c>
      <c r="Q177" s="15">
        <f>IFERROR(AVERAGEIF(Table50[[#This Row],[OPENING COST PRICE]:[CLOSING COST PRICE]],"&gt;0"),0)</f>
        <v>497.34</v>
      </c>
      <c r="R177" s="15">
        <f>IFERROR(Table50[[#This Row],[COST PRICE]]-IFERROR(Table50[[#This Row],[Usage]]/Table50[[#This Row],[UsageQty]],Table50[[#This Row],[COST PRICE]]),0)</f>
        <v>0</v>
      </c>
      <c r="S177" s="16">
        <f>IFERROR(Table50[[#This Row],[COST PRICE CHANGE]]/Table50[[#This Row],[OPENING COST PRICE]],0)</f>
        <v>0</v>
      </c>
      <c r="T177" s="15" t="e">
        <f>Table50[[#This Row],[ClosingQty]]-(Table50[[#This Row],[USAGE / DAY]]*(IF(Table50[[#This Row],[ccnt]]="BEV",Table50[[#This Row],[DELIVERY DAY]],Table50[[#This Row],[DELIVERY DAY]])))</f>
        <v>#VALUE!</v>
      </c>
      <c r="U177" s="15">
        <f>ROUNDUP(Table50[[#This Row],[UsageQty]]/Table50[[#This Row],[DATA POINT]],2)</f>
        <v>0.08</v>
      </c>
      <c r="V177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7" s="15">
        <f>IFERROR(Table50[[#This Row],[ORDER QTY]]*Table50[[#This Row],[COST PRICE]],0)</f>
        <v>0</v>
      </c>
      <c r="X177" s="15">
        <f>IFERROR(VLOOKUP(C177,[1]!Table48[[#All],[name]:[USAGE / DAY]],18,FALSE),1)</f>
        <v>1</v>
      </c>
      <c r="Y177" s="4">
        <f>IFERROR((Table50[[#This Row],[USAGE / DAY]]-Table50[[#This Row],[USAGE / DAY 2]])/Table50[[#This Row],[USAGE / DAY 2]],0)</f>
        <v>-0.92</v>
      </c>
      <c r="Z177" s="15">
        <f t="shared" si="6"/>
        <v>14</v>
      </c>
      <c r="AA177" s="15">
        <f t="shared" si="7"/>
        <v>9.311854181734148</v>
      </c>
      <c r="AB177" s="15" t="str">
        <f>IFERROR(IF(Table50[[#This Row],[ccnt]]="BEV",$AB$2,IF(Table50[[#This Row],[ccnt]]="FOOD",$AC$2,"ENTER # FROM LAST COUNT")),"ENTER # FROM LAST COUNT")</f>
        <v>ENTER # FROM LAST COUNT</v>
      </c>
      <c r="AC177" s="15">
        <f>(Table50[[#This Row],[OpeningQty]]+Table50[[#This Row],[ClosingQty]])/2</f>
        <v>0</v>
      </c>
      <c r="AD177" s="15">
        <f>IFERROR(Table50[[#This Row],[UsageQty]]/Table50[[#This Row],[AVE INVENTORY]],0)</f>
        <v>0</v>
      </c>
      <c r="AE177" s="15">
        <f>IFERROR(Table50[[#This Row],[DATA POINT]]/Table50[[#This Row],[Inventory Turnover Rate]],0)</f>
        <v>0</v>
      </c>
      <c r="AF177" s="15">
        <f>Table50[[#This Row],[ClosingQty]]/Table50[[#This Row],[USAGE / DAY]]</f>
        <v>0</v>
      </c>
      <c r="AG177" s="15">
        <f>Table50[[#This Row],[USAGE / DAY]]*7</f>
        <v>0.56000000000000005</v>
      </c>
      <c r="AH177" s="15">
        <f>Table50[[#This Row],[USAGE / DAY]]*3</f>
        <v>0.24</v>
      </c>
      <c r="AI177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77" s="15">
        <f>IFERROR(Table50[[#This Row],[ORDER QTY2]]*Table50[[#This Row],[COST PRICE]],0)</f>
        <v>397.87200000000001</v>
      </c>
      <c r="AK177" s="15" t="e">
        <f>(Table50[[#This Row],[REORDER POINT]]*Table50[[#This Row],[COST PRICE]])+Table50[[#This Row],[ORDER COST]]</f>
        <v>#VALUE!</v>
      </c>
      <c r="AL177" s="15">
        <f t="shared" si="8"/>
        <v>100</v>
      </c>
      <c r="AM177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8" spans="1:39" hidden="1" x14ac:dyDescent="0.25">
      <c r="A178" t="s">
        <v>215</v>
      </c>
      <c r="B178" t="s">
        <v>250</v>
      </c>
      <c r="C178" t="s">
        <v>251</v>
      </c>
      <c r="D178" t="s">
        <v>53</v>
      </c>
      <c r="E178">
        <v>0</v>
      </c>
      <c r="F178">
        <v>0</v>
      </c>
      <c r="G178">
        <v>1</v>
      </c>
      <c r="H178">
        <v>250</v>
      </c>
      <c r="I178">
        <v>0</v>
      </c>
      <c r="J178">
        <v>0</v>
      </c>
      <c r="K178">
        <f>Table50[[#This Row],[OpeningQty]]+Table50[[#This Row],[PurchasesQty]]-Table50[[#This Row],[ClosingQty]]</f>
        <v>1</v>
      </c>
      <c r="L178">
        <v>250</v>
      </c>
      <c r="M178" s="14">
        <f>Table50[[#This Row],[Usage]]/$L$1</f>
        <v>3.7969984878833221E-4</v>
      </c>
      <c r="N178" s="15">
        <f>IFERROR(Table50[[#This Row],[Opening]]/Table50[[#This Row],[OpeningQty]],0)</f>
        <v>0</v>
      </c>
      <c r="O178" s="15">
        <f>IFERROR(Table50[[#This Row],[Purchases]]/Table50[[#This Row],[PurchasesQty]],0)</f>
        <v>250</v>
      </c>
      <c r="P178" s="15">
        <f>IFERROR(Table50[[#This Row],[Closing]]/Table50[[#This Row],[ClosingQty]],0)</f>
        <v>0</v>
      </c>
      <c r="Q178" s="15">
        <f>IFERROR(AVERAGEIF(Table50[[#This Row],[OPENING COST PRICE]:[CLOSING COST PRICE]],"&gt;0"),0)</f>
        <v>250</v>
      </c>
      <c r="R178" s="15">
        <f>IFERROR(Table50[[#This Row],[COST PRICE]]-IFERROR(Table50[[#This Row],[Usage]]/Table50[[#This Row],[UsageQty]],Table50[[#This Row],[COST PRICE]]),0)</f>
        <v>0</v>
      </c>
      <c r="S178" s="16">
        <f>IFERROR(Table50[[#This Row],[COST PRICE CHANGE]]/Table50[[#This Row],[OPENING COST PRICE]],0)</f>
        <v>0</v>
      </c>
      <c r="T178" s="15" t="e">
        <f>Table50[[#This Row],[ClosingQty]]-(Table50[[#This Row],[USAGE / DAY]]*(IF(Table50[[#This Row],[ccnt]]="BEV",Table50[[#This Row],[DELIVERY DAY]],Table50[[#This Row],[DELIVERY DAY]])))</f>
        <v>#VALUE!</v>
      </c>
      <c r="U178" s="15">
        <f>ROUNDUP(Table50[[#This Row],[UsageQty]]/Table50[[#This Row],[DATA POINT]],2)</f>
        <v>0.08</v>
      </c>
      <c r="V178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8" s="15">
        <f>IFERROR(Table50[[#This Row],[ORDER QTY]]*Table50[[#This Row],[COST PRICE]],0)</f>
        <v>0</v>
      </c>
      <c r="X178" s="15">
        <f>IFERROR(VLOOKUP(C178,[1]!Table48[[#All],[name]:[USAGE / DAY]],18,FALSE),1)</f>
        <v>1</v>
      </c>
      <c r="Y178" s="4">
        <f>IFERROR((Table50[[#This Row],[USAGE / DAY]]-Table50[[#This Row],[USAGE / DAY 2]])/Table50[[#This Row],[USAGE / DAY 2]],0)</f>
        <v>-0.92</v>
      </c>
      <c r="Z178" s="15">
        <f t="shared" si="6"/>
        <v>14</v>
      </c>
      <c r="AA178" s="15">
        <f t="shared" si="7"/>
        <v>9.311854181734148</v>
      </c>
      <c r="AB178" s="15" t="str">
        <f>IFERROR(IF(Table50[[#This Row],[ccnt]]="BEV",$AB$2,IF(Table50[[#This Row],[ccnt]]="FOOD",$AC$2,"ENTER # FROM LAST COUNT")),"ENTER # FROM LAST COUNT")</f>
        <v>ENTER # FROM LAST COUNT</v>
      </c>
      <c r="AC178" s="15">
        <f>(Table50[[#This Row],[OpeningQty]]+Table50[[#This Row],[ClosingQty]])/2</f>
        <v>0</v>
      </c>
      <c r="AD178" s="15">
        <f>IFERROR(Table50[[#This Row],[UsageQty]]/Table50[[#This Row],[AVE INVENTORY]],0)</f>
        <v>0</v>
      </c>
      <c r="AE178" s="15">
        <f>IFERROR(Table50[[#This Row],[DATA POINT]]/Table50[[#This Row],[Inventory Turnover Rate]],0)</f>
        <v>0</v>
      </c>
      <c r="AF178" s="15">
        <f>Table50[[#This Row],[ClosingQty]]/Table50[[#This Row],[USAGE / DAY]]</f>
        <v>0</v>
      </c>
      <c r="AG178" s="15">
        <f>Table50[[#This Row],[USAGE / DAY]]*7</f>
        <v>0.56000000000000005</v>
      </c>
      <c r="AH178" s="15">
        <f>Table50[[#This Row],[USAGE / DAY]]*3</f>
        <v>0.24</v>
      </c>
      <c r="AI178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78" s="15">
        <f>IFERROR(Table50[[#This Row],[ORDER QTY2]]*Table50[[#This Row],[COST PRICE]],0)</f>
        <v>200</v>
      </c>
      <c r="AK178" s="15" t="e">
        <f>(Table50[[#This Row],[REORDER POINT]]*Table50[[#This Row],[COST PRICE]])+Table50[[#This Row],[ORDER COST]]</f>
        <v>#VALUE!</v>
      </c>
      <c r="AL178" s="15">
        <f t="shared" si="8"/>
        <v>100</v>
      </c>
      <c r="AM178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79" spans="1:39" hidden="1" x14ac:dyDescent="0.25">
      <c r="A179" t="s">
        <v>215</v>
      </c>
      <c r="B179" t="s">
        <v>252</v>
      </c>
      <c r="C179" t="s">
        <v>253</v>
      </c>
      <c r="D179" t="s">
        <v>53</v>
      </c>
      <c r="E179">
        <v>0</v>
      </c>
      <c r="F179">
        <v>0</v>
      </c>
      <c r="G179">
        <v>24</v>
      </c>
      <c r="H179">
        <v>892.77</v>
      </c>
      <c r="I179">
        <v>0</v>
      </c>
      <c r="J179">
        <v>0</v>
      </c>
      <c r="K179">
        <f>Table50[[#This Row],[OpeningQty]]+Table50[[#This Row],[PurchasesQty]]-Table50[[#This Row],[ClosingQty]]</f>
        <v>24</v>
      </c>
      <c r="L179">
        <v>892.77</v>
      </c>
      <c r="M179" s="14">
        <f>Table50[[#This Row],[Usage]]/$L$1</f>
        <v>1.3559385360110373E-3</v>
      </c>
      <c r="N179" s="15">
        <f>IFERROR(Table50[[#This Row],[Opening]]/Table50[[#This Row],[OpeningQty]],0)</f>
        <v>0</v>
      </c>
      <c r="O179" s="15">
        <f>IFERROR(Table50[[#This Row],[Purchases]]/Table50[[#This Row],[PurchasesQty]],0)</f>
        <v>37.198749999999997</v>
      </c>
      <c r="P179" s="15">
        <f>IFERROR(Table50[[#This Row],[Closing]]/Table50[[#This Row],[ClosingQty]],0)</f>
        <v>0</v>
      </c>
      <c r="Q179" s="15">
        <f>IFERROR(AVERAGEIF(Table50[[#This Row],[OPENING COST PRICE]:[CLOSING COST PRICE]],"&gt;0"),0)</f>
        <v>37.198749999999997</v>
      </c>
      <c r="R179" s="15">
        <f>IFERROR(Table50[[#This Row],[COST PRICE]]-IFERROR(Table50[[#This Row],[Usage]]/Table50[[#This Row],[UsageQty]],Table50[[#This Row],[COST PRICE]]),0)</f>
        <v>0</v>
      </c>
      <c r="S179" s="16">
        <f>IFERROR(Table50[[#This Row],[COST PRICE CHANGE]]/Table50[[#This Row],[OPENING COST PRICE]],0)</f>
        <v>0</v>
      </c>
      <c r="T179" s="15" t="e">
        <f>Table50[[#This Row],[ClosingQty]]-(Table50[[#This Row],[USAGE / DAY]]*(IF(Table50[[#This Row],[ccnt]]="BEV",Table50[[#This Row],[DELIVERY DAY]],Table50[[#This Row],[DELIVERY DAY]])))</f>
        <v>#VALUE!</v>
      </c>
      <c r="U179" s="15">
        <f>ROUNDUP(Table50[[#This Row],[UsageQty]]/Table50[[#This Row],[DATA POINT]],2)</f>
        <v>1.72</v>
      </c>
      <c r="V179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79" s="15">
        <f>IFERROR(Table50[[#This Row],[ORDER QTY]]*Table50[[#This Row],[COST PRICE]],0)</f>
        <v>0</v>
      </c>
      <c r="X179" s="15">
        <f>IFERROR(VLOOKUP(C179,[1]!Table48[[#All],[name]:[USAGE / DAY]],18,FALSE),1)</f>
        <v>1</v>
      </c>
      <c r="Y179" s="4">
        <f>IFERROR((Table50[[#This Row],[USAGE / DAY]]-Table50[[#This Row],[USAGE / DAY 2]])/Table50[[#This Row],[USAGE / DAY 2]],0)</f>
        <v>0.72</v>
      </c>
      <c r="Z179" s="15">
        <f t="shared" si="6"/>
        <v>14</v>
      </c>
      <c r="AA179" s="15">
        <f t="shared" si="7"/>
        <v>9.311854181734148</v>
      </c>
      <c r="AB179" s="15" t="str">
        <f>IFERROR(IF(Table50[[#This Row],[ccnt]]="BEV",$AB$2,IF(Table50[[#This Row],[ccnt]]="FOOD",$AC$2,"ENTER # FROM LAST COUNT")),"ENTER # FROM LAST COUNT")</f>
        <v>ENTER # FROM LAST COUNT</v>
      </c>
      <c r="AC179" s="15">
        <f>(Table50[[#This Row],[OpeningQty]]+Table50[[#This Row],[ClosingQty]])/2</f>
        <v>0</v>
      </c>
      <c r="AD179" s="15">
        <f>IFERROR(Table50[[#This Row],[UsageQty]]/Table50[[#This Row],[AVE INVENTORY]],0)</f>
        <v>0</v>
      </c>
      <c r="AE179" s="15">
        <f>IFERROR(Table50[[#This Row],[DATA POINT]]/Table50[[#This Row],[Inventory Turnover Rate]],0)</f>
        <v>0</v>
      </c>
      <c r="AF179" s="15">
        <f>Table50[[#This Row],[ClosingQty]]/Table50[[#This Row],[USAGE / DAY]]</f>
        <v>0</v>
      </c>
      <c r="AG179" s="15">
        <f>Table50[[#This Row],[USAGE / DAY]]*7</f>
        <v>12.04</v>
      </c>
      <c r="AH179" s="15">
        <f>Table50[[#This Row],[USAGE / DAY]]*3</f>
        <v>5.16</v>
      </c>
      <c r="AI179" s="15">
        <f>IF(Table50[[#This Row],[FORECASTED DEMAND]]+Table50[[#This Row],[SAFETY STOCK]]-Table50[[#This Row],[ClosingQty]]&gt;0,Table50[[#This Row],[FORECASTED DEMAND]]+Table50[[#This Row],[SAFETY STOCK]]-Table50[[#This Row],[ClosingQty]],"NO ORDER")</f>
        <v>17.2</v>
      </c>
      <c r="AJ179" s="15">
        <f>IFERROR(Table50[[#This Row],[ORDER QTY2]]*Table50[[#This Row],[COST PRICE]],0)</f>
        <v>639.81849999999997</v>
      </c>
      <c r="AK179" s="15" t="e">
        <f>(Table50[[#This Row],[REORDER POINT]]*Table50[[#This Row],[COST PRICE]])+Table50[[#This Row],[ORDER COST]]</f>
        <v>#VALUE!</v>
      </c>
      <c r="AL179" s="15">
        <f t="shared" si="8"/>
        <v>100</v>
      </c>
      <c r="AM179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0" spans="1:39" hidden="1" x14ac:dyDescent="0.25">
      <c r="A180" t="s">
        <v>215</v>
      </c>
      <c r="B180" t="s">
        <v>252</v>
      </c>
      <c r="C180" t="s">
        <v>254</v>
      </c>
      <c r="D180" t="s">
        <v>53</v>
      </c>
      <c r="E180">
        <v>0</v>
      </c>
      <c r="F180">
        <v>0</v>
      </c>
      <c r="G180">
        <v>20</v>
      </c>
      <c r="H180">
        <v>578</v>
      </c>
      <c r="I180">
        <v>0</v>
      </c>
      <c r="J180">
        <v>0</v>
      </c>
      <c r="K180">
        <f>Table50[[#This Row],[OpeningQty]]+Table50[[#This Row],[PurchasesQty]]-Table50[[#This Row],[ClosingQty]]</f>
        <v>20</v>
      </c>
      <c r="L180">
        <v>578</v>
      </c>
      <c r="M180" s="14">
        <f>Table50[[#This Row],[Usage]]/$L$1</f>
        <v>8.7786605039862401E-4</v>
      </c>
      <c r="N180" s="15">
        <f>IFERROR(Table50[[#This Row],[Opening]]/Table50[[#This Row],[OpeningQty]],0)</f>
        <v>0</v>
      </c>
      <c r="O180" s="15">
        <f>IFERROR(Table50[[#This Row],[Purchases]]/Table50[[#This Row],[PurchasesQty]],0)</f>
        <v>28.9</v>
      </c>
      <c r="P180" s="15">
        <f>IFERROR(Table50[[#This Row],[Closing]]/Table50[[#This Row],[ClosingQty]],0)</f>
        <v>0</v>
      </c>
      <c r="Q180" s="15">
        <f>IFERROR(AVERAGEIF(Table50[[#This Row],[OPENING COST PRICE]:[CLOSING COST PRICE]],"&gt;0"),0)</f>
        <v>28.9</v>
      </c>
      <c r="R180" s="15">
        <f>IFERROR(Table50[[#This Row],[COST PRICE]]-IFERROR(Table50[[#This Row],[Usage]]/Table50[[#This Row],[UsageQty]],Table50[[#This Row],[COST PRICE]]),0)</f>
        <v>0</v>
      </c>
      <c r="S180" s="16">
        <f>IFERROR(Table50[[#This Row],[COST PRICE CHANGE]]/Table50[[#This Row],[OPENING COST PRICE]],0)</f>
        <v>0</v>
      </c>
      <c r="T180" s="15" t="e">
        <f>Table50[[#This Row],[ClosingQty]]-(Table50[[#This Row],[USAGE / DAY]]*(IF(Table50[[#This Row],[ccnt]]="BEV",Table50[[#This Row],[DELIVERY DAY]],Table50[[#This Row],[DELIVERY DAY]])))</f>
        <v>#VALUE!</v>
      </c>
      <c r="U180" s="15">
        <f>ROUNDUP(Table50[[#This Row],[UsageQty]]/Table50[[#This Row],[DATA POINT]],2)</f>
        <v>1.43</v>
      </c>
      <c r="V180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0" s="15">
        <f>IFERROR(Table50[[#This Row],[ORDER QTY]]*Table50[[#This Row],[COST PRICE]],0)</f>
        <v>0</v>
      </c>
      <c r="X180" s="15">
        <f>IFERROR(VLOOKUP(C180,[1]!Table48[[#All],[name]:[USAGE / DAY]],18,FALSE),1)</f>
        <v>1</v>
      </c>
      <c r="Y180" s="4">
        <f>IFERROR((Table50[[#This Row],[USAGE / DAY]]-Table50[[#This Row],[USAGE / DAY 2]])/Table50[[#This Row],[USAGE / DAY 2]],0)</f>
        <v>0.42999999999999994</v>
      </c>
      <c r="Z180" s="15">
        <f t="shared" si="6"/>
        <v>14</v>
      </c>
      <c r="AA180" s="15">
        <f t="shared" si="7"/>
        <v>9.311854181734148</v>
      </c>
      <c r="AB180" s="15" t="str">
        <f>IFERROR(IF(Table50[[#This Row],[ccnt]]="BEV",$AB$2,IF(Table50[[#This Row],[ccnt]]="FOOD",$AC$2,"ENTER # FROM LAST COUNT")),"ENTER # FROM LAST COUNT")</f>
        <v>ENTER # FROM LAST COUNT</v>
      </c>
      <c r="AC180" s="15">
        <f>(Table50[[#This Row],[OpeningQty]]+Table50[[#This Row],[ClosingQty]])/2</f>
        <v>0</v>
      </c>
      <c r="AD180" s="15">
        <f>IFERROR(Table50[[#This Row],[UsageQty]]/Table50[[#This Row],[AVE INVENTORY]],0)</f>
        <v>0</v>
      </c>
      <c r="AE180" s="15">
        <f>IFERROR(Table50[[#This Row],[DATA POINT]]/Table50[[#This Row],[Inventory Turnover Rate]],0)</f>
        <v>0</v>
      </c>
      <c r="AF180" s="15">
        <f>Table50[[#This Row],[ClosingQty]]/Table50[[#This Row],[USAGE / DAY]]</f>
        <v>0</v>
      </c>
      <c r="AG180" s="15">
        <f>Table50[[#This Row],[USAGE / DAY]]*7</f>
        <v>10.01</v>
      </c>
      <c r="AH180" s="15">
        <f>Table50[[#This Row],[USAGE / DAY]]*3</f>
        <v>4.29</v>
      </c>
      <c r="AI180" s="15">
        <f>IF(Table50[[#This Row],[FORECASTED DEMAND]]+Table50[[#This Row],[SAFETY STOCK]]-Table50[[#This Row],[ClosingQty]]&gt;0,Table50[[#This Row],[FORECASTED DEMAND]]+Table50[[#This Row],[SAFETY STOCK]]-Table50[[#This Row],[ClosingQty]],"NO ORDER")</f>
        <v>14.3</v>
      </c>
      <c r="AJ180" s="15">
        <f>IFERROR(Table50[[#This Row],[ORDER QTY2]]*Table50[[#This Row],[COST PRICE]],0)</f>
        <v>413.27</v>
      </c>
      <c r="AK180" s="15" t="e">
        <f>(Table50[[#This Row],[REORDER POINT]]*Table50[[#This Row],[COST PRICE]])+Table50[[#This Row],[ORDER COST]]</f>
        <v>#VALUE!</v>
      </c>
      <c r="AL180" s="15">
        <f t="shared" si="8"/>
        <v>100</v>
      </c>
      <c r="AM180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1" spans="1:39" hidden="1" x14ac:dyDescent="0.25">
      <c r="A181" t="s">
        <v>215</v>
      </c>
      <c r="B181" t="s">
        <v>252</v>
      </c>
      <c r="C181" t="s">
        <v>255</v>
      </c>
      <c r="D181" t="s">
        <v>53</v>
      </c>
      <c r="E181">
        <v>0</v>
      </c>
      <c r="F181">
        <v>0</v>
      </c>
      <c r="G181">
        <v>12</v>
      </c>
      <c r="H181">
        <v>338.66</v>
      </c>
      <c r="I181">
        <v>0</v>
      </c>
      <c r="J181">
        <v>0</v>
      </c>
      <c r="K181">
        <f>Table50[[#This Row],[OpeningQty]]+Table50[[#This Row],[PurchasesQty]]-Table50[[#This Row],[ClosingQty]]</f>
        <v>12</v>
      </c>
      <c r="L181">
        <v>338.66</v>
      </c>
      <c r="M181" s="14">
        <f>Table50[[#This Row],[Usage]]/$L$1</f>
        <v>5.1435660316262639E-4</v>
      </c>
      <c r="N181" s="15">
        <f>IFERROR(Table50[[#This Row],[Opening]]/Table50[[#This Row],[OpeningQty]],0)</f>
        <v>0</v>
      </c>
      <c r="O181" s="15">
        <f>IFERROR(Table50[[#This Row],[Purchases]]/Table50[[#This Row],[PurchasesQty]],0)</f>
        <v>28.221666666666668</v>
      </c>
      <c r="P181" s="15">
        <f>IFERROR(Table50[[#This Row],[Closing]]/Table50[[#This Row],[ClosingQty]],0)</f>
        <v>0</v>
      </c>
      <c r="Q181" s="15">
        <f>IFERROR(AVERAGEIF(Table50[[#This Row],[OPENING COST PRICE]:[CLOSING COST PRICE]],"&gt;0"),0)</f>
        <v>28.221666666666668</v>
      </c>
      <c r="R181" s="15">
        <f>IFERROR(Table50[[#This Row],[COST PRICE]]-IFERROR(Table50[[#This Row],[Usage]]/Table50[[#This Row],[UsageQty]],Table50[[#This Row],[COST PRICE]]),0)</f>
        <v>0</v>
      </c>
      <c r="S181" s="16">
        <f>IFERROR(Table50[[#This Row],[COST PRICE CHANGE]]/Table50[[#This Row],[OPENING COST PRICE]],0)</f>
        <v>0</v>
      </c>
      <c r="T181" s="15" t="e">
        <f>Table50[[#This Row],[ClosingQty]]-(Table50[[#This Row],[USAGE / DAY]]*(IF(Table50[[#This Row],[ccnt]]="BEV",Table50[[#This Row],[DELIVERY DAY]],Table50[[#This Row],[DELIVERY DAY]])))</f>
        <v>#VALUE!</v>
      </c>
      <c r="U181" s="15">
        <f>ROUNDUP(Table50[[#This Row],[UsageQty]]/Table50[[#This Row],[DATA POINT]],2)</f>
        <v>0.86</v>
      </c>
      <c r="V181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1" s="15">
        <f>IFERROR(Table50[[#This Row],[ORDER QTY]]*Table50[[#This Row],[COST PRICE]],0)</f>
        <v>0</v>
      </c>
      <c r="X181" s="15">
        <f>IFERROR(VLOOKUP(C181,[1]!Table48[[#All],[name]:[USAGE / DAY]],18,FALSE),1)</f>
        <v>1</v>
      </c>
      <c r="Y181" s="4">
        <f>IFERROR((Table50[[#This Row],[USAGE / DAY]]-Table50[[#This Row],[USAGE / DAY 2]])/Table50[[#This Row],[USAGE / DAY 2]],0)</f>
        <v>-0.14000000000000001</v>
      </c>
      <c r="Z181" s="15">
        <f t="shared" si="6"/>
        <v>14</v>
      </c>
      <c r="AA181" s="15">
        <f t="shared" si="7"/>
        <v>9.311854181734148</v>
      </c>
      <c r="AB181" s="15" t="str">
        <f>IFERROR(IF(Table50[[#This Row],[ccnt]]="BEV",$AB$2,IF(Table50[[#This Row],[ccnt]]="FOOD",$AC$2,"ENTER # FROM LAST COUNT")),"ENTER # FROM LAST COUNT")</f>
        <v>ENTER # FROM LAST COUNT</v>
      </c>
      <c r="AC181" s="15">
        <f>(Table50[[#This Row],[OpeningQty]]+Table50[[#This Row],[ClosingQty]])/2</f>
        <v>0</v>
      </c>
      <c r="AD181" s="15">
        <f>IFERROR(Table50[[#This Row],[UsageQty]]/Table50[[#This Row],[AVE INVENTORY]],0)</f>
        <v>0</v>
      </c>
      <c r="AE181" s="15">
        <f>IFERROR(Table50[[#This Row],[DATA POINT]]/Table50[[#This Row],[Inventory Turnover Rate]],0)</f>
        <v>0</v>
      </c>
      <c r="AF181" s="15">
        <f>Table50[[#This Row],[ClosingQty]]/Table50[[#This Row],[USAGE / DAY]]</f>
        <v>0</v>
      </c>
      <c r="AG181" s="15">
        <f>Table50[[#This Row],[USAGE / DAY]]*7</f>
        <v>6.02</v>
      </c>
      <c r="AH181" s="15">
        <f>Table50[[#This Row],[USAGE / DAY]]*3</f>
        <v>2.58</v>
      </c>
      <c r="AI181" s="15">
        <f>IF(Table50[[#This Row],[FORECASTED DEMAND]]+Table50[[#This Row],[SAFETY STOCK]]-Table50[[#This Row],[ClosingQty]]&gt;0,Table50[[#This Row],[FORECASTED DEMAND]]+Table50[[#This Row],[SAFETY STOCK]]-Table50[[#This Row],[ClosingQty]],"NO ORDER")</f>
        <v>8.6</v>
      </c>
      <c r="AJ181" s="15">
        <f>IFERROR(Table50[[#This Row],[ORDER QTY2]]*Table50[[#This Row],[COST PRICE]],0)</f>
        <v>242.70633333333333</v>
      </c>
      <c r="AK181" s="15" t="e">
        <f>(Table50[[#This Row],[REORDER POINT]]*Table50[[#This Row],[COST PRICE]])+Table50[[#This Row],[ORDER COST]]</f>
        <v>#VALUE!</v>
      </c>
      <c r="AL181" s="15">
        <f t="shared" si="8"/>
        <v>100</v>
      </c>
      <c r="AM181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2" spans="1:39" hidden="1" x14ac:dyDescent="0.25">
      <c r="A182" t="s">
        <v>215</v>
      </c>
      <c r="B182" t="s">
        <v>252</v>
      </c>
      <c r="C182" t="s">
        <v>256</v>
      </c>
      <c r="D182" t="s">
        <v>53</v>
      </c>
      <c r="E182">
        <v>0</v>
      </c>
      <c r="F182">
        <v>0</v>
      </c>
      <c r="G182">
        <v>36</v>
      </c>
      <c r="H182">
        <v>187.2</v>
      </c>
      <c r="I182">
        <v>0</v>
      </c>
      <c r="J182">
        <v>0</v>
      </c>
      <c r="K182">
        <f>Table50[[#This Row],[OpeningQty]]+Table50[[#This Row],[PurchasesQty]]-Table50[[#This Row],[ClosingQty]]</f>
        <v>36</v>
      </c>
      <c r="L182">
        <v>187.2</v>
      </c>
      <c r="M182" s="14">
        <f>Table50[[#This Row],[Usage]]/$L$1</f>
        <v>2.8431924677270313E-4</v>
      </c>
      <c r="N182" s="15">
        <f>IFERROR(Table50[[#This Row],[Opening]]/Table50[[#This Row],[OpeningQty]],0)</f>
        <v>0</v>
      </c>
      <c r="O182" s="15">
        <f>IFERROR(Table50[[#This Row],[Purchases]]/Table50[[#This Row],[PurchasesQty]],0)</f>
        <v>5.1999999999999993</v>
      </c>
      <c r="P182" s="15">
        <f>IFERROR(Table50[[#This Row],[Closing]]/Table50[[#This Row],[ClosingQty]],0)</f>
        <v>0</v>
      </c>
      <c r="Q182" s="15">
        <f>IFERROR(AVERAGEIF(Table50[[#This Row],[OPENING COST PRICE]:[CLOSING COST PRICE]],"&gt;0"),0)</f>
        <v>5.1999999999999993</v>
      </c>
      <c r="R182" s="15">
        <f>IFERROR(Table50[[#This Row],[COST PRICE]]-IFERROR(Table50[[#This Row],[Usage]]/Table50[[#This Row],[UsageQty]],Table50[[#This Row],[COST PRICE]]),0)</f>
        <v>0</v>
      </c>
      <c r="S182" s="16">
        <f>IFERROR(Table50[[#This Row],[COST PRICE CHANGE]]/Table50[[#This Row],[OPENING COST PRICE]],0)</f>
        <v>0</v>
      </c>
      <c r="T182" s="15" t="e">
        <f>Table50[[#This Row],[ClosingQty]]-(Table50[[#This Row],[USAGE / DAY]]*(IF(Table50[[#This Row],[ccnt]]="BEV",Table50[[#This Row],[DELIVERY DAY]],Table50[[#This Row],[DELIVERY DAY]])))</f>
        <v>#VALUE!</v>
      </c>
      <c r="U182" s="15">
        <f>ROUNDUP(Table50[[#This Row],[UsageQty]]/Table50[[#This Row],[DATA POINT]],2)</f>
        <v>2.5799999999999996</v>
      </c>
      <c r="V182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2" s="15">
        <f>IFERROR(Table50[[#This Row],[ORDER QTY]]*Table50[[#This Row],[COST PRICE]],0)</f>
        <v>0</v>
      </c>
      <c r="X182" s="15">
        <f>IFERROR(VLOOKUP(C182,[1]!Table48[[#All],[name]:[USAGE / DAY]],18,FALSE),1)</f>
        <v>1</v>
      </c>
      <c r="Y182" s="4">
        <f>IFERROR((Table50[[#This Row],[USAGE / DAY]]-Table50[[#This Row],[USAGE / DAY 2]])/Table50[[#This Row],[USAGE / DAY 2]],0)</f>
        <v>1.5799999999999996</v>
      </c>
      <c r="Z182" s="15">
        <f t="shared" si="6"/>
        <v>14</v>
      </c>
      <c r="AA182" s="15">
        <f t="shared" si="7"/>
        <v>9.311854181734148</v>
      </c>
      <c r="AB182" s="15" t="str">
        <f>IFERROR(IF(Table50[[#This Row],[ccnt]]="BEV",$AB$2,IF(Table50[[#This Row],[ccnt]]="FOOD",$AC$2,"ENTER # FROM LAST COUNT")),"ENTER # FROM LAST COUNT")</f>
        <v>ENTER # FROM LAST COUNT</v>
      </c>
      <c r="AC182" s="15">
        <f>(Table50[[#This Row],[OpeningQty]]+Table50[[#This Row],[ClosingQty]])/2</f>
        <v>0</v>
      </c>
      <c r="AD182" s="15">
        <f>IFERROR(Table50[[#This Row],[UsageQty]]/Table50[[#This Row],[AVE INVENTORY]],0)</f>
        <v>0</v>
      </c>
      <c r="AE182" s="15">
        <f>IFERROR(Table50[[#This Row],[DATA POINT]]/Table50[[#This Row],[Inventory Turnover Rate]],0)</f>
        <v>0</v>
      </c>
      <c r="AF182" s="15">
        <f>Table50[[#This Row],[ClosingQty]]/Table50[[#This Row],[USAGE / DAY]]</f>
        <v>0</v>
      </c>
      <c r="AG182" s="15">
        <f>Table50[[#This Row],[USAGE / DAY]]*7</f>
        <v>18.059999999999999</v>
      </c>
      <c r="AH182" s="15">
        <f>Table50[[#This Row],[USAGE / DAY]]*3</f>
        <v>7.7399999999999984</v>
      </c>
      <c r="AI182" s="15">
        <f>IF(Table50[[#This Row],[FORECASTED DEMAND]]+Table50[[#This Row],[SAFETY STOCK]]-Table50[[#This Row],[ClosingQty]]&gt;0,Table50[[#This Row],[FORECASTED DEMAND]]+Table50[[#This Row],[SAFETY STOCK]]-Table50[[#This Row],[ClosingQty]],"NO ORDER")</f>
        <v>25.799999999999997</v>
      </c>
      <c r="AJ182" s="15">
        <f>IFERROR(Table50[[#This Row],[ORDER QTY2]]*Table50[[#This Row],[COST PRICE]],0)</f>
        <v>134.15999999999997</v>
      </c>
      <c r="AK182" s="15" t="e">
        <f>(Table50[[#This Row],[REORDER POINT]]*Table50[[#This Row],[COST PRICE]])+Table50[[#This Row],[ORDER COST]]</f>
        <v>#VALUE!</v>
      </c>
      <c r="AL182" s="15">
        <f t="shared" si="8"/>
        <v>100</v>
      </c>
      <c r="AM182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3" spans="1:39" hidden="1" x14ac:dyDescent="0.25">
      <c r="A183" t="s">
        <v>215</v>
      </c>
      <c r="B183" t="s">
        <v>252</v>
      </c>
      <c r="C183" t="s">
        <v>257</v>
      </c>
      <c r="D183" t="s">
        <v>53</v>
      </c>
      <c r="E183">
        <v>0</v>
      </c>
      <c r="F183">
        <v>0</v>
      </c>
      <c r="G183">
        <v>24</v>
      </c>
      <c r="H183">
        <v>458.93</v>
      </c>
      <c r="I183">
        <v>0</v>
      </c>
      <c r="J183">
        <v>0</v>
      </c>
      <c r="K183">
        <f>Table50[[#This Row],[OpeningQty]]+Table50[[#This Row],[PurchasesQty]]-Table50[[#This Row],[ClosingQty]]</f>
        <v>24</v>
      </c>
      <c r="L183">
        <v>458.93</v>
      </c>
      <c r="M183" s="14">
        <f>Table50[[#This Row],[Usage]]/$L$1</f>
        <v>6.970226064177172E-4</v>
      </c>
      <c r="N183" s="15">
        <f>IFERROR(Table50[[#This Row],[Opening]]/Table50[[#This Row],[OpeningQty]],0)</f>
        <v>0</v>
      </c>
      <c r="O183" s="15">
        <f>IFERROR(Table50[[#This Row],[Purchases]]/Table50[[#This Row],[PurchasesQty]],0)</f>
        <v>19.122083333333332</v>
      </c>
      <c r="P183" s="15">
        <f>IFERROR(Table50[[#This Row],[Closing]]/Table50[[#This Row],[ClosingQty]],0)</f>
        <v>0</v>
      </c>
      <c r="Q183" s="15">
        <f>IFERROR(AVERAGEIF(Table50[[#This Row],[OPENING COST PRICE]:[CLOSING COST PRICE]],"&gt;0"),0)</f>
        <v>19.122083333333332</v>
      </c>
      <c r="R183" s="15">
        <f>IFERROR(Table50[[#This Row],[COST PRICE]]-IFERROR(Table50[[#This Row],[Usage]]/Table50[[#This Row],[UsageQty]],Table50[[#This Row],[COST PRICE]]),0)</f>
        <v>0</v>
      </c>
      <c r="S183" s="16">
        <f>IFERROR(Table50[[#This Row],[COST PRICE CHANGE]]/Table50[[#This Row],[OPENING COST PRICE]],0)</f>
        <v>0</v>
      </c>
      <c r="T183" s="15" t="e">
        <f>Table50[[#This Row],[ClosingQty]]-(Table50[[#This Row],[USAGE / DAY]]*(IF(Table50[[#This Row],[ccnt]]="BEV",Table50[[#This Row],[DELIVERY DAY]],Table50[[#This Row],[DELIVERY DAY]])))</f>
        <v>#VALUE!</v>
      </c>
      <c r="U183" s="15">
        <f>ROUNDUP(Table50[[#This Row],[UsageQty]]/Table50[[#This Row],[DATA POINT]],2)</f>
        <v>1.72</v>
      </c>
      <c r="V183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3" s="15">
        <f>IFERROR(Table50[[#This Row],[ORDER QTY]]*Table50[[#This Row],[COST PRICE]],0)</f>
        <v>0</v>
      </c>
      <c r="X183" s="15">
        <f>IFERROR(VLOOKUP(C183,[1]!Table48[[#All],[name]:[USAGE / DAY]],18,FALSE),1)</f>
        <v>1</v>
      </c>
      <c r="Y183" s="4">
        <f>IFERROR((Table50[[#This Row],[USAGE / DAY]]-Table50[[#This Row],[USAGE / DAY 2]])/Table50[[#This Row],[USAGE / DAY 2]],0)</f>
        <v>0.72</v>
      </c>
      <c r="Z183" s="15">
        <f t="shared" si="6"/>
        <v>14</v>
      </c>
      <c r="AA183" s="15">
        <f t="shared" si="7"/>
        <v>9.311854181734148</v>
      </c>
      <c r="AB183" s="15" t="str">
        <f>IFERROR(IF(Table50[[#This Row],[ccnt]]="BEV",$AB$2,IF(Table50[[#This Row],[ccnt]]="FOOD",$AC$2,"ENTER # FROM LAST COUNT")),"ENTER # FROM LAST COUNT")</f>
        <v>ENTER # FROM LAST COUNT</v>
      </c>
      <c r="AC183" s="15">
        <f>(Table50[[#This Row],[OpeningQty]]+Table50[[#This Row],[ClosingQty]])/2</f>
        <v>0</v>
      </c>
      <c r="AD183" s="15">
        <f>IFERROR(Table50[[#This Row],[UsageQty]]/Table50[[#This Row],[AVE INVENTORY]],0)</f>
        <v>0</v>
      </c>
      <c r="AE183" s="15">
        <f>IFERROR(Table50[[#This Row],[DATA POINT]]/Table50[[#This Row],[Inventory Turnover Rate]],0)</f>
        <v>0</v>
      </c>
      <c r="AF183" s="15">
        <f>Table50[[#This Row],[ClosingQty]]/Table50[[#This Row],[USAGE / DAY]]</f>
        <v>0</v>
      </c>
      <c r="AG183" s="15">
        <f>Table50[[#This Row],[USAGE / DAY]]*7</f>
        <v>12.04</v>
      </c>
      <c r="AH183" s="15">
        <f>Table50[[#This Row],[USAGE / DAY]]*3</f>
        <v>5.16</v>
      </c>
      <c r="AI183" s="15">
        <f>IF(Table50[[#This Row],[FORECASTED DEMAND]]+Table50[[#This Row],[SAFETY STOCK]]-Table50[[#This Row],[ClosingQty]]&gt;0,Table50[[#This Row],[FORECASTED DEMAND]]+Table50[[#This Row],[SAFETY STOCK]]-Table50[[#This Row],[ClosingQty]],"NO ORDER")</f>
        <v>17.2</v>
      </c>
      <c r="AJ183" s="15">
        <f>IFERROR(Table50[[#This Row],[ORDER QTY2]]*Table50[[#This Row],[COST PRICE]],0)</f>
        <v>328.89983333333328</v>
      </c>
      <c r="AK183" s="15" t="e">
        <f>(Table50[[#This Row],[REORDER POINT]]*Table50[[#This Row],[COST PRICE]])+Table50[[#This Row],[ORDER COST]]</f>
        <v>#VALUE!</v>
      </c>
      <c r="AL183" s="15">
        <f t="shared" si="8"/>
        <v>100</v>
      </c>
      <c r="AM183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4" spans="1:39" hidden="1" x14ac:dyDescent="0.25">
      <c r="A184" t="s">
        <v>215</v>
      </c>
      <c r="B184" t="s">
        <v>258</v>
      </c>
      <c r="C184" t="s">
        <v>259</v>
      </c>
      <c r="D184" t="s">
        <v>53</v>
      </c>
      <c r="E184">
        <v>0</v>
      </c>
      <c r="F184">
        <v>0</v>
      </c>
      <c r="G184">
        <v>2</v>
      </c>
      <c r="H184">
        <v>140</v>
      </c>
      <c r="I184">
        <v>0</v>
      </c>
      <c r="J184">
        <v>0</v>
      </c>
      <c r="K184">
        <f>Table50[[#This Row],[OpeningQty]]+Table50[[#This Row],[PurchasesQty]]-Table50[[#This Row],[ClosingQty]]</f>
        <v>2</v>
      </c>
      <c r="L184">
        <v>140</v>
      </c>
      <c r="M184" s="14">
        <f>Table50[[#This Row],[Usage]]/$L$1</f>
        <v>2.1263191532146602E-4</v>
      </c>
      <c r="N184" s="15">
        <f>IFERROR(Table50[[#This Row],[Opening]]/Table50[[#This Row],[OpeningQty]],0)</f>
        <v>0</v>
      </c>
      <c r="O184" s="15">
        <f>IFERROR(Table50[[#This Row],[Purchases]]/Table50[[#This Row],[PurchasesQty]],0)</f>
        <v>70</v>
      </c>
      <c r="P184" s="15">
        <f>IFERROR(Table50[[#This Row],[Closing]]/Table50[[#This Row],[ClosingQty]],0)</f>
        <v>0</v>
      </c>
      <c r="Q184" s="15">
        <f>IFERROR(AVERAGEIF(Table50[[#This Row],[OPENING COST PRICE]:[CLOSING COST PRICE]],"&gt;0"),0)</f>
        <v>70</v>
      </c>
      <c r="R184" s="15">
        <f>IFERROR(Table50[[#This Row],[COST PRICE]]-IFERROR(Table50[[#This Row],[Usage]]/Table50[[#This Row],[UsageQty]],Table50[[#This Row],[COST PRICE]]),0)</f>
        <v>0</v>
      </c>
      <c r="S184" s="16">
        <f>IFERROR(Table50[[#This Row],[COST PRICE CHANGE]]/Table50[[#This Row],[OPENING COST PRICE]],0)</f>
        <v>0</v>
      </c>
      <c r="T184" s="15" t="e">
        <f>Table50[[#This Row],[ClosingQty]]-(Table50[[#This Row],[USAGE / DAY]]*(IF(Table50[[#This Row],[ccnt]]="BEV",Table50[[#This Row],[DELIVERY DAY]],Table50[[#This Row],[DELIVERY DAY]])))</f>
        <v>#VALUE!</v>
      </c>
      <c r="U184" s="15">
        <f>ROUNDUP(Table50[[#This Row],[UsageQty]]/Table50[[#This Row],[DATA POINT]],2)</f>
        <v>0.15000000000000002</v>
      </c>
      <c r="V184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4" s="15">
        <f>IFERROR(Table50[[#This Row],[ORDER QTY]]*Table50[[#This Row],[COST PRICE]],0)</f>
        <v>0</v>
      </c>
      <c r="X184" s="15">
        <f>IFERROR(VLOOKUP(C184,[1]!Table48[[#All],[name]:[USAGE / DAY]],18,FALSE),1)</f>
        <v>1</v>
      </c>
      <c r="Y184" s="4">
        <f>IFERROR((Table50[[#This Row],[USAGE / DAY]]-Table50[[#This Row],[USAGE / DAY 2]])/Table50[[#This Row],[USAGE / DAY 2]],0)</f>
        <v>-0.85</v>
      </c>
      <c r="Z184" s="15">
        <f t="shared" si="6"/>
        <v>14</v>
      </c>
      <c r="AA184" s="15">
        <f t="shared" si="7"/>
        <v>9.311854181734148</v>
      </c>
      <c r="AB184" s="15" t="str">
        <f>IFERROR(IF(Table50[[#This Row],[ccnt]]="BEV",$AB$2,IF(Table50[[#This Row],[ccnt]]="FOOD",$AC$2,"ENTER # FROM LAST COUNT")),"ENTER # FROM LAST COUNT")</f>
        <v>ENTER # FROM LAST COUNT</v>
      </c>
      <c r="AC184" s="15">
        <f>(Table50[[#This Row],[OpeningQty]]+Table50[[#This Row],[ClosingQty]])/2</f>
        <v>0</v>
      </c>
      <c r="AD184" s="15">
        <f>IFERROR(Table50[[#This Row],[UsageQty]]/Table50[[#This Row],[AVE INVENTORY]],0)</f>
        <v>0</v>
      </c>
      <c r="AE184" s="15">
        <f>IFERROR(Table50[[#This Row],[DATA POINT]]/Table50[[#This Row],[Inventory Turnover Rate]],0)</f>
        <v>0</v>
      </c>
      <c r="AF184" s="15">
        <f>Table50[[#This Row],[ClosingQty]]/Table50[[#This Row],[USAGE / DAY]]</f>
        <v>0</v>
      </c>
      <c r="AG184" s="15">
        <f>Table50[[#This Row],[USAGE / DAY]]*7</f>
        <v>1.0500000000000003</v>
      </c>
      <c r="AH184" s="15">
        <f>Table50[[#This Row],[USAGE / DAY]]*3</f>
        <v>0.45000000000000007</v>
      </c>
      <c r="AI184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184" s="15">
        <f>IFERROR(Table50[[#This Row],[ORDER QTY2]]*Table50[[#This Row],[COST PRICE]],0)</f>
        <v>105.00000000000003</v>
      </c>
      <c r="AK184" s="15" t="e">
        <f>(Table50[[#This Row],[REORDER POINT]]*Table50[[#This Row],[COST PRICE]])+Table50[[#This Row],[ORDER COST]]</f>
        <v>#VALUE!</v>
      </c>
      <c r="AL184" s="15">
        <f t="shared" si="8"/>
        <v>100</v>
      </c>
      <c r="AM184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5" spans="1:39" hidden="1" x14ac:dyDescent="0.25">
      <c r="A185" t="s">
        <v>215</v>
      </c>
      <c r="B185" t="s">
        <v>260</v>
      </c>
      <c r="C185" t="s">
        <v>261</v>
      </c>
      <c r="D185" t="s">
        <v>53</v>
      </c>
      <c r="E185">
        <v>0</v>
      </c>
      <c r="F185">
        <v>0</v>
      </c>
      <c r="G185">
        <v>2</v>
      </c>
      <c r="H185">
        <v>200</v>
      </c>
      <c r="I185">
        <v>0</v>
      </c>
      <c r="J185">
        <v>0</v>
      </c>
      <c r="K185">
        <f>Table50[[#This Row],[OpeningQty]]+Table50[[#This Row],[PurchasesQty]]-Table50[[#This Row],[ClosingQty]]</f>
        <v>2</v>
      </c>
      <c r="L185">
        <v>200</v>
      </c>
      <c r="M185" s="14">
        <f>Table50[[#This Row],[Usage]]/$L$1</f>
        <v>3.0375987903066577E-4</v>
      </c>
      <c r="N185" s="15">
        <f>IFERROR(Table50[[#This Row],[Opening]]/Table50[[#This Row],[OpeningQty]],0)</f>
        <v>0</v>
      </c>
      <c r="O185" s="15">
        <f>IFERROR(Table50[[#This Row],[Purchases]]/Table50[[#This Row],[PurchasesQty]],0)</f>
        <v>100</v>
      </c>
      <c r="P185" s="15">
        <f>IFERROR(Table50[[#This Row],[Closing]]/Table50[[#This Row],[ClosingQty]],0)</f>
        <v>0</v>
      </c>
      <c r="Q185" s="15">
        <f>IFERROR(AVERAGEIF(Table50[[#This Row],[OPENING COST PRICE]:[CLOSING COST PRICE]],"&gt;0"),0)</f>
        <v>100</v>
      </c>
      <c r="R185" s="15">
        <f>IFERROR(Table50[[#This Row],[COST PRICE]]-IFERROR(Table50[[#This Row],[Usage]]/Table50[[#This Row],[UsageQty]],Table50[[#This Row],[COST PRICE]]),0)</f>
        <v>0</v>
      </c>
      <c r="S185" s="16">
        <f>IFERROR(Table50[[#This Row],[COST PRICE CHANGE]]/Table50[[#This Row],[OPENING COST PRICE]],0)</f>
        <v>0</v>
      </c>
      <c r="T185" s="15" t="e">
        <f>Table50[[#This Row],[ClosingQty]]-(Table50[[#This Row],[USAGE / DAY]]*(IF(Table50[[#This Row],[ccnt]]="BEV",Table50[[#This Row],[DELIVERY DAY]],Table50[[#This Row],[DELIVERY DAY]])))</f>
        <v>#VALUE!</v>
      </c>
      <c r="U185" s="15">
        <f>ROUNDUP(Table50[[#This Row],[UsageQty]]/Table50[[#This Row],[DATA POINT]],2)</f>
        <v>0.15000000000000002</v>
      </c>
      <c r="V185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5" s="15">
        <f>IFERROR(Table50[[#This Row],[ORDER QTY]]*Table50[[#This Row],[COST PRICE]],0)</f>
        <v>0</v>
      </c>
      <c r="X185" s="15">
        <f>IFERROR(VLOOKUP(C185,[1]!Table48[[#All],[name]:[USAGE / DAY]],18,FALSE),1)</f>
        <v>0.08</v>
      </c>
      <c r="Y185" s="4">
        <f>IFERROR((Table50[[#This Row],[USAGE / DAY]]-Table50[[#This Row],[USAGE / DAY 2]])/Table50[[#This Row],[USAGE / DAY 2]],0)</f>
        <v>0.87500000000000022</v>
      </c>
      <c r="Z185" s="15">
        <f t="shared" si="6"/>
        <v>14</v>
      </c>
      <c r="AA185" s="15">
        <f t="shared" si="7"/>
        <v>9.311854181734148</v>
      </c>
      <c r="AB185" s="15" t="str">
        <f>IFERROR(IF(Table50[[#This Row],[ccnt]]="BEV",$AB$2,IF(Table50[[#This Row],[ccnt]]="FOOD",$AC$2,"ENTER # FROM LAST COUNT")),"ENTER # FROM LAST COUNT")</f>
        <v>ENTER # FROM LAST COUNT</v>
      </c>
      <c r="AC185" s="15">
        <f>(Table50[[#This Row],[OpeningQty]]+Table50[[#This Row],[ClosingQty]])/2</f>
        <v>0</v>
      </c>
      <c r="AD185" s="15">
        <f>IFERROR(Table50[[#This Row],[UsageQty]]/Table50[[#This Row],[AVE INVENTORY]],0)</f>
        <v>0</v>
      </c>
      <c r="AE185" s="15">
        <f>IFERROR(Table50[[#This Row],[DATA POINT]]/Table50[[#This Row],[Inventory Turnover Rate]],0)</f>
        <v>0</v>
      </c>
      <c r="AF185" s="15">
        <f>Table50[[#This Row],[ClosingQty]]/Table50[[#This Row],[USAGE / DAY]]</f>
        <v>0</v>
      </c>
      <c r="AG185" s="15">
        <f>Table50[[#This Row],[USAGE / DAY]]*7</f>
        <v>1.0500000000000003</v>
      </c>
      <c r="AH185" s="15">
        <f>Table50[[#This Row],[USAGE / DAY]]*3</f>
        <v>0.45000000000000007</v>
      </c>
      <c r="AI185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185" s="15">
        <f>IFERROR(Table50[[#This Row],[ORDER QTY2]]*Table50[[#This Row],[COST PRICE]],0)</f>
        <v>150.00000000000006</v>
      </c>
      <c r="AK185" s="15" t="e">
        <f>(Table50[[#This Row],[REORDER POINT]]*Table50[[#This Row],[COST PRICE]])+Table50[[#This Row],[ORDER COST]]</f>
        <v>#VALUE!</v>
      </c>
      <c r="AL185" s="15">
        <f t="shared" si="8"/>
        <v>100</v>
      </c>
      <c r="AM185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6" spans="1:39" hidden="1" x14ac:dyDescent="0.25">
      <c r="A186" t="s">
        <v>215</v>
      </c>
      <c r="B186" t="s">
        <v>260</v>
      </c>
      <c r="C186" t="s">
        <v>262</v>
      </c>
      <c r="D186" t="s">
        <v>53</v>
      </c>
      <c r="E186">
        <v>0</v>
      </c>
      <c r="F186">
        <v>0</v>
      </c>
      <c r="G186">
        <v>0</v>
      </c>
      <c r="H186">
        <v>-224.75</v>
      </c>
      <c r="I186">
        <v>0</v>
      </c>
      <c r="J186">
        <v>0</v>
      </c>
      <c r="K186">
        <f>Table50[[#This Row],[OpeningQty]]+Table50[[#This Row],[PurchasesQty]]-Table50[[#This Row],[ClosingQty]]</f>
        <v>0</v>
      </c>
      <c r="L186">
        <v>-224.75</v>
      </c>
      <c r="M186" s="14">
        <f>Table50[[#This Row],[Usage]]/$L$1</f>
        <v>-3.4135016406071063E-4</v>
      </c>
      <c r="N186" s="15">
        <f>IFERROR(Table50[[#This Row],[Opening]]/Table50[[#This Row],[OpeningQty]],0)</f>
        <v>0</v>
      </c>
      <c r="O186" s="15">
        <f>IFERROR(Table50[[#This Row],[Purchases]]/Table50[[#This Row],[PurchasesQty]],0)</f>
        <v>0</v>
      </c>
      <c r="P186" s="15">
        <f>IFERROR(Table50[[#This Row],[Closing]]/Table50[[#This Row],[ClosingQty]],0)</f>
        <v>0</v>
      </c>
      <c r="Q186" s="15">
        <f>IFERROR(AVERAGEIF(Table50[[#This Row],[OPENING COST PRICE]:[CLOSING COST PRICE]],"&gt;0"),0)</f>
        <v>0</v>
      </c>
      <c r="R186" s="15">
        <f>IFERROR(Table50[[#This Row],[COST PRICE]]-IFERROR(Table50[[#This Row],[Usage]]/Table50[[#This Row],[UsageQty]],Table50[[#This Row],[COST PRICE]]),0)</f>
        <v>0</v>
      </c>
      <c r="S186" s="16">
        <f>IFERROR(Table50[[#This Row],[COST PRICE CHANGE]]/Table50[[#This Row],[OPENING COST PRICE]],0)</f>
        <v>0</v>
      </c>
      <c r="T186" s="15" t="e">
        <f>Table50[[#This Row],[ClosingQty]]-(Table50[[#This Row],[USAGE / DAY]]*(IF(Table50[[#This Row],[ccnt]]="BEV",Table50[[#This Row],[DELIVERY DAY]],Table50[[#This Row],[DELIVERY DAY]])))</f>
        <v>#VALUE!</v>
      </c>
      <c r="U186" s="15">
        <f>ROUNDUP(Table50[[#This Row],[UsageQty]]/Table50[[#This Row],[DATA POINT]],2)</f>
        <v>0</v>
      </c>
      <c r="V186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6" s="15">
        <f>IFERROR(Table50[[#This Row],[ORDER QTY]]*Table50[[#This Row],[COST PRICE]],0)</f>
        <v>0</v>
      </c>
      <c r="X186" s="15">
        <f>IFERROR(VLOOKUP(C186,[1]!Table48[[#All],[name]:[USAGE / DAY]],18,FALSE),1)</f>
        <v>0.15000000000000002</v>
      </c>
      <c r="Y186" s="4">
        <f>IFERROR((Table50[[#This Row],[USAGE / DAY]]-Table50[[#This Row],[USAGE / DAY 2]])/Table50[[#This Row],[USAGE / DAY 2]],0)</f>
        <v>-1</v>
      </c>
      <c r="Z186" s="15">
        <f t="shared" si="6"/>
        <v>14</v>
      </c>
      <c r="AA186" s="15">
        <f t="shared" si="7"/>
        <v>9.311854181734148</v>
      </c>
      <c r="AB186" s="15" t="str">
        <f>IFERROR(IF(Table50[[#This Row],[ccnt]]="BEV",$AB$2,IF(Table50[[#This Row],[ccnt]]="FOOD",$AC$2,"ENTER # FROM LAST COUNT")),"ENTER # FROM LAST COUNT")</f>
        <v>ENTER # FROM LAST COUNT</v>
      </c>
      <c r="AC186" s="15">
        <f>(Table50[[#This Row],[OpeningQty]]+Table50[[#This Row],[ClosingQty]])/2</f>
        <v>0</v>
      </c>
      <c r="AD186" s="15">
        <f>IFERROR(Table50[[#This Row],[UsageQty]]/Table50[[#This Row],[AVE INVENTORY]],0)</f>
        <v>0</v>
      </c>
      <c r="AE186" s="15">
        <f>IFERROR(Table50[[#This Row],[DATA POINT]]/Table50[[#This Row],[Inventory Turnover Rate]],0)</f>
        <v>0</v>
      </c>
      <c r="AF186" s="15" t="e">
        <f>Table50[[#This Row],[ClosingQty]]/Table50[[#This Row],[USAGE / DAY]]</f>
        <v>#DIV/0!</v>
      </c>
      <c r="AG186" s="15">
        <f>Table50[[#This Row],[USAGE / DAY]]*7</f>
        <v>0</v>
      </c>
      <c r="AH186" s="15">
        <f>Table50[[#This Row],[USAGE / DAY]]*3</f>
        <v>0</v>
      </c>
      <c r="AI18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186" s="15">
        <f>IFERROR(Table50[[#This Row],[ORDER QTY2]]*Table50[[#This Row],[COST PRICE]],0)</f>
        <v>0</v>
      </c>
      <c r="AK186" s="15" t="e">
        <f>(Table50[[#This Row],[REORDER POINT]]*Table50[[#This Row],[COST PRICE]])+Table50[[#This Row],[ORDER COST]]</f>
        <v>#VALUE!</v>
      </c>
      <c r="AL186" s="15">
        <f t="shared" si="8"/>
        <v>100</v>
      </c>
      <c r="AM186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7" spans="1:39" hidden="1" x14ac:dyDescent="0.25">
      <c r="A187" t="s">
        <v>215</v>
      </c>
      <c r="B187" t="s">
        <v>260</v>
      </c>
      <c r="C187" t="s">
        <v>263</v>
      </c>
      <c r="D187" t="s">
        <v>53</v>
      </c>
      <c r="E187">
        <v>0</v>
      </c>
      <c r="F187">
        <v>0</v>
      </c>
      <c r="G187">
        <v>1</v>
      </c>
      <c r="H187">
        <v>313.06</v>
      </c>
      <c r="I187">
        <v>0</v>
      </c>
      <c r="J187">
        <v>0</v>
      </c>
      <c r="K187">
        <f>Table50[[#This Row],[OpeningQty]]+Table50[[#This Row],[PurchasesQty]]-Table50[[#This Row],[ClosingQty]]</f>
        <v>1</v>
      </c>
      <c r="L187">
        <v>313.06</v>
      </c>
      <c r="M187" s="14">
        <f>Table50[[#This Row],[Usage]]/$L$1</f>
        <v>4.7547533864670112E-4</v>
      </c>
      <c r="N187" s="15">
        <f>IFERROR(Table50[[#This Row],[Opening]]/Table50[[#This Row],[OpeningQty]],0)</f>
        <v>0</v>
      </c>
      <c r="O187" s="15">
        <f>IFERROR(Table50[[#This Row],[Purchases]]/Table50[[#This Row],[PurchasesQty]],0)</f>
        <v>313.06</v>
      </c>
      <c r="P187" s="15">
        <f>IFERROR(Table50[[#This Row],[Closing]]/Table50[[#This Row],[ClosingQty]],0)</f>
        <v>0</v>
      </c>
      <c r="Q187" s="15">
        <f>IFERROR(AVERAGEIF(Table50[[#This Row],[OPENING COST PRICE]:[CLOSING COST PRICE]],"&gt;0"),0)</f>
        <v>313.06</v>
      </c>
      <c r="R187" s="15">
        <f>IFERROR(Table50[[#This Row],[COST PRICE]]-IFERROR(Table50[[#This Row],[Usage]]/Table50[[#This Row],[UsageQty]],Table50[[#This Row],[COST PRICE]]),0)</f>
        <v>0</v>
      </c>
      <c r="S187" s="16">
        <f>IFERROR(Table50[[#This Row],[COST PRICE CHANGE]]/Table50[[#This Row],[OPENING COST PRICE]],0)</f>
        <v>0</v>
      </c>
      <c r="T187" s="15" t="e">
        <f>Table50[[#This Row],[ClosingQty]]-(Table50[[#This Row],[USAGE / DAY]]*(IF(Table50[[#This Row],[ccnt]]="BEV",Table50[[#This Row],[DELIVERY DAY]],Table50[[#This Row],[DELIVERY DAY]])))</f>
        <v>#VALUE!</v>
      </c>
      <c r="U187" s="15">
        <f>ROUNDUP(Table50[[#This Row],[UsageQty]]/Table50[[#This Row],[DATA POINT]],2)</f>
        <v>0.08</v>
      </c>
      <c r="V187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7" s="15">
        <f>IFERROR(Table50[[#This Row],[ORDER QTY]]*Table50[[#This Row],[COST PRICE]],0)</f>
        <v>0</v>
      </c>
      <c r="X187" s="15">
        <f>IFERROR(VLOOKUP(C187,[1]!Table48[[#All],[name]:[USAGE / DAY]],18,FALSE),1)</f>
        <v>0</v>
      </c>
      <c r="Y187" s="4">
        <f>IFERROR((Table50[[#This Row],[USAGE / DAY]]-Table50[[#This Row],[USAGE / DAY 2]])/Table50[[#This Row],[USAGE / DAY 2]],0)</f>
        <v>0</v>
      </c>
      <c r="Z187" s="15">
        <f t="shared" si="6"/>
        <v>14</v>
      </c>
      <c r="AA187" s="15">
        <f t="shared" si="7"/>
        <v>9.311854181734148</v>
      </c>
      <c r="AB187" s="15" t="str">
        <f>IFERROR(IF(Table50[[#This Row],[ccnt]]="BEV",$AB$2,IF(Table50[[#This Row],[ccnt]]="FOOD",$AC$2,"ENTER # FROM LAST COUNT")),"ENTER # FROM LAST COUNT")</f>
        <v>ENTER # FROM LAST COUNT</v>
      </c>
      <c r="AC187" s="15">
        <f>(Table50[[#This Row],[OpeningQty]]+Table50[[#This Row],[ClosingQty]])/2</f>
        <v>0</v>
      </c>
      <c r="AD187" s="15">
        <f>IFERROR(Table50[[#This Row],[UsageQty]]/Table50[[#This Row],[AVE INVENTORY]],0)</f>
        <v>0</v>
      </c>
      <c r="AE187" s="15">
        <f>IFERROR(Table50[[#This Row],[DATA POINT]]/Table50[[#This Row],[Inventory Turnover Rate]],0)</f>
        <v>0</v>
      </c>
      <c r="AF187" s="15">
        <f>Table50[[#This Row],[ClosingQty]]/Table50[[#This Row],[USAGE / DAY]]</f>
        <v>0</v>
      </c>
      <c r="AG187" s="15">
        <f>Table50[[#This Row],[USAGE / DAY]]*7</f>
        <v>0.56000000000000005</v>
      </c>
      <c r="AH187" s="15">
        <f>Table50[[#This Row],[USAGE / DAY]]*3</f>
        <v>0.24</v>
      </c>
      <c r="AI187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87" s="15">
        <f>IFERROR(Table50[[#This Row],[ORDER QTY2]]*Table50[[#This Row],[COST PRICE]],0)</f>
        <v>250.44800000000001</v>
      </c>
      <c r="AK187" s="15" t="e">
        <f>(Table50[[#This Row],[REORDER POINT]]*Table50[[#This Row],[COST PRICE]])+Table50[[#This Row],[ORDER COST]]</f>
        <v>#VALUE!</v>
      </c>
      <c r="AL187" s="15">
        <f t="shared" si="8"/>
        <v>100</v>
      </c>
      <c r="AM187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8" spans="1:39" hidden="1" x14ac:dyDescent="0.25">
      <c r="A188" t="s">
        <v>215</v>
      </c>
      <c r="B188" t="s">
        <v>264</v>
      </c>
      <c r="C188" t="s">
        <v>265</v>
      </c>
      <c r="D188" t="s">
        <v>53</v>
      </c>
      <c r="E188">
        <v>0</v>
      </c>
      <c r="F188">
        <v>0</v>
      </c>
      <c r="G188">
        <v>1</v>
      </c>
      <c r="H188">
        <v>3123.95</v>
      </c>
      <c r="I188">
        <v>0</v>
      </c>
      <c r="J188">
        <v>0</v>
      </c>
      <c r="K188">
        <f>Table50[[#This Row],[OpeningQty]]+Table50[[#This Row],[PurchasesQty]]-Table50[[#This Row],[ClosingQty]]</f>
        <v>1</v>
      </c>
      <c r="L188">
        <v>3123.95</v>
      </c>
      <c r="M188" s="14">
        <f>Table50[[#This Row],[Usage]]/$L$1</f>
        <v>4.7446533704892414E-3</v>
      </c>
      <c r="N188" s="15">
        <f>IFERROR(Table50[[#This Row],[Opening]]/Table50[[#This Row],[OpeningQty]],0)</f>
        <v>0</v>
      </c>
      <c r="O188" s="15">
        <f>IFERROR(Table50[[#This Row],[Purchases]]/Table50[[#This Row],[PurchasesQty]],0)</f>
        <v>3123.95</v>
      </c>
      <c r="P188" s="15">
        <f>IFERROR(Table50[[#This Row],[Closing]]/Table50[[#This Row],[ClosingQty]],0)</f>
        <v>0</v>
      </c>
      <c r="Q188" s="15">
        <f>IFERROR(AVERAGEIF(Table50[[#This Row],[OPENING COST PRICE]:[CLOSING COST PRICE]],"&gt;0"),0)</f>
        <v>3123.95</v>
      </c>
      <c r="R188" s="15">
        <f>IFERROR(Table50[[#This Row],[COST PRICE]]-IFERROR(Table50[[#This Row],[Usage]]/Table50[[#This Row],[UsageQty]],Table50[[#This Row],[COST PRICE]]),0)</f>
        <v>0</v>
      </c>
      <c r="S188" s="16">
        <f>IFERROR(Table50[[#This Row],[COST PRICE CHANGE]]/Table50[[#This Row],[OPENING COST PRICE]],0)</f>
        <v>0</v>
      </c>
      <c r="T188" s="15" t="e">
        <f>Table50[[#This Row],[ClosingQty]]-(Table50[[#This Row],[USAGE / DAY]]*(IF(Table50[[#This Row],[ccnt]]="BEV",Table50[[#This Row],[DELIVERY DAY]],Table50[[#This Row],[DELIVERY DAY]])))</f>
        <v>#VALUE!</v>
      </c>
      <c r="U188" s="15">
        <f>ROUNDUP(Table50[[#This Row],[UsageQty]]/Table50[[#This Row],[DATA POINT]],2)</f>
        <v>0.08</v>
      </c>
      <c r="V188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8" s="15">
        <f>IFERROR(Table50[[#This Row],[ORDER QTY]]*Table50[[#This Row],[COST PRICE]],0)</f>
        <v>0</v>
      </c>
      <c r="X188" s="15">
        <f>IFERROR(VLOOKUP(C188,[1]!Table48[[#All],[name]:[USAGE / DAY]],18,FALSE),1)</f>
        <v>1</v>
      </c>
      <c r="Y188" s="4">
        <f>IFERROR((Table50[[#This Row],[USAGE / DAY]]-Table50[[#This Row],[USAGE / DAY 2]])/Table50[[#This Row],[USAGE / DAY 2]],0)</f>
        <v>-0.92</v>
      </c>
      <c r="Z188" s="15">
        <f t="shared" si="6"/>
        <v>14</v>
      </c>
      <c r="AA188" s="15">
        <f t="shared" si="7"/>
        <v>9.311854181734148</v>
      </c>
      <c r="AB188" s="15" t="str">
        <f>IFERROR(IF(Table50[[#This Row],[ccnt]]="BEV",$AB$2,IF(Table50[[#This Row],[ccnt]]="FOOD",$AC$2,"ENTER # FROM LAST COUNT")),"ENTER # FROM LAST COUNT")</f>
        <v>ENTER # FROM LAST COUNT</v>
      </c>
      <c r="AC188" s="15">
        <f>(Table50[[#This Row],[OpeningQty]]+Table50[[#This Row],[ClosingQty]])/2</f>
        <v>0</v>
      </c>
      <c r="AD188" s="15">
        <f>IFERROR(Table50[[#This Row],[UsageQty]]/Table50[[#This Row],[AVE INVENTORY]],0)</f>
        <v>0</v>
      </c>
      <c r="AE188" s="15">
        <f>IFERROR(Table50[[#This Row],[DATA POINT]]/Table50[[#This Row],[Inventory Turnover Rate]],0)</f>
        <v>0</v>
      </c>
      <c r="AF188" s="15">
        <f>Table50[[#This Row],[ClosingQty]]/Table50[[#This Row],[USAGE / DAY]]</f>
        <v>0</v>
      </c>
      <c r="AG188" s="15">
        <f>Table50[[#This Row],[USAGE / DAY]]*7</f>
        <v>0.56000000000000005</v>
      </c>
      <c r="AH188" s="15">
        <f>Table50[[#This Row],[USAGE / DAY]]*3</f>
        <v>0.24</v>
      </c>
      <c r="AI188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88" s="15">
        <f>IFERROR(Table50[[#This Row],[ORDER QTY2]]*Table50[[#This Row],[COST PRICE]],0)</f>
        <v>2499.16</v>
      </c>
      <c r="AK188" s="15" t="e">
        <f>(Table50[[#This Row],[REORDER POINT]]*Table50[[#This Row],[COST PRICE]])+Table50[[#This Row],[ORDER COST]]</f>
        <v>#VALUE!</v>
      </c>
      <c r="AL188" s="15">
        <f t="shared" si="8"/>
        <v>100</v>
      </c>
      <c r="AM188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89" spans="1:39" hidden="1" x14ac:dyDescent="0.25">
      <c r="A189" t="s">
        <v>215</v>
      </c>
      <c r="B189" t="s">
        <v>266</v>
      </c>
      <c r="C189" t="s">
        <v>267</v>
      </c>
      <c r="D189" t="s">
        <v>53</v>
      </c>
      <c r="E189">
        <v>0</v>
      </c>
      <c r="F189">
        <v>0</v>
      </c>
      <c r="G189">
        <v>6</v>
      </c>
      <c r="H189">
        <v>195.3</v>
      </c>
      <c r="I189">
        <v>0</v>
      </c>
      <c r="J189">
        <v>0</v>
      </c>
      <c r="K189">
        <f>Table50[[#This Row],[OpeningQty]]+Table50[[#This Row],[PurchasesQty]]-Table50[[#This Row],[ClosingQty]]</f>
        <v>6</v>
      </c>
      <c r="L189">
        <v>195.3</v>
      </c>
      <c r="M189" s="14">
        <f>Table50[[#This Row],[Usage]]/$L$1</f>
        <v>2.9662152187344513E-4</v>
      </c>
      <c r="N189" s="15">
        <f>IFERROR(Table50[[#This Row],[Opening]]/Table50[[#This Row],[OpeningQty]],0)</f>
        <v>0</v>
      </c>
      <c r="O189" s="15">
        <f>IFERROR(Table50[[#This Row],[Purchases]]/Table50[[#This Row],[PurchasesQty]],0)</f>
        <v>32.550000000000004</v>
      </c>
      <c r="P189" s="15">
        <f>IFERROR(Table50[[#This Row],[Closing]]/Table50[[#This Row],[ClosingQty]],0)</f>
        <v>0</v>
      </c>
      <c r="Q189" s="15">
        <f>IFERROR(AVERAGEIF(Table50[[#This Row],[OPENING COST PRICE]:[CLOSING COST PRICE]],"&gt;0"),0)</f>
        <v>32.550000000000004</v>
      </c>
      <c r="R189" s="15">
        <f>IFERROR(Table50[[#This Row],[COST PRICE]]-IFERROR(Table50[[#This Row],[Usage]]/Table50[[#This Row],[UsageQty]],Table50[[#This Row],[COST PRICE]]),0)</f>
        <v>0</v>
      </c>
      <c r="S189" s="16">
        <f>IFERROR(Table50[[#This Row],[COST PRICE CHANGE]]/Table50[[#This Row],[OPENING COST PRICE]],0)</f>
        <v>0</v>
      </c>
      <c r="T189" s="15" t="e">
        <f>Table50[[#This Row],[ClosingQty]]-(Table50[[#This Row],[USAGE / DAY]]*(IF(Table50[[#This Row],[ccnt]]="BEV",Table50[[#This Row],[DELIVERY DAY]],Table50[[#This Row],[DELIVERY DAY]])))</f>
        <v>#VALUE!</v>
      </c>
      <c r="U189" s="15">
        <f>ROUNDUP(Table50[[#This Row],[UsageQty]]/Table50[[#This Row],[DATA POINT]],2)</f>
        <v>0.43</v>
      </c>
      <c r="V189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89" s="15">
        <f>IFERROR(Table50[[#This Row],[ORDER QTY]]*Table50[[#This Row],[COST PRICE]],0)</f>
        <v>0</v>
      </c>
      <c r="X189" s="15">
        <f>IFERROR(VLOOKUP(C189,[1]!Table48[[#All],[name]:[USAGE / DAY]],18,FALSE),1)</f>
        <v>0.29000000000000004</v>
      </c>
      <c r="Y189" s="4">
        <f>IFERROR((Table50[[#This Row],[USAGE / DAY]]-Table50[[#This Row],[USAGE / DAY 2]])/Table50[[#This Row],[USAGE / DAY 2]],0)</f>
        <v>0.48275862068965497</v>
      </c>
      <c r="Z189" s="15">
        <f t="shared" si="6"/>
        <v>14</v>
      </c>
      <c r="AA189" s="15">
        <f t="shared" si="7"/>
        <v>9.311854181734148</v>
      </c>
      <c r="AB189" s="15" t="str">
        <f>IFERROR(IF(Table50[[#This Row],[ccnt]]="BEV",$AB$2,IF(Table50[[#This Row],[ccnt]]="FOOD",$AC$2,"ENTER # FROM LAST COUNT")),"ENTER # FROM LAST COUNT")</f>
        <v>ENTER # FROM LAST COUNT</v>
      </c>
      <c r="AC189" s="15">
        <f>(Table50[[#This Row],[OpeningQty]]+Table50[[#This Row],[ClosingQty]])/2</f>
        <v>0</v>
      </c>
      <c r="AD189" s="15">
        <f>IFERROR(Table50[[#This Row],[UsageQty]]/Table50[[#This Row],[AVE INVENTORY]],0)</f>
        <v>0</v>
      </c>
      <c r="AE189" s="15">
        <f>IFERROR(Table50[[#This Row],[DATA POINT]]/Table50[[#This Row],[Inventory Turnover Rate]],0)</f>
        <v>0</v>
      </c>
      <c r="AF189" s="15">
        <f>Table50[[#This Row],[ClosingQty]]/Table50[[#This Row],[USAGE / DAY]]</f>
        <v>0</v>
      </c>
      <c r="AG189" s="15">
        <f>Table50[[#This Row],[USAGE / DAY]]*7</f>
        <v>3.01</v>
      </c>
      <c r="AH189" s="15">
        <f>Table50[[#This Row],[USAGE / DAY]]*3</f>
        <v>1.29</v>
      </c>
      <c r="AI189" s="15">
        <f>IF(Table50[[#This Row],[FORECASTED DEMAND]]+Table50[[#This Row],[SAFETY STOCK]]-Table50[[#This Row],[ClosingQty]]&gt;0,Table50[[#This Row],[FORECASTED DEMAND]]+Table50[[#This Row],[SAFETY STOCK]]-Table50[[#This Row],[ClosingQty]],"NO ORDER")</f>
        <v>4.3</v>
      </c>
      <c r="AJ189" s="15">
        <f>IFERROR(Table50[[#This Row],[ORDER QTY2]]*Table50[[#This Row],[COST PRICE]],0)</f>
        <v>139.965</v>
      </c>
      <c r="AK189" s="15" t="e">
        <f>(Table50[[#This Row],[REORDER POINT]]*Table50[[#This Row],[COST PRICE]])+Table50[[#This Row],[ORDER COST]]</f>
        <v>#VALUE!</v>
      </c>
      <c r="AL189" s="15">
        <f t="shared" si="8"/>
        <v>100</v>
      </c>
      <c r="AM189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0" spans="1:39" hidden="1" x14ac:dyDescent="0.25">
      <c r="A190" t="s">
        <v>215</v>
      </c>
      <c r="B190" t="s">
        <v>268</v>
      </c>
      <c r="C190" t="s">
        <v>269</v>
      </c>
      <c r="D190" t="s">
        <v>53</v>
      </c>
      <c r="E190">
        <v>0</v>
      </c>
      <c r="F190">
        <v>0</v>
      </c>
      <c r="G190">
        <v>196.61</v>
      </c>
      <c r="H190">
        <v>12511.82</v>
      </c>
      <c r="I190">
        <v>0</v>
      </c>
      <c r="J190">
        <v>0</v>
      </c>
      <c r="K190">
        <f>Table50[[#This Row],[OpeningQty]]+Table50[[#This Row],[PurchasesQty]]-Table50[[#This Row],[ClosingQty]]</f>
        <v>196.61</v>
      </c>
      <c r="L190">
        <v>12511.82</v>
      </c>
      <c r="M190" s="14">
        <f>Table50[[#This Row],[Usage]]/$L$1</f>
        <v>1.9002944648267323E-2</v>
      </c>
      <c r="N190" s="15">
        <f>IFERROR(Table50[[#This Row],[Opening]]/Table50[[#This Row],[OpeningQty]],0)</f>
        <v>0</v>
      </c>
      <c r="O190" s="15">
        <f>IFERROR(Table50[[#This Row],[Purchases]]/Table50[[#This Row],[PurchasesQty]],0)</f>
        <v>63.637760032551746</v>
      </c>
      <c r="P190" s="15">
        <f>IFERROR(Table50[[#This Row],[Closing]]/Table50[[#This Row],[ClosingQty]],0)</f>
        <v>0</v>
      </c>
      <c r="Q190" s="15">
        <f>IFERROR(AVERAGEIF(Table50[[#This Row],[OPENING COST PRICE]:[CLOSING COST PRICE]],"&gt;0"),0)</f>
        <v>63.637760032551746</v>
      </c>
      <c r="R190" s="15">
        <f>IFERROR(Table50[[#This Row],[COST PRICE]]-IFERROR(Table50[[#This Row],[Usage]]/Table50[[#This Row],[UsageQty]],Table50[[#This Row],[COST PRICE]]),0)</f>
        <v>0</v>
      </c>
      <c r="S190" s="16">
        <f>IFERROR(Table50[[#This Row],[COST PRICE CHANGE]]/Table50[[#This Row],[OPENING COST PRICE]],0)</f>
        <v>0</v>
      </c>
      <c r="T190" s="15" t="e">
        <f>Table50[[#This Row],[ClosingQty]]-(Table50[[#This Row],[USAGE / DAY]]*(IF(Table50[[#This Row],[ccnt]]="BEV",Table50[[#This Row],[DELIVERY DAY]],Table50[[#This Row],[DELIVERY DAY]])))</f>
        <v>#VALUE!</v>
      </c>
      <c r="U190" s="15">
        <f>ROUNDUP(Table50[[#This Row],[UsageQty]]/Table50[[#This Row],[DATA POINT]],2)</f>
        <v>14.049999999999999</v>
      </c>
      <c r="V190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0" s="15">
        <f>IFERROR(Table50[[#This Row],[ORDER QTY]]*Table50[[#This Row],[COST PRICE]],0)</f>
        <v>0</v>
      </c>
      <c r="X190" s="15">
        <f>IFERROR(VLOOKUP(C190,[1]!Table48[[#All],[name]:[USAGE / DAY]],18,FALSE),1)</f>
        <v>1</v>
      </c>
      <c r="Y190" s="4">
        <f>IFERROR((Table50[[#This Row],[USAGE / DAY]]-Table50[[#This Row],[USAGE / DAY 2]])/Table50[[#This Row],[USAGE / DAY 2]],0)</f>
        <v>13.049999999999999</v>
      </c>
      <c r="Z190" s="15">
        <f t="shared" si="6"/>
        <v>14</v>
      </c>
      <c r="AA190" s="15">
        <f t="shared" si="7"/>
        <v>9.311854181734148</v>
      </c>
      <c r="AB190" s="15" t="str">
        <f>IFERROR(IF(Table50[[#This Row],[ccnt]]="BEV",$AB$2,IF(Table50[[#This Row],[ccnt]]="FOOD",$AC$2,"ENTER # FROM LAST COUNT")),"ENTER # FROM LAST COUNT")</f>
        <v>ENTER # FROM LAST COUNT</v>
      </c>
      <c r="AC190" s="15">
        <f>(Table50[[#This Row],[OpeningQty]]+Table50[[#This Row],[ClosingQty]])/2</f>
        <v>0</v>
      </c>
      <c r="AD190" s="15">
        <f>IFERROR(Table50[[#This Row],[UsageQty]]/Table50[[#This Row],[AVE INVENTORY]],0)</f>
        <v>0</v>
      </c>
      <c r="AE190" s="15">
        <f>IFERROR(Table50[[#This Row],[DATA POINT]]/Table50[[#This Row],[Inventory Turnover Rate]],0)</f>
        <v>0</v>
      </c>
      <c r="AF190" s="15">
        <f>Table50[[#This Row],[ClosingQty]]/Table50[[#This Row],[USAGE / DAY]]</f>
        <v>0</v>
      </c>
      <c r="AG190" s="15">
        <f>Table50[[#This Row],[USAGE / DAY]]*7</f>
        <v>98.35</v>
      </c>
      <c r="AH190" s="15">
        <f>Table50[[#This Row],[USAGE / DAY]]*3</f>
        <v>42.15</v>
      </c>
      <c r="AI190" s="15">
        <f>IF(Table50[[#This Row],[FORECASTED DEMAND]]+Table50[[#This Row],[SAFETY STOCK]]-Table50[[#This Row],[ClosingQty]]&gt;0,Table50[[#This Row],[FORECASTED DEMAND]]+Table50[[#This Row],[SAFETY STOCK]]-Table50[[#This Row],[ClosingQty]],"NO ORDER")</f>
        <v>140.5</v>
      </c>
      <c r="AJ190" s="15">
        <f>IFERROR(Table50[[#This Row],[ORDER QTY2]]*Table50[[#This Row],[COST PRICE]],0)</f>
        <v>8941.1052845735212</v>
      </c>
      <c r="AK190" s="15" t="e">
        <f>(Table50[[#This Row],[REORDER POINT]]*Table50[[#This Row],[COST PRICE]])+Table50[[#This Row],[ORDER COST]]</f>
        <v>#VALUE!</v>
      </c>
      <c r="AL190" s="15">
        <f t="shared" si="8"/>
        <v>100</v>
      </c>
      <c r="AM190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1" spans="1:39" hidden="1" x14ac:dyDescent="0.25">
      <c r="A191" t="s">
        <v>215</v>
      </c>
      <c r="B191" t="s">
        <v>270</v>
      </c>
      <c r="C191" t="s">
        <v>271</v>
      </c>
      <c r="D191" t="s">
        <v>53</v>
      </c>
      <c r="E191">
        <v>0</v>
      </c>
      <c r="F191">
        <v>0</v>
      </c>
      <c r="G191">
        <v>13010.17</v>
      </c>
      <c r="H191">
        <v>38833.589999999997</v>
      </c>
      <c r="I191">
        <v>0</v>
      </c>
      <c r="J191">
        <v>0</v>
      </c>
      <c r="K191">
        <f>Table50[[#This Row],[OpeningQty]]+Table50[[#This Row],[PurchasesQty]]-Table50[[#This Row],[ClosingQty]]</f>
        <v>13010.17</v>
      </c>
      <c r="L191">
        <v>38833.589999999997</v>
      </c>
      <c r="M191" s="14">
        <f>Table50[[#This Row],[Usage]]/$L$1</f>
        <v>5.898043300363235E-2</v>
      </c>
      <c r="N191" s="15">
        <f>IFERROR(Table50[[#This Row],[Opening]]/Table50[[#This Row],[OpeningQty]],0)</f>
        <v>0</v>
      </c>
      <c r="O191" s="15">
        <f>IFERROR(Table50[[#This Row],[Purchases]]/Table50[[#This Row],[PurchasesQty]],0)</f>
        <v>2.9848641485852987</v>
      </c>
      <c r="P191" s="15">
        <f>IFERROR(Table50[[#This Row],[Closing]]/Table50[[#This Row],[ClosingQty]],0)</f>
        <v>0</v>
      </c>
      <c r="Q191" s="15">
        <f>IFERROR(AVERAGEIF(Table50[[#This Row],[OPENING COST PRICE]:[CLOSING COST PRICE]],"&gt;0"),0)</f>
        <v>2.9848641485852987</v>
      </c>
      <c r="R191" s="15">
        <f>IFERROR(Table50[[#This Row],[COST PRICE]]-IFERROR(Table50[[#This Row],[Usage]]/Table50[[#This Row],[UsageQty]],Table50[[#This Row],[COST PRICE]]),0)</f>
        <v>0</v>
      </c>
      <c r="S191" s="16">
        <f>IFERROR(Table50[[#This Row],[COST PRICE CHANGE]]/Table50[[#This Row],[OPENING COST PRICE]],0)</f>
        <v>0</v>
      </c>
      <c r="T191" s="15" t="e">
        <f>Table50[[#This Row],[ClosingQty]]-(Table50[[#This Row],[USAGE / DAY]]*(IF(Table50[[#This Row],[ccnt]]="BEV",Table50[[#This Row],[DELIVERY DAY]],Table50[[#This Row],[DELIVERY DAY]])))</f>
        <v>#VALUE!</v>
      </c>
      <c r="U191" s="15">
        <f>ROUNDUP(Table50[[#This Row],[UsageQty]]/Table50[[#This Row],[DATA POINT]],2)</f>
        <v>929.3</v>
      </c>
      <c r="V191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1" s="15">
        <f>IFERROR(Table50[[#This Row],[ORDER QTY]]*Table50[[#This Row],[COST PRICE]],0)</f>
        <v>0</v>
      </c>
      <c r="X191" s="15">
        <f>IFERROR(VLOOKUP(C191,[1]!Table48[[#All],[name]:[USAGE / DAY]],18,FALSE),1)</f>
        <v>1</v>
      </c>
      <c r="Y191" s="4">
        <f>IFERROR((Table50[[#This Row],[USAGE / DAY]]-Table50[[#This Row],[USAGE / DAY 2]])/Table50[[#This Row],[USAGE / DAY 2]],0)</f>
        <v>928.3</v>
      </c>
      <c r="Z191" s="15">
        <f t="shared" si="6"/>
        <v>14</v>
      </c>
      <c r="AA191" s="15">
        <f t="shared" si="7"/>
        <v>9.311854181734148</v>
      </c>
      <c r="AB191" s="15" t="str">
        <f>IFERROR(IF(Table50[[#This Row],[ccnt]]="BEV",$AB$2,IF(Table50[[#This Row],[ccnt]]="FOOD",$AC$2,"ENTER # FROM LAST COUNT")),"ENTER # FROM LAST COUNT")</f>
        <v>ENTER # FROM LAST COUNT</v>
      </c>
      <c r="AC191" s="15">
        <f>(Table50[[#This Row],[OpeningQty]]+Table50[[#This Row],[ClosingQty]])/2</f>
        <v>0</v>
      </c>
      <c r="AD191" s="15">
        <f>IFERROR(Table50[[#This Row],[UsageQty]]/Table50[[#This Row],[AVE INVENTORY]],0)</f>
        <v>0</v>
      </c>
      <c r="AE191" s="15">
        <f>IFERROR(Table50[[#This Row],[DATA POINT]]/Table50[[#This Row],[Inventory Turnover Rate]],0)</f>
        <v>0</v>
      </c>
      <c r="AF191" s="15">
        <f>Table50[[#This Row],[ClosingQty]]/Table50[[#This Row],[USAGE / DAY]]</f>
        <v>0</v>
      </c>
      <c r="AG191" s="15">
        <f>Table50[[#This Row],[USAGE / DAY]]*7</f>
        <v>6505.0999999999995</v>
      </c>
      <c r="AH191" s="15">
        <f>Table50[[#This Row],[USAGE / DAY]]*3</f>
        <v>2787.8999999999996</v>
      </c>
      <c r="AI191" s="15">
        <f>IF(Table50[[#This Row],[FORECASTED DEMAND]]+Table50[[#This Row],[SAFETY STOCK]]-Table50[[#This Row],[ClosingQty]]&gt;0,Table50[[#This Row],[FORECASTED DEMAND]]+Table50[[#This Row],[SAFETY STOCK]]-Table50[[#This Row],[ClosingQty]],"NO ORDER")</f>
        <v>9293</v>
      </c>
      <c r="AJ191" s="15">
        <f>IFERROR(Table50[[#This Row],[ORDER QTY2]]*Table50[[#This Row],[COST PRICE]],0)</f>
        <v>27738.342532803181</v>
      </c>
      <c r="AK191" s="15" t="e">
        <f>(Table50[[#This Row],[REORDER POINT]]*Table50[[#This Row],[COST PRICE]])+Table50[[#This Row],[ORDER COST]]</f>
        <v>#VALUE!</v>
      </c>
      <c r="AL191" s="15">
        <f t="shared" si="8"/>
        <v>100</v>
      </c>
      <c r="AM191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2" spans="1:39" hidden="1" x14ac:dyDescent="0.25">
      <c r="A192" t="s">
        <v>215</v>
      </c>
      <c r="B192" t="s">
        <v>270</v>
      </c>
      <c r="C192" t="s">
        <v>272</v>
      </c>
      <c r="D192" t="s">
        <v>53</v>
      </c>
      <c r="E192">
        <v>0</v>
      </c>
      <c r="F192">
        <v>0</v>
      </c>
      <c r="G192">
        <v>1</v>
      </c>
      <c r="H192">
        <v>13841.71</v>
      </c>
      <c r="I192">
        <v>0</v>
      </c>
      <c r="J192">
        <v>0</v>
      </c>
      <c r="K192">
        <f>Table50[[#This Row],[OpeningQty]]+Table50[[#This Row],[PurchasesQty]]-Table50[[#This Row],[ClosingQty]]</f>
        <v>1</v>
      </c>
      <c r="L192">
        <v>13841.71</v>
      </c>
      <c r="M192" s="14">
        <f>Table50[[#This Row],[Usage]]/$L$1</f>
        <v>2.1022780775887782E-2</v>
      </c>
      <c r="N192" s="15">
        <f>IFERROR(Table50[[#This Row],[Opening]]/Table50[[#This Row],[OpeningQty]],0)</f>
        <v>0</v>
      </c>
      <c r="O192" s="15">
        <f>IFERROR(Table50[[#This Row],[Purchases]]/Table50[[#This Row],[PurchasesQty]],0)</f>
        <v>13841.71</v>
      </c>
      <c r="P192" s="15">
        <f>IFERROR(Table50[[#This Row],[Closing]]/Table50[[#This Row],[ClosingQty]],0)</f>
        <v>0</v>
      </c>
      <c r="Q192" s="15">
        <f>IFERROR(AVERAGEIF(Table50[[#This Row],[OPENING COST PRICE]:[CLOSING COST PRICE]],"&gt;0"),0)</f>
        <v>13841.71</v>
      </c>
      <c r="R192" s="15">
        <f>IFERROR(Table50[[#This Row],[COST PRICE]]-IFERROR(Table50[[#This Row],[Usage]]/Table50[[#This Row],[UsageQty]],Table50[[#This Row],[COST PRICE]]),0)</f>
        <v>0</v>
      </c>
      <c r="S192" s="16">
        <f>IFERROR(Table50[[#This Row],[COST PRICE CHANGE]]/Table50[[#This Row],[OPENING COST PRICE]],0)</f>
        <v>0</v>
      </c>
      <c r="T192" s="15" t="e">
        <f>Table50[[#This Row],[ClosingQty]]-(Table50[[#This Row],[USAGE / DAY]]*(IF(Table50[[#This Row],[ccnt]]="BEV",Table50[[#This Row],[DELIVERY DAY]],Table50[[#This Row],[DELIVERY DAY]])))</f>
        <v>#VALUE!</v>
      </c>
      <c r="U192" s="15">
        <f>ROUNDUP(Table50[[#This Row],[UsageQty]]/Table50[[#This Row],[DATA POINT]],2)</f>
        <v>0.08</v>
      </c>
      <c r="V192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2" s="15">
        <f>IFERROR(Table50[[#This Row],[ORDER QTY]]*Table50[[#This Row],[COST PRICE]],0)</f>
        <v>0</v>
      </c>
      <c r="X192" s="15">
        <f>IFERROR(VLOOKUP(C192,[1]!Table48[[#All],[name]:[USAGE / DAY]],18,FALSE),1)</f>
        <v>1</v>
      </c>
      <c r="Y192" s="4">
        <f>IFERROR((Table50[[#This Row],[USAGE / DAY]]-Table50[[#This Row],[USAGE / DAY 2]])/Table50[[#This Row],[USAGE / DAY 2]],0)</f>
        <v>-0.92</v>
      </c>
      <c r="Z192" s="15">
        <f t="shared" si="6"/>
        <v>14</v>
      </c>
      <c r="AA192" s="15">
        <f t="shared" si="7"/>
        <v>9.311854181734148</v>
      </c>
      <c r="AB192" s="15" t="str">
        <f>IFERROR(IF(Table50[[#This Row],[ccnt]]="BEV",$AB$2,IF(Table50[[#This Row],[ccnt]]="FOOD",$AC$2,"ENTER # FROM LAST COUNT")),"ENTER # FROM LAST COUNT")</f>
        <v>ENTER # FROM LAST COUNT</v>
      </c>
      <c r="AC192" s="15">
        <f>(Table50[[#This Row],[OpeningQty]]+Table50[[#This Row],[ClosingQty]])/2</f>
        <v>0</v>
      </c>
      <c r="AD192" s="15">
        <f>IFERROR(Table50[[#This Row],[UsageQty]]/Table50[[#This Row],[AVE INVENTORY]],0)</f>
        <v>0</v>
      </c>
      <c r="AE192" s="15">
        <f>IFERROR(Table50[[#This Row],[DATA POINT]]/Table50[[#This Row],[Inventory Turnover Rate]],0)</f>
        <v>0</v>
      </c>
      <c r="AF192" s="15">
        <f>Table50[[#This Row],[ClosingQty]]/Table50[[#This Row],[USAGE / DAY]]</f>
        <v>0</v>
      </c>
      <c r="AG192" s="15">
        <f>Table50[[#This Row],[USAGE / DAY]]*7</f>
        <v>0.56000000000000005</v>
      </c>
      <c r="AH192" s="15">
        <f>Table50[[#This Row],[USAGE / DAY]]*3</f>
        <v>0.24</v>
      </c>
      <c r="AI192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92" s="15">
        <f>IFERROR(Table50[[#This Row],[ORDER QTY2]]*Table50[[#This Row],[COST PRICE]],0)</f>
        <v>11073.368</v>
      </c>
      <c r="AK192" s="15" t="e">
        <f>(Table50[[#This Row],[REORDER POINT]]*Table50[[#This Row],[COST PRICE]])+Table50[[#This Row],[ORDER COST]]</f>
        <v>#VALUE!</v>
      </c>
      <c r="AL192" s="15">
        <f t="shared" si="8"/>
        <v>100</v>
      </c>
      <c r="AM192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3" spans="1:39" hidden="1" x14ac:dyDescent="0.25">
      <c r="A193" t="s">
        <v>215</v>
      </c>
      <c r="B193" t="s">
        <v>270</v>
      </c>
      <c r="C193" t="s">
        <v>273</v>
      </c>
      <c r="D193" t="s">
        <v>53</v>
      </c>
      <c r="E193">
        <v>0</v>
      </c>
      <c r="F193">
        <v>0</v>
      </c>
      <c r="G193">
        <v>1</v>
      </c>
      <c r="H193">
        <v>1467.78</v>
      </c>
      <c r="I193">
        <v>0</v>
      </c>
      <c r="J193">
        <v>0</v>
      </c>
      <c r="K193">
        <f>Table50[[#This Row],[OpeningQty]]+Table50[[#This Row],[PurchasesQty]]-Table50[[#This Row],[ClosingQty]]</f>
        <v>1</v>
      </c>
      <c r="L193">
        <v>1467.78</v>
      </c>
      <c r="M193" s="14">
        <f>Table50[[#This Row],[Usage]]/$L$1</f>
        <v>2.229263376218153E-3</v>
      </c>
      <c r="N193" s="15">
        <f>IFERROR(Table50[[#This Row],[Opening]]/Table50[[#This Row],[OpeningQty]],0)</f>
        <v>0</v>
      </c>
      <c r="O193" s="15">
        <f>IFERROR(Table50[[#This Row],[Purchases]]/Table50[[#This Row],[PurchasesQty]],0)</f>
        <v>1467.78</v>
      </c>
      <c r="P193" s="15">
        <f>IFERROR(Table50[[#This Row],[Closing]]/Table50[[#This Row],[ClosingQty]],0)</f>
        <v>0</v>
      </c>
      <c r="Q193" s="15">
        <f>IFERROR(AVERAGEIF(Table50[[#This Row],[OPENING COST PRICE]:[CLOSING COST PRICE]],"&gt;0"),0)</f>
        <v>1467.78</v>
      </c>
      <c r="R193" s="15">
        <f>IFERROR(Table50[[#This Row],[COST PRICE]]-IFERROR(Table50[[#This Row],[Usage]]/Table50[[#This Row],[UsageQty]],Table50[[#This Row],[COST PRICE]]),0)</f>
        <v>0</v>
      </c>
      <c r="S193" s="16">
        <f>IFERROR(Table50[[#This Row],[COST PRICE CHANGE]]/Table50[[#This Row],[OPENING COST PRICE]],0)</f>
        <v>0</v>
      </c>
      <c r="T193" s="15" t="e">
        <f>Table50[[#This Row],[ClosingQty]]-(Table50[[#This Row],[USAGE / DAY]]*(IF(Table50[[#This Row],[ccnt]]="BEV",Table50[[#This Row],[DELIVERY DAY]],Table50[[#This Row],[DELIVERY DAY]])))</f>
        <v>#VALUE!</v>
      </c>
      <c r="U193" s="15">
        <f>ROUNDUP(Table50[[#This Row],[UsageQty]]/Table50[[#This Row],[DATA POINT]],2)</f>
        <v>0.08</v>
      </c>
      <c r="V193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3" s="15">
        <f>IFERROR(Table50[[#This Row],[ORDER QTY]]*Table50[[#This Row],[COST PRICE]],0)</f>
        <v>0</v>
      </c>
      <c r="X193" s="15">
        <f>IFERROR(VLOOKUP(C193,[1]!Table48[[#All],[name]:[USAGE / DAY]],18,FALSE),1)</f>
        <v>0.22</v>
      </c>
      <c r="Y193" s="4">
        <f>IFERROR((Table50[[#This Row],[USAGE / DAY]]-Table50[[#This Row],[USAGE / DAY 2]])/Table50[[#This Row],[USAGE / DAY 2]],0)</f>
        <v>-0.63636363636363646</v>
      </c>
      <c r="Z193" s="15">
        <f t="shared" si="6"/>
        <v>14</v>
      </c>
      <c r="AA193" s="15">
        <f t="shared" si="7"/>
        <v>9.311854181734148</v>
      </c>
      <c r="AB193" s="15" t="str">
        <f>IFERROR(IF(Table50[[#This Row],[ccnt]]="BEV",$AB$2,IF(Table50[[#This Row],[ccnt]]="FOOD",$AC$2,"ENTER # FROM LAST COUNT")),"ENTER # FROM LAST COUNT")</f>
        <v>ENTER # FROM LAST COUNT</v>
      </c>
      <c r="AC193" s="15">
        <f>(Table50[[#This Row],[OpeningQty]]+Table50[[#This Row],[ClosingQty]])/2</f>
        <v>0</v>
      </c>
      <c r="AD193" s="15">
        <f>IFERROR(Table50[[#This Row],[UsageQty]]/Table50[[#This Row],[AVE INVENTORY]],0)</f>
        <v>0</v>
      </c>
      <c r="AE193" s="15">
        <f>IFERROR(Table50[[#This Row],[DATA POINT]]/Table50[[#This Row],[Inventory Turnover Rate]],0)</f>
        <v>0</v>
      </c>
      <c r="AF193" s="15">
        <f>Table50[[#This Row],[ClosingQty]]/Table50[[#This Row],[USAGE / DAY]]</f>
        <v>0</v>
      </c>
      <c r="AG193" s="15">
        <f>Table50[[#This Row],[USAGE / DAY]]*7</f>
        <v>0.56000000000000005</v>
      </c>
      <c r="AH193" s="15">
        <f>Table50[[#This Row],[USAGE / DAY]]*3</f>
        <v>0.24</v>
      </c>
      <c r="AI193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93" s="15">
        <f>IFERROR(Table50[[#This Row],[ORDER QTY2]]*Table50[[#This Row],[COST PRICE]],0)</f>
        <v>1174.2239999999999</v>
      </c>
      <c r="AK193" s="15" t="e">
        <f>(Table50[[#This Row],[REORDER POINT]]*Table50[[#This Row],[COST PRICE]])+Table50[[#This Row],[ORDER COST]]</f>
        <v>#VALUE!</v>
      </c>
      <c r="AL193" s="15">
        <f t="shared" si="8"/>
        <v>100</v>
      </c>
      <c r="AM193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4" spans="1:39" hidden="1" x14ac:dyDescent="0.25">
      <c r="A194" t="s">
        <v>215</v>
      </c>
      <c r="B194" t="s">
        <v>270</v>
      </c>
      <c r="C194" t="s">
        <v>274</v>
      </c>
      <c r="D194" t="s">
        <v>53</v>
      </c>
      <c r="E194">
        <v>0</v>
      </c>
      <c r="F194">
        <v>0</v>
      </c>
      <c r="G194">
        <v>5</v>
      </c>
      <c r="H194">
        <v>3731.13</v>
      </c>
      <c r="I194">
        <v>0</v>
      </c>
      <c r="J194">
        <v>0</v>
      </c>
      <c r="K194">
        <f>Table50[[#This Row],[OpeningQty]]+Table50[[#This Row],[PurchasesQty]]-Table50[[#This Row],[ClosingQty]]</f>
        <v>5</v>
      </c>
      <c r="L194">
        <v>3731.13</v>
      </c>
      <c r="M194" s="14">
        <f>Table50[[#This Row],[Usage]]/$L$1</f>
        <v>5.6668379872384395E-3</v>
      </c>
      <c r="N194" s="15">
        <f>IFERROR(Table50[[#This Row],[Opening]]/Table50[[#This Row],[OpeningQty]],0)</f>
        <v>0</v>
      </c>
      <c r="O194" s="15">
        <f>IFERROR(Table50[[#This Row],[Purchases]]/Table50[[#This Row],[PurchasesQty]],0)</f>
        <v>746.226</v>
      </c>
      <c r="P194" s="15">
        <f>IFERROR(Table50[[#This Row],[Closing]]/Table50[[#This Row],[ClosingQty]],0)</f>
        <v>0</v>
      </c>
      <c r="Q194" s="15">
        <f>IFERROR(AVERAGEIF(Table50[[#This Row],[OPENING COST PRICE]:[CLOSING COST PRICE]],"&gt;0"),0)</f>
        <v>746.226</v>
      </c>
      <c r="R194" s="15">
        <f>IFERROR(Table50[[#This Row],[COST PRICE]]-IFERROR(Table50[[#This Row],[Usage]]/Table50[[#This Row],[UsageQty]],Table50[[#This Row],[COST PRICE]]),0)</f>
        <v>0</v>
      </c>
      <c r="S194" s="16">
        <f>IFERROR(Table50[[#This Row],[COST PRICE CHANGE]]/Table50[[#This Row],[OPENING COST PRICE]],0)</f>
        <v>0</v>
      </c>
      <c r="T194" s="15" t="e">
        <f>Table50[[#This Row],[ClosingQty]]-(Table50[[#This Row],[USAGE / DAY]]*(IF(Table50[[#This Row],[ccnt]]="BEV",Table50[[#This Row],[DELIVERY DAY]],Table50[[#This Row],[DELIVERY DAY]])))</f>
        <v>#VALUE!</v>
      </c>
      <c r="U194" s="15">
        <f>ROUNDUP(Table50[[#This Row],[UsageQty]]/Table50[[#This Row],[DATA POINT]],2)</f>
        <v>0.36</v>
      </c>
      <c r="V194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4" s="15">
        <f>IFERROR(Table50[[#This Row],[ORDER QTY]]*Table50[[#This Row],[COST PRICE]],0)</f>
        <v>0</v>
      </c>
      <c r="X194" s="15">
        <f>IFERROR(VLOOKUP(C194,[1]!Table48[[#All],[name]:[USAGE / DAY]],18,FALSE),1)</f>
        <v>0.22</v>
      </c>
      <c r="Y194" s="4">
        <f>IFERROR((Table50[[#This Row],[USAGE / DAY]]-Table50[[#This Row],[USAGE / DAY 2]])/Table50[[#This Row],[USAGE / DAY 2]],0)</f>
        <v>0.63636363636363624</v>
      </c>
      <c r="Z194" s="15">
        <f t="shared" si="6"/>
        <v>14</v>
      </c>
      <c r="AA194" s="15">
        <f t="shared" si="7"/>
        <v>9.311854181734148</v>
      </c>
      <c r="AB194" s="15" t="str">
        <f>IFERROR(IF(Table50[[#This Row],[ccnt]]="BEV",$AB$2,IF(Table50[[#This Row],[ccnt]]="FOOD",$AC$2,"ENTER # FROM LAST COUNT")),"ENTER # FROM LAST COUNT")</f>
        <v>ENTER # FROM LAST COUNT</v>
      </c>
      <c r="AC194" s="15">
        <f>(Table50[[#This Row],[OpeningQty]]+Table50[[#This Row],[ClosingQty]])/2</f>
        <v>0</v>
      </c>
      <c r="AD194" s="15">
        <f>IFERROR(Table50[[#This Row],[UsageQty]]/Table50[[#This Row],[AVE INVENTORY]],0)</f>
        <v>0</v>
      </c>
      <c r="AE194" s="15">
        <f>IFERROR(Table50[[#This Row],[DATA POINT]]/Table50[[#This Row],[Inventory Turnover Rate]],0)</f>
        <v>0</v>
      </c>
      <c r="AF194" s="15">
        <f>Table50[[#This Row],[ClosingQty]]/Table50[[#This Row],[USAGE / DAY]]</f>
        <v>0</v>
      </c>
      <c r="AG194" s="15">
        <f>Table50[[#This Row],[USAGE / DAY]]*7</f>
        <v>2.52</v>
      </c>
      <c r="AH194" s="15">
        <f>Table50[[#This Row],[USAGE / DAY]]*3</f>
        <v>1.08</v>
      </c>
      <c r="AI194" s="15">
        <f>IF(Table50[[#This Row],[FORECASTED DEMAND]]+Table50[[#This Row],[SAFETY STOCK]]-Table50[[#This Row],[ClosingQty]]&gt;0,Table50[[#This Row],[FORECASTED DEMAND]]+Table50[[#This Row],[SAFETY STOCK]]-Table50[[#This Row],[ClosingQty]],"NO ORDER")</f>
        <v>3.6</v>
      </c>
      <c r="AJ194" s="15">
        <f>IFERROR(Table50[[#This Row],[ORDER QTY2]]*Table50[[#This Row],[COST PRICE]],0)</f>
        <v>2686.4135999999999</v>
      </c>
      <c r="AK194" s="15" t="e">
        <f>(Table50[[#This Row],[REORDER POINT]]*Table50[[#This Row],[COST PRICE]])+Table50[[#This Row],[ORDER COST]]</f>
        <v>#VALUE!</v>
      </c>
      <c r="AL194" s="15">
        <f t="shared" si="8"/>
        <v>100</v>
      </c>
      <c r="AM194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5" spans="1:39" hidden="1" x14ac:dyDescent="0.25">
      <c r="A195" t="s">
        <v>215</v>
      </c>
      <c r="B195" t="s">
        <v>270</v>
      </c>
      <c r="C195" t="s">
        <v>275</v>
      </c>
      <c r="D195" t="s">
        <v>53</v>
      </c>
      <c r="E195">
        <v>0</v>
      </c>
      <c r="F195">
        <v>0</v>
      </c>
      <c r="G195">
        <v>1</v>
      </c>
      <c r="H195">
        <v>100</v>
      </c>
      <c r="I195">
        <v>0</v>
      </c>
      <c r="J195">
        <v>0</v>
      </c>
      <c r="K195">
        <f>Table50[[#This Row],[OpeningQty]]+Table50[[#This Row],[PurchasesQty]]-Table50[[#This Row],[ClosingQty]]</f>
        <v>1</v>
      </c>
      <c r="L195">
        <v>100</v>
      </c>
      <c r="M195" s="14">
        <f>Table50[[#This Row],[Usage]]/$L$1</f>
        <v>1.5187993951533288E-4</v>
      </c>
      <c r="N195" s="15">
        <f>IFERROR(Table50[[#This Row],[Opening]]/Table50[[#This Row],[OpeningQty]],0)</f>
        <v>0</v>
      </c>
      <c r="O195" s="15">
        <f>IFERROR(Table50[[#This Row],[Purchases]]/Table50[[#This Row],[PurchasesQty]],0)</f>
        <v>100</v>
      </c>
      <c r="P195" s="15">
        <f>IFERROR(Table50[[#This Row],[Closing]]/Table50[[#This Row],[ClosingQty]],0)</f>
        <v>0</v>
      </c>
      <c r="Q195" s="15">
        <f>IFERROR(AVERAGEIF(Table50[[#This Row],[OPENING COST PRICE]:[CLOSING COST PRICE]],"&gt;0"),0)</f>
        <v>100</v>
      </c>
      <c r="R195" s="15">
        <f>IFERROR(Table50[[#This Row],[COST PRICE]]-IFERROR(Table50[[#This Row],[Usage]]/Table50[[#This Row],[UsageQty]],Table50[[#This Row],[COST PRICE]]),0)</f>
        <v>0</v>
      </c>
      <c r="S195" s="16">
        <f>IFERROR(Table50[[#This Row],[COST PRICE CHANGE]]/Table50[[#This Row],[OPENING COST PRICE]],0)</f>
        <v>0</v>
      </c>
      <c r="T195" s="15" t="e">
        <f>Table50[[#This Row],[ClosingQty]]-(Table50[[#This Row],[USAGE / DAY]]*(IF(Table50[[#This Row],[ccnt]]="BEV",Table50[[#This Row],[DELIVERY DAY]],Table50[[#This Row],[DELIVERY DAY]])))</f>
        <v>#VALUE!</v>
      </c>
      <c r="U195" s="15">
        <f>ROUNDUP(Table50[[#This Row],[UsageQty]]/Table50[[#This Row],[DATA POINT]],2)</f>
        <v>0.08</v>
      </c>
      <c r="V195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5" s="15">
        <f>IFERROR(Table50[[#This Row],[ORDER QTY]]*Table50[[#This Row],[COST PRICE]],0)</f>
        <v>0</v>
      </c>
      <c r="X195" s="15">
        <f>IFERROR(VLOOKUP(C195,[1]!Table48[[#All],[name]:[USAGE / DAY]],18,FALSE),1)</f>
        <v>1</v>
      </c>
      <c r="Y195" s="4">
        <f>IFERROR((Table50[[#This Row],[USAGE / DAY]]-Table50[[#This Row],[USAGE / DAY 2]])/Table50[[#This Row],[USAGE / DAY 2]],0)</f>
        <v>-0.92</v>
      </c>
      <c r="Z195" s="15">
        <f t="shared" si="6"/>
        <v>14</v>
      </c>
      <c r="AA195" s="15">
        <f t="shared" si="7"/>
        <v>9.311854181734148</v>
      </c>
      <c r="AB195" s="15" t="str">
        <f>IFERROR(IF(Table50[[#This Row],[ccnt]]="BEV",$AB$2,IF(Table50[[#This Row],[ccnt]]="FOOD",$AC$2,"ENTER # FROM LAST COUNT")),"ENTER # FROM LAST COUNT")</f>
        <v>ENTER # FROM LAST COUNT</v>
      </c>
      <c r="AC195" s="15">
        <f>(Table50[[#This Row],[OpeningQty]]+Table50[[#This Row],[ClosingQty]])/2</f>
        <v>0</v>
      </c>
      <c r="AD195" s="15">
        <f>IFERROR(Table50[[#This Row],[UsageQty]]/Table50[[#This Row],[AVE INVENTORY]],0)</f>
        <v>0</v>
      </c>
      <c r="AE195" s="15">
        <f>IFERROR(Table50[[#This Row],[DATA POINT]]/Table50[[#This Row],[Inventory Turnover Rate]],0)</f>
        <v>0</v>
      </c>
      <c r="AF195" s="15">
        <f>Table50[[#This Row],[ClosingQty]]/Table50[[#This Row],[USAGE / DAY]]</f>
        <v>0</v>
      </c>
      <c r="AG195" s="15">
        <f>Table50[[#This Row],[USAGE / DAY]]*7</f>
        <v>0.56000000000000005</v>
      </c>
      <c r="AH195" s="15">
        <f>Table50[[#This Row],[USAGE / DAY]]*3</f>
        <v>0.24</v>
      </c>
      <c r="AI195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95" s="15">
        <f>IFERROR(Table50[[#This Row],[ORDER QTY2]]*Table50[[#This Row],[COST PRICE]],0)</f>
        <v>80</v>
      </c>
      <c r="AK195" s="15" t="e">
        <f>(Table50[[#This Row],[REORDER POINT]]*Table50[[#This Row],[COST PRICE]])+Table50[[#This Row],[ORDER COST]]</f>
        <v>#VALUE!</v>
      </c>
      <c r="AL195" s="15">
        <f t="shared" si="8"/>
        <v>100</v>
      </c>
      <c r="AM195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6" spans="1:39" hidden="1" x14ac:dyDescent="0.25">
      <c r="A196" t="s">
        <v>215</v>
      </c>
      <c r="B196" t="s">
        <v>270</v>
      </c>
      <c r="C196" t="s">
        <v>276</v>
      </c>
      <c r="D196" t="s">
        <v>53</v>
      </c>
      <c r="E196">
        <v>0</v>
      </c>
      <c r="F196">
        <v>0</v>
      </c>
      <c r="G196">
        <v>1</v>
      </c>
      <c r="H196">
        <v>1390.67</v>
      </c>
      <c r="I196">
        <v>0</v>
      </c>
      <c r="J196">
        <v>0</v>
      </c>
      <c r="K196">
        <f>Table50[[#This Row],[OpeningQty]]+Table50[[#This Row],[PurchasesQty]]-Table50[[#This Row],[ClosingQty]]</f>
        <v>1</v>
      </c>
      <c r="L196">
        <v>1390.67</v>
      </c>
      <c r="M196" s="14">
        <f>Table50[[#This Row],[Usage]]/$L$1</f>
        <v>2.1121487548578797E-3</v>
      </c>
      <c r="N196" s="15">
        <f>IFERROR(Table50[[#This Row],[Opening]]/Table50[[#This Row],[OpeningQty]],0)</f>
        <v>0</v>
      </c>
      <c r="O196" s="15">
        <f>IFERROR(Table50[[#This Row],[Purchases]]/Table50[[#This Row],[PurchasesQty]],0)</f>
        <v>1390.67</v>
      </c>
      <c r="P196" s="15">
        <f>IFERROR(Table50[[#This Row],[Closing]]/Table50[[#This Row],[ClosingQty]],0)</f>
        <v>0</v>
      </c>
      <c r="Q196" s="15">
        <f>IFERROR(AVERAGEIF(Table50[[#This Row],[OPENING COST PRICE]:[CLOSING COST PRICE]],"&gt;0"),0)</f>
        <v>1390.67</v>
      </c>
      <c r="R196" s="15">
        <f>IFERROR(Table50[[#This Row],[COST PRICE]]-IFERROR(Table50[[#This Row],[Usage]]/Table50[[#This Row],[UsageQty]],Table50[[#This Row],[COST PRICE]]),0)</f>
        <v>0</v>
      </c>
      <c r="S196" s="16">
        <f>IFERROR(Table50[[#This Row],[COST PRICE CHANGE]]/Table50[[#This Row],[OPENING COST PRICE]],0)</f>
        <v>0</v>
      </c>
      <c r="T196" s="15" t="e">
        <f>Table50[[#This Row],[ClosingQty]]-(Table50[[#This Row],[USAGE / DAY]]*(IF(Table50[[#This Row],[ccnt]]="BEV",Table50[[#This Row],[DELIVERY DAY]],Table50[[#This Row],[DELIVERY DAY]])))</f>
        <v>#VALUE!</v>
      </c>
      <c r="U196" s="15">
        <f>ROUNDUP(Table50[[#This Row],[UsageQty]]/Table50[[#This Row],[DATA POINT]],2)</f>
        <v>0.08</v>
      </c>
      <c r="V196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6" s="15">
        <f>IFERROR(Table50[[#This Row],[ORDER QTY]]*Table50[[#This Row],[COST PRICE]],0)</f>
        <v>0</v>
      </c>
      <c r="X196" s="15">
        <f>IFERROR(VLOOKUP(C196,[1]!Table48[[#All],[name]:[USAGE / DAY]],18,FALSE),1)</f>
        <v>1</v>
      </c>
      <c r="Y196" s="4">
        <f>IFERROR((Table50[[#This Row],[USAGE / DAY]]-Table50[[#This Row],[USAGE / DAY 2]])/Table50[[#This Row],[USAGE / DAY 2]],0)</f>
        <v>-0.92</v>
      </c>
      <c r="Z196" s="15">
        <f t="shared" ref="Z196:Z259" si="9">_xlfn.DAYS($V$2,$V$1)</f>
        <v>14</v>
      </c>
      <c r="AA196" s="15">
        <f t="shared" ref="AA196:AA259" si="10">($R$2*$R$1)+$R$2</f>
        <v>9.311854181734148</v>
      </c>
      <c r="AB196" s="15" t="str">
        <f>IFERROR(IF(Table50[[#This Row],[ccnt]]="BEV",$AB$2,IF(Table50[[#This Row],[ccnt]]="FOOD",$AC$2,"ENTER # FROM LAST COUNT")),"ENTER # FROM LAST COUNT")</f>
        <v>ENTER # FROM LAST COUNT</v>
      </c>
      <c r="AC196" s="15">
        <f>(Table50[[#This Row],[OpeningQty]]+Table50[[#This Row],[ClosingQty]])/2</f>
        <v>0</v>
      </c>
      <c r="AD196" s="15">
        <f>IFERROR(Table50[[#This Row],[UsageQty]]/Table50[[#This Row],[AVE INVENTORY]],0)</f>
        <v>0</v>
      </c>
      <c r="AE196" s="15">
        <f>IFERROR(Table50[[#This Row],[DATA POINT]]/Table50[[#This Row],[Inventory Turnover Rate]],0)</f>
        <v>0</v>
      </c>
      <c r="AF196" s="15">
        <f>Table50[[#This Row],[ClosingQty]]/Table50[[#This Row],[USAGE / DAY]]</f>
        <v>0</v>
      </c>
      <c r="AG196" s="15">
        <f>Table50[[#This Row],[USAGE / DAY]]*7</f>
        <v>0.56000000000000005</v>
      </c>
      <c r="AH196" s="15">
        <f>Table50[[#This Row],[USAGE / DAY]]*3</f>
        <v>0.24</v>
      </c>
      <c r="AI196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96" s="15">
        <f>IFERROR(Table50[[#This Row],[ORDER QTY2]]*Table50[[#This Row],[COST PRICE]],0)</f>
        <v>1112.5360000000001</v>
      </c>
      <c r="AK196" s="15" t="e">
        <f>(Table50[[#This Row],[REORDER POINT]]*Table50[[#This Row],[COST PRICE]])+Table50[[#This Row],[ORDER COST]]</f>
        <v>#VALUE!</v>
      </c>
      <c r="AL196" s="15">
        <f t="shared" ref="AL196:AL259" si="11">$AL$2</f>
        <v>100</v>
      </c>
      <c r="AM196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7" spans="1:39" hidden="1" x14ac:dyDescent="0.25">
      <c r="A197" t="s">
        <v>215</v>
      </c>
      <c r="B197" t="s">
        <v>270</v>
      </c>
      <c r="C197" t="s">
        <v>277</v>
      </c>
      <c r="D197" t="s">
        <v>53</v>
      </c>
      <c r="E197">
        <v>0</v>
      </c>
      <c r="F197">
        <v>0</v>
      </c>
      <c r="G197">
        <v>1</v>
      </c>
      <c r="H197">
        <v>3488.71</v>
      </c>
      <c r="I197">
        <v>0</v>
      </c>
      <c r="J197">
        <v>0</v>
      </c>
      <c r="K197">
        <f>Table50[[#This Row],[OpeningQty]]+Table50[[#This Row],[PurchasesQty]]-Table50[[#This Row],[ClosingQty]]</f>
        <v>1</v>
      </c>
      <c r="L197">
        <v>3488.71</v>
      </c>
      <c r="M197" s="14">
        <f>Table50[[#This Row],[Usage]]/$L$1</f>
        <v>5.2986506378653693E-3</v>
      </c>
      <c r="N197" s="15">
        <f>IFERROR(Table50[[#This Row],[Opening]]/Table50[[#This Row],[OpeningQty]],0)</f>
        <v>0</v>
      </c>
      <c r="O197" s="15">
        <f>IFERROR(Table50[[#This Row],[Purchases]]/Table50[[#This Row],[PurchasesQty]],0)</f>
        <v>3488.71</v>
      </c>
      <c r="P197" s="15">
        <f>IFERROR(Table50[[#This Row],[Closing]]/Table50[[#This Row],[ClosingQty]],0)</f>
        <v>0</v>
      </c>
      <c r="Q197" s="15">
        <f>IFERROR(AVERAGEIF(Table50[[#This Row],[OPENING COST PRICE]:[CLOSING COST PRICE]],"&gt;0"),0)</f>
        <v>3488.71</v>
      </c>
      <c r="R197" s="15">
        <f>IFERROR(Table50[[#This Row],[COST PRICE]]-IFERROR(Table50[[#This Row],[Usage]]/Table50[[#This Row],[UsageQty]],Table50[[#This Row],[COST PRICE]]),0)</f>
        <v>0</v>
      </c>
      <c r="S197" s="16">
        <f>IFERROR(Table50[[#This Row],[COST PRICE CHANGE]]/Table50[[#This Row],[OPENING COST PRICE]],0)</f>
        <v>0</v>
      </c>
      <c r="T197" s="15" t="e">
        <f>Table50[[#This Row],[ClosingQty]]-(Table50[[#This Row],[USAGE / DAY]]*(IF(Table50[[#This Row],[ccnt]]="BEV",Table50[[#This Row],[DELIVERY DAY]],Table50[[#This Row],[DELIVERY DAY]])))</f>
        <v>#VALUE!</v>
      </c>
      <c r="U197" s="15">
        <f>ROUNDUP(Table50[[#This Row],[UsageQty]]/Table50[[#This Row],[DATA POINT]],2)</f>
        <v>0.08</v>
      </c>
      <c r="V197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7" s="15">
        <f>IFERROR(Table50[[#This Row],[ORDER QTY]]*Table50[[#This Row],[COST PRICE]],0)</f>
        <v>0</v>
      </c>
      <c r="X197" s="15">
        <f>IFERROR(VLOOKUP(C197,[1]!Table48[[#All],[name]:[USAGE / DAY]],18,FALSE),1)</f>
        <v>1</v>
      </c>
      <c r="Y197" s="4">
        <f>IFERROR((Table50[[#This Row],[USAGE / DAY]]-Table50[[#This Row],[USAGE / DAY 2]])/Table50[[#This Row],[USAGE / DAY 2]],0)</f>
        <v>-0.92</v>
      </c>
      <c r="Z197" s="15">
        <f t="shared" si="9"/>
        <v>14</v>
      </c>
      <c r="AA197" s="15">
        <f t="shared" si="10"/>
        <v>9.311854181734148</v>
      </c>
      <c r="AB197" s="15" t="str">
        <f>IFERROR(IF(Table50[[#This Row],[ccnt]]="BEV",$AB$2,IF(Table50[[#This Row],[ccnt]]="FOOD",$AC$2,"ENTER # FROM LAST COUNT")),"ENTER # FROM LAST COUNT")</f>
        <v>ENTER # FROM LAST COUNT</v>
      </c>
      <c r="AC197" s="15">
        <f>(Table50[[#This Row],[OpeningQty]]+Table50[[#This Row],[ClosingQty]])/2</f>
        <v>0</v>
      </c>
      <c r="AD197" s="15">
        <f>IFERROR(Table50[[#This Row],[UsageQty]]/Table50[[#This Row],[AVE INVENTORY]],0)</f>
        <v>0</v>
      </c>
      <c r="AE197" s="15">
        <f>IFERROR(Table50[[#This Row],[DATA POINT]]/Table50[[#This Row],[Inventory Turnover Rate]],0)</f>
        <v>0</v>
      </c>
      <c r="AF197" s="15">
        <f>Table50[[#This Row],[ClosingQty]]/Table50[[#This Row],[USAGE / DAY]]</f>
        <v>0</v>
      </c>
      <c r="AG197" s="15">
        <f>Table50[[#This Row],[USAGE / DAY]]*7</f>
        <v>0.56000000000000005</v>
      </c>
      <c r="AH197" s="15">
        <f>Table50[[#This Row],[USAGE / DAY]]*3</f>
        <v>0.24</v>
      </c>
      <c r="AI197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97" s="15">
        <f>IFERROR(Table50[[#This Row],[ORDER QTY2]]*Table50[[#This Row],[COST PRICE]],0)</f>
        <v>2790.9680000000003</v>
      </c>
      <c r="AK197" s="15" t="e">
        <f>(Table50[[#This Row],[REORDER POINT]]*Table50[[#This Row],[COST PRICE]])+Table50[[#This Row],[ORDER COST]]</f>
        <v>#VALUE!</v>
      </c>
      <c r="AL197" s="15">
        <f t="shared" si="11"/>
        <v>100</v>
      </c>
      <c r="AM197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8" spans="1:39" hidden="1" x14ac:dyDescent="0.25">
      <c r="A198" t="s">
        <v>215</v>
      </c>
      <c r="B198" t="s">
        <v>270</v>
      </c>
      <c r="C198" t="s">
        <v>278</v>
      </c>
      <c r="D198" t="s">
        <v>53</v>
      </c>
      <c r="E198">
        <v>0</v>
      </c>
      <c r="F198">
        <v>0</v>
      </c>
      <c r="G198">
        <v>189.22</v>
      </c>
      <c r="H198">
        <v>2680.52</v>
      </c>
      <c r="I198">
        <v>0</v>
      </c>
      <c r="J198">
        <v>0</v>
      </c>
      <c r="K198">
        <f>Table50[[#This Row],[OpeningQty]]+Table50[[#This Row],[PurchasesQty]]-Table50[[#This Row],[ClosingQty]]</f>
        <v>189.22</v>
      </c>
      <c r="L198">
        <v>2680.52</v>
      </c>
      <c r="M198" s="14">
        <f>Table50[[#This Row],[Usage]]/$L$1</f>
        <v>4.0711721546964012E-3</v>
      </c>
      <c r="N198" s="15">
        <f>IFERROR(Table50[[#This Row],[Opening]]/Table50[[#This Row],[OpeningQty]],0)</f>
        <v>0</v>
      </c>
      <c r="O198" s="15">
        <f>IFERROR(Table50[[#This Row],[Purchases]]/Table50[[#This Row],[PurchasesQty]],0)</f>
        <v>14.166155797484409</v>
      </c>
      <c r="P198" s="15">
        <f>IFERROR(Table50[[#This Row],[Closing]]/Table50[[#This Row],[ClosingQty]],0)</f>
        <v>0</v>
      </c>
      <c r="Q198" s="15">
        <f>IFERROR(AVERAGEIF(Table50[[#This Row],[OPENING COST PRICE]:[CLOSING COST PRICE]],"&gt;0"),0)</f>
        <v>14.166155797484409</v>
      </c>
      <c r="R198" s="15">
        <f>IFERROR(Table50[[#This Row],[COST PRICE]]-IFERROR(Table50[[#This Row],[Usage]]/Table50[[#This Row],[UsageQty]],Table50[[#This Row],[COST PRICE]]),0)</f>
        <v>0</v>
      </c>
      <c r="S198" s="16">
        <f>IFERROR(Table50[[#This Row],[COST PRICE CHANGE]]/Table50[[#This Row],[OPENING COST PRICE]],0)</f>
        <v>0</v>
      </c>
      <c r="T198" s="15" t="e">
        <f>Table50[[#This Row],[ClosingQty]]-(Table50[[#This Row],[USAGE / DAY]]*(IF(Table50[[#This Row],[ccnt]]="BEV",Table50[[#This Row],[DELIVERY DAY]],Table50[[#This Row],[DELIVERY DAY]])))</f>
        <v>#VALUE!</v>
      </c>
      <c r="U198" s="15">
        <f>ROUNDUP(Table50[[#This Row],[UsageQty]]/Table50[[#This Row],[DATA POINT]],2)</f>
        <v>13.52</v>
      </c>
      <c r="V198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8" s="15">
        <f>IFERROR(Table50[[#This Row],[ORDER QTY]]*Table50[[#This Row],[COST PRICE]],0)</f>
        <v>0</v>
      </c>
      <c r="X198" s="15">
        <f>IFERROR(VLOOKUP(C198,[1]!Table48[[#All],[name]:[USAGE / DAY]],18,FALSE),1)</f>
        <v>1</v>
      </c>
      <c r="Y198" s="4">
        <f>IFERROR((Table50[[#This Row],[USAGE / DAY]]-Table50[[#This Row],[USAGE / DAY 2]])/Table50[[#This Row],[USAGE / DAY 2]],0)</f>
        <v>12.52</v>
      </c>
      <c r="Z198" s="15">
        <f t="shared" si="9"/>
        <v>14</v>
      </c>
      <c r="AA198" s="15">
        <f t="shared" si="10"/>
        <v>9.311854181734148</v>
      </c>
      <c r="AB198" s="15" t="str">
        <f>IFERROR(IF(Table50[[#This Row],[ccnt]]="BEV",$AB$2,IF(Table50[[#This Row],[ccnt]]="FOOD",$AC$2,"ENTER # FROM LAST COUNT")),"ENTER # FROM LAST COUNT")</f>
        <v>ENTER # FROM LAST COUNT</v>
      </c>
      <c r="AC198" s="15">
        <f>(Table50[[#This Row],[OpeningQty]]+Table50[[#This Row],[ClosingQty]])/2</f>
        <v>0</v>
      </c>
      <c r="AD198" s="15">
        <f>IFERROR(Table50[[#This Row],[UsageQty]]/Table50[[#This Row],[AVE INVENTORY]],0)</f>
        <v>0</v>
      </c>
      <c r="AE198" s="15">
        <f>IFERROR(Table50[[#This Row],[DATA POINT]]/Table50[[#This Row],[Inventory Turnover Rate]],0)</f>
        <v>0</v>
      </c>
      <c r="AF198" s="15">
        <f>Table50[[#This Row],[ClosingQty]]/Table50[[#This Row],[USAGE / DAY]]</f>
        <v>0</v>
      </c>
      <c r="AG198" s="15">
        <f>Table50[[#This Row],[USAGE / DAY]]*7</f>
        <v>94.64</v>
      </c>
      <c r="AH198" s="15">
        <f>Table50[[#This Row],[USAGE / DAY]]*3</f>
        <v>40.56</v>
      </c>
      <c r="AI198" s="15">
        <f>IF(Table50[[#This Row],[FORECASTED DEMAND]]+Table50[[#This Row],[SAFETY STOCK]]-Table50[[#This Row],[ClosingQty]]&gt;0,Table50[[#This Row],[FORECASTED DEMAND]]+Table50[[#This Row],[SAFETY STOCK]]-Table50[[#This Row],[ClosingQty]],"NO ORDER")</f>
        <v>135.19999999999999</v>
      </c>
      <c r="AJ198" s="15">
        <f>IFERROR(Table50[[#This Row],[ORDER QTY2]]*Table50[[#This Row],[COST PRICE]],0)</f>
        <v>1915.264263819892</v>
      </c>
      <c r="AK198" s="15" t="e">
        <f>(Table50[[#This Row],[REORDER POINT]]*Table50[[#This Row],[COST PRICE]])+Table50[[#This Row],[ORDER COST]]</f>
        <v>#VALUE!</v>
      </c>
      <c r="AL198" s="15">
        <f t="shared" si="11"/>
        <v>100</v>
      </c>
      <c r="AM198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199" spans="1:39" hidden="1" x14ac:dyDescent="0.25">
      <c r="A199" t="s">
        <v>215</v>
      </c>
      <c r="B199" t="s">
        <v>279</v>
      </c>
      <c r="C199" t="s">
        <v>280</v>
      </c>
      <c r="D199" t="s">
        <v>53</v>
      </c>
      <c r="E199">
        <v>0</v>
      </c>
      <c r="F199">
        <v>0</v>
      </c>
      <c r="G199">
        <v>1</v>
      </c>
      <c r="H199">
        <v>138.04</v>
      </c>
      <c r="I199">
        <v>0</v>
      </c>
      <c r="J199">
        <v>0</v>
      </c>
      <c r="K199">
        <f>Table50[[#This Row],[OpeningQty]]+Table50[[#This Row],[PurchasesQty]]-Table50[[#This Row],[ClosingQty]]</f>
        <v>1</v>
      </c>
      <c r="L199">
        <v>138.04</v>
      </c>
      <c r="M199" s="14">
        <f>Table50[[#This Row],[Usage]]/$L$1</f>
        <v>2.0965506850696548E-4</v>
      </c>
      <c r="N199" s="15">
        <f>IFERROR(Table50[[#This Row],[Opening]]/Table50[[#This Row],[OpeningQty]],0)</f>
        <v>0</v>
      </c>
      <c r="O199" s="15">
        <f>IFERROR(Table50[[#This Row],[Purchases]]/Table50[[#This Row],[PurchasesQty]],0)</f>
        <v>138.04</v>
      </c>
      <c r="P199" s="15">
        <f>IFERROR(Table50[[#This Row],[Closing]]/Table50[[#This Row],[ClosingQty]],0)</f>
        <v>0</v>
      </c>
      <c r="Q199" s="15">
        <f>IFERROR(AVERAGEIF(Table50[[#This Row],[OPENING COST PRICE]:[CLOSING COST PRICE]],"&gt;0"),0)</f>
        <v>138.04</v>
      </c>
      <c r="R199" s="15">
        <f>IFERROR(Table50[[#This Row],[COST PRICE]]-IFERROR(Table50[[#This Row],[Usage]]/Table50[[#This Row],[UsageQty]],Table50[[#This Row],[COST PRICE]]),0)</f>
        <v>0</v>
      </c>
      <c r="S199" s="16">
        <f>IFERROR(Table50[[#This Row],[COST PRICE CHANGE]]/Table50[[#This Row],[OPENING COST PRICE]],0)</f>
        <v>0</v>
      </c>
      <c r="T199" s="15" t="e">
        <f>Table50[[#This Row],[ClosingQty]]-(Table50[[#This Row],[USAGE / DAY]]*(IF(Table50[[#This Row],[ccnt]]="BEV",Table50[[#This Row],[DELIVERY DAY]],Table50[[#This Row],[DELIVERY DAY]])))</f>
        <v>#VALUE!</v>
      </c>
      <c r="U199" s="15">
        <f>ROUNDUP(Table50[[#This Row],[UsageQty]]/Table50[[#This Row],[DATA POINT]],2)</f>
        <v>0.08</v>
      </c>
      <c r="V199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199" s="15">
        <f>IFERROR(Table50[[#This Row],[ORDER QTY]]*Table50[[#This Row],[COST PRICE]],0)</f>
        <v>0</v>
      </c>
      <c r="X199" s="15">
        <f>IFERROR(VLOOKUP(C199,[1]!Table48[[#All],[name]:[USAGE / DAY]],18,FALSE),1)</f>
        <v>0.36</v>
      </c>
      <c r="Y199" s="4">
        <f>IFERROR((Table50[[#This Row],[USAGE / DAY]]-Table50[[#This Row],[USAGE / DAY 2]])/Table50[[#This Row],[USAGE / DAY 2]],0)</f>
        <v>-0.77777777777777768</v>
      </c>
      <c r="Z199" s="15">
        <f t="shared" si="9"/>
        <v>14</v>
      </c>
      <c r="AA199" s="15">
        <f t="shared" si="10"/>
        <v>9.311854181734148</v>
      </c>
      <c r="AB199" s="15" t="str">
        <f>IFERROR(IF(Table50[[#This Row],[ccnt]]="BEV",$AB$2,IF(Table50[[#This Row],[ccnt]]="FOOD",$AC$2,"ENTER # FROM LAST COUNT")),"ENTER # FROM LAST COUNT")</f>
        <v>ENTER # FROM LAST COUNT</v>
      </c>
      <c r="AC199" s="15">
        <f>(Table50[[#This Row],[OpeningQty]]+Table50[[#This Row],[ClosingQty]])/2</f>
        <v>0</v>
      </c>
      <c r="AD199" s="15">
        <f>IFERROR(Table50[[#This Row],[UsageQty]]/Table50[[#This Row],[AVE INVENTORY]],0)</f>
        <v>0</v>
      </c>
      <c r="AE199" s="15">
        <f>IFERROR(Table50[[#This Row],[DATA POINT]]/Table50[[#This Row],[Inventory Turnover Rate]],0)</f>
        <v>0</v>
      </c>
      <c r="AF199" s="15">
        <f>Table50[[#This Row],[ClosingQty]]/Table50[[#This Row],[USAGE / DAY]]</f>
        <v>0</v>
      </c>
      <c r="AG199" s="15">
        <f>Table50[[#This Row],[USAGE / DAY]]*7</f>
        <v>0.56000000000000005</v>
      </c>
      <c r="AH199" s="15">
        <f>Table50[[#This Row],[USAGE / DAY]]*3</f>
        <v>0.24</v>
      </c>
      <c r="AI199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199" s="15">
        <f>IFERROR(Table50[[#This Row],[ORDER QTY2]]*Table50[[#This Row],[COST PRICE]],0)</f>
        <v>110.432</v>
      </c>
      <c r="AK199" s="15" t="e">
        <f>(Table50[[#This Row],[REORDER POINT]]*Table50[[#This Row],[COST PRICE]])+Table50[[#This Row],[ORDER COST]]</f>
        <v>#VALUE!</v>
      </c>
      <c r="AL199" s="15">
        <f t="shared" si="11"/>
        <v>100</v>
      </c>
      <c r="AM199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0" spans="1:39" hidden="1" x14ac:dyDescent="0.25">
      <c r="A200" t="s">
        <v>215</v>
      </c>
      <c r="B200" t="s">
        <v>279</v>
      </c>
      <c r="C200" t="s">
        <v>281</v>
      </c>
      <c r="D200" t="s">
        <v>53</v>
      </c>
      <c r="E200">
        <v>0</v>
      </c>
      <c r="F200">
        <v>0</v>
      </c>
      <c r="G200">
        <v>1</v>
      </c>
      <c r="H200">
        <v>1500</v>
      </c>
      <c r="I200">
        <v>0</v>
      </c>
      <c r="J200">
        <v>0</v>
      </c>
      <c r="K200">
        <f>Table50[[#This Row],[OpeningQty]]+Table50[[#This Row],[PurchasesQty]]-Table50[[#This Row],[ClosingQty]]</f>
        <v>1</v>
      </c>
      <c r="L200">
        <v>1500</v>
      </c>
      <c r="M200" s="14">
        <f>Table50[[#This Row],[Usage]]/$L$1</f>
        <v>2.2781990927299932E-3</v>
      </c>
      <c r="N200" s="15">
        <f>IFERROR(Table50[[#This Row],[Opening]]/Table50[[#This Row],[OpeningQty]],0)</f>
        <v>0</v>
      </c>
      <c r="O200" s="15">
        <f>IFERROR(Table50[[#This Row],[Purchases]]/Table50[[#This Row],[PurchasesQty]],0)</f>
        <v>1500</v>
      </c>
      <c r="P200" s="15">
        <f>IFERROR(Table50[[#This Row],[Closing]]/Table50[[#This Row],[ClosingQty]],0)</f>
        <v>0</v>
      </c>
      <c r="Q200" s="15">
        <f>IFERROR(AVERAGEIF(Table50[[#This Row],[OPENING COST PRICE]:[CLOSING COST PRICE]],"&gt;0"),0)</f>
        <v>1500</v>
      </c>
      <c r="R200" s="15">
        <f>IFERROR(Table50[[#This Row],[COST PRICE]]-IFERROR(Table50[[#This Row],[Usage]]/Table50[[#This Row],[UsageQty]],Table50[[#This Row],[COST PRICE]]),0)</f>
        <v>0</v>
      </c>
      <c r="S200" s="16">
        <f>IFERROR(Table50[[#This Row],[COST PRICE CHANGE]]/Table50[[#This Row],[OPENING COST PRICE]],0)</f>
        <v>0</v>
      </c>
      <c r="T200" s="15" t="e">
        <f>Table50[[#This Row],[ClosingQty]]-(Table50[[#This Row],[USAGE / DAY]]*(IF(Table50[[#This Row],[ccnt]]="BEV",Table50[[#This Row],[DELIVERY DAY]],Table50[[#This Row],[DELIVERY DAY]])))</f>
        <v>#VALUE!</v>
      </c>
      <c r="U200" s="15">
        <f>ROUNDUP(Table50[[#This Row],[UsageQty]]/Table50[[#This Row],[DATA POINT]],2)</f>
        <v>0.08</v>
      </c>
      <c r="V200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0" s="15">
        <f>IFERROR(Table50[[#This Row],[ORDER QTY]]*Table50[[#This Row],[COST PRICE]],0)</f>
        <v>0</v>
      </c>
      <c r="X200" s="15">
        <f>IFERROR(VLOOKUP(C200,[1]!Table48[[#All],[name]:[USAGE / DAY]],18,FALSE),1)</f>
        <v>1</v>
      </c>
      <c r="Y200" s="4">
        <f>IFERROR((Table50[[#This Row],[USAGE / DAY]]-Table50[[#This Row],[USAGE / DAY 2]])/Table50[[#This Row],[USAGE / DAY 2]],0)</f>
        <v>-0.92</v>
      </c>
      <c r="Z200" s="15">
        <f t="shared" si="9"/>
        <v>14</v>
      </c>
      <c r="AA200" s="15">
        <f t="shared" si="10"/>
        <v>9.311854181734148</v>
      </c>
      <c r="AB200" s="15" t="str">
        <f>IFERROR(IF(Table50[[#This Row],[ccnt]]="BEV",$AB$2,IF(Table50[[#This Row],[ccnt]]="FOOD",$AC$2,"ENTER # FROM LAST COUNT")),"ENTER # FROM LAST COUNT")</f>
        <v>ENTER # FROM LAST COUNT</v>
      </c>
      <c r="AC200" s="15">
        <f>(Table50[[#This Row],[OpeningQty]]+Table50[[#This Row],[ClosingQty]])/2</f>
        <v>0</v>
      </c>
      <c r="AD200" s="15">
        <f>IFERROR(Table50[[#This Row],[UsageQty]]/Table50[[#This Row],[AVE INVENTORY]],0)</f>
        <v>0</v>
      </c>
      <c r="AE200" s="15">
        <f>IFERROR(Table50[[#This Row],[DATA POINT]]/Table50[[#This Row],[Inventory Turnover Rate]],0)</f>
        <v>0</v>
      </c>
      <c r="AF200" s="15">
        <f>Table50[[#This Row],[ClosingQty]]/Table50[[#This Row],[USAGE / DAY]]</f>
        <v>0</v>
      </c>
      <c r="AG200" s="15">
        <f>Table50[[#This Row],[USAGE / DAY]]*7</f>
        <v>0.56000000000000005</v>
      </c>
      <c r="AH200" s="15">
        <f>Table50[[#This Row],[USAGE / DAY]]*3</f>
        <v>0.24</v>
      </c>
      <c r="AI200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200" s="15">
        <f>IFERROR(Table50[[#This Row],[ORDER QTY2]]*Table50[[#This Row],[COST PRICE]],0)</f>
        <v>1200</v>
      </c>
      <c r="AK200" s="15" t="e">
        <f>(Table50[[#This Row],[REORDER POINT]]*Table50[[#This Row],[COST PRICE]])+Table50[[#This Row],[ORDER COST]]</f>
        <v>#VALUE!</v>
      </c>
      <c r="AL200" s="15">
        <f t="shared" si="11"/>
        <v>100</v>
      </c>
      <c r="AM200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1" spans="1:39" hidden="1" x14ac:dyDescent="0.25">
      <c r="A201" t="s">
        <v>215</v>
      </c>
      <c r="B201" t="s">
        <v>279</v>
      </c>
      <c r="C201" t="s">
        <v>282</v>
      </c>
      <c r="D201" t="s">
        <v>53</v>
      </c>
      <c r="E201">
        <v>0</v>
      </c>
      <c r="F201">
        <v>0</v>
      </c>
      <c r="G201">
        <v>2</v>
      </c>
      <c r="H201">
        <v>643.48</v>
      </c>
      <c r="I201">
        <v>0</v>
      </c>
      <c r="J201">
        <v>0</v>
      </c>
      <c r="K201">
        <f>Table50[[#This Row],[OpeningQty]]+Table50[[#This Row],[PurchasesQty]]-Table50[[#This Row],[ClosingQty]]</f>
        <v>2</v>
      </c>
      <c r="L201">
        <v>643.48</v>
      </c>
      <c r="M201" s="14">
        <f>Table50[[#This Row],[Usage]]/$L$1</f>
        <v>9.7731703479326409E-4</v>
      </c>
      <c r="N201" s="15">
        <f>IFERROR(Table50[[#This Row],[Opening]]/Table50[[#This Row],[OpeningQty]],0)</f>
        <v>0</v>
      </c>
      <c r="O201" s="15">
        <f>IFERROR(Table50[[#This Row],[Purchases]]/Table50[[#This Row],[PurchasesQty]],0)</f>
        <v>321.74</v>
      </c>
      <c r="P201" s="15">
        <f>IFERROR(Table50[[#This Row],[Closing]]/Table50[[#This Row],[ClosingQty]],0)</f>
        <v>0</v>
      </c>
      <c r="Q201" s="15">
        <f>IFERROR(AVERAGEIF(Table50[[#This Row],[OPENING COST PRICE]:[CLOSING COST PRICE]],"&gt;0"),0)</f>
        <v>321.74</v>
      </c>
      <c r="R201" s="15">
        <f>IFERROR(Table50[[#This Row],[COST PRICE]]-IFERROR(Table50[[#This Row],[Usage]]/Table50[[#This Row],[UsageQty]],Table50[[#This Row],[COST PRICE]]),0)</f>
        <v>0</v>
      </c>
      <c r="S201" s="16">
        <f>IFERROR(Table50[[#This Row],[COST PRICE CHANGE]]/Table50[[#This Row],[OPENING COST PRICE]],0)</f>
        <v>0</v>
      </c>
      <c r="T201" s="15" t="e">
        <f>Table50[[#This Row],[ClosingQty]]-(Table50[[#This Row],[USAGE / DAY]]*(IF(Table50[[#This Row],[ccnt]]="BEV",Table50[[#This Row],[DELIVERY DAY]],Table50[[#This Row],[DELIVERY DAY]])))</f>
        <v>#VALUE!</v>
      </c>
      <c r="U201" s="15">
        <f>ROUNDUP(Table50[[#This Row],[UsageQty]]/Table50[[#This Row],[DATA POINT]],2)</f>
        <v>0.15000000000000002</v>
      </c>
      <c r="V201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1" s="15">
        <f>IFERROR(Table50[[#This Row],[ORDER QTY]]*Table50[[#This Row],[COST PRICE]],0)</f>
        <v>0</v>
      </c>
      <c r="X201" s="15">
        <f>IFERROR(VLOOKUP(C201,[1]!Table48[[#All],[name]:[USAGE / DAY]],18,FALSE),1)</f>
        <v>1</v>
      </c>
      <c r="Y201" s="4">
        <f>IFERROR((Table50[[#This Row],[USAGE / DAY]]-Table50[[#This Row],[USAGE / DAY 2]])/Table50[[#This Row],[USAGE / DAY 2]],0)</f>
        <v>-0.85</v>
      </c>
      <c r="Z201" s="15">
        <f t="shared" si="9"/>
        <v>14</v>
      </c>
      <c r="AA201" s="15">
        <f t="shared" si="10"/>
        <v>9.311854181734148</v>
      </c>
      <c r="AB201" s="15" t="str">
        <f>IFERROR(IF(Table50[[#This Row],[ccnt]]="BEV",$AB$2,IF(Table50[[#This Row],[ccnt]]="FOOD",$AC$2,"ENTER # FROM LAST COUNT")),"ENTER # FROM LAST COUNT")</f>
        <v>ENTER # FROM LAST COUNT</v>
      </c>
      <c r="AC201" s="15">
        <f>(Table50[[#This Row],[OpeningQty]]+Table50[[#This Row],[ClosingQty]])/2</f>
        <v>0</v>
      </c>
      <c r="AD201" s="15">
        <f>IFERROR(Table50[[#This Row],[UsageQty]]/Table50[[#This Row],[AVE INVENTORY]],0)</f>
        <v>0</v>
      </c>
      <c r="AE201" s="15">
        <f>IFERROR(Table50[[#This Row],[DATA POINT]]/Table50[[#This Row],[Inventory Turnover Rate]],0)</f>
        <v>0</v>
      </c>
      <c r="AF201" s="15">
        <f>Table50[[#This Row],[ClosingQty]]/Table50[[#This Row],[USAGE / DAY]]</f>
        <v>0</v>
      </c>
      <c r="AG201" s="15">
        <f>Table50[[#This Row],[USAGE / DAY]]*7</f>
        <v>1.0500000000000003</v>
      </c>
      <c r="AH201" s="15">
        <f>Table50[[#This Row],[USAGE / DAY]]*3</f>
        <v>0.45000000000000007</v>
      </c>
      <c r="AI201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201" s="15">
        <f>IFERROR(Table50[[#This Row],[ORDER QTY2]]*Table50[[#This Row],[COST PRICE]],0)</f>
        <v>482.61000000000018</v>
      </c>
      <c r="AK201" s="15" t="e">
        <f>(Table50[[#This Row],[REORDER POINT]]*Table50[[#This Row],[COST PRICE]])+Table50[[#This Row],[ORDER COST]]</f>
        <v>#VALUE!</v>
      </c>
      <c r="AL201" s="15">
        <f t="shared" si="11"/>
        <v>100</v>
      </c>
      <c r="AM201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2" spans="1:39" hidden="1" x14ac:dyDescent="0.25">
      <c r="A202" t="s">
        <v>215</v>
      </c>
      <c r="B202" t="s">
        <v>279</v>
      </c>
      <c r="C202" t="s">
        <v>283</v>
      </c>
      <c r="D202" t="s">
        <v>53</v>
      </c>
      <c r="E202">
        <v>0</v>
      </c>
      <c r="F202">
        <v>0</v>
      </c>
      <c r="G202">
        <v>1</v>
      </c>
      <c r="H202">
        <v>3739.13</v>
      </c>
      <c r="I202">
        <v>0</v>
      </c>
      <c r="J202">
        <v>0</v>
      </c>
      <c r="K202">
        <f>Table50[[#This Row],[OpeningQty]]+Table50[[#This Row],[PurchasesQty]]-Table50[[#This Row],[ClosingQty]]</f>
        <v>1</v>
      </c>
      <c r="L202">
        <v>3739.13</v>
      </c>
      <c r="M202" s="14">
        <f>Table50[[#This Row],[Usage]]/$L$1</f>
        <v>5.678988382399666E-3</v>
      </c>
      <c r="N202" s="15">
        <f>IFERROR(Table50[[#This Row],[Opening]]/Table50[[#This Row],[OpeningQty]],0)</f>
        <v>0</v>
      </c>
      <c r="O202" s="15">
        <f>IFERROR(Table50[[#This Row],[Purchases]]/Table50[[#This Row],[PurchasesQty]],0)</f>
        <v>3739.13</v>
      </c>
      <c r="P202" s="15">
        <f>IFERROR(Table50[[#This Row],[Closing]]/Table50[[#This Row],[ClosingQty]],0)</f>
        <v>0</v>
      </c>
      <c r="Q202" s="15">
        <f>IFERROR(AVERAGEIF(Table50[[#This Row],[OPENING COST PRICE]:[CLOSING COST PRICE]],"&gt;0"),0)</f>
        <v>3739.13</v>
      </c>
      <c r="R202" s="15">
        <f>IFERROR(Table50[[#This Row],[COST PRICE]]-IFERROR(Table50[[#This Row],[Usage]]/Table50[[#This Row],[UsageQty]],Table50[[#This Row],[COST PRICE]]),0)</f>
        <v>0</v>
      </c>
      <c r="S202" s="16">
        <f>IFERROR(Table50[[#This Row],[COST PRICE CHANGE]]/Table50[[#This Row],[OPENING COST PRICE]],0)</f>
        <v>0</v>
      </c>
      <c r="T202" s="15" t="e">
        <f>Table50[[#This Row],[ClosingQty]]-(Table50[[#This Row],[USAGE / DAY]]*(IF(Table50[[#This Row],[ccnt]]="BEV",Table50[[#This Row],[DELIVERY DAY]],Table50[[#This Row],[DELIVERY DAY]])))</f>
        <v>#VALUE!</v>
      </c>
      <c r="U202" s="15">
        <f>ROUNDUP(Table50[[#This Row],[UsageQty]]/Table50[[#This Row],[DATA POINT]],2)</f>
        <v>0.08</v>
      </c>
      <c r="V202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2" s="15">
        <f>IFERROR(Table50[[#This Row],[ORDER QTY]]*Table50[[#This Row],[COST PRICE]],0)</f>
        <v>0</v>
      </c>
      <c r="X202" s="15">
        <f>IFERROR(VLOOKUP(C202,[1]!Table48[[#All],[name]:[USAGE / DAY]],18,FALSE),1)</f>
        <v>1</v>
      </c>
      <c r="Y202" s="4">
        <f>IFERROR((Table50[[#This Row],[USAGE / DAY]]-Table50[[#This Row],[USAGE / DAY 2]])/Table50[[#This Row],[USAGE / DAY 2]],0)</f>
        <v>-0.92</v>
      </c>
      <c r="Z202" s="15">
        <f t="shared" si="9"/>
        <v>14</v>
      </c>
      <c r="AA202" s="15">
        <f t="shared" si="10"/>
        <v>9.311854181734148</v>
      </c>
      <c r="AB202" s="15" t="str">
        <f>IFERROR(IF(Table50[[#This Row],[ccnt]]="BEV",$AB$2,IF(Table50[[#This Row],[ccnt]]="FOOD",$AC$2,"ENTER # FROM LAST COUNT")),"ENTER # FROM LAST COUNT")</f>
        <v>ENTER # FROM LAST COUNT</v>
      </c>
      <c r="AC202" s="15">
        <f>(Table50[[#This Row],[OpeningQty]]+Table50[[#This Row],[ClosingQty]])/2</f>
        <v>0</v>
      </c>
      <c r="AD202" s="15">
        <f>IFERROR(Table50[[#This Row],[UsageQty]]/Table50[[#This Row],[AVE INVENTORY]],0)</f>
        <v>0</v>
      </c>
      <c r="AE202" s="15">
        <f>IFERROR(Table50[[#This Row],[DATA POINT]]/Table50[[#This Row],[Inventory Turnover Rate]],0)</f>
        <v>0</v>
      </c>
      <c r="AF202" s="15">
        <f>Table50[[#This Row],[ClosingQty]]/Table50[[#This Row],[USAGE / DAY]]</f>
        <v>0</v>
      </c>
      <c r="AG202" s="15">
        <f>Table50[[#This Row],[USAGE / DAY]]*7</f>
        <v>0.56000000000000005</v>
      </c>
      <c r="AH202" s="15">
        <f>Table50[[#This Row],[USAGE / DAY]]*3</f>
        <v>0.24</v>
      </c>
      <c r="AI202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202" s="15">
        <f>IFERROR(Table50[[#This Row],[ORDER QTY2]]*Table50[[#This Row],[COST PRICE]],0)</f>
        <v>2991.3040000000001</v>
      </c>
      <c r="AK202" s="15" t="e">
        <f>(Table50[[#This Row],[REORDER POINT]]*Table50[[#This Row],[COST PRICE]])+Table50[[#This Row],[ORDER COST]]</f>
        <v>#VALUE!</v>
      </c>
      <c r="AL202" s="15">
        <f t="shared" si="11"/>
        <v>100</v>
      </c>
      <c r="AM202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3" spans="1:39" hidden="1" x14ac:dyDescent="0.25">
      <c r="A203" t="s">
        <v>215</v>
      </c>
      <c r="B203" t="s">
        <v>279</v>
      </c>
      <c r="C203" t="s">
        <v>284</v>
      </c>
      <c r="D203" t="s">
        <v>53</v>
      </c>
      <c r="E203">
        <v>0</v>
      </c>
      <c r="F203">
        <v>0</v>
      </c>
      <c r="G203">
        <v>19</v>
      </c>
      <c r="H203">
        <v>4573.87</v>
      </c>
      <c r="I203">
        <v>0</v>
      </c>
      <c r="J203">
        <v>0</v>
      </c>
      <c r="K203">
        <f>Table50[[#This Row],[OpeningQty]]+Table50[[#This Row],[PurchasesQty]]-Table50[[#This Row],[ClosingQty]]</f>
        <v>19</v>
      </c>
      <c r="L203">
        <v>4573.87</v>
      </c>
      <c r="M203" s="14">
        <f>Table50[[#This Row],[Usage]]/$L$1</f>
        <v>6.9467909895099553E-3</v>
      </c>
      <c r="N203" s="15">
        <f>IFERROR(Table50[[#This Row],[Opening]]/Table50[[#This Row],[OpeningQty]],0)</f>
        <v>0</v>
      </c>
      <c r="O203" s="15">
        <f>IFERROR(Table50[[#This Row],[Purchases]]/Table50[[#This Row],[PurchasesQty]],0)</f>
        <v>240.73</v>
      </c>
      <c r="P203" s="15">
        <f>IFERROR(Table50[[#This Row],[Closing]]/Table50[[#This Row],[ClosingQty]],0)</f>
        <v>0</v>
      </c>
      <c r="Q203" s="15">
        <f>IFERROR(AVERAGEIF(Table50[[#This Row],[OPENING COST PRICE]:[CLOSING COST PRICE]],"&gt;0"),0)</f>
        <v>240.73</v>
      </c>
      <c r="R203" s="15">
        <f>IFERROR(Table50[[#This Row],[COST PRICE]]-IFERROR(Table50[[#This Row],[Usage]]/Table50[[#This Row],[UsageQty]],Table50[[#This Row],[COST PRICE]]),0)</f>
        <v>0</v>
      </c>
      <c r="S203" s="16">
        <f>IFERROR(Table50[[#This Row],[COST PRICE CHANGE]]/Table50[[#This Row],[OPENING COST PRICE]],0)</f>
        <v>0</v>
      </c>
      <c r="T203" s="15" t="e">
        <f>Table50[[#This Row],[ClosingQty]]-(Table50[[#This Row],[USAGE / DAY]]*(IF(Table50[[#This Row],[ccnt]]="BEV",Table50[[#This Row],[DELIVERY DAY]],Table50[[#This Row],[DELIVERY DAY]])))</f>
        <v>#VALUE!</v>
      </c>
      <c r="U203" s="15">
        <f>ROUNDUP(Table50[[#This Row],[UsageQty]]/Table50[[#This Row],[DATA POINT]],2)</f>
        <v>1.36</v>
      </c>
      <c r="V203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3" s="15">
        <f>IFERROR(Table50[[#This Row],[ORDER QTY]]*Table50[[#This Row],[COST PRICE]],0)</f>
        <v>0</v>
      </c>
      <c r="X203" s="15">
        <f>IFERROR(VLOOKUP(C203,[1]!Table48[[#All],[name]:[USAGE / DAY]],18,FALSE),1)</f>
        <v>0.43</v>
      </c>
      <c r="Y203" s="4">
        <f>IFERROR((Table50[[#This Row],[USAGE / DAY]]-Table50[[#This Row],[USAGE / DAY 2]])/Table50[[#This Row],[USAGE / DAY 2]],0)</f>
        <v>2.1627906976744189</v>
      </c>
      <c r="Z203" s="15">
        <f t="shared" si="9"/>
        <v>14</v>
      </c>
      <c r="AA203" s="15">
        <f t="shared" si="10"/>
        <v>9.311854181734148</v>
      </c>
      <c r="AB203" s="15" t="str">
        <f>IFERROR(IF(Table50[[#This Row],[ccnt]]="BEV",$AB$2,IF(Table50[[#This Row],[ccnt]]="FOOD",$AC$2,"ENTER # FROM LAST COUNT")),"ENTER # FROM LAST COUNT")</f>
        <v>ENTER # FROM LAST COUNT</v>
      </c>
      <c r="AC203" s="15">
        <f>(Table50[[#This Row],[OpeningQty]]+Table50[[#This Row],[ClosingQty]])/2</f>
        <v>0</v>
      </c>
      <c r="AD203" s="15">
        <f>IFERROR(Table50[[#This Row],[UsageQty]]/Table50[[#This Row],[AVE INVENTORY]],0)</f>
        <v>0</v>
      </c>
      <c r="AE203" s="15">
        <f>IFERROR(Table50[[#This Row],[DATA POINT]]/Table50[[#This Row],[Inventory Turnover Rate]],0)</f>
        <v>0</v>
      </c>
      <c r="AF203" s="15">
        <f>Table50[[#This Row],[ClosingQty]]/Table50[[#This Row],[USAGE / DAY]]</f>
        <v>0</v>
      </c>
      <c r="AG203" s="15">
        <f>Table50[[#This Row],[USAGE / DAY]]*7</f>
        <v>9.5200000000000014</v>
      </c>
      <c r="AH203" s="15">
        <f>Table50[[#This Row],[USAGE / DAY]]*3</f>
        <v>4.08</v>
      </c>
      <c r="AI203" s="15">
        <f>IF(Table50[[#This Row],[FORECASTED DEMAND]]+Table50[[#This Row],[SAFETY STOCK]]-Table50[[#This Row],[ClosingQty]]&gt;0,Table50[[#This Row],[FORECASTED DEMAND]]+Table50[[#This Row],[SAFETY STOCK]]-Table50[[#This Row],[ClosingQty]],"NO ORDER")</f>
        <v>13.600000000000001</v>
      </c>
      <c r="AJ203" s="15">
        <f>IFERROR(Table50[[#This Row],[ORDER QTY2]]*Table50[[#This Row],[COST PRICE]],0)</f>
        <v>3273.9280000000003</v>
      </c>
      <c r="AK203" s="15" t="e">
        <f>(Table50[[#This Row],[REORDER POINT]]*Table50[[#This Row],[COST PRICE]])+Table50[[#This Row],[ORDER COST]]</f>
        <v>#VALUE!</v>
      </c>
      <c r="AL203" s="15">
        <f t="shared" si="11"/>
        <v>100</v>
      </c>
      <c r="AM203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4" spans="1:39" hidden="1" x14ac:dyDescent="0.25">
      <c r="A204" t="s">
        <v>215</v>
      </c>
      <c r="B204" t="s">
        <v>279</v>
      </c>
      <c r="C204" t="s">
        <v>285</v>
      </c>
      <c r="D204" t="s">
        <v>53</v>
      </c>
      <c r="E204">
        <v>0</v>
      </c>
      <c r="F204">
        <v>0</v>
      </c>
      <c r="G204">
        <v>3</v>
      </c>
      <c r="H204">
        <v>79.099999999999994</v>
      </c>
      <c r="I204">
        <v>0</v>
      </c>
      <c r="J204">
        <v>0</v>
      </c>
      <c r="K204">
        <f>Table50[[#This Row],[OpeningQty]]+Table50[[#This Row],[PurchasesQty]]-Table50[[#This Row],[ClosingQty]]</f>
        <v>3</v>
      </c>
      <c r="L204">
        <v>79.099999999999994</v>
      </c>
      <c r="M204" s="14">
        <f>Table50[[#This Row],[Usage]]/$L$1</f>
        <v>1.2013703215662829E-4</v>
      </c>
      <c r="N204" s="15">
        <f>IFERROR(Table50[[#This Row],[Opening]]/Table50[[#This Row],[OpeningQty]],0)</f>
        <v>0</v>
      </c>
      <c r="O204" s="15">
        <f>IFERROR(Table50[[#This Row],[Purchases]]/Table50[[#This Row],[PurchasesQty]],0)</f>
        <v>26.366666666666664</v>
      </c>
      <c r="P204" s="15">
        <f>IFERROR(Table50[[#This Row],[Closing]]/Table50[[#This Row],[ClosingQty]],0)</f>
        <v>0</v>
      </c>
      <c r="Q204" s="15">
        <f>IFERROR(AVERAGEIF(Table50[[#This Row],[OPENING COST PRICE]:[CLOSING COST PRICE]],"&gt;0"),0)</f>
        <v>26.366666666666664</v>
      </c>
      <c r="R204" s="15">
        <f>IFERROR(Table50[[#This Row],[COST PRICE]]-IFERROR(Table50[[#This Row],[Usage]]/Table50[[#This Row],[UsageQty]],Table50[[#This Row],[COST PRICE]]),0)</f>
        <v>0</v>
      </c>
      <c r="S204" s="16">
        <f>IFERROR(Table50[[#This Row],[COST PRICE CHANGE]]/Table50[[#This Row],[OPENING COST PRICE]],0)</f>
        <v>0</v>
      </c>
      <c r="T204" s="15" t="e">
        <f>Table50[[#This Row],[ClosingQty]]-(Table50[[#This Row],[USAGE / DAY]]*(IF(Table50[[#This Row],[ccnt]]="BEV",Table50[[#This Row],[DELIVERY DAY]],Table50[[#This Row],[DELIVERY DAY]])))</f>
        <v>#VALUE!</v>
      </c>
      <c r="U204" s="15">
        <f>ROUNDUP(Table50[[#This Row],[UsageQty]]/Table50[[#This Row],[DATA POINT]],2)</f>
        <v>0.22</v>
      </c>
      <c r="V204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4" s="15">
        <f>IFERROR(Table50[[#This Row],[ORDER QTY]]*Table50[[#This Row],[COST PRICE]],0)</f>
        <v>0</v>
      </c>
      <c r="X204" s="15">
        <f>IFERROR(VLOOKUP(C204,[1]!Table48[[#All],[name]:[USAGE / DAY]],18,FALSE),1)</f>
        <v>0.43</v>
      </c>
      <c r="Y204" s="4">
        <f>IFERROR((Table50[[#This Row],[USAGE / DAY]]-Table50[[#This Row],[USAGE / DAY 2]])/Table50[[#This Row],[USAGE / DAY 2]],0)</f>
        <v>-0.48837209302325579</v>
      </c>
      <c r="Z204" s="15">
        <f t="shared" si="9"/>
        <v>14</v>
      </c>
      <c r="AA204" s="15">
        <f t="shared" si="10"/>
        <v>9.311854181734148</v>
      </c>
      <c r="AB204" s="15" t="str">
        <f>IFERROR(IF(Table50[[#This Row],[ccnt]]="BEV",$AB$2,IF(Table50[[#This Row],[ccnt]]="FOOD",$AC$2,"ENTER # FROM LAST COUNT")),"ENTER # FROM LAST COUNT")</f>
        <v>ENTER # FROM LAST COUNT</v>
      </c>
      <c r="AC204" s="15">
        <f>(Table50[[#This Row],[OpeningQty]]+Table50[[#This Row],[ClosingQty]])/2</f>
        <v>0</v>
      </c>
      <c r="AD204" s="15">
        <f>IFERROR(Table50[[#This Row],[UsageQty]]/Table50[[#This Row],[AVE INVENTORY]],0)</f>
        <v>0</v>
      </c>
      <c r="AE204" s="15">
        <f>IFERROR(Table50[[#This Row],[DATA POINT]]/Table50[[#This Row],[Inventory Turnover Rate]],0)</f>
        <v>0</v>
      </c>
      <c r="AF204" s="15">
        <f>Table50[[#This Row],[ClosingQty]]/Table50[[#This Row],[USAGE / DAY]]</f>
        <v>0</v>
      </c>
      <c r="AG204" s="15">
        <f>Table50[[#This Row],[USAGE / DAY]]*7</f>
        <v>1.54</v>
      </c>
      <c r="AH204" s="15">
        <f>Table50[[#This Row],[USAGE / DAY]]*3</f>
        <v>0.66</v>
      </c>
      <c r="AI204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2.2000000000000002</v>
      </c>
      <c r="AJ204" s="15">
        <f>IFERROR(Table50[[#This Row],[ORDER QTY2]]*Table50[[#This Row],[COST PRICE]],0)</f>
        <v>58.006666666666668</v>
      </c>
      <c r="AK204" s="15" t="e">
        <f>(Table50[[#This Row],[REORDER POINT]]*Table50[[#This Row],[COST PRICE]])+Table50[[#This Row],[ORDER COST]]</f>
        <v>#VALUE!</v>
      </c>
      <c r="AL204" s="15">
        <f t="shared" si="11"/>
        <v>100</v>
      </c>
      <c r="AM204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5" spans="1:39" hidden="1" x14ac:dyDescent="0.25">
      <c r="A205" t="s">
        <v>215</v>
      </c>
      <c r="B205" t="s">
        <v>286</v>
      </c>
      <c r="C205" t="s">
        <v>287</v>
      </c>
      <c r="D205" t="s">
        <v>288</v>
      </c>
      <c r="E205">
        <v>0</v>
      </c>
      <c r="F205">
        <v>0</v>
      </c>
      <c r="G205">
        <v>16</v>
      </c>
      <c r="H205">
        <v>303.2</v>
      </c>
      <c r="I205">
        <v>0</v>
      </c>
      <c r="J205">
        <v>0</v>
      </c>
      <c r="K205">
        <f>Table50[[#This Row],[OpeningQty]]+Table50[[#This Row],[PurchasesQty]]-Table50[[#This Row],[ClosingQty]]</f>
        <v>16</v>
      </c>
      <c r="L205">
        <v>303.2</v>
      </c>
      <c r="M205" s="14">
        <f>Table50[[#This Row],[Usage]]/$L$1</f>
        <v>4.6049997661048927E-4</v>
      </c>
      <c r="N205" s="15">
        <f>IFERROR(Table50[[#This Row],[Opening]]/Table50[[#This Row],[OpeningQty]],0)</f>
        <v>0</v>
      </c>
      <c r="O205" s="15">
        <f>IFERROR(Table50[[#This Row],[Purchases]]/Table50[[#This Row],[PurchasesQty]],0)</f>
        <v>18.95</v>
      </c>
      <c r="P205" s="15">
        <f>IFERROR(Table50[[#This Row],[Closing]]/Table50[[#This Row],[ClosingQty]],0)</f>
        <v>0</v>
      </c>
      <c r="Q205" s="15">
        <f>IFERROR(AVERAGEIF(Table50[[#This Row],[OPENING COST PRICE]:[CLOSING COST PRICE]],"&gt;0"),0)</f>
        <v>18.95</v>
      </c>
      <c r="R205" s="15">
        <f>IFERROR(Table50[[#This Row],[COST PRICE]]-IFERROR(Table50[[#This Row],[Usage]]/Table50[[#This Row],[UsageQty]],Table50[[#This Row],[COST PRICE]]),0)</f>
        <v>0</v>
      </c>
      <c r="S205" s="16">
        <f>IFERROR(Table50[[#This Row],[COST PRICE CHANGE]]/Table50[[#This Row],[OPENING COST PRICE]],0)</f>
        <v>0</v>
      </c>
      <c r="T205" s="15" t="e">
        <f>Table50[[#This Row],[ClosingQty]]-(Table50[[#This Row],[USAGE / DAY]]*(IF(Table50[[#This Row],[ccnt]]="BEV",Table50[[#This Row],[DELIVERY DAY]],Table50[[#This Row],[DELIVERY DAY]])))</f>
        <v>#VALUE!</v>
      </c>
      <c r="U205" s="15">
        <f>ROUNDUP(Table50[[#This Row],[UsageQty]]/Table50[[#This Row],[DATA POINT]],2)</f>
        <v>1.1499999999999999</v>
      </c>
      <c r="V205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5" s="15">
        <f>IFERROR(Table50[[#This Row],[ORDER QTY]]*Table50[[#This Row],[COST PRICE]],0)</f>
        <v>0</v>
      </c>
      <c r="X205" s="15">
        <f>IFERROR(VLOOKUP(C205,[1]!Table48[[#All],[name]:[USAGE / DAY]],18,FALSE),1)</f>
        <v>1</v>
      </c>
      <c r="Y205" s="4">
        <f>IFERROR((Table50[[#This Row],[USAGE / DAY]]-Table50[[#This Row],[USAGE / DAY 2]])/Table50[[#This Row],[USAGE / DAY 2]],0)</f>
        <v>0.14999999999999991</v>
      </c>
      <c r="Z205" s="15">
        <f t="shared" si="9"/>
        <v>14</v>
      </c>
      <c r="AA205" s="15">
        <f t="shared" si="10"/>
        <v>9.311854181734148</v>
      </c>
      <c r="AB205" s="15" t="str">
        <f>IFERROR(IF(Table50[[#This Row],[ccnt]]="BEV",$AB$2,IF(Table50[[#This Row],[ccnt]]="FOOD",$AC$2,"ENTER # FROM LAST COUNT")),"ENTER # FROM LAST COUNT")</f>
        <v>ENTER # FROM LAST COUNT</v>
      </c>
      <c r="AC205" s="15">
        <f>(Table50[[#This Row],[OpeningQty]]+Table50[[#This Row],[ClosingQty]])/2</f>
        <v>0</v>
      </c>
      <c r="AD205" s="15">
        <f>IFERROR(Table50[[#This Row],[UsageQty]]/Table50[[#This Row],[AVE INVENTORY]],0)</f>
        <v>0</v>
      </c>
      <c r="AE205" s="15">
        <f>IFERROR(Table50[[#This Row],[DATA POINT]]/Table50[[#This Row],[Inventory Turnover Rate]],0)</f>
        <v>0</v>
      </c>
      <c r="AF205" s="15">
        <f>Table50[[#This Row],[ClosingQty]]/Table50[[#This Row],[USAGE / DAY]]</f>
        <v>0</v>
      </c>
      <c r="AG205" s="15">
        <f>Table50[[#This Row],[USAGE / DAY]]*7</f>
        <v>8.0499999999999989</v>
      </c>
      <c r="AH205" s="15">
        <f>Table50[[#This Row],[USAGE / DAY]]*3</f>
        <v>3.4499999999999997</v>
      </c>
      <c r="AI205" s="15">
        <f>IF(Table50[[#This Row],[FORECASTED DEMAND]]+Table50[[#This Row],[SAFETY STOCK]]-Table50[[#This Row],[ClosingQty]]&gt;0,Table50[[#This Row],[FORECASTED DEMAND]]+Table50[[#This Row],[SAFETY STOCK]]-Table50[[#This Row],[ClosingQty]],"NO ORDER")</f>
        <v>11.499999999999998</v>
      </c>
      <c r="AJ205" s="15">
        <f>IFERROR(Table50[[#This Row],[ORDER QTY2]]*Table50[[#This Row],[COST PRICE]],0)</f>
        <v>217.92499999999995</v>
      </c>
      <c r="AK205" s="15" t="e">
        <f>(Table50[[#This Row],[REORDER POINT]]*Table50[[#This Row],[COST PRICE]])+Table50[[#This Row],[ORDER COST]]</f>
        <v>#VALUE!</v>
      </c>
      <c r="AL205" s="15">
        <f t="shared" si="11"/>
        <v>100</v>
      </c>
      <c r="AM205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6" spans="1:39" hidden="1" x14ac:dyDescent="0.25">
      <c r="A206" t="s">
        <v>215</v>
      </c>
      <c r="B206" t="s">
        <v>286</v>
      </c>
      <c r="C206" t="s">
        <v>289</v>
      </c>
      <c r="D206" t="s">
        <v>288</v>
      </c>
      <c r="E206">
        <v>0</v>
      </c>
      <c r="F206">
        <v>0</v>
      </c>
      <c r="G206">
        <v>1</v>
      </c>
      <c r="H206">
        <v>1048.01</v>
      </c>
      <c r="I206">
        <v>0</v>
      </c>
      <c r="J206">
        <v>0</v>
      </c>
      <c r="K206">
        <f>Table50[[#This Row],[OpeningQty]]+Table50[[#This Row],[PurchasesQty]]-Table50[[#This Row],[ClosingQty]]</f>
        <v>1</v>
      </c>
      <c r="L206">
        <v>1048.01</v>
      </c>
      <c r="M206" s="14">
        <f>Table50[[#This Row],[Usage]]/$L$1</f>
        <v>1.5917169541146401E-3</v>
      </c>
      <c r="N206" s="15">
        <f>IFERROR(Table50[[#This Row],[Opening]]/Table50[[#This Row],[OpeningQty]],0)</f>
        <v>0</v>
      </c>
      <c r="O206" s="15">
        <f>IFERROR(Table50[[#This Row],[Purchases]]/Table50[[#This Row],[PurchasesQty]],0)</f>
        <v>1048.01</v>
      </c>
      <c r="P206" s="15">
        <f>IFERROR(Table50[[#This Row],[Closing]]/Table50[[#This Row],[ClosingQty]],0)</f>
        <v>0</v>
      </c>
      <c r="Q206" s="15">
        <f>IFERROR(AVERAGEIF(Table50[[#This Row],[OPENING COST PRICE]:[CLOSING COST PRICE]],"&gt;0"),0)</f>
        <v>1048.01</v>
      </c>
      <c r="R206" s="15">
        <f>IFERROR(Table50[[#This Row],[COST PRICE]]-IFERROR(Table50[[#This Row],[Usage]]/Table50[[#This Row],[UsageQty]],Table50[[#This Row],[COST PRICE]]),0)</f>
        <v>0</v>
      </c>
      <c r="S206" s="16">
        <f>IFERROR(Table50[[#This Row],[COST PRICE CHANGE]]/Table50[[#This Row],[OPENING COST PRICE]],0)</f>
        <v>0</v>
      </c>
      <c r="T206" s="15" t="e">
        <f>Table50[[#This Row],[ClosingQty]]-(Table50[[#This Row],[USAGE / DAY]]*(IF(Table50[[#This Row],[ccnt]]="BEV",Table50[[#This Row],[DELIVERY DAY]],Table50[[#This Row],[DELIVERY DAY]])))</f>
        <v>#VALUE!</v>
      </c>
      <c r="U206" s="15">
        <f>ROUNDUP(Table50[[#This Row],[UsageQty]]/Table50[[#This Row],[DATA POINT]],2)</f>
        <v>0.08</v>
      </c>
      <c r="V206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6" s="15">
        <f>IFERROR(Table50[[#This Row],[ORDER QTY]]*Table50[[#This Row],[COST PRICE]],0)</f>
        <v>0</v>
      </c>
      <c r="X206" s="15">
        <f>IFERROR(VLOOKUP(C206,[1]!Table48[[#All],[name]:[USAGE / DAY]],18,FALSE),1)</f>
        <v>0.08</v>
      </c>
      <c r="Y206" s="4">
        <f>IFERROR((Table50[[#This Row],[USAGE / DAY]]-Table50[[#This Row],[USAGE / DAY 2]])/Table50[[#This Row],[USAGE / DAY 2]],0)</f>
        <v>0</v>
      </c>
      <c r="Z206" s="15">
        <f t="shared" si="9"/>
        <v>14</v>
      </c>
      <c r="AA206" s="15">
        <f t="shared" si="10"/>
        <v>9.311854181734148</v>
      </c>
      <c r="AB206" s="15" t="str">
        <f>IFERROR(IF(Table50[[#This Row],[ccnt]]="BEV",$AB$2,IF(Table50[[#This Row],[ccnt]]="FOOD",$AC$2,"ENTER # FROM LAST COUNT")),"ENTER # FROM LAST COUNT")</f>
        <v>ENTER # FROM LAST COUNT</v>
      </c>
      <c r="AC206" s="15">
        <f>(Table50[[#This Row],[OpeningQty]]+Table50[[#This Row],[ClosingQty]])/2</f>
        <v>0</v>
      </c>
      <c r="AD206" s="15">
        <f>IFERROR(Table50[[#This Row],[UsageQty]]/Table50[[#This Row],[AVE INVENTORY]],0)</f>
        <v>0</v>
      </c>
      <c r="AE206" s="15">
        <f>IFERROR(Table50[[#This Row],[DATA POINT]]/Table50[[#This Row],[Inventory Turnover Rate]],0)</f>
        <v>0</v>
      </c>
      <c r="AF206" s="15">
        <f>Table50[[#This Row],[ClosingQty]]/Table50[[#This Row],[USAGE / DAY]]</f>
        <v>0</v>
      </c>
      <c r="AG206" s="15">
        <f>Table50[[#This Row],[USAGE / DAY]]*7</f>
        <v>0.56000000000000005</v>
      </c>
      <c r="AH206" s="15">
        <f>Table50[[#This Row],[USAGE / DAY]]*3</f>
        <v>0.24</v>
      </c>
      <c r="AI206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206" s="15">
        <f>IFERROR(Table50[[#This Row],[ORDER QTY2]]*Table50[[#This Row],[COST PRICE]],0)</f>
        <v>838.40800000000002</v>
      </c>
      <c r="AK206" s="15" t="e">
        <f>(Table50[[#This Row],[REORDER POINT]]*Table50[[#This Row],[COST PRICE]])+Table50[[#This Row],[ORDER COST]]</f>
        <v>#VALUE!</v>
      </c>
      <c r="AL206" s="15">
        <f t="shared" si="11"/>
        <v>100</v>
      </c>
      <c r="AM206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7" spans="1:39" hidden="1" x14ac:dyDescent="0.25">
      <c r="A207" t="s">
        <v>215</v>
      </c>
      <c r="B207" t="s">
        <v>286</v>
      </c>
      <c r="C207" t="s">
        <v>290</v>
      </c>
      <c r="D207" t="s">
        <v>53</v>
      </c>
      <c r="E207">
        <v>0</v>
      </c>
      <c r="F207">
        <v>0</v>
      </c>
      <c r="G207">
        <v>20</v>
      </c>
      <c r="H207">
        <v>129.9</v>
      </c>
      <c r="I207">
        <v>0</v>
      </c>
      <c r="J207">
        <v>0</v>
      </c>
      <c r="K207">
        <f>Table50[[#This Row],[OpeningQty]]+Table50[[#This Row],[PurchasesQty]]-Table50[[#This Row],[ClosingQty]]</f>
        <v>20</v>
      </c>
      <c r="L207">
        <v>129.9</v>
      </c>
      <c r="M207" s="14">
        <f>Table50[[#This Row],[Usage]]/$L$1</f>
        <v>1.9729204143041743E-4</v>
      </c>
      <c r="N207" s="15">
        <f>IFERROR(Table50[[#This Row],[Opening]]/Table50[[#This Row],[OpeningQty]],0)</f>
        <v>0</v>
      </c>
      <c r="O207" s="15">
        <f>IFERROR(Table50[[#This Row],[Purchases]]/Table50[[#This Row],[PurchasesQty]],0)</f>
        <v>6.4950000000000001</v>
      </c>
      <c r="P207" s="15">
        <f>IFERROR(Table50[[#This Row],[Closing]]/Table50[[#This Row],[ClosingQty]],0)</f>
        <v>0</v>
      </c>
      <c r="Q207" s="15">
        <f>IFERROR(AVERAGEIF(Table50[[#This Row],[OPENING COST PRICE]:[CLOSING COST PRICE]],"&gt;0"),0)</f>
        <v>6.4950000000000001</v>
      </c>
      <c r="R207" s="15">
        <f>IFERROR(Table50[[#This Row],[COST PRICE]]-IFERROR(Table50[[#This Row],[Usage]]/Table50[[#This Row],[UsageQty]],Table50[[#This Row],[COST PRICE]]),0)</f>
        <v>0</v>
      </c>
      <c r="S207" s="16">
        <f>IFERROR(Table50[[#This Row],[COST PRICE CHANGE]]/Table50[[#This Row],[OPENING COST PRICE]],0)</f>
        <v>0</v>
      </c>
      <c r="T207" s="15" t="e">
        <f>Table50[[#This Row],[ClosingQty]]-(Table50[[#This Row],[USAGE / DAY]]*(IF(Table50[[#This Row],[ccnt]]="BEV",Table50[[#This Row],[DELIVERY DAY]],Table50[[#This Row],[DELIVERY DAY]])))</f>
        <v>#VALUE!</v>
      </c>
      <c r="U207" s="15">
        <f>ROUNDUP(Table50[[#This Row],[UsageQty]]/Table50[[#This Row],[DATA POINT]],2)</f>
        <v>1.43</v>
      </c>
      <c r="V207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7" s="15">
        <f>IFERROR(Table50[[#This Row],[ORDER QTY]]*Table50[[#This Row],[COST PRICE]],0)</f>
        <v>0</v>
      </c>
      <c r="X207" s="15">
        <f>IFERROR(VLOOKUP(C207,[1]!Table48[[#All],[name]:[USAGE / DAY]],18,FALSE),1)</f>
        <v>0.15000000000000002</v>
      </c>
      <c r="Y207" s="4">
        <f>IFERROR((Table50[[#This Row],[USAGE / DAY]]-Table50[[#This Row],[USAGE / DAY 2]])/Table50[[#This Row],[USAGE / DAY 2]],0)</f>
        <v>8.5333333333333314</v>
      </c>
      <c r="Z207" s="15">
        <f t="shared" si="9"/>
        <v>14</v>
      </c>
      <c r="AA207" s="15">
        <f t="shared" si="10"/>
        <v>9.311854181734148</v>
      </c>
      <c r="AB207" s="15" t="str">
        <f>IFERROR(IF(Table50[[#This Row],[ccnt]]="BEV",$AB$2,IF(Table50[[#This Row],[ccnt]]="FOOD",$AC$2,"ENTER # FROM LAST COUNT")),"ENTER # FROM LAST COUNT")</f>
        <v>ENTER # FROM LAST COUNT</v>
      </c>
      <c r="AC207" s="15">
        <f>(Table50[[#This Row],[OpeningQty]]+Table50[[#This Row],[ClosingQty]])/2</f>
        <v>0</v>
      </c>
      <c r="AD207" s="15">
        <f>IFERROR(Table50[[#This Row],[UsageQty]]/Table50[[#This Row],[AVE INVENTORY]],0)</f>
        <v>0</v>
      </c>
      <c r="AE207" s="15">
        <f>IFERROR(Table50[[#This Row],[DATA POINT]]/Table50[[#This Row],[Inventory Turnover Rate]],0)</f>
        <v>0</v>
      </c>
      <c r="AF207" s="15">
        <f>Table50[[#This Row],[ClosingQty]]/Table50[[#This Row],[USAGE / DAY]]</f>
        <v>0</v>
      </c>
      <c r="AG207" s="15">
        <f>Table50[[#This Row],[USAGE / DAY]]*7</f>
        <v>10.01</v>
      </c>
      <c r="AH207" s="15">
        <f>Table50[[#This Row],[USAGE / DAY]]*3</f>
        <v>4.29</v>
      </c>
      <c r="AI207" s="15">
        <f>IF(Table50[[#This Row],[FORECASTED DEMAND]]+Table50[[#This Row],[SAFETY STOCK]]-Table50[[#This Row],[ClosingQty]]&gt;0,Table50[[#This Row],[FORECASTED DEMAND]]+Table50[[#This Row],[SAFETY STOCK]]-Table50[[#This Row],[ClosingQty]],"NO ORDER")</f>
        <v>14.3</v>
      </c>
      <c r="AJ207" s="15">
        <f>IFERROR(Table50[[#This Row],[ORDER QTY2]]*Table50[[#This Row],[COST PRICE]],0)</f>
        <v>92.878500000000003</v>
      </c>
      <c r="AK207" s="15" t="e">
        <f>(Table50[[#This Row],[REORDER POINT]]*Table50[[#This Row],[COST PRICE]])+Table50[[#This Row],[ORDER COST]]</f>
        <v>#VALUE!</v>
      </c>
      <c r="AL207" s="15">
        <f t="shared" si="11"/>
        <v>100</v>
      </c>
      <c r="AM207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8" spans="1:39" hidden="1" x14ac:dyDescent="0.25">
      <c r="A208" t="s">
        <v>215</v>
      </c>
      <c r="B208" t="s">
        <v>286</v>
      </c>
      <c r="C208" t="s">
        <v>291</v>
      </c>
      <c r="D208" t="s">
        <v>53</v>
      </c>
      <c r="E208">
        <v>0</v>
      </c>
      <c r="F208">
        <v>0</v>
      </c>
      <c r="G208">
        <v>304</v>
      </c>
      <c r="H208">
        <v>495.35</v>
      </c>
      <c r="I208">
        <v>0</v>
      </c>
      <c r="J208">
        <v>0</v>
      </c>
      <c r="K208">
        <f>Table50[[#This Row],[OpeningQty]]+Table50[[#This Row],[PurchasesQty]]-Table50[[#This Row],[ClosingQty]]</f>
        <v>304</v>
      </c>
      <c r="L208">
        <v>495.35</v>
      </c>
      <c r="M208" s="14">
        <f>Table50[[#This Row],[Usage]]/$L$1</f>
        <v>7.5233728038920139E-4</v>
      </c>
      <c r="N208" s="15">
        <f>IFERROR(Table50[[#This Row],[Opening]]/Table50[[#This Row],[OpeningQty]],0)</f>
        <v>0</v>
      </c>
      <c r="O208" s="15">
        <f>IFERROR(Table50[[#This Row],[Purchases]]/Table50[[#This Row],[PurchasesQty]],0)</f>
        <v>1.6294407894736842</v>
      </c>
      <c r="P208" s="15">
        <f>IFERROR(Table50[[#This Row],[Closing]]/Table50[[#This Row],[ClosingQty]],0)</f>
        <v>0</v>
      </c>
      <c r="Q208" s="15">
        <f>IFERROR(AVERAGEIF(Table50[[#This Row],[OPENING COST PRICE]:[CLOSING COST PRICE]],"&gt;0"),0)</f>
        <v>1.6294407894736842</v>
      </c>
      <c r="R208" s="15">
        <f>IFERROR(Table50[[#This Row],[COST PRICE]]-IFERROR(Table50[[#This Row],[Usage]]/Table50[[#This Row],[UsageQty]],Table50[[#This Row],[COST PRICE]]),0)</f>
        <v>0</v>
      </c>
      <c r="S208" s="16">
        <f>IFERROR(Table50[[#This Row],[COST PRICE CHANGE]]/Table50[[#This Row],[OPENING COST PRICE]],0)</f>
        <v>0</v>
      </c>
      <c r="T208" s="15" t="e">
        <f>Table50[[#This Row],[ClosingQty]]-(Table50[[#This Row],[USAGE / DAY]]*(IF(Table50[[#This Row],[ccnt]]="BEV",Table50[[#This Row],[DELIVERY DAY]],Table50[[#This Row],[DELIVERY DAY]])))</f>
        <v>#VALUE!</v>
      </c>
      <c r="U208" s="15">
        <f>ROUNDUP(Table50[[#This Row],[UsageQty]]/Table50[[#This Row],[DATA POINT]],2)</f>
        <v>21.720000000000002</v>
      </c>
      <c r="V208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8" s="15">
        <f>IFERROR(Table50[[#This Row],[ORDER QTY]]*Table50[[#This Row],[COST PRICE]],0)</f>
        <v>0</v>
      </c>
      <c r="X208" s="15">
        <f>IFERROR(VLOOKUP(C208,[1]!Table48[[#All],[name]:[USAGE / DAY]],18,FALSE),1)</f>
        <v>21.430000000000003</v>
      </c>
      <c r="Y208" s="4">
        <f>IFERROR((Table50[[#This Row],[USAGE / DAY]]-Table50[[#This Row],[USAGE / DAY 2]])/Table50[[#This Row],[USAGE / DAY 2]],0)</f>
        <v>1.3532431171255207E-2</v>
      </c>
      <c r="Z208" s="15">
        <f t="shared" si="9"/>
        <v>14</v>
      </c>
      <c r="AA208" s="15">
        <f t="shared" si="10"/>
        <v>9.311854181734148</v>
      </c>
      <c r="AB208" s="15" t="str">
        <f>IFERROR(IF(Table50[[#This Row],[ccnt]]="BEV",$AB$2,IF(Table50[[#This Row],[ccnt]]="FOOD",$AC$2,"ENTER # FROM LAST COUNT")),"ENTER # FROM LAST COUNT")</f>
        <v>ENTER # FROM LAST COUNT</v>
      </c>
      <c r="AC208" s="15">
        <f>(Table50[[#This Row],[OpeningQty]]+Table50[[#This Row],[ClosingQty]])/2</f>
        <v>0</v>
      </c>
      <c r="AD208" s="15">
        <f>IFERROR(Table50[[#This Row],[UsageQty]]/Table50[[#This Row],[AVE INVENTORY]],0)</f>
        <v>0</v>
      </c>
      <c r="AE208" s="15">
        <f>IFERROR(Table50[[#This Row],[DATA POINT]]/Table50[[#This Row],[Inventory Turnover Rate]],0)</f>
        <v>0</v>
      </c>
      <c r="AF208" s="15">
        <f>Table50[[#This Row],[ClosingQty]]/Table50[[#This Row],[USAGE / DAY]]</f>
        <v>0</v>
      </c>
      <c r="AG208" s="15">
        <f>Table50[[#This Row],[USAGE / DAY]]*7</f>
        <v>152.04000000000002</v>
      </c>
      <c r="AH208" s="15">
        <f>Table50[[#This Row],[USAGE / DAY]]*3</f>
        <v>65.160000000000011</v>
      </c>
      <c r="AI208" s="15">
        <f>IF(Table50[[#This Row],[FORECASTED DEMAND]]+Table50[[#This Row],[SAFETY STOCK]]-Table50[[#This Row],[ClosingQty]]&gt;0,Table50[[#This Row],[FORECASTED DEMAND]]+Table50[[#This Row],[SAFETY STOCK]]-Table50[[#This Row],[ClosingQty]],"NO ORDER")</f>
        <v>217.20000000000005</v>
      </c>
      <c r="AJ208" s="15">
        <f>IFERROR(Table50[[#This Row],[ORDER QTY2]]*Table50[[#This Row],[COST PRICE]],0)</f>
        <v>353.91453947368427</v>
      </c>
      <c r="AK208" s="15" t="e">
        <f>(Table50[[#This Row],[REORDER POINT]]*Table50[[#This Row],[COST PRICE]])+Table50[[#This Row],[ORDER COST]]</f>
        <v>#VALUE!</v>
      </c>
      <c r="AL208" s="15">
        <f t="shared" si="11"/>
        <v>100</v>
      </c>
      <c r="AM208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09" spans="1:39" hidden="1" x14ac:dyDescent="0.25">
      <c r="A209" t="s">
        <v>215</v>
      </c>
      <c r="B209" t="s">
        <v>286</v>
      </c>
      <c r="C209" t="s">
        <v>292</v>
      </c>
      <c r="D209" t="s">
        <v>53</v>
      </c>
      <c r="E209">
        <v>0</v>
      </c>
      <c r="F209">
        <v>0</v>
      </c>
      <c r="G209">
        <v>3</v>
      </c>
      <c r="H209">
        <v>149.85</v>
      </c>
      <c r="I209">
        <v>0</v>
      </c>
      <c r="J209">
        <v>0</v>
      </c>
      <c r="K209">
        <f>Table50[[#This Row],[OpeningQty]]+Table50[[#This Row],[PurchasesQty]]-Table50[[#This Row],[ClosingQty]]</f>
        <v>3</v>
      </c>
      <c r="L209">
        <v>149.85</v>
      </c>
      <c r="M209" s="14">
        <f>Table50[[#This Row],[Usage]]/$L$1</f>
        <v>2.2759208936372631E-4</v>
      </c>
      <c r="N209" s="15">
        <f>IFERROR(Table50[[#This Row],[Opening]]/Table50[[#This Row],[OpeningQty]],0)</f>
        <v>0</v>
      </c>
      <c r="O209" s="15">
        <f>IFERROR(Table50[[#This Row],[Purchases]]/Table50[[#This Row],[PurchasesQty]],0)</f>
        <v>49.949999999999996</v>
      </c>
      <c r="P209" s="15">
        <f>IFERROR(Table50[[#This Row],[Closing]]/Table50[[#This Row],[ClosingQty]],0)</f>
        <v>0</v>
      </c>
      <c r="Q209" s="15">
        <f>IFERROR(AVERAGEIF(Table50[[#This Row],[OPENING COST PRICE]:[CLOSING COST PRICE]],"&gt;0"),0)</f>
        <v>49.949999999999996</v>
      </c>
      <c r="R209" s="15">
        <f>IFERROR(Table50[[#This Row],[COST PRICE]]-IFERROR(Table50[[#This Row],[Usage]]/Table50[[#This Row],[UsageQty]],Table50[[#This Row],[COST PRICE]]),0)</f>
        <v>0</v>
      </c>
      <c r="S209" s="16">
        <f>IFERROR(Table50[[#This Row],[COST PRICE CHANGE]]/Table50[[#This Row],[OPENING COST PRICE]],0)</f>
        <v>0</v>
      </c>
      <c r="T209" s="15" t="e">
        <f>Table50[[#This Row],[ClosingQty]]-(Table50[[#This Row],[USAGE / DAY]]*(IF(Table50[[#This Row],[ccnt]]="BEV",Table50[[#This Row],[DELIVERY DAY]],Table50[[#This Row],[DELIVERY DAY]])))</f>
        <v>#VALUE!</v>
      </c>
      <c r="U209" s="15">
        <f>ROUNDUP(Table50[[#This Row],[UsageQty]]/Table50[[#This Row],[DATA POINT]],2)</f>
        <v>0.22</v>
      </c>
      <c r="V209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09" s="15">
        <f>IFERROR(Table50[[#This Row],[ORDER QTY]]*Table50[[#This Row],[COST PRICE]],0)</f>
        <v>0</v>
      </c>
      <c r="X209" s="15">
        <f>IFERROR(VLOOKUP(C209,[1]!Table48[[#All],[name]:[USAGE / DAY]],18,FALSE),1)</f>
        <v>17.860000000000003</v>
      </c>
      <c r="Y209" s="4">
        <f>IFERROR((Table50[[#This Row],[USAGE / DAY]]-Table50[[#This Row],[USAGE / DAY 2]])/Table50[[#This Row],[USAGE / DAY 2]],0)</f>
        <v>-0.98768197088465848</v>
      </c>
      <c r="Z209" s="15">
        <f t="shared" si="9"/>
        <v>14</v>
      </c>
      <c r="AA209" s="15">
        <f t="shared" si="10"/>
        <v>9.311854181734148</v>
      </c>
      <c r="AB209" s="15" t="str">
        <f>IFERROR(IF(Table50[[#This Row],[ccnt]]="BEV",$AB$2,IF(Table50[[#This Row],[ccnt]]="FOOD",$AC$2,"ENTER # FROM LAST COUNT")),"ENTER # FROM LAST COUNT")</f>
        <v>ENTER # FROM LAST COUNT</v>
      </c>
      <c r="AC209" s="15">
        <f>(Table50[[#This Row],[OpeningQty]]+Table50[[#This Row],[ClosingQty]])/2</f>
        <v>0</v>
      </c>
      <c r="AD209" s="15">
        <f>IFERROR(Table50[[#This Row],[UsageQty]]/Table50[[#This Row],[AVE INVENTORY]],0)</f>
        <v>0</v>
      </c>
      <c r="AE209" s="15">
        <f>IFERROR(Table50[[#This Row],[DATA POINT]]/Table50[[#This Row],[Inventory Turnover Rate]],0)</f>
        <v>0</v>
      </c>
      <c r="AF209" s="15">
        <f>Table50[[#This Row],[ClosingQty]]/Table50[[#This Row],[USAGE / DAY]]</f>
        <v>0</v>
      </c>
      <c r="AG209" s="15">
        <f>Table50[[#This Row],[USAGE / DAY]]*7</f>
        <v>1.54</v>
      </c>
      <c r="AH209" s="15">
        <f>Table50[[#This Row],[USAGE / DAY]]*3</f>
        <v>0.66</v>
      </c>
      <c r="AI209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2.2000000000000002</v>
      </c>
      <c r="AJ209" s="15">
        <f>IFERROR(Table50[[#This Row],[ORDER QTY2]]*Table50[[#This Row],[COST PRICE]],0)</f>
        <v>109.89</v>
      </c>
      <c r="AK209" s="15" t="e">
        <f>(Table50[[#This Row],[REORDER POINT]]*Table50[[#This Row],[COST PRICE]])+Table50[[#This Row],[ORDER COST]]</f>
        <v>#VALUE!</v>
      </c>
      <c r="AL209" s="15">
        <f t="shared" si="11"/>
        <v>100</v>
      </c>
      <c r="AM209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0" spans="1:39" hidden="1" x14ac:dyDescent="0.25">
      <c r="A210" t="s">
        <v>215</v>
      </c>
      <c r="B210" t="s">
        <v>286</v>
      </c>
      <c r="C210" t="s">
        <v>293</v>
      </c>
      <c r="D210" t="s">
        <v>294</v>
      </c>
      <c r="E210">
        <v>0</v>
      </c>
      <c r="F210">
        <v>0</v>
      </c>
      <c r="G210">
        <v>2</v>
      </c>
      <c r="H210">
        <v>2210</v>
      </c>
      <c r="I210">
        <v>0</v>
      </c>
      <c r="J210">
        <v>0</v>
      </c>
      <c r="K210">
        <f>Table50[[#This Row],[OpeningQty]]+Table50[[#This Row],[PurchasesQty]]-Table50[[#This Row],[ClosingQty]]</f>
        <v>2</v>
      </c>
      <c r="L210">
        <v>2210</v>
      </c>
      <c r="M210" s="14">
        <f>Table50[[#This Row],[Usage]]/$L$1</f>
        <v>3.3565466632888567E-3</v>
      </c>
      <c r="N210" s="15">
        <f>IFERROR(Table50[[#This Row],[Opening]]/Table50[[#This Row],[OpeningQty]],0)</f>
        <v>0</v>
      </c>
      <c r="O210" s="15">
        <f>IFERROR(Table50[[#This Row],[Purchases]]/Table50[[#This Row],[PurchasesQty]],0)</f>
        <v>1105</v>
      </c>
      <c r="P210" s="15">
        <f>IFERROR(Table50[[#This Row],[Closing]]/Table50[[#This Row],[ClosingQty]],0)</f>
        <v>0</v>
      </c>
      <c r="Q210" s="15">
        <f>IFERROR(AVERAGEIF(Table50[[#This Row],[OPENING COST PRICE]:[CLOSING COST PRICE]],"&gt;0"),0)</f>
        <v>1105</v>
      </c>
      <c r="R210" s="15">
        <f>IFERROR(Table50[[#This Row],[COST PRICE]]-IFERROR(Table50[[#This Row],[Usage]]/Table50[[#This Row],[UsageQty]],Table50[[#This Row],[COST PRICE]]),0)</f>
        <v>0</v>
      </c>
      <c r="S210" s="16">
        <f>IFERROR(Table50[[#This Row],[COST PRICE CHANGE]]/Table50[[#This Row],[OPENING COST PRICE]],0)</f>
        <v>0</v>
      </c>
      <c r="T210" s="15" t="e">
        <f>Table50[[#This Row],[ClosingQty]]-(Table50[[#This Row],[USAGE / DAY]]*(IF(Table50[[#This Row],[ccnt]]="BEV",Table50[[#This Row],[DELIVERY DAY]],Table50[[#This Row],[DELIVERY DAY]])))</f>
        <v>#VALUE!</v>
      </c>
      <c r="U210" s="15">
        <f>ROUNDUP(Table50[[#This Row],[UsageQty]]/Table50[[#This Row],[DATA POINT]],2)</f>
        <v>0.15000000000000002</v>
      </c>
      <c r="V210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0" s="15">
        <f>IFERROR(Table50[[#This Row],[ORDER QTY]]*Table50[[#This Row],[COST PRICE]],0)</f>
        <v>0</v>
      </c>
      <c r="X210" s="15">
        <f>IFERROR(VLOOKUP(C210,[1]!Table48[[#All],[name]:[USAGE / DAY]],18,FALSE),1)</f>
        <v>0.29000000000000004</v>
      </c>
      <c r="Y210" s="4">
        <f>IFERROR((Table50[[#This Row],[USAGE / DAY]]-Table50[[#This Row],[USAGE / DAY 2]])/Table50[[#This Row],[USAGE / DAY 2]],0)</f>
        <v>-0.48275862068965514</v>
      </c>
      <c r="Z210" s="15">
        <f t="shared" si="9"/>
        <v>14</v>
      </c>
      <c r="AA210" s="15">
        <f t="shared" si="10"/>
        <v>9.311854181734148</v>
      </c>
      <c r="AB210" s="15" t="str">
        <f>IFERROR(IF(Table50[[#This Row],[ccnt]]="BEV",$AB$2,IF(Table50[[#This Row],[ccnt]]="FOOD",$AC$2,"ENTER # FROM LAST COUNT")),"ENTER # FROM LAST COUNT")</f>
        <v>ENTER # FROM LAST COUNT</v>
      </c>
      <c r="AC210" s="15">
        <f>(Table50[[#This Row],[OpeningQty]]+Table50[[#This Row],[ClosingQty]])/2</f>
        <v>0</v>
      </c>
      <c r="AD210" s="15">
        <f>IFERROR(Table50[[#This Row],[UsageQty]]/Table50[[#This Row],[AVE INVENTORY]],0)</f>
        <v>0</v>
      </c>
      <c r="AE210" s="15">
        <f>IFERROR(Table50[[#This Row],[DATA POINT]]/Table50[[#This Row],[Inventory Turnover Rate]],0)</f>
        <v>0</v>
      </c>
      <c r="AF210" s="15">
        <f>Table50[[#This Row],[ClosingQty]]/Table50[[#This Row],[USAGE / DAY]]</f>
        <v>0</v>
      </c>
      <c r="AG210" s="15">
        <f>Table50[[#This Row],[USAGE / DAY]]*7</f>
        <v>1.0500000000000003</v>
      </c>
      <c r="AH210" s="15">
        <f>Table50[[#This Row],[USAGE / DAY]]*3</f>
        <v>0.45000000000000007</v>
      </c>
      <c r="AI210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210" s="15">
        <f>IFERROR(Table50[[#This Row],[ORDER QTY2]]*Table50[[#This Row],[COST PRICE]],0)</f>
        <v>1657.5000000000005</v>
      </c>
      <c r="AK210" s="15" t="e">
        <f>(Table50[[#This Row],[REORDER POINT]]*Table50[[#This Row],[COST PRICE]])+Table50[[#This Row],[ORDER COST]]</f>
        <v>#VALUE!</v>
      </c>
      <c r="AL210" s="15">
        <f t="shared" si="11"/>
        <v>100</v>
      </c>
      <c r="AM210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1" spans="1:39" hidden="1" x14ac:dyDescent="0.25">
      <c r="A211" t="s">
        <v>215</v>
      </c>
      <c r="B211" t="s">
        <v>286</v>
      </c>
      <c r="C211" t="s">
        <v>295</v>
      </c>
      <c r="D211" t="s">
        <v>53</v>
      </c>
      <c r="E211">
        <v>0</v>
      </c>
      <c r="F211">
        <v>0</v>
      </c>
      <c r="G211">
        <v>3</v>
      </c>
      <c r="H211">
        <v>1128.73</v>
      </c>
      <c r="I211">
        <v>0</v>
      </c>
      <c r="J211">
        <v>0</v>
      </c>
      <c r="K211">
        <f>Table50[[#This Row],[OpeningQty]]+Table50[[#This Row],[PurchasesQty]]-Table50[[#This Row],[ClosingQty]]</f>
        <v>3</v>
      </c>
      <c r="L211">
        <v>1128.73</v>
      </c>
      <c r="M211" s="14">
        <f>Table50[[#This Row],[Usage]]/$L$1</f>
        <v>1.7143144412914168E-3</v>
      </c>
      <c r="N211" s="15">
        <f>IFERROR(Table50[[#This Row],[Opening]]/Table50[[#This Row],[OpeningQty]],0)</f>
        <v>0</v>
      </c>
      <c r="O211" s="15">
        <f>IFERROR(Table50[[#This Row],[Purchases]]/Table50[[#This Row],[PurchasesQty]],0)</f>
        <v>376.24333333333334</v>
      </c>
      <c r="P211" s="15">
        <f>IFERROR(Table50[[#This Row],[Closing]]/Table50[[#This Row],[ClosingQty]],0)</f>
        <v>0</v>
      </c>
      <c r="Q211" s="15">
        <f>IFERROR(AVERAGEIF(Table50[[#This Row],[OPENING COST PRICE]:[CLOSING COST PRICE]],"&gt;0"),0)</f>
        <v>376.24333333333334</v>
      </c>
      <c r="R211" s="15">
        <f>IFERROR(Table50[[#This Row],[COST PRICE]]-IFERROR(Table50[[#This Row],[Usage]]/Table50[[#This Row],[UsageQty]],Table50[[#This Row],[COST PRICE]]),0)</f>
        <v>0</v>
      </c>
      <c r="S211" s="16">
        <f>IFERROR(Table50[[#This Row],[COST PRICE CHANGE]]/Table50[[#This Row],[OPENING COST PRICE]],0)</f>
        <v>0</v>
      </c>
      <c r="T211" s="15" t="e">
        <f>Table50[[#This Row],[ClosingQty]]-(Table50[[#This Row],[USAGE / DAY]]*(IF(Table50[[#This Row],[ccnt]]="BEV",Table50[[#This Row],[DELIVERY DAY]],Table50[[#This Row],[DELIVERY DAY]])))</f>
        <v>#VALUE!</v>
      </c>
      <c r="U211" s="15">
        <f>ROUNDUP(Table50[[#This Row],[UsageQty]]/Table50[[#This Row],[DATA POINT]],2)</f>
        <v>0.22</v>
      </c>
      <c r="V211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1" s="15">
        <f>IFERROR(Table50[[#This Row],[ORDER QTY]]*Table50[[#This Row],[COST PRICE]],0)</f>
        <v>0</v>
      </c>
      <c r="X211" s="15">
        <f>IFERROR(VLOOKUP(C211,[1]!Table48[[#All],[name]:[USAGE / DAY]],18,FALSE),1)</f>
        <v>1</v>
      </c>
      <c r="Y211" s="4">
        <f>IFERROR((Table50[[#This Row],[USAGE / DAY]]-Table50[[#This Row],[USAGE / DAY 2]])/Table50[[#This Row],[USAGE / DAY 2]],0)</f>
        <v>-0.78</v>
      </c>
      <c r="Z211" s="15">
        <f t="shared" si="9"/>
        <v>14</v>
      </c>
      <c r="AA211" s="15">
        <f t="shared" si="10"/>
        <v>9.311854181734148</v>
      </c>
      <c r="AB211" s="15" t="str">
        <f>IFERROR(IF(Table50[[#This Row],[ccnt]]="BEV",$AB$2,IF(Table50[[#This Row],[ccnt]]="FOOD",$AC$2,"ENTER # FROM LAST COUNT")),"ENTER # FROM LAST COUNT")</f>
        <v>ENTER # FROM LAST COUNT</v>
      </c>
      <c r="AC211" s="15">
        <f>(Table50[[#This Row],[OpeningQty]]+Table50[[#This Row],[ClosingQty]])/2</f>
        <v>0</v>
      </c>
      <c r="AD211" s="15">
        <f>IFERROR(Table50[[#This Row],[UsageQty]]/Table50[[#This Row],[AVE INVENTORY]],0)</f>
        <v>0</v>
      </c>
      <c r="AE211" s="15">
        <f>IFERROR(Table50[[#This Row],[DATA POINT]]/Table50[[#This Row],[Inventory Turnover Rate]],0)</f>
        <v>0</v>
      </c>
      <c r="AF211" s="15">
        <f>Table50[[#This Row],[ClosingQty]]/Table50[[#This Row],[USAGE / DAY]]</f>
        <v>0</v>
      </c>
      <c r="AG211" s="15">
        <f>Table50[[#This Row],[USAGE / DAY]]*7</f>
        <v>1.54</v>
      </c>
      <c r="AH211" s="15">
        <f>Table50[[#This Row],[USAGE / DAY]]*3</f>
        <v>0.66</v>
      </c>
      <c r="AI211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2.2000000000000002</v>
      </c>
      <c r="AJ211" s="15">
        <f>IFERROR(Table50[[#This Row],[ORDER QTY2]]*Table50[[#This Row],[COST PRICE]],0)</f>
        <v>827.73533333333341</v>
      </c>
      <c r="AK211" s="15" t="e">
        <f>(Table50[[#This Row],[REORDER POINT]]*Table50[[#This Row],[COST PRICE]])+Table50[[#This Row],[ORDER COST]]</f>
        <v>#VALUE!</v>
      </c>
      <c r="AL211" s="15">
        <f t="shared" si="11"/>
        <v>100</v>
      </c>
      <c r="AM211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2" spans="1:39" hidden="1" x14ac:dyDescent="0.25">
      <c r="A212" t="s">
        <v>215</v>
      </c>
      <c r="B212" t="s">
        <v>286</v>
      </c>
      <c r="C212" t="s">
        <v>296</v>
      </c>
      <c r="D212" t="s">
        <v>245</v>
      </c>
      <c r="E212">
        <v>0</v>
      </c>
      <c r="F212">
        <v>0</v>
      </c>
      <c r="G212">
        <v>1</v>
      </c>
      <c r="H212">
        <v>320</v>
      </c>
      <c r="I212">
        <v>0</v>
      </c>
      <c r="J212">
        <v>0</v>
      </c>
      <c r="K212">
        <f>Table50[[#This Row],[OpeningQty]]+Table50[[#This Row],[PurchasesQty]]-Table50[[#This Row],[ClosingQty]]</f>
        <v>1</v>
      </c>
      <c r="L212">
        <v>320</v>
      </c>
      <c r="M212" s="14">
        <f>Table50[[#This Row],[Usage]]/$L$1</f>
        <v>4.860158064490652E-4</v>
      </c>
      <c r="N212" s="15">
        <f>IFERROR(Table50[[#This Row],[Opening]]/Table50[[#This Row],[OpeningQty]],0)</f>
        <v>0</v>
      </c>
      <c r="O212" s="15">
        <f>IFERROR(Table50[[#This Row],[Purchases]]/Table50[[#This Row],[PurchasesQty]],0)</f>
        <v>320</v>
      </c>
      <c r="P212" s="15">
        <f>IFERROR(Table50[[#This Row],[Closing]]/Table50[[#This Row],[ClosingQty]],0)</f>
        <v>0</v>
      </c>
      <c r="Q212" s="15">
        <f>IFERROR(AVERAGEIF(Table50[[#This Row],[OPENING COST PRICE]:[CLOSING COST PRICE]],"&gt;0"),0)</f>
        <v>320</v>
      </c>
      <c r="R212" s="15">
        <f>IFERROR(Table50[[#This Row],[COST PRICE]]-IFERROR(Table50[[#This Row],[Usage]]/Table50[[#This Row],[UsageQty]],Table50[[#This Row],[COST PRICE]]),0)</f>
        <v>0</v>
      </c>
      <c r="S212" s="16">
        <f>IFERROR(Table50[[#This Row],[COST PRICE CHANGE]]/Table50[[#This Row],[OPENING COST PRICE]],0)</f>
        <v>0</v>
      </c>
      <c r="T212" s="15" t="e">
        <f>Table50[[#This Row],[ClosingQty]]-(Table50[[#This Row],[USAGE / DAY]]*(IF(Table50[[#This Row],[ccnt]]="BEV",Table50[[#This Row],[DELIVERY DAY]],Table50[[#This Row],[DELIVERY DAY]])))</f>
        <v>#VALUE!</v>
      </c>
      <c r="U212" s="15">
        <f>ROUNDUP(Table50[[#This Row],[UsageQty]]/Table50[[#This Row],[DATA POINT]],2)</f>
        <v>0.08</v>
      </c>
      <c r="V212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2" s="15">
        <f>IFERROR(Table50[[#This Row],[ORDER QTY]]*Table50[[#This Row],[COST PRICE]],0)</f>
        <v>0</v>
      </c>
      <c r="X212" s="15">
        <f>IFERROR(VLOOKUP(C212,[1]!Table48[[#All],[name]:[USAGE / DAY]],18,FALSE),1)</f>
        <v>0.15000000000000002</v>
      </c>
      <c r="Y212" s="4">
        <f>IFERROR((Table50[[#This Row],[USAGE / DAY]]-Table50[[#This Row],[USAGE / DAY 2]])/Table50[[#This Row],[USAGE / DAY 2]],0)</f>
        <v>-0.46666666666666673</v>
      </c>
      <c r="Z212" s="15">
        <f t="shared" si="9"/>
        <v>14</v>
      </c>
      <c r="AA212" s="15">
        <f t="shared" si="10"/>
        <v>9.311854181734148</v>
      </c>
      <c r="AB212" s="15" t="str">
        <f>IFERROR(IF(Table50[[#This Row],[ccnt]]="BEV",$AB$2,IF(Table50[[#This Row],[ccnt]]="FOOD",$AC$2,"ENTER # FROM LAST COUNT")),"ENTER # FROM LAST COUNT")</f>
        <v>ENTER # FROM LAST COUNT</v>
      </c>
      <c r="AC212" s="15">
        <f>(Table50[[#This Row],[OpeningQty]]+Table50[[#This Row],[ClosingQty]])/2</f>
        <v>0</v>
      </c>
      <c r="AD212" s="15">
        <f>IFERROR(Table50[[#This Row],[UsageQty]]/Table50[[#This Row],[AVE INVENTORY]],0)</f>
        <v>0</v>
      </c>
      <c r="AE212" s="15">
        <f>IFERROR(Table50[[#This Row],[DATA POINT]]/Table50[[#This Row],[Inventory Turnover Rate]],0)</f>
        <v>0</v>
      </c>
      <c r="AF212" s="15">
        <f>Table50[[#This Row],[ClosingQty]]/Table50[[#This Row],[USAGE / DAY]]</f>
        <v>0</v>
      </c>
      <c r="AG212" s="15">
        <f>Table50[[#This Row],[USAGE / DAY]]*7</f>
        <v>0.56000000000000005</v>
      </c>
      <c r="AH212" s="15">
        <f>Table50[[#This Row],[USAGE / DAY]]*3</f>
        <v>0.24</v>
      </c>
      <c r="AI212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212" s="15">
        <f>IFERROR(Table50[[#This Row],[ORDER QTY2]]*Table50[[#This Row],[COST PRICE]],0)</f>
        <v>256</v>
      </c>
      <c r="AK212" s="15" t="e">
        <f>(Table50[[#This Row],[REORDER POINT]]*Table50[[#This Row],[COST PRICE]])+Table50[[#This Row],[ORDER COST]]</f>
        <v>#VALUE!</v>
      </c>
      <c r="AL212" s="15">
        <f t="shared" si="11"/>
        <v>100</v>
      </c>
      <c r="AM212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3" spans="1:39" hidden="1" x14ac:dyDescent="0.25">
      <c r="A213" t="s">
        <v>215</v>
      </c>
      <c r="B213" t="s">
        <v>286</v>
      </c>
      <c r="C213" t="s">
        <v>297</v>
      </c>
      <c r="D213" t="s">
        <v>53</v>
      </c>
      <c r="E213">
        <v>0</v>
      </c>
      <c r="F213">
        <v>0</v>
      </c>
      <c r="G213">
        <v>200</v>
      </c>
      <c r="H213">
        <v>1888.56</v>
      </c>
      <c r="I213">
        <v>0</v>
      </c>
      <c r="J213">
        <v>0</v>
      </c>
      <c r="K213">
        <f>Table50[[#This Row],[OpeningQty]]+Table50[[#This Row],[PurchasesQty]]-Table50[[#This Row],[ClosingQty]]</f>
        <v>200</v>
      </c>
      <c r="L213">
        <v>1888.56</v>
      </c>
      <c r="M213" s="14">
        <f>Table50[[#This Row],[Usage]]/$L$1</f>
        <v>2.8683437857107705E-3</v>
      </c>
      <c r="N213" s="15">
        <f>IFERROR(Table50[[#This Row],[Opening]]/Table50[[#This Row],[OpeningQty]],0)</f>
        <v>0</v>
      </c>
      <c r="O213" s="15">
        <f>IFERROR(Table50[[#This Row],[Purchases]]/Table50[[#This Row],[PurchasesQty]],0)</f>
        <v>9.4428000000000001</v>
      </c>
      <c r="P213" s="15">
        <f>IFERROR(Table50[[#This Row],[Closing]]/Table50[[#This Row],[ClosingQty]],0)</f>
        <v>0</v>
      </c>
      <c r="Q213" s="15">
        <f>IFERROR(AVERAGEIF(Table50[[#This Row],[OPENING COST PRICE]:[CLOSING COST PRICE]],"&gt;0"),0)</f>
        <v>9.4428000000000001</v>
      </c>
      <c r="R213" s="15">
        <f>IFERROR(Table50[[#This Row],[COST PRICE]]-IFERROR(Table50[[#This Row],[Usage]]/Table50[[#This Row],[UsageQty]],Table50[[#This Row],[COST PRICE]]),0)</f>
        <v>0</v>
      </c>
      <c r="S213" s="16">
        <f>IFERROR(Table50[[#This Row],[COST PRICE CHANGE]]/Table50[[#This Row],[OPENING COST PRICE]],0)</f>
        <v>0</v>
      </c>
      <c r="T213" s="15" t="e">
        <f>Table50[[#This Row],[ClosingQty]]-(Table50[[#This Row],[USAGE / DAY]]*(IF(Table50[[#This Row],[ccnt]]="BEV",Table50[[#This Row],[DELIVERY DAY]],Table50[[#This Row],[DELIVERY DAY]])))</f>
        <v>#VALUE!</v>
      </c>
      <c r="U213" s="15">
        <f>ROUNDUP(Table50[[#This Row],[UsageQty]]/Table50[[#This Row],[DATA POINT]],2)</f>
        <v>14.29</v>
      </c>
      <c r="V213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3" s="15">
        <f>IFERROR(Table50[[#This Row],[ORDER QTY]]*Table50[[#This Row],[COST PRICE]],0)</f>
        <v>0</v>
      </c>
      <c r="X213" s="15">
        <f>IFERROR(VLOOKUP(C213,[1]!Table48[[#All],[name]:[USAGE / DAY]],18,FALSE),1)</f>
        <v>21.430000000000003</v>
      </c>
      <c r="Y213" s="4">
        <f>IFERROR((Table50[[#This Row],[USAGE / DAY]]-Table50[[#This Row],[USAGE / DAY 2]])/Table50[[#This Row],[USAGE / DAY 2]],0)</f>
        <v>-0.33317778814745697</v>
      </c>
      <c r="Z213" s="15">
        <f t="shared" si="9"/>
        <v>14</v>
      </c>
      <c r="AA213" s="15">
        <f t="shared" si="10"/>
        <v>9.311854181734148</v>
      </c>
      <c r="AB213" s="15" t="str">
        <f>IFERROR(IF(Table50[[#This Row],[ccnt]]="BEV",$AB$2,IF(Table50[[#This Row],[ccnt]]="FOOD",$AC$2,"ENTER # FROM LAST COUNT")),"ENTER # FROM LAST COUNT")</f>
        <v>ENTER # FROM LAST COUNT</v>
      </c>
      <c r="AC213" s="15">
        <f>(Table50[[#This Row],[OpeningQty]]+Table50[[#This Row],[ClosingQty]])/2</f>
        <v>0</v>
      </c>
      <c r="AD213" s="15">
        <f>IFERROR(Table50[[#This Row],[UsageQty]]/Table50[[#This Row],[AVE INVENTORY]],0)</f>
        <v>0</v>
      </c>
      <c r="AE213" s="15">
        <f>IFERROR(Table50[[#This Row],[DATA POINT]]/Table50[[#This Row],[Inventory Turnover Rate]],0)</f>
        <v>0</v>
      </c>
      <c r="AF213" s="15">
        <f>Table50[[#This Row],[ClosingQty]]/Table50[[#This Row],[USAGE / DAY]]</f>
        <v>0</v>
      </c>
      <c r="AG213" s="15">
        <f>Table50[[#This Row],[USAGE / DAY]]*7</f>
        <v>100.03</v>
      </c>
      <c r="AH213" s="15">
        <f>Table50[[#This Row],[USAGE / DAY]]*3</f>
        <v>42.87</v>
      </c>
      <c r="AI213" s="15">
        <f>IF(Table50[[#This Row],[FORECASTED DEMAND]]+Table50[[#This Row],[SAFETY STOCK]]-Table50[[#This Row],[ClosingQty]]&gt;0,Table50[[#This Row],[FORECASTED DEMAND]]+Table50[[#This Row],[SAFETY STOCK]]-Table50[[#This Row],[ClosingQty]],"NO ORDER")</f>
        <v>142.9</v>
      </c>
      <c r="AJ213" s="15">
        <f>IFERROR(Table50[[#This Row],[ORDER QTY2]]*Table50[[#This Row],[COST PRICE]],0)</f>
        <v>1349.3761200000001</v>
      </c>
      <c r="AK213" s="15" t="e">
        <f>(Table50[[#This Row],[REORDER POINT]]*Table50[[#This Row],[COST PRICE]])+Table50[[#This Row],[ORDER COST]]</f>
        <v>#VALUE!</v>
      </c>
      <c r="AL213" s="15">
        <f t="shared" si="11"/>
        <v>100</v>
      </c>
      <c r="AM213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4" spans="1:39" hidden="1" x14ac:dyDescent="0.25">
      <c r="A214" t="s">
        <v>215</v>
      </c>
      <c r="B214" t="s">
        <v>286</v>
      </c>
      <c r="C214" t="s">
        <v>298</v>
      </c>
      <c r="D214" t="s">
        <v>53</v>
      </c>
      <c r="E214">
        <v>0</v>
      </c>
      <c r="F214">
        <v>0</v>
      </c>
      <c r="G214">
        <v>300</v>
      </c>
      <c r="H214">
        <v>3273.36</v>
      </c>
      <c r="I214">
        <v>0</v>
      </c>
      <c r="J214">
        <v>0</v>
      </c>
      <c r="K214">
        <f>Table50[[#This Row],[OpeningQty]]+Table50[[#This Row],[PurchasesQty]]-Table50[[#This Row],[ClosingQty]]</f>
        <v>300</v>
      </c>
      <c r="L214">
        <v>3273.36</v>
      </c>
      <c r="M214" s="14">
        <f>Table50[[#This Row],[Usage]]/$L$1</f>
        <v>4.9715771881191006E-3</v>
      </c>
      <c r="N214" s="15">
        <f>IFERROR(Table50[[#This Row],[Opening]]/Table50[[#This Row],[OpeningQty]],0)</f>
        <v>0</v>
      </c>
      <c r="O214" s="15">
        <f>IFERROR(Table50[[#This Row],[Purchases]]/Table50[[#This Row],[PurchasesQty]],0)</f>
        <v>10.911200000000001</v>
      </c>
      <c r="P214" s="15">
        <f>IFERROR(Table50[[#This Row],[Closing]]/Table50[[#This Row],[ClosingQty]],0)</f>
        <v>0</v>
      </c>
      <c r="Q214" s="15">
        <f>IFERROR(AVERAGEIF(Table50[[#This Row],[OPENING COST PRICE]:[CLOSING COST PRICE]],"&gt;0"),0)</f>
        <v>10.911200000000001</v>
      </c>
      <c r="R214" s="15">
        <f>IFERROR(Table50[[#This Row],[COST PRICE]]-IFERROR(Table50[[#This Row],[Usage]]/Table50[[#This Row],[UsageQty]],Table50[[#This Row],[COST PRICE]]),0)</f>
        <v>0</v>
      </c>
      <c r="S214" s="16">
        <f>IFERROR(Table50[[#This Row],[COST PRICE CHANGE]]/Table50[[#This Row],[OPENING COST PRICE]],0)</f>
        <v>0</v>
      </c>
      <c r="T214" s="15" t="e">
        <f>Table50[[#This Row],[ClosingQty]]-(Table50[[#This Row],[USAGE / DAY]]*(IF(Table50[[#This Row],[ccnt]]="BEV",Table50[[#This Row],[DELIVERY DAY]],Table50[[#This Row],[DELIVERY DAY]])))</f>
        <v>#VALUE!</v>
      </c>
      <c r="U214" s="15">
        <f>ROUNDUP(Table50[[#This Row],[UsageQty]]/Table50[[#This Row],[DATA POINT]],2)</f>
        <v>21.430000000000003</v>
      </c>
      <c r="V214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4" s="15">
        <f>IFERROR(Table50[[#This Row],[ORDER QTY]]*Table50[[#This Row],[COST PRICE]],0)</f>
        <v>0</v>
      </c>
      <c r="X214" s="15">
        <f>IFERROR(VLOOKUP(C214,[1]!Table48[[#All],[name]:[USAGE / DAY]],18,FALSE),1)</f>
        <v>7.1499999999999995</v>
      </c>
      <c r="Y214" s="4">
        <f>IFERROR((Table50[[#This Row],[USAGE / DAY]]-Table50[[#This Row],[USAGE / DAY 2]])/Table50[[#This Row],[USAGE / DAY 2]],0)</f>
        <v>1.9972027972027979</v>
      </c>
      <c r="Z214" s="15">
        <f t="shared" si="9"/>
        <v>14</v>
      </c>
      <c r="AA214" s="15">
        <f t="shared" si="10"/>
        <v>9.311854181734148</v>
      </c>
      <c r="AB214" s="15" t="str">
        <f>IFERROR(IF(Table50[[#This Row],[ccnt]]="BEV",$AB$2,IF(Table50[[#This Row],[ccnt]]="FOOD",$AC$2,"ENTER # FROM LAST COUNT")),"ENTER # FROM LAST COUNT")</f>
        <v>ENTER # FROM LAST COUNT</v>
      </c>
      <c r="AC214" s="15">
        <f>(Table50[[#This Row],[OpeningQty]]+Table50[[#This Row],[ClosingQty]])/2</f>
        <v>0</v>
      </c>
      <c r="AD214" s="15">
        <f>IFERROR(Table50[[#This Row],[UsageQty]]/Table50[[#This Row],[AVE INVENTORY]],0)</f>
        <v>0</v>
      </c>
      <c r="AE214" s="15">
        <f>IFERROR(Table50[[#This Row],[DATA POINT]]/Table50[[#This Row],[Inventory Turnover Rate]],0)</f>
        <v>0</v>
      </c>
      <c r="AF214" s="15">
        <f>Table50[[#This Row],[ClosingQty]]/Table50[[#This Row],[USAGE / DAY]]</f>
        <v>0</v>
      </c>
      <c r="AG214" s="15">
        <f>Table50[[#This Row],[USAGE / DAY]]*7</f>
        <v>150.01000000000002</v>
      </c>
      <c r="AH214" s="15">
        <f>Table50[[#This Row],[USAGE / DAY]]*3</f>
        <v>64.290000000000006</v>
      </c>
      <c r="AI214" s="15">
        <f>IF(Table50[[#This Row],[FORECASTED DEMAND]]+Table50[[#This Row],[SAFETY STOCK]]-Table50[[#This Row],[ClosingQty]]&gt;0,Table50[[#This Row],[FORECASTED DEMAND]]+Table50[[#This Row],[SAFETY STOCK]]-Table50[[#This Row],[ClosingQty]],"NO ORDER")</f>
        <v>214.3</v>
      </c>
      <c r="AJ214" s="15">
        <f>IFERROR(Table50[[#This Row],[ORDER QTY2]]*Table50[[#This Row],[COST PRICE]],0)</f>
        <v>2338.2701600000005</v>
      </c>
      <c r="AK214" s="15" t="e">
        <f>(Table50[[#This Row],[REORDER POINT]]*Table50[[#This Row],[COST PRICE]])+Table50[[#This Row],[ORDER COST]]</f>
        <v>#VALUE!</v>
      </c>
      <c r="AL214" s="15">
        <f t="shared" si="11"/>
        <v>100</v>
      </c>
      <c r="AM214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5" spans="1:39" hidden="1" x14ac:dyDescent="0.25">
      <c r="A215" t="s">
        <v>215</v>
      </c>
      <c r="B215" t="s">
        <v>286</v>
      </c>
      <c r="C215" t="s">
        <v>299</v>
      </c>
      <c r="D215" t="s">
        <v>53</v>
      </c>
      <c r="E215">
        <v>0</v>
      </c>
      <c r="F215">
        <v>0</v>
      </c>
      <c r="G215">
        <v>1</v>
      </c>
      <c r="H215">
        <v>66.87</v>
      </c>
      <c r="I215">
        <v>0</v>
      </c>
      <c r="J215">
        <v>0</v>
      </c>
      <c r="K215">
        <f>Table50[[#This Row],[OpeningQty]]+Table50[[#This Row],[PurchasesQty]]-Table50[[#This Row],[ClosingQty]]</f>
        <v>1</v>
      </c>
      <c r="L215">
        <v>66.87</v>
      </c>
      <c r="M215" s="14">
        <f>Table50[[#This Row],[Usage]]/$L$1</f>
        <v>1.015621155539031E-4</v>
      </c>
      <c r="N215" s="15">
        <f>IFERROR(Table50[[#This Row],[Opening]]/Table50[[#This Row],[OpeningQty]],0)</f>
        <v>0</v>
      </c>
      <c r="O215" s="15">
        <f>IFERROR(Table50[[#This Row],[Purchases]]/Table50[[#This Row],[PurchasesQty]],0)</f>
        <v>66.87</v>
      </c>
      <c r="P215" s="15">
        <f>IFERROR(Table50[[#This Row],[Closing]]/Table50[[#This Row],[ClosingQty]],0)</f>
        <v>0</v>
      </c>
      <c r="Q215" s="15">
        <f>IFERROR(AVERAGEIF(Table50[[#This Row],[OPENING COST PRICE]:[CLOSING COST PRICE]],"&gt;0"),0)</f>
        <v>66.87</v>
      </c>
      <c r="R215" s="15">
        <f>IFERROR(Table50[[#This Row],[COST PRICE]]-IFERROR(Table50[[#This Row],[Usage]]/Table50[[#This Row],[UsageQty]],Table50[[#This Row],[COST PRICE]]),0)</f>
        <v>0</v>
      </c>
      <c r="S215" s="16">
        <f>IFERROR(Table50[[#This Row],[COST PRICE CHANGE]]/Table50[[#This Row],[OPENING COST PRICE]],0)</f>
        <v>0</v>
      </c>
      <c r="T215" s="15" t="e">
        <f>Table50[[#This Row],[ClosingQty]]-(Table50[[#This Row],[USAGE / DAY]]*(IF(Table50[[#This Row],[ccnt]]="BEV",Table50[[#This Row],[DELIVERY DAY]],Table50[[#This Row],[DELIVERY DAY]])))</f>
        <v>#VALUE!</v>
      </c>
      <c r="U215" s="15">
        <f>ROUNDUP(Table50[[#This Row],[UsageQty]]/Table50[[#This Row],[DATA POINT]],2)</f>
        <v>0.08</v>
      </c>
      <c r="V215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5" s="15">
        <f>IFERROR(Table50[[#This Row],[ORDER QTY]]*Table50[[#This Row],[COST PRICE]],0)</f>
        <v>0</v>
      </c>
      <c r="X215" s="15">
        <f>IFERROR(VLOOKUP(C215,[1]!Table48[[#All],[name]:[USAGE / DAY]],18,FALSE),1)</f>
        <v>1</v>
      </c>
      <c r="Y215" s="4">
        <f>IFERROR((Table50[[#This Row],[USAGE / DAY]]-Table50[[#This Row],[USAGE / DAY 2]])/Table50[[#This Row],[USAGE / DAY 2]],0)</f>
        <v>-0.92</v>
      </c>
      <c r="Z215" s="15">
        <f t="shared" si="9"/>
        <v>14</v>
      </c>
      <c r="AA215" s="15">
        <f t="shared" si="10"/>
        <v>9.311854181734148</v>
      </c>
      <c r="AB215" s="15" t="str">
        <f>IFERROR(IF(Table50[[#This Row],[ccnt]]="BEV",$AB$2,IF(Table50[[#This Row],[ccnt]]="FOOD",$AC$2,"ENTER # FROM LAST COUNT")),"ENTER # FROM LAST COUNT")</f>
        <v>ENTER # FROM LAST COUNT</v>
      </c>
      <c r="AC215" s="15">
        <f>(Table50[[#This Row],[OpeningQty]]+Table50[[#This Row],[ClosingQty]])/2</f>
        <v>0</v>
      </c>
      <c r="AD215" s="15">
        <f>IFERROR(Table50[[#This Row],[UsageQty]]/Table50[[#This Row],[AVE INVENTORY]],0)</f>
        <v>0</v>
      </c>
      <c r="AE215" s="15">
        <f>IFERROR(Table50[[#This Row],[DATA POINT]]/Table50[[#This Row],[Inventory Turnover Rate]],0)</f>
        <v>0</v>
      </c>
      <c r="AF215" s="15">
        <f>Table50[[#This Row],[ClosingQty]]/Table50[[#This Row],[USAGE / DAY]]</f>
        <v>0</v>
      </c>
      <c r="AG215" s="15">
        <f>Table50[[#This Row],[USAGE / DAY]]*7</f>
        <v>0.56000000000000005</v>
      </c>
      <c r="AH215" s="15">
        <f>Table50[[#This Row],[USAGE / DAY]]*3</f>
        <v>0.24</v>
      </c>
      <c r="AI215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215" s="15">
        <f>IFERROR(Table50[[#This Row],[ORDER QTY2]]*Table50[[#This Row],[COST PRICE]],0)</f>
        <v>53.496000000000009</v>
      </c>
      <c r="AK215" s="15" t="e">
        <f>(Table50[[#This Row],[REORDER POINT]]*Table50[[#This Row],[COST PRICE]])+Table50[[#This Row],[ORDER COST]]</f>
        <v>#VALUE!</v>
      </c>
      <c r="AL215" s="15">
        <f t="shared" si="11"/>
        <v>100</v>
      </c>
      <c r="AM215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6" spans="1:39" hidden="1" x14ac:dyDescent="0.25">
      <c r="A216" t="s">
        <v>215</v>
      </c>
      <c r="B216" t="s">
        <v>286</v>
      </c>
      <c r="C216" t="s">
        <v>300</v>
      </c>
      <c r="D216" t="s">
        <v>131</v>
      </c>
      <c r="E216">
        <v>0</v>
      </c>
      <c r="F216">
        <v>0</v>
      </c>
      <c r="G216">
        <v>4</v>
      </c>
      <c r="H216">
        <v>900</v>
      </c>
      <c r="I216">
        <v>0</v>
      </c>
      <c r="J216">
        <v>0</v>
      </c>
      <c r="K216">
        <f>Table50[[#This Row],[OpeningQty]]+Table50[[#This Row],[PurchasesQty]]-Table50[[#This Row],[ClosingQty]]</f>
        <v>4</v>
      </c>
      <c r="L216">
        <v>900</v>
      </c>
      <c r="M216" s="14">
        <f>Table50[[#This Row],[Usage]]/$L$1</f>
        <v>1.3669194556379959E-3</v>
      </c>
      <c r="N216" s="15">
        <f>IFERROR(Table50[[#This Row],[Opening]]/Table50[[#This Row],[OpeningQty]],0)</f>
        <v>0</v>
      </c>
      <c r="O216" s="15">
        <f>IFERROR(Table50[[#This Row],[Purchases]]/Table50[[#This Row],[PurchasesQty]],0)</f>
        <v>225</v>
      </c>
      <c r="P216" s="15">
        <f>IFERROR(Table50[[#This Row],[Closing]]/Table50[[#This Row],[ClosingQty]],0)</f>
        <v>0</v>
      </c>
      <c r="Q216" s="15">
        <f>IFERROR(AVERAGEIF(Table50[[#This Row],[OPENING COST PRICE]:[CLOSING COST PRICE]],"&gt;0"),0)</f>
        <v>225</v>
      </c>
      <c r="R216" s="15">
        <f>IFERROR(Table50[[#This Row],[COST PRICE]]-IFERROR(Table50[[#This Row],[Usage]]/Table50[[#This Row],[UsageQty]],Table50[[#This Row],[COST PRICE]]),0)</f>
        <v>0</v>
      </c>
      <c r="S216" s="16">
        <f>IFERROR(Table50[[#This Row],[COST PRICE CHANGE]]/Table50[[#This Row],[OPENING COST PRICE]],0)</f>
        <v>0</v>
      </c>
      <c r="T216" s="15" t="e">
        <f>Table50[[#This Row],[ClosingQty]]-(Table50[[#This Row],[USAGE / DAY]]*(IF(Table50[[#This Row],[ccnt]]="BEV",Table50[[#This Row],[DELIVERY DAY]],Table50[[#This Row],[DELIVERY DAY]])))</f>
        <v>#VALUE!</v>
      </c>
      <c r="U216" s="15">
        <f>ROUNDUP(Table50[[#This Row],[UsageQty]]/Table50[[#This Row],[DATA POINT]],2)</f>
        <v>0.29000000000000004</v>
      </c>
      <c r="V216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6" s="15">
        <f>IFERROR(Table50[[#This Row],[ORDER QTY]]*Table50[[#This Row],[COST PRICE]],0)</f>
        <v>0</v>
      </c>
      <c r="X216" s="15">
        <f>IFERROR(VLOOKUP(C216,[1]!Table48[[#All],[name]:[USAGE / DAY]],18,FALSE),1)</f>
        <v>0.29000000000000004</v>
      </c>
      <c r="Y216" s="4">
        <f>IFERROR((Table50[[#This Row],[USAGE / DAY]]-Table50[[#This Row],[USAGE / DAY 2]])/Table50[[#This Row],[USAGE / DAY 2]],0)</f>
        <v>0</v>
      </c>
      <c r="Z216" s="15">
        <f t="shared" si="9"/>
        <v>14</v>
      </c>
      <c r="AA216" s="15">
        <f t="shared" si="10"/>
        <v>9.311854181734148</v>
      </c>
      <c r="AB216" s="15" t="str">
        <f>IFERROR(IF(Table50[[#This Row],[ccnt]]="BEV",$AB$2,IF(Table50[[#This Row],[ccnt]]="FOOD",$AC$2,"ENTER # FROM LAST COUNT")),"ENTER # FROM LAST COUNT")</f>
        <v>ENTER # FROM LAST COUNT</v>
      </c>
      <c r="AC216" s="15">
        <f>(Table50[[#This Row],[OpeningQty]]+Table50[[#This Row],[ClosingQty]])/2</f>
        <v>0</v>
      </c>
      <c r="AD216" s="15">
        <f>IFERROR(Table50[[#This Row],[UsageQty]]/Table50[[#This Row],[AVE INVENTORY]],0)</f>
        <v>0</v>
      </c>
      <c r="AE216" s="15">
        <f>IFERROR(Table50[[#This Row],[DATA POINT]]/Table50[[#This Row],[Inventory Turnover Rate]],0)</f>
        <v>0</v>
      </c>
      <c r="AF216" s="15">
        <f>Table50[[#This Row],[ClosingQty]]/Table50[[#This Row],[USAGE / DAY]]</f>
        <v>0</v>
      </c>
      <c r="AG216" s="15">
        <f>Table50[[#This Row],[USAGE / DAY]]*7</f>
        <v>2.0300000000000002</v>
      </c>
      <c r="AH216" s="15">
        <f>Table50[[#This Row],[USAGE / DAY]]*3</f>
        <v>0.87000000000000011</v>
      </c>
      <c r="AI216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2.9000000000000004</v>
      </c>
      <c r="AJ216" s="15">
        <f>IFERROR(Table50[[#This Row],[ORDER QTY2]]*Table50[[#This Row],[COST PRICE]],0)</f>
        <v>652.50000000000011</v>
      </c>
      <c r="AK216" s="15" t="e">
        <f>(Table50[[#This Row],[REORDER POINT]]*Table50[[#This Row],[COST PRICE]])+Table50[[#This Row],[ORDER COST]]</f>
        <v>#VALUE!</v>
      </c>
      <c r="AL216" s="15">
        <f t="shared" si="11"/>
        <v>100</v>
      </c>
      <c r="AM216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7" spans="1:39" hidden="1" x14ac:dyDescent="0.25">
      <c r="A217" t="s">
        <v>215</v>
      </c>
      <c r="B217" t="s">
        <v>286</v>
      </c>
      <c r="C217" t="s">
        <v>301</v>
      </c>
      <c r="D217" t="s">
        <v>53</v>
      </c>
      <c r="E217">
        <v>0</v>
      </c>
      <c r="F217">
        <v>0</v>
      </c>
      <c r="G217">
        <v>800</v>
      </c>
      <c r="H217">
        <v>4639.93</v>
      </c>
      <c r="I217">
        <v>0</v>
      </c>
      <c r="J217">
        <v>0</v>
      </c>
      <c r="K217">
        <f>Table50[[#This Row],[OpeningQty]]+Table50[[#This Row],[PurchasesQty]]-Table50[[#This Row],[ClosingQty]]</f>
        <v>800</v>
      </c>
      <c r="L217">
        <v>4639.93</v>
      </c>
      <c r="M217" s="14">
        <f>Table50[[#This Row],[Usage]]/$L$1</f>
        <v>7.0471228775537851E-3</v>
      </c>
      <c r="N217" s="15">
        <f>IFERROR(Table50[[#This Row],[Opening]]/Table50[[#This Row],[OpeningQty]],0)</f>
        <v>0</v>
      </c>
      <c r="O217" s="15">
        <f>IFERROR(Table50[[#This Row],[Purchases]]/Table50[[#This Row],[PurchasesQty]],0)</f>
        <v>5.7999125000000005</v>
      </c>
      <c r="P217" s="15">
        <f>IFERROR(Table50[[#This Row],[Closing]]/Table50[[#This Row],[ClosingQty]],0)</f>
        <v>0</v>
      </c>
      <c r="Q217" s="15">
        <f>IFERROR(AVERAGEIF(Table50[[#This Row],[OPENING COST PRICE]:[CLOSING COST PRICE]],"&gt;0"),0)</f>
        <v>5.7999125000000005</v>
      </c>
      <c r="R217" s="15">
        <f>IFERROR(Table50[[#This Row],[COST PRICE]]-IFERROR(Table50[[#This Row],[Usage]]/Table50[[#This Row],[UsageQty]],Table50[[#This Row],[COST PRICE]]),0)</f>
        <v>0</v>
      </c>
      <c r="S217" s="16">
        <f>IFERROR(Table50[[#This Row],[COST PRICE CHANGE]]/Table50[[#This Row],[OPENING COST PRICE]],0)</f>
        <v>0</v>
      </c>
      <c r="T217" s="15" t="e">
        <f>Table50[[#This Row],[ClosingQty]]-(Table50[[#This Row],[USAGE / DAY]]*(IF(Table50[[#This Row],[ccnt]]="BEV",Table50[[#This Row],[DELIVERY DAY]],Table50[[#This Row],[DELIVERY DAY]])))</f>
        <v>#VALUE!</v>
      </c>
      <c r="U217" s="15">
        <f>ROUNDUP(Table50[[#This Row],[UsageQty]]/Table50[[#This Row],[DATA POINT]],2)</f>
        <v>57.15</v>
      </c>
      <c r="V217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7" s="15">
        <f>IFERROR(Table50[[#This Row],[ORDER QTY]]*Table50[[#This Row],[COST PRICE]],0)</f>
        <v>0</v>
      </c>
      <c r="X217" s="15">
        <f>IFERROR(VLOOKUP(C217,[1]!Table48[[#All],[name]:[USAGE / DAY]],18,FALSE),1)</f>
        <v>42.86</v>
      </c>
      <c r="Y217" s="4">
        <f>IFERROR((Table50[[#This Row],[USAGE / DAY]]-Table50[[#This Row],[USAGE / DAY 2]])/Table50[[#This Row],[USAGE / DAY 2]],0)</f>
        <v>0.33341110592627154</v>
      </c>
      <c r="Z217" s="15">
        <f t="shared" si="9"/>
        <v>14</v>
      </c>
      <c r="AA217" s="15">
        <f t="shared" si="10"/>
        <v>9.311854181734148</v>
      </c>
      <c r="AB217" s="15" t="str">
        <f>IFERROR(IF(Table50[[#This Row],[ccnt]]="BEV",$AB$2,IF(Table50[[#This Row],[ccnt]]="FOOD",$AC$2,"ENTER # FROM LAST COUNT")),"ENTER # FROM LAST COUNT")</f>
        <v>ENTER # FROM LAST COUNT</v>
      </c>
      <c r="AC217" s="15">
        <f>(Table50[[#This Row],[OpeningQty]]+Table50[[#This Row],[ClosingQty]])/2</f>
        <v>0</v>
      </c>
      <c r="AD217" s="15">
        <f>IFERROR(Table50[[#This Row],[UsageQty]]/Table50[[#This Row],[AVE INVENTORY]],0)</f>
        <v>0</v>
      </c>
      <c r="AE217" s="15">
        <f>IFERROR(Table50[[#This Row],[DATA POINT]]/Table50[[#This Row],[Inventory Turnover Rate]],0)</f>
        <v>0</v>
      </c>
      <c r="AF217" s="15">
        <f>Table50[[#This Row],[ClosingQty]]/Table50[[#This Row],[USAGE / DAY]]</f>
        <v>0</v>
      </c>
      <c r="AG217" s="15">
        <f>Table50[[#This Row],[USAGE / DAY]]*7</f>
        <v>400.05</v>
      </c>
      <c r="AH217" s="15">
        <f>Table50[[#This Row],[USAGE / DAY]]*3</f>
        <v>171.45</v>
      </c>
      <c r="AI217" s="15">
        <f>IF(Table50[[#This Row],[FORECASTED DEMAND]]+Table50[[#This Row],[SAFETY STOCK]]-Table50[[#This Row],[ClosingQty]]&gt;0,Table50[[#This Row],[FORECASTED DEMAND]]+Table50[[#This Row],[SAFETY STOCK]]-Table50[[#This Row],[ClosingQty]],"NO ORDER")</f>
        <v>571.5</v>
      </c>
      <c r="AJ217" s="15">
        <f>IFERROR(Table50[[#This Row],[ORDER QTY2]]*Table50[[#This Row],[COST PRICE]],0)</f>
        <v>3314.6499937500002</v>
      </c>
      <c r="AK217" s="15" t="e">
        <f>(Table50[[#This Row],[REORDER POINT]]*Table50[[#This Row],[COST PRICE]])+Table50[[#This Row],[ORDER COST]]</f>
        <v>#VALUE!</v>
      </c>
      <c r="AL217" s="15">
        <f t="shared" si="11"/>
        <v>100</v>
      </c>
      <c r="AM217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8" spans="1:39" hidden="1" x14ac:dyDescent="0.25">
      <c r="A218" t="s">
        <v>215</v>
      </c>
      <c r="B218" t="s">
        <v>286</v>
      </c>
      <c r="C218" t="s">
        <v>302</v>
      </c>
      <c r="D218" t="s">
        <v>53</v>
      </c>
      <c r="E218">
        <v>0</v>
      </c>
      <c r="F218">
        <v>0</v>
      </c>
      <c r="G218">
        <v>500</v>
      </c>
      <c r="H218">
        <v>899.91</v>
      </c>
      <c r="I218">
        <v>0</v>
      </c>
      <c r="J218">
        <v>0</v>
      </c>
      <c r="K218">
        <f>Table50[[#This Row],[OpeningQty]]+Table50[[#This Row],[PurchasesQty]]-Table50[[#This Row],[ClosingQty]]</f>
        <v>500</v>
      </c>
      <c r="L218">
        <v>899.91</v>
      </c>
      <c r="M218" s="14">
        <f>Table50[[#This Row],[Usage]]/$L$1</f>
        <v>1.366782763692432E-3</v>
      </c>
      <c r="N218" s="15">
        <f>IFERROR(Table50[[#This Row],[Opening]]/Table50[[#This Row],[OpeningQty]],0)</f>
        <v>0</v>
      </c>
      <c r="O218" s="15">
        <f>IFERROR(Table50[[#This Row],[Purchases]]/Table50[[#This Row],[PurchasesQty]],0)</f>
        <v>1.79982</v>
      </c>
      <c r="P218" s="15">
        <f>IFERROR(Table50[[#This Row],[Closing]]/Table50[[#This Row],[ClosingQty]],0)</f>
        <v>0</v>
      </c>
      <c r="Q218" s="15">
        <f>IFERROR(AVERAGEIF(Table50[[#This Row],[OPENING COST PRICE]:[CLOSING COST PRICE]],"&gt;0"),0)</f>
        <v>1.79982</v>
      </c>
      <c r="R218" s="15">
        <f>IFERROR(Table50[[#This Row],[COST PRICE]]-IFERROR(Table50[[#This Row],[Usage]]/Table50[[#This Row],[UsageQty]],Table50[[#This Row],[COST PRICE]]),0)</f>
        <v>0</v>
      </c>
      <c r="S218" s="16">
        <f>IFERROR(Table50[[#This Row],[COST PRICE CHANGE]]/Table50[[#This Row],[OPENING COST PRICE]],0)</f>
        <v>0</v>
      </c>
      <c r="T218" s="15" t="e">
        <f>Table50[[#This Row],[ClosingQty]]-(Table50[[#This Row],[USAGE / DAY]]*(IF(Table50[[#This Row],[ccnt]]="BEV",Table50[[#This Row],[DELIVERY DAY]],Table50[[#This Row],[DELIVERY DAY]])))</f>
        <v>#VALUE!</v>
      </c>
      <c r="U218" s="15">
        <f>ROUNDUP(Table50[[#This Row],[UsageQty]]/Table50[[#This Row],[DATA POINT]],2)</f>
        <v>35.72</v>
      </c>
      <c r="V218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8" s="15">
        <f>IFERROR(Table50[[#This Row],[ORDER QTY]]*Table50[[#This Row],[COST PRICE]],0)</f>
        <v>0</v>
      </c>
      <c r="X218" s="15">
        <f>IFERROR(VLOOKUP(C218,[1]!Table48[[#All],[name]:[USAGE / DAY]],18,FALSE),1)</f>
        <v>7.1499999999999995</v>
      </c>
      <c r="Y218" s="4">
        <f>IFERROR((Table50[[#This Row],[USAGE / DAY]]-Table50[[#This Row],[USAGE / DAY 2]])/Table50[[#This Row],[USAGE / DAY 2]],0)</f>
        <v>3.9958041958041961</v>
      </c>
      <c r="Z218" s="15">
        <f t="shared" si="9"/>
        <v>14</v>
      </c>
      <c r="AA218" s="15">
        <f t="shared" si="10"/>
        <v>9.311854181734148</v>
      </c>
      <c r="AB218" s="15" t="str">
        <f>IFERROR(IF(Table50[[#This Row],[ccnt]]="BEV",$AB$2,IF(Table50[[#This Row],[ccnt]]="FOOD",$AC$2,"ENTER # FROM LAST COUNT")),"ENTER # FROM LAST COUNT")</f>
        <v>ENTER # FROM LAST COUNT</v>
      </c>
      <c r="AC218" s="15">
        <f>(Table50[[#This Row],[OpeningQty]]+Table50[[#This Row],[ClosingQty]])/2</f>
        <v>0</v>
      </c>
      <c r="AD218" s="15">
        <f>IFERROR(Table50[[#This Row],[UsageQty]]/Table50[[#This Row],[AVE INVENTORY]],0)</f>
        <v>0</v>
      </c>
      <c r="AE218" s="15">
        <f>IFERROR(Table50[[#This Row],[DATA POINT]]/Table50[[#This Row],[Inventory Turnover Rate]],0)</f>
        <v>0</v>
      </c>
      <c r="AF218" s="15">
        <f>Table50[[#This Row],[ClosingQty]]/Table50[[#This Row],[USAGE / DAY]]</f>
        <v>0</v>
      </c>
      <c r="AG218" s="15">
        <f>Table50[[#This Row],[USAGE / DAY]]*7</f>
        <v>250.04</v>
      </c>
      <c r="AH218" s="15">
        <f>Table50[[#This Row],[USAGE / DAY]]*3</f>
        <v>107.16</v>
      </c>
      <c r="AI218" s="15">
        <f>IF(Table50[[#This Row],[FORECASTED DEMAND]]+Table50[[#This Row],[SAFETY STOCK]]-Table50[[#This Row],[ClosingQty]]&gt;0,Table50[[#This Row],[FORECASTED DEMAND]]+Table50[[#This Row],[SAFETY STOCK]]-Table50[[#This Row],[ClosingQty]],"NO ORDER")</f>
        <v>357.2</v>
      </c>
      <c r="AJ218" s="15">
        <f>IFERROR(Table50[[#This Row],[ORDER QTY2]]*Table50[[#This Row],[COST PRICE]],0)</f>
        <v>642.89570400000002</v>
      </c>
      <c r="AK218" s="15" t="e">
        <f>(Table50[[#This Row],[REORDER POINT]]*Table50[[#This Row],[COST PRICE]])+Table50[[#This Row],[ORDER COST]]</f>
        <v>#VALUE!</v>
      </c>
      <c r="AL218" s="15">
        <f t="shared" si="11"/>
        <v>100</v>
      </c>
      <c r="AM218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19" spans="1:39" hidden="1" x14ac:dyDescent="0.25">
      <c r="A219" t="s">
        <v>215</v>
      </c>
      <c r="B219" t="s">
        <v>286</v>
      </c>
      <c r="C219" t="s">
        <v>303</v>
      </c>
      <c r="D219" t="s">
        <v>53</v>
      </c>
      <c r="E219">
        <v>0</v>
      </c>
      <c r="F219">
        <v>0</v>
      </c>
      <c r="G219">
        <v>500</v>
      </c>
      <c r="H219">
        <v>295</v>
      </c>
      <c r="I219">
        <v>0</v>
      </c>
      <c r="J219">
        <v>0</v>
      </c>
      <c r="K219">
        <f>Table50[[#This Row],[OpeningQty]]+Table50[[#This Row],[PurchasesQty]]-Table50[[#This Row],[ClosingQty]]</f>
        <v>500</v>
      </c>
      <c r="L219">
        <v>295</v>
      </c>
      <c r="M219" s="14">
        <f>Table50[[#This Row],[Usage]]/$L$1</f>
        <v>4.4804582157023198E-4</v>
      </c>
      <c r="N219" s="15">
        <f>IFERROR(Table50[[#This Row],[Opening]]/Table50[[#This Row],[OpeningQty]],0)</f>
        <v>0</v>
      </c>
      <c r="O219" s="15">
        <f>IFERROR(Table50[[#This Row],[Purchases]]/Table50[[#This Row],[PurchasesQty]],0)</f>
        <v>0.59</v>
      </c>
      <c r="P219" s="15">
        <f>IFERROR(Table50[[#This Row],[Closing]]/Table50[[#This Row],[ClosingQty]],0)</f>
        <v>0</v>
      </c>
      <c r="Q219" s="15">
        <f>IFERROR(AVERAGEIF(Table50[[#This Row],[OPENING COST PRICE]:[CLOSING COST PRICE]],"&gt;0"),0)</f>
        <v>0.59</v>
      </c>
      <c r="R219" s="15">
        <f>IFERROR(Table50[[#This Row],[COST PRICE]]-IFERROR(Table50[[#This Row],[Usage]]/Table50[[#This Row],[UsageQty]],Table50[[#This Row],[COST PRICE]]),0)</f>
        <v>0</v>
      </c>
      <c r="S219" s="16">
        <f>IFERROR(Table50[[#This Row],[COST PRICE CHANGE]]/Table50[[#This Row],[OPENING COST PRICE]],0)</f>
        <v>0</v>
      </c>
      <c r="T219" s="15" t="e">
        <f>Table50[[#This Row],[ClosingQty]]-(Table50[[#This Row],[USAGE / DAY]]*(IF(Table50[[#This Row],[ccnt]]="BEV",Table50[[#This Row],[DELIVERY DAY]],Table50[[#This Row],[DELIVERY DAY]])))</f>
        <v>#VALUE!</v>
      </c>
      <c r="U219" s="15">
        <f>ROUNDUP(Table50[[#This Row],[UsageQty]]/Table50[[#This Row],[DATA POINT]],2)</f>
        <v>35.72</v>
      </c>
      <c r="V219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19" s="15">
        <f>IFERROR(Table50[[#This Row],[ORDER QTY]]*Table50[[#This Row],[COST PRICE]],0)</f>
        <v>0</v>
      </c>
      <c r="X219" s="15">
        <f>IFERROR(VLOOKUP(C219,[1]!Table48[[#All],[name]:[USAGE / DAY]],18,FALSE),1)</f>
        <v>1</v>
      </c>
      <c r="Y219" s="4">
        <f>IFERROR((Table50[[#This Row],[USAGE / DAY]]-Table50[[#This Row],[USAGE / DAY 2]])/Table50[[#This Row],[USAGE / DAY 2]],0)</f>
        <v>34.72</v>
      </c>
      <c r="Z219" s="15">
        <f t="shared" si="9"/>
        <v>14</v>
      </c>
      <c r="AA219" s="15">
        <f t="shared" si="10"/>
        <v>9.311854181734148</v>
      </c>
      <c r="AB219" s="15" t="str">
        <f>IFERROR(IF(Table50[[#This Row],[ccnt]]="BEV",$AB$2,IF(Table50[[#This Row],[ccnt]]="FOOD",$AC$2,"ENTER # FROM LAST COUNT")),"ENTER # FROM LAST COUNT")</f>
        <v>ENTER # FROM LAST COUNT</v>
      </c>
      <c r="AC219" s="15">
        <f>(Table50[[#This Row],[OpeningQty]]+Table50[[#This Row],[ClosingQty]])/2</f>
        <v>0</v>
      </c>
      <c r="AD219" s="15">
        <f>IFERROR(Table50[[#This Row],[UsageQty]]/Table50[[#This Row],[AVE INVENTORY]],0)</f>
        <v>0</v>
      </c>
      <c r="AE219" s="15">
        <f>IFERROR(Table50[[#This Row],[DATA POINT]]/Table50[[#This Row],[Inventory Turnover Rate]],0)</f>
        <v>0</v>
      </c>
      <c r="AF219" s="15">
        <f>Table50[[#This Row],[ClosingQty]]/Table50[[#This Row],[USAGE / DAY]]</f>
        <v>0</v>
      </c>
      <c r="AG219" s="15">
        <f>Table50[[#This Row],[USAGE / DAY]]*7</f>
        <v>250.04</v>
      </c>
      <c r="AH219" s="15">
        <f>Table50[[#This Row],[USAGE / DAY]]*3</f>
        <v>107.16</v>
      </c>
      <c r="AI219" s="15">
        <f>IF(Table50[[#This Row],[FORECASTED DEMAND]]+Table50[[#This Row],[SAFETY STOCK]]-Table50[[#This Row],[ClosingQty]]&gt;0,Table50[[#This Row],[FORECASTED DEMAND]]+Table50[[#This Row],[SAFETY STOCK]]-Table50[[#This Row],[ClosingQty]],"NO ORDER")</f>
        <v>357.2</v>
      </c>
      <c r="AJ219" s="15">
        <f>IFERROR(Table50[[#This Row],[ORDER QTY2]]*Table50[[#This Row],[COST PRICE]],0)</f>
        <v>210.74799999999999</v>
      </c>
      <c r="AK219" s="15" t="e">
        <f>(Table50[[#This Row],[REORDER POINT]]*Table50[[#This Row],[COST PRICE]])+Table50[[#This Row],[ORDER COST]]</f>
        <v>#VALUE!</v>
      </c>
      <c r="AL219" s="15">
        <f t="shared" si="11"/>
        <v>100</v>
      </c>
      <c r="AM219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0" spans="1:39" hidden="1" x14ac:dyDescent="0.25">
      <c r="A220" t="s">
        <v>215</v>
      </c>
      <c r="B220" t="s">
        <v>286</v>
      </c>
      <c r="C220" t="s">
        <v>304</v>
      </c>
      <c r="D220" t="s">
        <v>131</v>
      </c>
      <c r="E220">
        <v>0</v>
      </c>
      <c r="F220">
        <v>0</v>
      </c>
      <c r="G220">
        <v>3</v>
      </c>
      <c r="H220">
        <v>704.68</v>
      </c>
      <c r="I220">
        <v>0</v>
      </c>
      <c r="J220">
        <v>0</v>
      </c>
      <c r="K220">
        <f>Table50[[#This Row],[OpeningQty]]+Table50[[#This Row],[PurchasesQty]]-Table50[[#This Row],[ClosingQty]]</f>
        <v>3</v>
      </c>
      <c r="L220">
        <v>704.68</v>
      </c>
      <c r="M220" s="14">
        <f>Table50[[#This Row],[Usage]]/$L$1</f>
        <v>1.0702675577766475E-3</v>
      </c>
      <c r="N220" s="15">
        <f>IFERROR(Table50[[#This Row],[Opening]]/Table50[[#This Row],[OpeningQty]],0)</f>
        <v>0</v>
      </c>
      <c r="O220" s="15">
        <f>IFERROR(Table50[[#This Row],[Purchases]]/Table50[[#This Row],[PurchasesQty]],0)</f>
        <v>234.89333333333332</v>
      </c>
      <c r="P220" s="15">
        <f>IFERROR(Table50[[#This Row],[Closing]]/Table50[[#This Row],[ClosingQty]],0)</f>
        <v>0</v>
      </c>
      <c r="Q220" s="15">
        <f>IFERROR(AVERAGEIF(Table50[[#This Row],[OPENING COST PRICE]:[CLOSING COST PRICE]],"&gt;0"),0)</f>
        <v>234.89333333333332</v>
      </c>
      <c r="R220" s="15">
        <f>IFERROR(Table50[[#This Row],[COST PRICE]]-IFERROR(Table50[[#This Row],[Usage]]/Table50[[#This Row],[UsageQty]],Table50[[#This Row],[COST PRICE]]),0)</f>
        <v>0</v>
      </c>
      <c r="S220" s="16">
        <f>IFERROR(Table50[[#This Row],[COST PRICE CHANGE]]/Table50[[#This Row],[OPENING COST PRICE]],0)</f>
        <v>0</v>
      </c>
      <c r="T220" s="15" t="e">
        <f>Table50[[#This Row],[ClosingQty]]-(Table50[[#This Row],[USAGE / DAY]]*(IF(Table50[[#This Row],[ccnt]]="BEV",Table50[[#This Row],[DELIVERY DAY]],Table50[[#This Row],[DELIVERY DAY]])))</f>
        <v>#VALUE!</v>
      </c>
      <c r="U220" s="15">
        <f>ROUNDUP(Table50[[#This Row],[UsageQty]]/Table50[[#This Row],[DATA POINT]],2)</f>
        <v>0.22</v>
      </c>
      <c r="V220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20" s="15">
        <f>IFERROR(Table50[[#This Row],[ORDER QTY]]*Table50[[#This Row],[COST PRICE]],0)</f>
        <v>0</v>
      </c>
      <c r="X220" s="15">
        <f>IFERROR(VLOOKUP(C220,[1]!Table48[[#All],[name]:[USAGE / DAY]],18,FALSE),1)</f>
        <v>0.93</v>
      </c>
      <c r="Y220" s="4">
        <f>IFERROR((Table50[[#This Row],[USAGE / DAY]]-Table50[[#This Row],[USAGE / DAY 2]])/Table50[[#This Row],[USAGE / DAY 2]],0)</f>
        <v>-0.76344086021505375</v>
      </c>
      <c r="Z220" s="15">
        <f t="shared" si="9"/>
        <v>14</v>
      </c>
      <c r="AA220" s="15">
        <f t="shared" si="10"/>
        <v>9.311854181734148</v>
      </c>
      <c r="AB220" s="15" t="str">
        <f>IFERROR(IF(Table50[[#This Row],[ccnt]]="BEV",$AB$2,IF(Table50[[#This Row],[ccnt]]="FOOD",$AC$2,"ENTER # FROM LAST COUNT")),"ENTER # FROM LAST COUNT")</f>
        <v>ENTER # FROM LAST COUNT</v>
      </c>
      <c r="AC220" s="15">
        <f>(Table50[[#This Row],[OpeningQty]]+Table50[[#This Row],[ClosingQty]])/2</f>
        <v>0</v>
      </c>
      <c r="AD220" s="15">
        <f>IFERROR(Table50[[#This Row],[UsageQty]]/Table50[[#This Row],[AVE INVENTORY]],0)</f>
        <v>0</v>
      </c>
      <c r="AE220" s="15">
        <f>IFERROR(Table50[[#This Row],[DATA POINT]]/Table50[[#This Row],[Inventory Turnover Rate]],0)</f>
        <v>0</v>
      </c>
      <c r="AF220" s="15">
        <f>Table50[[#This Row],[ClosingQty]]/Table50[[#This Row],[USAGE / DAY]]</f>
        <v>0</v>
      </c>
      <c r="AG220" s="15">
        <f>Table50[[#This Row],[USAGE / DAY]]*7</f>
        <v>1.54</v>
      </c>
      <c r="AH220" s="15">
        <f>Table50[[#This Row],[USAGE / DAY]]*3</f>
        <v>0.66</v>
      </c>
      <c r="AI220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2.2000000000000002</v>
      </c>
      <c r="AJ220" s="15">
        <f>IFERROR(Table50[[#This Row],[ORDER QTY2]]*Table50[[#This Row],[COST PRICE]],0)</f>
        <v>516.76533333333339</v>
      </c>
      <c r="AK220" s="15" t="e">
        <f>(Table50[[#This Row],[REORDER POINT]]*Table50[[#This Row],[COST PRICE]])+Table50[[#This Row],[ORDER COST]]</f>
        <v>#VALUE!</v>
      </c>
      <c r="AL220" s="15">
        <f t="shared" si="11"/>
        <v>100</v>
      </c>
      <c r="AM220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1" spans="1:39" hidden="1" x14ac:dyDescent="0.25">
      <c r="A221" t="s">
        <v>215</v>
      </c>
      <c r="B221" t="s">
        <v>305</v>
      </c>
      <c r="C221" t="s">
        <v>306</v>
      </c>
      <c r="D221" t="s">
        <v>53</v>
      </c>
      <c r="E221">
        <v>0</v>
      </c>
      <c r="F221">
        <v>0</v>
      </c>
      <c r="G221">
        <v>2</v>
      </c>
      <c r="H221">
        <v>1004.08</v>
      </c>
      <c r="I221">
        <v>0</v>
      </c>
      <c r="J221">
        <v>0</v>
      </c>
      <c r="K221">
        <f>Table50[[#This Row],[OpeningQty]]+Table50[[#This Row],[PurchasesQty]]-Table50[[#This Row],[ClosingQty]]</f>
        <v>2</v>
      </c>
      <c r="L221">
        <v>1004.08</v>
      </c>
      <c r="M221" s="14">
        <f>Table50[[#This Row],[Usage]]/$L$1</f>
        <v>1.5249960966855543E-3</v>
      </c>
      <c r="N221" s="15">
        <f>IFERROR(Table50[[#This Row],[Opening]]/Table50[[#This Row],[OpeningQty]],0)</f>
        <v>0</v>
      </c>
      <c r="O221" s="15">
        <f>IFERROR(Table50[[#This Row],[Purchases]]/Table50[[#This Row],[PurchasesQty]],0)</f>
        <v>502.04</v>
      </c>
      <c r="P221" s="15">
        <f>IFERROR(Table50[[#This Row],[Closing]]/Table50[[#This Row],[ClosingQty]],0)</f>
        <v>0</v>
      </c>
      <c r="Q221" s="15">
        <f>IFERROR(AVERAGEIF(Table50[[#This Row],[OPENING COST PRICE]:[CLOSING COST PRICE]],"&gt;0"),0)</f>
        <v>502.04</v>
      </c>
      <c r="R221" s="15">
        <f>IFERROR(Table50[[#This Row],[COST PRICE]]-IFERROR(Table50[[#This Row],[Usage]]/Table50[[#This Row],[UsageQty]],Table50[[#This Row],[COST PRICE]]),0)</f>
        <v>0</v>
      </c>
      <c r="S221" s="16">
        <f>IFERROR(Table50[[#This Row],[COST PRICE CHANGE]]/Table50[[#This Row],[OPENING COST PRICE]],0)</f>
        <v>0</v>
      </c>
      <c r="T221" s="15" t="e">
        <f>Table50[[#This Row],[ClosingQty]]-(Table50[[#This Row],[USAGE / DAY]]*(IF(Table50[[#This Row],[ccnt]]="BEV",Table50[[#This Row],[DELIVERY DAY]],Table50[[#This Row],[DELIVERY DAY]])))</f>
        <v>#VALUE!</v>
      </c>
      <c r="U221" s="15">
        <f>ROUNDUP(Table50[[#This Row],[UsageQty]]/Table50[[#This Row],[DATA POINT]],2)</f>
        <v>0.15000000000000002</v>
      </c>
      <c r="V221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21" s="15">
        <f>IFERROR(Table50[[#This Row],[ORDER QTY]]*Table50[[#This Row],[COST PRICE]],0)</f>
        <v>0</v>
      </c>
      <c r="X221" s="15">
        <f>IFERROR(VLOOKUP(C221,[1]!Table48[[#All],[name]:[USAGE / DAY]],18,FALSE),1)</f>
        <v>1</v>
      </c>
      <c r="Y221" s="4">
        <f>IFERROR((Table50[[#This Row],[USAGE / DAY]]-Table50[[#This Row],[USAGE / DAY 2]])/Table50[[#This Row],[USAGE / DAY 2]],0)</f>
        <v>-0.85</v>
      </c>
      <c r="Z221" s="15">
        <f t="shared" si="9"/>
        <v>14</v>
      </c>
      <c r="AA221" s="15">
        <f t="shared" si="10"/>
        <v>9.311854181734148</v>
      </c>
      <c r="AB221" s="15" t="str">
        <f>IFERROR(IF(Table50[[#This Row],[ccnt]]="BEV",$AB$2,IF(Table50[[#This Row],[ccnt]]="FOOD",$AC$2,"ENTER # FROM LAST COUNT")),"ENTER # FROM LAST COUNT")</f>
        <v>ENTER # FROM LAST COUNT</v>
      </c>
      <c r="AC221" s="15">
        <f>(Table50[[#This Row],[OpeningQty]]+Table50[[#This Row],[ClosingQty]])/2</f>
        <v>0</v>
      </c>
      <c r="AD221" s="15">
        <f>IFERROR(Table50[[#This Row],[UsageQty]]/Table50[[#This Row],[AVE INVENTORY]],0)</f>
        <v>0</v>
      </c>
      <c r="AE221" s="15">
        <f>IFERROR(Table50[[#This Row],[DATA POINT]]/Table50[[#This Row],[Inventory Turnover Rate]],0)</f>
        <v>0</v>
      </c>
      <c r="AF221" s="15">
        <f>Table50[[#This Row],[ClosingQty]]/Table50[[#This Row],[USAGE / DAY]]</f>
        <v>0</v>
      </c>
      <c r="AG221" s="15">
        <f>Table50[[#This Row],[USAGE / DAY]]*7</f>
        <v>1.0500000000000003</v>
      </c>
      <c r="AH221" s="15">
        <f>Table50[[#This Row],[USAGE / DAY]]*3</f>
        <v>0.45000000000000007</v>
      </c>
      <c r="AI221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221" s="15">
        <f>IFERROR(Table50[[#This Row],[ORDER QTY2]]*Table50[[#This Row],[COST PRICE]],0)</f>
        <v>753.06000000000029</v>
      </c>
      <c r="AK221" s="15" t="e">
        <f>(Table50[[#This Row],[REORDER POINT]]*Table50[[#This Row],[COST PRICE]])+Table50[[#This Row],[ORDER COST]]</f>
        <v>#VALUE!</v>
      </c>
      <c r="AL221" s="15">
        <f t="shared" si="11"/>
        <v>100</v>
      </c>
      <c r="AM221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2" spans="1:39" hidden="1" x14ac:dyDescent="0.25">
      <c r="A222" t="s">
        <v>215</v>
      </c>
      <c r="B222" t="s">
        <v>305</v>
      </c>
      <c r="C222" t="s">
        <v>307</v>
      </c>
      <c r="D222" t="s">
        <v>53</v>
      </c>
      <c r="E222">
        <v>0</v>
      </c>
      <c r="F222">
        <v>0</v>
      </c>
      <c r="G222">
        <v>2</v>
      </c>
      <c r="H222">
        <v>480</v>
      </c>
      <c r="I222">
        <v>0</v>
      </c>
      <c r="J222">
        <v>0</v>
      </c>
      <c r="K222">
        <f>Table50[[#This Row],[OpeningQty]]+Table50[[#This Row],[PurchasesQty]]-Table50[[#This Row],[ClosingQty]]</f>
        <v>2</v>
      </c>
      <c r="L222">
        <v>480</v>
      </c>
      <c r="M222" s="14">
        <f>Table50[[#This Row],[Usage]]/$L$1</f>
        <v>7.2902370967359786E-4</v>
      </c>
      <c r="N222" s="15">
        <f>IFERROR(Table50[[#This Row],[Opening]]/Table50[[#This Row],[OpeningQty]],0)</f>
        <v>0</v>
      </c>
      <c r="O222" s="15">
        <f>IFERROR(Table50[[#This Row],[Purchases]]/Table50[[#This Row],[PurchasesQty]],0)</f>
        <v>240</v>
      </c>
      <c r="P222" s="15">
        <f>IFERROR(Table50[[#This Row],[Closing]]/Table50[[#This Row],[ClosingQty]],0)</f>
        <v>0</v>
      </c>
      <c r="Q222" s="15">
        <f>IFERROR(AVERAGEIF(Table50[[#This Row],[OPENING COST PRICE]:[CLOSING COST PRICE]],"&gt;0"),0)</f>
        <v>240</v>
      </c>
      <c r="R222" s="15">
        <f>IFERROR(Table50[[#This Row],[COST PRICE]]-IFERROR(Table50[[#This Row],[Usage]]/Table50[[#This Row],[UsageQty]],Table50[[#This Row],[COST PRICE]]),0)</f>
        <v>0</v>
      </c>
      <c r="S222" s="16">
        <f>IFERROR(Table50[[#This Row],[COST PRICE CHANGE]]/Table50[[#This Row],[OPENING COST PRICE]],0)</f>
        <v>0</v>
      </c>
      <c r="T222" s="15" t="e">
        <f>Table50[[#This Row],[ClosingQty]]-(Table50[[#This Row],[USAGE / DAY]]*(IF(Table50[[#This Row],[ccnt]]="BEV",Table50[[#This Row],[DELIVERY DAY]],Table50[[#This Row],[DELIVERY DAY]])))</f>
        <v>#VALUE!</v>
      </c>
      <c r="U222" s="15">
        <f>ROUNDUP(Table50[[#This Row],[UsageQty]]/Table50[[#This Row],[DATA POINT]],2)</f>
        <v>0.15000000000000002</v>
      </c>
      <c r="V222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22" s="15">
        <f>IFERROR(Table50[[#This Row],[ORDER QTY]]*Table50[[#This Row],[COST PRICE]],0)</f>
        <v>0</v>
      </c>
      <c r="X222" s="15">
        <f>IFERROR(VLOOKUP(C222,[1]!Table48[[#All],[name]:[USAGE / DAY]],18,FALSE),1)</f>
        <v>0.15000000000000002</v>
      </c>
      <c r="Y222" s="4">
        <f>IFERROR((Table50[[#This Row],[USAGE / DAY]]-Table50[[#This Row],[USAGE / DAY 2]])/Table50[[#This Row],[USAGE / DAY 2]],0)</f>
        <v>0</v>
      </c>
      <c r="Z222" s="15">
        <f t="shared" si="9"/>
        <v>14</v>
      </c>
      <c r="AA222" s="15">
        <f t="shared" si="10"/>
        <v>9.311854181734148</v>
      </c>
      <c r="AB222" s="15" t="str">
        <f>IFERROR(IF(Table50[[#This Row],[ccnt]]="BEV",$AB$2,IF(Table50[[#This Row],[ccnt]]="FOOD",$AC$2,"ENTER # FROM LAST COUNT")),"ENTER # FROM LAST COUNT")</f>
        <v>ENTER # FROM LAST COUNT</v>
      </c>
      <c r="AC222" s="15">
        <f>(Table50[[#This Row],[OpeningQty]]+Table50[[#This Row],[ClosingQty]])/2</f>
        <v>0</v>
      </c>
      <c r="AD222" s="15">
        <f>IFERROR(Table50[[#This Row],[UsageQty]]/Table50[[#This Row],[AVE INVENTORY]],0)</f>
        <v>0</v>
      </c>
      <c r="AE222" s="15">
        <f>IFERROR(Table50[[#This Row],[DATA POINT]]/Table50[[#This Row],[Inventory Turnover Rate]],0)</f>
        <v>0</v>
      </c>
      <c r="AF222" s="15">
        <f>Table50[[#This Row],[ClosingQty]]/Table50[[#This Row],[USAGE / DAY]]</f>
        <v>0</v>
      </c>
      <c r="AG222" s="15">
        <f>Table50[[#This Row],[USAGE / DAY]]*7</f>
        <v>1.0500000000000003</v>
      </c>
      <c r="AH222" s="15">
        <f>Table50[[#This Row],[USAGE / DAY]]*3</f>
        <v>0.45000000000000007</v>
      </c>
      <c r="AI222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222" s="15">
        <f>IFERROR(Table50[[#This Row],[ORDER QTY2]]*Table50[[#This Row],[COST PRICE]],0)</f>
        <v>360.00000000000011</v>
      </c>
      <c r="AK222" s="15" t="e">
        <f>(Table50[[#This Row],[REORDER POINT]]*Table50[[#This Row],[COST PRICE]])+Table50[[#This Row],[ORDER COST]]</f>
        <v>#VALUE!</v>
      </c>
      <c r="AL222" s="15">
        <f t="shared" si="11"/>
        <v>100</v>
      </c>
      <c r="AM222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3" spans="1:39" hidden="1" x14ac:dyDescent="0.25">
      <c r="A223" t="s">
        <v>215</v>
      </c>
      <c r="B223" t="s">
        <v>305</v>
      </c>
      <c r="C223" t="s">
        <v>308</v>
      </c>
      <c r="D223" t="s">
        <v>53</v>
      </c>
      <c r="E223">
        <v>0</v>
      </c>
      <c r="F223">
        <v>0</v>
      </c>
      <c r="G223">
        <v>1</v>
      </c>
      <c r="H223">
        <v>382.6</v>
      </c>
      <c r="I223">
        <v>0</v>
      </c>
      <c r="J223">
        <v>0</v>
      </c>
      <c r="K223">
        <f>Table50[[#This Row],[OpeningQty]]+Table50[[#This Row],[PurchasesQty]]-Table50[[#This Row],[ClosingQty]]</f>
        <v>1</v>
      </c>
      <c r="L223">
        <v>382.6</v>
      </c>
      <c r="M223" s="14">
        <f>Table50[[#This Row],[Usage]]/$L$1</f>
        <v>5.8109264858566365E-4</v>
      </c>
      <c r="N223" s="15">
        <f>IFERROR(Table50[[#This Row],[Opening]]/Table50[[#This Row],[OpeningQty]],0)</f>
        <v>0</v>
      </c>
      <c r="O223" s="15">
        <f>IFERROR(Table50[[#This Row],[Purchases]]/Table50[[#This Row],[PurchasesQty]],0)</f>
        <v>382.6</v>
      </c>
      <c r="P223" s="15">
        <f>IFERROR(Table50[[#This Row],[Closing]]/Table50[[#This Row],[ClosingQty]],0)</f>
        <v>0</v>
      </c>
      <c r="Q223" s="15">
        <f>IFERROR(AVERAGEIF(Table50[[#This Row],[OPENING COST PRICE]:[CLOSING COST PRICE]],"&gt;0"),0)</f>
        <v>382.6</v>
      </c>
      <c r="R223" s="15">
        <f>IFERROR(Table50[[#This Row],[COST PRICE]]-IFERROR(Table50[[#This Row],[Usage]]/Table50[[#This Row],[UsageQty]],Table50[[#This Row],[COST PRICE]]),0)</f>
        <v>0</v>
      </c>
      <c r="S223" s="16">
        <f>IFERROR(Table50[[#This Row],[COST PRICE CHANGE]]/Table50[[#This Row],[OPENING COST PRICE]],0)</f>
        <v>0</v>
      </c>
      <c r="T223" s="15" t="e">
        <f>Table50[[#This Row],[ClosingQty]]-(Table50[[#This Row],[USAGE / DAY]]*(IF(Table50[[#This Row],[ccnt]]="BEV",Table50[[#This Row],[DELIVERY DAY]],Table50[[#This Row],[DELIVERY DAY]])))</f>
        <v>#VALUE!</v>
      </c>
      <c r="U223" s="15">
        <f>ROUNDUP(Table50[[#This Row],[UsageQty]]/Table50[[#This Row],[DATA POINT]],2)</f>
        <v>0.08</v>
      </c>
      <c r="V223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23" s="15">
        <f>IFERROR(Table50[[#This Row],[ORDER QTY]]*Table50[[#This Row],[COST PRICE]],0)</f>
        <v>0</v>
      </c>
      <c r="X223" s="15">
        <f>IFERROR(VLOOKUP(C223,[1]!Table48[[#All],[name]:[USAGE / DAY]],18,FALSE),1)</f>
        <v>1</v>
      </c>
      <c r="Y223" s="4">
        <f>IFERROR((Table50[[#This Row],[USAGE / DAY]]-Table50[[#This Row],[USAGE / DAY 2]])/Table50[[#This Row],[USAGE / DAY 2]],0)</f>
        <v>-0.92</v>
      </c>
      <c r="Z223" s="15">
        <f t="shared" si="9"/>
        <v>14</v>
      </c>
      <c r="AA223" s="15">
        <f t="shared" si="10"/>
        <v>9.311854181734148</v>
      </c>
      <c r="AB223" s="15" t="str">
        <f>IFERROR(IF(Table50[[#This Row],[ccnt]]="BEV",$AB$2,IF(Table50[[#This Row],[ccnt]]="FOOD",$AC$2,"ENTER # FROM LAST COUNT")),"ENTER # FROM LAST COUNT")</f>
        <v>ENTER # FROM LAST COUNT</v>
      </c>
      <c r="AC223" s="15">
        <f>(Table50[[#This Row],[OpeningQty]]+Table50[[#This Row],[ClosingQty]])/2</f>
        <v>0</v>
      </c>
      <c r="AD223" s="15">
        <f>IFERROR(Table50[[#This Row],[UsageQty]]/Table50[[#This Row],[AVE INVENTORY]],0)</f>
        <v>0</v>
      </c>
      <c r="AE223" s="15">
        <f>IFERROR(Table50[[#This Row],[DATA POINT]]/Table50[[#This Row],[Inventory Turnover Rate]],0)</f>
        <v>0</v>
      </c>
      <c r="AF223" s="15">
        <f>Table50[[#This Row],[ClosingQty]]/Table50[[#This Row],[USAGE / DAY]]</f>
        <v>0</v>
      </c>
      <c r="AG223" s="15">
        <f>Table50[[#This Row],[USAGE / DAY]]*7</f>
        <v>0.56000000000000005</v>
      </c>
      <c r="AH223" s="15">
        <f>Table50[[#This Row],[USAGE / DAY]]*3</f>
        <v>0.24</v>
      </c>
      <c r="AI223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223" s="15">
        <f>IFERROR(Table50[[#This Row],[ORDER QTY2]]*Table50[[#This Row],[COST PRICE]],0)</f>
        <v>306.08000000000004</v>
      </c>
      <c r="AK223" s="15" t="e">
        <f>(Table50[[#This Row],[REORDER POINT]]*Table50[[#This Row],[COST PRICE]])+Table50[[#This Row],[ORDER COST]]</f>
        <v>#VALUE!</v>
      </c>
      <c r="AL223" s="15">
        <f t="shared" si="11"/>
        <v>100</v>
      </c>
      <c r="AM223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4" spans="1:39" hidden="1" x14ac:dyDescent="0.25">
      <c r="A224" t="s">
        <v>215</v>
      </c>
      <c r="B224" t="s">
        <v>309</v>
      </c>
      <c r="C224" t="s">
        <v>310</v>
      </c>
      <c r="D224" t="s">
        <v>53</v>
      </c>
      <c r="E224">
        <v>0</v>
      </c>
      <c r="F224">
        <v>0</v>
      </c>
      <c r="G224">
        <v>7</v>
      </c>
      <c r="H224">
        <v>985.27</v>
      </c>
      <c r="I224">
        <v>0</v>
      </c>
      <c r="J224">
        <v>0</v>
      </c>
      <c r="K224">
        <f>Table50[[#This Row],[OpeningQty]]+Table50[[#This Row],[PurchasesQty]]-Table50[[#This Row],[ClosingQty]]</f>
        <v>7</v>
      </c>
      <c r="L224">
        <v>985.27</v>
      </c>
      <c r="M224" s="14">
        <f>Table50[[#This Row],[Usage]]/$L$1</f>
        <v>1.4964274800627203E-3</v>
      </c>
      <c r="N224" s="15">
        <f>IFERROR(Table50[[#This Row],[Opening]]/Table50[[#This Row],[OpeningQty]],0)</f>
        <v>0</v>
      </c>
      <c r="O224" s="15">
        <f>IFERROR(Table50[[#This Row],[Purchases]]/Table50[[#This Row],[PurchasesQty]],0)</f>
        <v>140.75285714285715</v>
      </c>
      <c r="P224" s="15">
        <f>IFERROR(Table50[[#This Row],[Closing]]/Table50[[#This Row],[ClosingQty]],0)</f>
        <v>0</v>
      </c>
      <c r="Q224" s="15">
        <f>IFERROR(AVERAGEIF(Table50[[#This Row],[OPENING COST PRICE]:[CLOSING COST PRICE]],"&gt;0"),0)</f>
        <v>140.75285714285715</v>
      </c>
      <c r="R224" s="15">
        <f>IFERROR(Table50[[#This Row],[COST PRICE]]-IFERROR(Table50[[#This Row],[Usage]]/Table50[[#This Row],[UsageQty]],Table50[[#This Row],[COST PRICE]]),0)</f>
        <v>0</v>
      </c>
      <c r="S224" s="16">
        <f>IFERROR(Table50[[#This Row],[COST PRICE CHANGE]]/Table50[[#This Row],[OPENING COST PRICE]],0)</f>
        <v>0</v>
      </c>
      <c r="T224" s="15" t="e">
        <f>Table50[[#This Row],[ClosingQty]]-(Table50[[#This Row],[USAGE / DAY]]*(IF(Table50[[#This Row],[ccnt]]="BEV",Table50[[#This Row],[DELIVERY DAY]],Table50[[#This Row],[DELIVERY DAY]])))</f>
        <v>#VALUE!</v>
      </c>
      <c r="U224" s="15">
        <f>ROUNDUP(Table50[[#This Row],[UsageQty]]/Table50[[#This Row],[DATA POINT]],2)</f>
        <v>0.5</v>
      </c>
      <c r="V224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24" s="15">
        <f>IFERROR(Table50[[#This Row],[ORDER QTY]]*Table50[[#This Row],[COST PRICE]],0)</f>
        <v>0</v>
      </c>
      <c r="X224" s="15">
        <f>IFERROR(VLOOKUP(C224,[1]!Table48[[#All],[name]:[USAGE / DAY]],18,FALSE),1)</f>
        <v>0.08</v>
      </c>
      <c r="Y224" s="4">
        <f>IFERROR((Table50[[#This Row],[USAGE / DAY]]-Table50[[#This Row],[USAGE / DAY 2]])/Table50[[#This Row],[USAGE / DAY 2]],0)</f>
        <v>5.25</v>
      </c>
      <c r="Z224" s="15">
        <f t="shared" si="9"/>
        <v>14</v>
      </c>
      <c r="AA224" s="15">
        <f t="shared" si="10"/>
        <v>9.311854181734148</v>
      </c>
      <c r="AB224" s="15" t="str">
        <f>IFERROR(IF(Table50[[#This Row],[ccnt]]="BEV",$AB$2,IF(Table50[[#This Row],[ccnt]]="FOOD",$AC$2,"ENTER # FROM LAST COUNT")),"ENTER # FROM LAST COUNT")</f>
        <v>ENTER # FROM LAST COUNT</v>
      </c>
      <c r="AC224" s="15">
        <f>(Table50[[#This Row],[OpeningQty]]+Table50[[#This Row],[ClosingQty]])/2</f>
        <v>0</v>
      </c>
      <c r="AD224" s="15">
        <f>IFERROR(Table50[[#This Row],[UsageQty]]/Table50[[#This Row],[AVE INVENTORY]],0)</f>
        <v>0</v>
      </c>
      <c r="AE224" s="15">
        <f>IFERROR(Table50[[#This Row],[DATA POINT]]/Table50[[#This Row],[Inventory Turnover Rate]],0)</f>
        <v>0</v>
      </c>
      <c r="AF224" s="15">
        <f>Table50[[#This Row],[ClosingQty]]/Table50[[#This Row],[USAGE / DAY]]</f>
        <v>0</v>
      </c>
      <c r="AG224" s="15">
        <f>Table50[[#This Row],[USAGE / DAY]]*7</f>
        <v>3.5</v>
      </c>
      <c r="AH224" s="15">
        <f>Table50[[#This Row],[USAGE / DAY]]*3</f>
        <v>1.5</v>
      </c>
      <c r="AI224" s="15">
        <f>IF(Table50[[#This Row],[FORECASTED DEMAND]]+Table50[[#This Row],[SAFETY STOCK]]-Table50[[#This Row],[ClosingQty]]&gt;0,Table50[[#This Row],[FORECASTED DEMAND]]+Table50[[#This Row],[SAFETY STOCK]]-Table50[[#This Row],[ClosingQty]],"NO ORDER")</f>
        <v>5</v>
      </c>
      <c r="AJ224" s="15">
        <f>IFERROR(Table50[[#This Row],[ORDER QTY2]]*Table50[[#This Row],[COST PRICE]],0)</f>
        <v>703.76428571428573</v>
      </c>
      <c r="AK224" s="15" t="e">
        <f>(Table50[[#This Row],[REORDER POINT]]*Table50[[#This Row],[COST PRICE]])+Table50[[#This Row],[ORDER COST]]</f>
        <v>#VALUE!</v>
      </c>
      <c r="AL224" s="15">
        <f t="shared" si="11"/>
        <v>100</v>
      </c>
      <c r="AM224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5" spans="1:39" hidden="1" x14ac:dyDescent="0.25">
      <c r="A225" t="s">
        <v>215</v>
      </c>
      <c r="B225" t="s">
        <v>311</v>
      </c>
      <c r="C225" t="s">
        <v>312</v>
      </c>
      <c r="D225" t="s">
        <v>53</v>
      </c>
      <c r="E225">
        <v>0</v>
      </c>
      <c r="F225">
        <v>0</v>
      </c>
      <c r="G225">
        <v>46</v>
      </c>
      <c r="H225">
        <v>1380</v>
      </c>
      <c r="I225">
        <v>0</v>
      </c>
      <c r="J225">
        <v>0</v>
      </c>
      <c r="K225">
        <f>Table50[[#This Row],[OpeningQty]]+Table50[[#This Row],[PurchasesQty]]-Table50[[#This Row],[ClosingQty]]</f>
        <v>46</v>
      </c>
      <c r="L225">
        <v>1380</v>
      </c>
      <c r="M225" s="14">
        <f>Table50[[#This Row],[Usage]]/$L$1</f>
        <v>2.0959431653115937E-3</v>
      </c>
      <c r="N225" s="15">
        <f>IFERROR(Table50[[#This Row],[Opening]]/Table50[[#This Row],[OpeningQty]],0)</f>
        <v>0</v>
      </c>
      <c r="O225" s="15">
        <f>IFERROR(Table50[[#This Row],[Purchases]]/Table50[[#This Row],[PurchasesQty]],0)</f>
        <v>30</v>
      </c>
      <c r="P225" s="15">
        <f>IFERROR(Table50[[#This Row],[Closing]]/Table50[[#This Row],[ClosingQty]],0)</f>
        <v>0</v>
      </c>
      <c r="Q225" s="15">
        <f>IFERROR(AVERAGEIF(Table50[[#This Row],[OPENING COST PRICE]:[CLOSING COST PRICE]],"&gt;0"),0)</f>
        <v>30</v>
      </c>
      <c r="R225" s="15">
        <f>IFERROR(Table50[[#This Row],[COST PRICE]]-IFERROR(Table50[[#This Row],[Usage]]/Table50[[#This Row],[UsageQty]],Table50[[#This Row],[COST PRICE]]),0)</f>
        <v>0</v>
      </c>
      <c r="S225" s="16">
        <f>IFERROR(Table50[[#This Row],[COST PRICE CHANGE]]/Table50[[#This Row],[OPENING COST PRICE]],0)</f>
        <v>0</v>
      </c>
      <c r="T225" s="15" t="e">
        <f>Table50[[#This Row],[ClosingQty]]-(Table50[[#This Row],[USAGE / DAY]]*(IF(Table50[[#This Row],[ccnt]]="BEV",Table50[[#This Row],[DELIVERY DAY]],Table50[[#This Row],[DELIVERY DAY]])))</f>
        <v>#VALUE!</v>
      </c>
      <c r="U225" s="15">
        <f>ROUNDUP(Table50[[#This Row],[UsageQty]]/Table50[[#This Row],[DATA POINT]],2)</f>
        <v>3.2899999999999996</v>
      </c>
      <c r="V225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25" s="15">
        <f>IFERROR(Table50[[#This Row],[ORDER QTY]]*Table50[[#This Row],[COST PRICE]],0)</f>
        <v>0</v>
      </c>
      <c r="X225" s="15">
        <f>IFERROR(VLOOKUP(C225,[1]!Table48[[#All],[name]:[USAGE / DAY]],18,FALSE),1)</f>
        <v>9.15</v>
      </c>
      <c r="Y225" s="4">
        <f>IFERROR((Table50[[#This Row],[USAGE / DAY]]-Table50[[#This Row],[USAGE / DAY 2]])/Table50[[#This Row],[USAGE / DAY 2]],0)</f>
        <v>-0.64043715846994542</v>
      </c>
      <c r="Z225" s="15">
        <f t="shared" si="9"/>
        <v>14</v>
      </c>
      <c r="AA225" s="15">
        <f t="shared" si="10"/>
        <v>9.311854181734148</v>
      </c>
      <c r="AB225" s="15" t="str">
        <f>IFERROR(IF(Table50[[#This Row],[ccnt]]="BEV",$AB$2,IF(Table50[[#This Row],[ccnt]]="FOOD",$AC$2,"ENTER # FROM LAST COUNT")),"ENTER # FROM LAST COUNT")</f>
        <v>ENTER # FROM LAST COUNT</v>
      </c>
      <c r="AC225" s="15">
        <f>(Table50[[#This Row],[OpeningQty]]+Table50[[#This Row],[ClosingQty]])/2</f>
        <v>0</v>
      </c>
      <c r="AD225" s="15">
        <f>IFERROR(Table50[[#This Row],[UsageQty]]/Table50[[#This Row],[AVE INVENTORY]],0)</f>
        <v>0</v>
      </c>
      <c r="AE225" s="15">
        <f>IFERROR(Table50[[#This Row],[DATA POINT]]/Table50[[#This Row],[Inventory Turnover Rate]],0)</f>
        <v>0</v>
      </c>
      <c r="AF225" s="15">
        <f>Table50[[#This Row],[ClosingQty]]/Table50[[#This Row],[USAGE / DAY]]</f>
        <v>0</v>
      </c>
      <c r="AG225" s="15">
        <f>Table50[[#This Row],[USAGE / DAY]]*7</f>
        <v>23.029999999999998</v>
      </c>
      <c r="AH225" s="15">
        <f>Table50[[#This Row],[USAGE / DAY]]*3</f>
        <v>9.8699999999999992</v>
      </c>
      <c r="AI225" s="15">
        <f>IF(Table50[[#This Row],[FORECASTED DEMAND]]+Table50[[#This Row],[SAFETY STOCK]]-Table50[[#This Row],[ClosingQty]]&gt;0,Table50[[#This Row],[FORECASTED DEMAND]]+Table50[[#This Row],[SAFETY STOCK]]-Table50[[#This Row],[ClosingQty]],"NO ORDER")</f>
        <v>32.9</v>
      </c>
      <c r="AJ225" s="15">
        <f>IFERROR(Table50[[#This Row],[ORDER QTY2]]*Table50[[#This Row],[COST PRICE]],0)</f>
        <v>987</v>
      </c>
      <c r="AK225" s="15" t="e">
        <f>(Table50[[#This Row],[REORDER POINT]]*Table50[[#This Row],[COST PRICE]])+Table50[[#This Row],[ORDER COST]]</f>
        <v>#VALUE!</v>
      </c>
      <c r="AL225" s="15">
        <f t="shared" si="11"/>
        <v>100</v>
      </c>
      <c r="AM225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6" spans="1:39" hidden="1" x14ac:dyDescent="0.25">
      <c r="A226" t="s">
        <v>215</v>
      </c>
      <c r="B226" t="s">
        <v>313</v>
      </c>
      <c r="C226" t="s">
        <v>314</v>
      </c>
      <c r="D226" t="s">
        <v>53</v>
      </c>
      <c r="E226">
        <v>0</v>
      </c>
      <c r="F226">
        <v>0</v>
      </c>
      <c r="G226">
        <v>101</v>
      </c>
      <c r="H226">
        <v>1679.85</v>
      </c>
      <c r="I226">
        <v>0</v>
      </c>
      <c r="J226">
        <v>0</v>
      </c>
      <c r="K226">
        <f>Table50[[#This Row],[OpeningQty]]+Table50[[#This Row],[PurchasesQty]]-Table50[[#This Row],[ClosingQty]]</f>
        <v>101</v>
      </c>
      <c r="L226">
        <v>1679.85</v>
      </c>
      <c r="M226" s="14">
        <f>Table50[[#This Row],[Usage]]/$L$1</f>
        <v>2.5513551639483193E-3</v>
      </c>
      <c r="N226" s="15">
        <f>IFERROR(Table50[[#This Row],[Opening]]/Table50[[#This Row],[OpeningQty]],0)</f>
        <v>0</v>
      </c>
      <c r="O226" s="15">
        <f>IFERROR(Table50[[#This Row],[Purchases]]/Table50[[#This Row],[PurchasesQty]],0)</f>
        <v>16.632178217821782</v>
      </c>
      <c r="P226" s="15">
        <f>IFERROR(Table50[[#This Row],[Closing]]/Table50[[#This Row],[ClosingQty]],0)</f>
        <v>0</v>
      </c>
      <c r="Q226" s="15">
        <f>IFERROR(AVERAGEIF(Table50[[#This Row],[OPENING COST PRICE]:[CLOSING COST PRICE]],"&gt;0"),0)</f>
        <v>16.632178217821782</v>
      </c>
      <c r="R226" s="15">
        <f>IFERROR(Table50[[#This Row],[COST PRICE]]-IFERROR(Table50[[#This Row],[Usage]]/Table50[[#This Row],[UsageQty]],Table50[[#This Row],[COST PRICE]]),0)</f>
        <v>0</v>
      </c>
      <c r="S226" s="16">
        <f>IFERROR(Table50[[#This Row],[COST PRICE CHANGE]]/Table50[[#This Row],[OPENING COST PRICE]],0)</f>
        <v>0</v>
      </c>
      <c r="T226" s="15" t="e">
        <f>Table50[[#This Row],[ClosingQty]]-(Table50[[#This Row],[USAGE / DAY]]*(IF(Table50[[#This Row],[ccnt]]="BEV",Table50[[#This Row],[DELIVERY DAY]],Table50[[#This Row],[DELIVERY DAY]])))</f>
        <v>#VALUE!</v>
      </c>
      <c r="U226" s="15">
        <f>ROUNDUP(Table50[[#This Row],[UsageQty]]/Table50[[#This Row],[DATA POINT]],2)</f>
        <v>7.22</v>
      </c>
      <c r="V226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26" s="15">
        <f>IFERROR(Table50[[#This Row],[ORDER QTY]]*Table50[[#This Row],[COST PRICE]],0)</f>
        <v>0</v>
      </c>
      <c r="X226" s="15">
        <f>IFERROR(VLOOKUP(C226,[1]!Table48[[#All],[name]:[USAGE / DAY]],18,FALSE),1)</f>
        <v>1</v>
      </c>
      <c r="Y226" s="4">
        <f>IFERROR((Table50[[#This Row],[USAGE / DAY]]-Table50[[#This Row],[USAGE / DAY 2]])/Table50[[#This Row],[USAGE / DAY 2]],0)</f>
        <v>6.22</v>
      </c>
      <c r="Z226" s="15">
        <f t="shared" si="9"/>
        <v>14</v>
      </c>
      <c r="AA226" s="15">
        <f t="shared" si="10"/>
        <v>9.311854181734148</v>
      </c>
      <c r="AB226" s="15" t="str">
        <f>IFERROR(IF(Table50[[#This Row],[ccnt]]="BEV",$AB$2,IF(Table50[[#This Row],[ccnt]]="FOOD",$AC$2,"ENTER # FROM LAST COUNT")),"ENTER # FROM LAST COUNT")</f>
        <v>ENTER # FROM LAST COUNT</v>
      </c>
      <c r="AC226" s="15">
        <f>(Table50[[#This Row],[OpeningQty]]+Table50[[#This Row],[ClosingQty]])/2</f>
        <v>0</v>
      </c>
      <c r="AD226" s="15">
        <f>IFERROR(Table50[[#This Row],[UsageQty]]/Table50[[#This Row],[AVE INVENTORY]],0)</f>
        <v>0</v>
      </c>
      <c r="AE226" s="15">
        <f>IFERROR(Table50[[#This Row],[DATA POINT]]/Table50[[#This Row],[Inventory Turnover Rate]],0)</f>
        <v>0</v>
      </c>
      <c r="AF226" s="15">
        <f>Table50[[#This Row],[ClosingQty]]/Table50[[#This Row],[USAGE / DAY]]</f>
        <v>0</v>
      </c>
      <c r="AG226" s="15">
        <f>Table50[[#This Row],[USAGE / DAY]]*7</f>
        <v>50.54</v>
      </c>
      <c r="AH226" s="15">
        <f>Table50[[#This Row],[USAGE / DAY]]*3</f>
        <v>21.66</v>
      </c>
      <c r="AI226" s="15">
        <f>IF(Table50[[#This Row],[FORECASTED DEMAND]]+Table50[[#This Row],[SAFETY STOCK]]-Table50[[#This Row],[ClosingQty]]&gt;0,Table50[[#This Row],[FORECASTED DEMAND]]+Table50[[#This Row],[SAFETY STOCK]]-Table50[[#This Row],[ClosingQty]],"NO ORDER")</f>
        <v>72.2</v>
      </c>
      <c r="AJ226" s="15">
        <f>IFERROR(Table50[[#This Row],[ORDER QTY2]]*Table50[[#This Row],[COST PRICE]],0)</f>
        <v>1200.8432673267328</v>
      </c>
      <c r="AK226" s="15" t="e">
        <f>(Table50[[#This Row],[REORDER POINT]]*Table50[[#This Row],[COST PRICE]])+Table50[[#This Row],[ORDER COST]]</f>
        <v>#VALUE!</v>
      </c>
      <c r="AL226" s="15">
        <f t="shared" si="11"/>
        <v>100</v>
      </c>
      <c r="AM226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7" spans="1:39" hidden="1" x14ac:dyDescent="0.25">
      <c r="A227" t="s">
        <v>215</v>
      </c>
      <c r="B227" t="s">
        <v>315</v>
      </c>
      <c r="C227" t="s">
        <v>316</v>
      </c>
      <c r="D227" t="s">
        <v>53</v>
      </c>
      <c r="E227">
        <v>0</v>
      </c>
      <c r="F227">
        <v>0</v>
      </c>
      <c r="G227">
        <v>2</v>
      </c>
      <c r="H227">
        <v>100</v>
      </c>
      <c r="I227">
        <v>0</v>
      </c>
      <c r="J227">
        <v>0</v>
      </c>
      <c r="K227">
        <f>Table50[[#This Row],[OpeningQty]]+Table50[[#This Row],[PurchasesQty]]-Table50[[#This Row],[ClosingQty]]</f>
        <v>2</v>
      </c>
      <c r="L227">
        <v>100</v>
      </c>
      <c r="M227" s="14">
        <f>Table50[[#This Row],[Usage]]/$L$1</f>
        <v>1.5187993951533288E-4</v>
      </c>
      <c r="N227" s="15">
        <f>IFERROR(Table50[[#This Row],[Opening]]/Table50[[#This Row],[OpeningQty]],0)</f>
        <v>0</v>
      </c>
      <c r="O227" s="15">
        <f>IFERROR(Table50[[#This Row],[Purchases]]/Table50[[#This Row],[PurchasesQty]],0)</f>
        <v>50</v>
      </c>
      <c r="P227" s="15">
        <f>IFERROR(Table50[[#This Row],[Closing]]/Table50[[#This Row],[ClosingQty]],0)</f>
        <v>0</v>
      </c>
      <c r="Q227" s="15">
        <f>IFERROR(AVERAGEIF(Table50[[#This Row],[OPENING COST PRICE]:[CLOSING COST PRICE]],"&gt;0"),0)</f>
        <v>50</v>
      </c>
      <c r="R227" s="15">
        <f>IFERROR(Table50[[#This Row],[COST PRICE]]-IFERROR(Table50[[#This Row],[Usage]]/Table50[[#This Row],[UsageQty]],Table50[[#This Row],[COST PRICE]]),0)</f>
        <v>0</v>
      </c>
      <c r="S227" s="16">
        <f>IFERROR(Table50[[#This Row],[COST PRICE CHANGE]]/Table50[[#This Row],[OPENING COST PRICE]],0)</f>
        <v>0</v>
      </c>
      <c r="T227" s="15" t="e">
        <f>Table50[[#This Row],[ClosingQty]]-(Table50[[#This Row],[USAGE / DAY]]*(IF(Table50[[#This Row],[ccnt]]="BEV",Table50[[#This Row],[DELIVERY DAY]],Table50[[#This Row],[DELIVERY DAY]])))</f>
        <v>#VALUE!</v>
      </c>
      <c r="U227" s="15">
        <f>ROUNDUP(Table50[[#This Row],[UsageQty]]/Table50[[#This Row],[DATA POINT]],2)</f>
        <v>0.15000000000000002</v>
      </c>
      <c r="V227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27" s="15">
        <f>IFERROR(Table50[[#This Row],[ORDER QTY]]*Table50[[#This Row],[COST PRICE]],0)</f>
        <v>0</v>
      </c>
      <c r="X227" s="15">
        <f>IFERROR(VLOOKUP(C227,[1]!Table48[[#All],[name]:[USAGE / DAY]],18,FALSE),1)</f>
        <v>1</v>
      </c>
      <c r="Y227" s="4">
        <f>IFERROR((Table50[[#This Row],[USAGE / DAY]]-Table50[[#This Row],[USAGE / DAY 2]])/Table50[[#This Row],[USAGE / DAY 2]],0)</f>
        <v>-0.85</v>
      </c>
      <c r="Z227" s="15">
        <f t="shared" si="9"/>
        <v>14</v>
      </c>
      <c r="AA227" s="15">
        <f t="shared" si="10"/>
        <v>9.311854181734148</v>
      </c>
      <c r="AB227" s="15" t="str">
        <f>IFERROR(IF(Table50[[#This Row],[ccnt]]="BEV",$AB$2,IF(Table50[[#This Row],[ccnt]]="FOOD",$AC$2,"ENTER # FROM LAST COUNT")),"ENTER # FROM LAST COUNT")</f>
        <v>ENTER # FROM LAST COUNT</v>
      </c>
      <c r="AC227" s="15">
        <f>(Table50[[#This Row],[OpeningQty]]+Table50[[#This Row],[ClosingQty]])/2</f>
        <v>0</v>
      </c>
      <c r="AD227" s="15">
        <f>IFERROR(Table50[[#This Row],[UsageQty]]/Table50[[#This Row],[AVE INVENTORY]],0)</f>
        <v>0</v>
      </c>
      <c r="AE227" s="15">
        <f>IFERROR(Table50[[#This Row],[DATA POINT]]/Table50[[#This Row],[Inventory Turnover Rate]],0)</f>
        <v>0</v>
      </c>
      <c r="AF227" s="15">
        <f>Table50[[#This Row],[ClosingQty]]/Table50[[#This Row],[USAGE / DAY]]</f>
        <v>0</v>
      </c>
      <c r="AG227" s="15">
        <f>Table50[[#This Row],[USAGE / DAY]]*7</f>
        <v>1.0500000000000003</v>
      </c>
      <c r="AH227" s="15">
        <f>Table50[[#This Row],[USAGE / DAY]]*3</f>
        <v>0.45000000000000007</v>
      </c>
      <c r="AI227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1.5000000000000004</v>
      </c>
      <c r="AJ227" s="15">
        <f>IFERROR(Table50[[#This Row],[ORDER QTY2]]*Table50[[#This Row],[COST PRICE]],0)</f>
        <v>75.000000000000028</v>
      </c>
      <c r="AK227" s="15" t="e">
        <f>(Table50[[#This Row],[REORDER POINT]]*Table50[[#This Row],[COST PRICE]])+Table50[[#This Row],[ORDER COST]]</f>
        <v>#VALUE!</v>
      </c>
      <c r="AL227" s="15">
        <f t="shared" si="11"/>
        <v>100</v>
      </c>
      <c r="AM227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8" spans="1:39" hidden="1" x14ac:dyDescent="0.25">
      <c r="A228" t="s">
        <v>215</v>
      </c>
      <c r="B228" t="s">
        <v>317</v>
      </c>
      <c r="C228" t="s">
        <v>318</v>
      </c>
      <c r="D228" t="s">
        <v>319</v>
      </c>
      <c r="E228">
        <v>0</v>
      </c>
      <c r="F228">
        <v>0</v>
      </c>
      <c r="G228">
        <v>15</v>
      </c>
      <c r="H228">
        <v>8364</v>
      </c>
      <c r="I228">
        <v>0</v>
      </c>
      <c r="J228">
        <v>0</v>
      </c>
      <c r="K228">
        <f>Table50[[#This Row],[OpeningQty]]+Table50[[#This Row],[PurchasesQty]]-Table50[[#This Row],[ClosingQty]]</f>
        <v>15</v>
      </c>
      <c r="L228">
        <v>8364</v>
      </c>
      <c r="M228" s="14">
        <f>Table50[[#This Row],[Usage]]/$L$1</f>
        <v>1.2703238141062442E-2</v>
      </c>
      <c r="N228" s="15">
        <f>IFERROR(Table50[[#This Row],[Opening]]/Table50[[#This Row],[OpeningQty]],0)</f>
        <v>0</v>
      </c>
      <c r="O228" s="15">
        <f>IFERROR(Table50[[#This Row],[Purchases]]/Table50[[#This Row],[PurchasesQty]],0)</f>
        <v>557.6</v>
      </c>
      <c r="P228" s="15">
        <f>IFERROR(Table50[[#This Row],[Closing]]/Table50[[#This Row],[ClosingQty]],0)</f>
        <v>0</v>
      </c>
      <c r="Q228" s="15">
        <f>IFERROR(AVERAGEIF(Table50[[#This Row],[OPENING COST PRICE]:[CLOSING COST PRICE]],"&gt;0"),0)</f>
        <v>557.6</v>
      </c>
      <c r="R228" s="15">
        <f>IFERROR(Table50[[#This Row],[COST PRICE]]-IFERROR(Table50[[#This Row],[Usage]]/Table50[[#This Row],[UsageQty]],Table50[[#This Row],[COST PRICE]]),0)</f>
        <v>0</v>
      </c>
      <c r="S228" s="16">
        <f>IFERROR(Table50[[#This Row],[COST PRICE CHANGE]]/Table50[[#This Row],[OPENING COST PRICE]],0)</f>
        <v>0</v>
      </c>
      <c r="T228" s="15" t="e">
        <f>Table50[[#This Row],[ClosingQty]]-(Table50[[#This Row],[USAGE / DAY]]*(IF(Table50[[#This Row],[ccnt]]="BEV",Table50[[#This Row],[DELIVERY DAY]],Table50[[#This Row],[DELIVERY DAY]])))</f>
        <v>#VALUE!</v>
      </c>
      <c r="U228" s="15">
        <f>ROUNDUP(Table50[[#This Row],[UsageQty]]/Table50[[#This Row],[DATA POINT]],2)</f>
        <v>1.08</v>
      </c>
      <c r="V228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28" s="15">
        <f>IFERROR(Table50[[#This Row],[ORDER QTY]]*Table50[[#This Row],[COST PRICE]],0)</f>
        <v>0</v>
      </c>
      <c r="X228" s="15">
        <f>IFERROR(VLOOKUP(C228,[1]!Table48[[#All],[name]:[USAGE / DAY]],18,FALSE),1)</f>
        <v>0.79</v>
      </c>
      <c r="Y228" s="4">
        <f>IFERROR((Table50[[#This Row],[USAGE / DAY]]-Table50[[#This Row],[USAGE / DAY 2]])/Table50[[#This Row],[USAGE / DAY 2]],0)</f>
        <v>0.36708860759493672</v>
      </c>
      <c r="Z228" s="15">
        <f t="shared" si="9"/>
        <v>14</v>
      </c>
      <c r="AA228" s="15">
        <f t="shared" si="10"/>
        <v>9.311854181734148</v>
      </c>
      <c r="AB228" s="15" t="str">
        <f>IFERROR(IF(Table50[[#This Row],[ccnt]]="BEV",$AB$2,IF(Table50[[#This Row],[ccnt]]="FOOD",$AC$2,"ENTER # FROM LAST COUNT")),"ENTER # FROM LAST COUNT")</f>
        <v>ENTER # FROM LAST COUNT</v>
      </c>
      <c r="AC228" s="15">
        <f>(Table50[[#This Row],[OpeningQty]]+Table50[[#This Row],[ClosingQty]])/2</f>
        <v>0</v>
      </c>
      <c r="AD228" s="15">
        <f>IFERROR(Table50[[#This Row],[UsageQty]]/Table50[[#This Row],[AVE INVENTORY]],0)</f>
        <v>0</v>
      </c>
      <c r="AE228" s="15">
        <f>IFERROR(Table50[[#This Row],[DATA POINT]]/Table50[[#This Row],[Inventory Turnover Rate]],0)</f>
        <v>0</v>
      </c>
      <c r="AF228" s="15">
        <f>Table50[[#This Row],[ClosingQty]]/Table50[[#This Row],[USAGE / DAY]]</f>
        <v>0</v>
      </c>
      <c r="AG228" s="15">
        <f>Table50[[#This Row],[USAGE / DAY]]*7</f>
        <v>7.5600000000000005</v>
      </c>
      <c r="AH228" s="15">
        <f>Table50[[#This Row],[USAGE / DAY]]*3</f>
        <v>3.24</v>
      </c>
      <c r="AI228" s="15">
        <f>IF(Table50[[#This Row],[FORECASTED DEMAND]]+Table50[[#This Row],[SAFETY STOCK]]-Table50[[#This Row],[ClosingQty]]&gt;0,Table50[[#This Row],[FORECASTED DEMAND]]+Table50[[#This Row],[SAFETY STOCK]]-Table50[[#This Row],[ClosingQty]],"NO ORDER")</f>
        <v>10.8</v>
      </c>
      <c r="AJ228" s="15">
        <f>IFERROR(Table50[[#This Row],[ORDER QTY2]]*Table50[[#This Row],[COST PRICE]],0)</f>
        <v>6022.0800000000008</v>
      </c>
      <c r="AK228" s="15" t="e">
        <f>(Table50[[#This Row],[REORDER POINT]]*Table50[[#This Row],[COST PRICE]])+Table50[[#This Row],[ORDER COST]]</f>
        <v>#VALUE!</v>
      </c>
      <c r="AL228" s="15">
        <f t="shared" si="11"/>
        <v>100</v>
      </c>
      <c r="AM228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29" spans="1:39" x14ac:dyDescent="0.25">
      <c r="A229" t="s">
        <v>50</v>
      </c>
      <c r="B229" t="s">
        <v>74</v>
      </c>
      <c r="C229" t="s">
        <v>320</v>
      </c>
      <c r="D229" t="s">
        <v>53</v>
      </c>
      <c r="E229">
        <v>19</v>
      </c>
      <c r="F229">
        <v>260.87</v>
      </c>
      <c r="G229">
        <v>11</v>
      </c>
      <c r="H229">
        <v>228.96</v>
      </c>
      <c r="I229">
        <v>0</v>
      </c>
      <c r="J229">
        <v>0</v>
      </c>
      <c r="K229">
        <f>Table50[[#This Row],[OpeningQty]]+Table50[[#This Row],[PurchasesQty]]-Table50[[#This Row],[ClosingQty]]</f>
        <v>30</v>
      </c>
      <c r="L229">
        <v>489.83</v>
      </c>
      <c r="M229" s="14">
        <f>Table50[[#This Row],[Usage]]/$L$1</f>
        <v>7.4395350772795505E-4</v>
      </c>
      <c r="N229" s="15">
        <f>IFERROR(Table50[[#This Row],[Opening]]/Table50[[#This Row],[OpeningQty]],0)</f>
        <v>13.73</v>
      </c>
      <c r="O229" s="15">
        <f>IFERROR(Table50[[#This Row],[Purchases]]/Table50[[#This Row],[PurchasesQty]],0)</f>
        <v>20.814545454545456</v>
      </c>
      <c r="P229" s="15">
        <f>IFERROR(Table50[[#This Row],[Closing]]/Table50[[#This Row],[ClosingQty]],0)</f>
        <v>0</v>
      </c>
      <c r="Q229" s="15">
        <f>IFERROR(AVERAGEIF(Table50[[#This Row],[OPENING COST PRICE]:[CLOSING COST PRICE]],"&gt;0"),0)</f>
        <v>17.272272727272728</v>
      </c>
      <c r="R229" s="15">
        <f>IFERROR(Table50[[#This Row],[COST PRICE]]-IFERROR(Table50[[#This Row],[Usage]]/Table50[[#This Row],[UsageQty]],Table50[[#This Row],[COST PRICE]]),0)</f>
        <v>0.94460606060606267</v>
      </c>
      <c r="S229" s="16">
        <f>IFERROR(Table50[[#This Row],[COST PRICE CHANGE]]/Table50[[#This Row],[OPENING COST PRICE]],0)</f>
        <v>6.8798693416319195E-2</v>
      </c>
      <c r="T229" s="15">
        <f>Table50[[#This Row],[ClosingQty]]-(Table50[[#This Row],[USAGE / DAY]]*(IF(Table50[[#This Row],[ccnt]]="BEV",Table50[[#This Row],[DELIVERY DAY]],Table50[[#This Row],[DELIVERY DAY]])))</f>
        <v>-6.4499999999999993</v>
      </c>
      <c r="U229" s="15">
        <f>ROUNDUP(Table50[[#This Row],[UsageQty]]/Table50[[#This Row],[DATA POINT]],2)</f>
        <v>2.15</v>
      </c>
      <c r="V22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27</v>
      </c>
      <c r="W229" s="15">
        <f>IFERROR(Table50[[#This Row],[ORDER QTY]]*Table50[[#This Row],[COST PRICE]],0)</f>
        <v>466.35136363636366</v>
      </c>
      <c r="X229" s="15">
        <f>IFERROR(VLOOKUP(C229,[1]!Table49[[#All],[name]:[USAGE / DAY]],19,FALSE),1)</f>
        <v>2.2000000000000002</v>
      </c>
      <c r="Y229" s="4">
        <f>IFERROR((Table50[[#This Row],[USAGE / DAY]]-Table50[[#This Row],[USAGE / DAY 2]])/Table50[[#This Row],[USAGE / DAY 2]],0)</f>
        <v>-2.2727272727272846E-2</v>
      </c>
      <c r="Z229" s="15">
        <f t="shared" si="9"/>
        <v>14</v>
      </c>
      <c r="AA229" s="15">
        <f t="shared" si="10"/>
        <v>9.311854181734148</v>
      </c>
      <c r="AB229" s="15">
        <f>IFERROR(IF(Table50[[#This Row],[ccnt]]="BEV",$AB$2,IF(Table50[[#This Row],[ccnt]]="FOOD",$AC$2,"ENTER # FROM LAST COUNT")),"ENTER # FROM LAST COUNT")</f>
        <v>3</v>
      </c>
      <c r="AC229" s="15">
        <f>(Table50[[#This Row],[OpeningQty]]+Table50[[#This Row],[ClosingQty]])/2</f>
        <v>9.5</v>
      </c>
      <c r="AD229" s="15">
        <f>IFERROR(Table50[[#This Row],[UsageQty]]/Table50[[#This Row],[AVE INVENTORY]],0)</f>
        <v>3.1578947368421053</v>
      </c>
      <c r="AE229" s="15">
        <f>IFERROR(Table50[[#This Row],[DATA POINT]]/Table50[[#This Row],[Inventory Turnover Rate]],0)</f>
        <v>4.4333333333333336</v>
      </c>
      <c r="AF229" s="15">
        <f>Table50[[#This Row],[ClosingQty]]/Table50[[#This Row],[USAGE / DAY]]</f>
        <v>0</v>
      </c>
      <c r="AG229" s="15">
        <f>Table50[[#This Row],[USAGE / DAY]]*7</f>
        <v>15.049999999999999</v>
      </c>
      <c r="AH229" s="15">
        <f>Table50[[#This Row],[USAGE / DAY]]*3</f>
        <v>6.4499999999999993</v>
      </c>
      <c r="AI229" s="15">
        <f>IF(Table50[[#This Row],[FORECASTED DEMAND]]+Table50[[#This Row],[SAFETY STOCK]]-Table50[[#This Row],[ClosingQty]]&gt;0,Table50[[#This Row],[FORECASTED DEMAND]]+Table50[[#This Row],[SAFETY STOCK]]-Table50[[#This Row],[ClosingQty]],"NO ORDER")</f>
        <v>21.5</v>
      </c>
      <c r="AJ229" s="15">
        <f>IFERROR(Table50[[#This Row],[ORDER QTY2]]*Table50[[#This Row],[COST PRICE]],0)</f>
        <v>371.35386363636366</v>
      </c>
      <c r="AK229" s="15">
        <f>(Table50[[#This Row],[REORDER POINT]]*Table50[[#This Row],[COST PRICE]])+Table50[[#This Row],[ORDER COST]]</f>
        <v>354.94520454545454</v>
      </c>
      <c r="AL229" s="15">
        <f t="shared" si="11"/>
        <v>100</v>
      </c>
      <c r="AM229" s="15">
        <f>IFERROR((Table50[[#This Row],[REORDER POINT]]+Table50[[#This Row],[ORDER QTY]])/(Table50[[#This Row],[USAGE / DAY]]*Table50[[#This Row],[DEMAND %]]),Table50[[#This Row],[REORDER POINT]]/Table50[[#This Row],[USAGE / DAY]])</f>
        <v>9.5581395348837209E-2</v>
      </c>
    </row>
    <row r="230" spans="1:39" hidden="1" x14ac:dyDescent="0.25">
      <c r="A230" t="s">
        <v>215</v>
      </c>
      <c r="B230" t="s">
        <v>321</v>
      </c>
      <c r="C230" t="s">
        <v>322</v>
      </c>
      <c r="D230" t="s">
        <v>53</v>
      </c>
      <c r="E230">
        <v>0</v>
      </c>
      <c r="F230">
        <v>0</v>
      </c>
      <c r="G230">
        <v>236.52</v>
      </c>
      <c r="H230">
        <v>8905.86</v>
      </c>
      <c r="I230">
        <v>0</v>
      </c>
      <c r="J230">
        <v>0</v>
      </c>
      <c r="K230">
        <f>Table50[[#This Row],[OpeningQty]]+Table50[[#This Row],[PurchasesQty]]-Table50[[#This Row],[ClosingQty]]</f>
        <v>236.52</v>
      </c>
      <c r="L230">
        <v>8905.86</v>
      </c>
      <c r="M230" s="14">
        <f>Table50[[#This Row],[Usage]]/$L$1</f>
        <v>1.3526214781320225E-2</v>
      </c>
      <c r="N230" s="15">
        <f>IFERROR(Table50[[#This Row],[Opening]]/Table50[[#This Row],[OpeningQty]],0)</f>
        <v>0</v>
      </c>
      <c r="O230" s="15">
        <f>IFERROR(Table50[[#This Row],[Purchases]]/Table50[[#This Row],[PurchasesQty]],0)</f>
        <v>37.653729071537292</v>
      </c>
      <c r="P230" s="15">
        <f>IFERROR(Table50[[#This Row],[Closing]]/Table50[[#This Row],[ClosingQty]],0)</f>
        <v>0</v>
      </c>
      <c r="Q230" s="15">
        <f>IFERROR(AVERAGEIF(Table50[[#This Row],[OPENING COST PRICE]:[CLOSING COST PRICE]],"&gt;0"),0)</f>
        <v>37.653729071537292</v>
      </c>
      <c r="R230" s="15">
        <f>IFERROR(Table50[[#This Row],[COST PRICE]]-IFERROR(Table50[[#This Row],[Usage]]/Table50[[#This Row],[UsageQty]],Table50[[#This Row],[COST PRICE]]),0)</f>
        <v>0</v>
      </c>
      <c r="S230" s="16">
        <f>IFERROR(Table50[[#This Row],[COST PRICE CHANGE]]/Table50[[#This Row],[OPENING COST PRICE]],0)</f>
        <v>0</v>
      </c>
      <c r="T230" s="15" t="e">
        <f>Table50[[#This Row],[ClosingQty]]-(Table50[[#This Row],[USAGE / DAY]]*(IF(Table50[[#This Row],[ccnt]]="BEV",Table50[[#This Row],[DELIVERY DAY]],Table50[[#This Row],[DELIVERY DAY]])))</f>
        <v>#VALUE!</v>
      </c>
      <c r="U230" s="15">
        <f>ROUNDUP(Table50[[#This Row],[UsageQty]]/Table50[[#This Row],[DATA POINT]],2)</f>
        <v>16.900000000000002</v>
      </c>
      <c r="V230" s="15" t="e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#VALUE!</v>
      </c>
      <c r="W230" s="15">
        <f>IFERROR(Table50[[#This Row],[ORDER QTY]]*Table50[[#This Row],[COST PRICE]],0)</f>
        <v>0</v>
      </c>
      <c r="X230" s="15">
        <f>IFERROR(VLOOKUP(C230,[1]!Table48[[#All],[name]:[USAGE / DAY]],18,FALSE),1)</f>
        <v>1</v>
      </c>
      <c r="Y230" s="4">
        <f>IFERROR((Table50[[#This Row],[USAGE / DAY]]-Table50[[#This Row],[USAGE / DAY 2]])/Table50[[#This Row],[USAGE / DAY 2]],0)</f>
        <v>15.900000000000002</v>
      </c>
      <c r="Z230" s="15">
        <f t="shared" si="9"/>
        <v>14</v>
      </c>
      <c r="AA230" s="15">
        <f t="shared" si="10"/>
        <v>9.311854181734148</v>
      </c>
      <c r="AB230" s="15" t="str">
        <f>IFERROR(IF(Table50[[#This Row],[ccnt]]="BEV",$AB$2,IF(Table50[[#This Row],[ccnt]]="FOOD",$AC$2,"ENTER # FROM LAST COUNT")),"ENTER # FROM LAST COUNT")</f>
        <v>ENTER # FROM LAST COUNT</v>
      </c>
      <c r="AC230" s="15">
        <f>(Table50[[#This Row],[OpeningQty]]+Table50[[#This Row],[ClosingQty]])/2</f>
        <v>0</v>
      </c>
      <c r="AD230" s="15">
        <f>IFERROR(Table50[[#This Row],[UsageQty]]/Table50[[#This Row],[AVE INVENTORY]],0)</f>
        <v>0</v>
      </c>
      <c r="AE230" s="15">
        <f>IFERROR(Table50[[#This Row],[DATA POINT]]/Table50[[#This Row],[Inventory Turnover Rate]],0)</f>
        <v>0</v>
      </c>
      <c r="AF230" s="15">
        <f>Table50[[#This Row],[ClosingQty]]/Table50[[#This Row],[USAGE / DAY]]</f>
        <v>0</v>
      </c>
      <c r="AG230" s="15">
        <f>Table50[[#This Row],[USAGE / DAY]]*7</f>
        <v>118.30000000000001</v>
      </c>
      <c r="AH230" s="15">
        <f>Table50[[#This Row],[USAGE / DAY]]*3</f>
        <v>50.7</v>
      </c>
      <c r="AI230" s="15">
        <f>IF(Table50[[#This Row],[FORECASTED DEMAND]]+Table50[[#This Row],[SAFETY STOCK]]-Table50[[#This Row],[ClosingQty]]&gt;0,Table50[[#This Row],[FORECASTED DEMAND]]+Table50[[#This Row],[SAFETY STOCK]]-Table50[[#This Row],[ClosingQty]],"NO ORDER")</f>
        <v>169</v>
      </c>
      <c r="AJ230" s="15">
        <f>IFERROR(Table50[[#This Row],[ORDER QTY2]]*Table50[[#This Row],[COST PRICE]],0)</f>
        <v>6363.4802130898024</v>
      </c>
      <c r="AK230" s="15" t="e">
        <f>(Table50[[#This Row],[REORDER POINT]]*Table50[[#This Row],[COST PRICE]])+Table50[[#This Row],[ORDER COST]]</f>
        <v>#VALUE!</v>
      </c>
      <c r="AL230" s="15">
        <f t="shared" si="11"/>
        <v>100</v>
      </c>
      <c r="AM230" s="15" t="e">
        <f>IFERROR((Table50[[#This Row],[REORDER POINT]]+Table50[[#This Row],[ORDER QTY]])/(Table50[[#This Row],[USAGE / DAY]]*Table50[[#This Row],[DEMAND %]]),Table50[[#This Row],[REORDER POINT]]/Table50[[#This Row],[USAGE / DAY]])</f>
        <v>#VALUE!</v>
      </c>
    </row>
    <row r="231" spans="1:39" x14ac:dyDescent="0.25">
      <c r="A231" t="s">
        <v>50</v>
      </c>
      <c r="B231" t="s">
        <v>74</v>
      </c>
      <c r="C231" t="s">
        <v>323</v>
      </c>
      <c r="D231" t="s">
        <v>53</v>
      </c>
      <c r="E231">
        <v>39</v>
      </c>
      <c r="F231">
        <v>416.13</v>
      </c>
      <c r="G231">
        <v>48</v>
      </c>
      <c r="H231">
        <v>512</v>
      </c>
      <c r="I231">
        <v>33</v>
      </c>
      <c r="J231">
        <v>352.11</v>
      </c>
      <c r="K231">
        <f>Table50[[#This Row],[OpeningQty]]+Table50[[#This Row],[PurchasesQty]]-Table50[[#This Row],[ClosingQty]]</f>
        <v>54</v>
      </c>
      <c r="L231">
        <v>576.02</v>
      </c>
      <c r="M231" s="14">
        <f>Table50[[#This Row],[Usage]]/$L$1</f>
        <v>8.7485882759622045E-4</v>
      </c>
      <c r="N231" s="15">
        <f>IFERROR(Table50[[#This Row],[Opening]]/Table50[[#This Row],[OpeningQty]],0)</f>
        <v>10.67</v>
      </c>
      <c r="O231" s="15">
        <f>IFERROR(Table50[[#This Row],[Purchases]]/Table50[[#This Row],[PurchasesQty]],0)</f>
        <v>10.666666666666666</v>
      </c>
      <c r="P231" s="15">
        <f>IFERROR(Table50[[#This Row],[Closing]]/Table50[[#This Row],[ClosingQty]],0)</f>
        <v>10.67</v>
      </c>
      <c r="Q231" s="15">
        <f>IFERROR(AVERAGEIF(Table50[[#This Row],[OPENING COST PRICE]:[CLOSING COST PRICE]],"&gt;0"),0)</f>
        <v>10.668888888888889</v>
      </c>
      <c r="R231" s="15">
        <f>IFERROR(Table50[[#This Row],[COST PRICE]]-IFERROR(Table50[[#This Row],[Usage]]/Table50[[#This Row],[UsageQty]],Table50[[#This Row],[COST PRICE]]),0)</f>
        <v>1.8518518518515492E-3</v>
      </c>
      <c r="S231" s="16">
        <f>IFERROR(Table50[[#This Row],[COST PRICE CHANGE]]/Table50[[#This Row],[OPENING COST PRICE]],0)</f>
        <v>1.7355687458777406E-4</v>
      </c>
      <c r="T231" s="15">
        <f>Table50[[#This Row],[ClosingQty]]-(Table50[[#This Row],[USAGE / DAY]]*(IF(Table50[[#This Row],[ccnt]]="BEV",Table50[[#This Row],[DELIVERY DAY]],Table50[[#This Row],[DELIVERY DAY]])))</f>
        <v>21.42</v>
      </c>
      <c r="U231" s="15">
        <f>ROUNDUP(Table50[[#This Row],[UsageQty]]/Table50[[#This Row],[DATA POINT]],2)</f>
        <v>3.86</v>
      </c>
      <c r="V23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15</v>
      </c>
      <c r="W231" s="15">
        <f>IFERROR(Table50[[#This Row],[ORDER QTY]]*Table50[[#This Row],[COST PRICE]],0)</f>
        <v>160.03333333333333</v>
      </c>
      <c r="X231" s="15">
        <f>IFERROR(VLOOKUP(C231,[1]!Table49[[#All],[name]:[USAGE / DAY]],19,FALSE),1)</f>
        <v>3.5399999999999996</v>
      </c>
      <c r="Y231" s="4">
        <f>IFERROR((Table50[[#This Row],[USAGE / DAY]]-Table50[[#This Row],[USAGE / DAY 2]])/Table50[[#This Row],[USAGE / DAY 2]],0)</f>
        <v>9.0395480225988797E-2</v>
      </c>
      <c r="Z231" s="15">
        <f t="shared" si="9"/>
        <v>14</v>
      </c>
      <c r="AA231" s="15">
        <f t="shared" si="10"/>
        <v>9.311854181734148</v>
      </c>
      <c r="AB231" s="15">
        <f>IFERROR(IF(Table50[[#This Row],[ccnt]]="BEV",$AB$2,IF(Table50[[#This Row],[ccnt]]="FOOD",$AC$2,"ENTER # FROM LAST COUNT")),"ENTER # FROM LAST COUNT")</f>
        <v>3</v>
      </c>
      <c r="AC231" s="15">
        <f>(Table50[[#This Row],[OpeningQty]]+Table50[[#This Row],[ClosingQty]])/2</f>
        <v>36</v>
      </c>
      <c r="AD231" s="15">
        <f>IFERROR(Table50[[#This Row],[UsageQty]]/Table50[[#This Row],[AVE INVENTORY]],0)</f>
        <v>1.5</v>
      </c>
      <c r="AE231" s="15">
        <f>IFERROR(Table50[[#This Row],[DATA POINT]]/Table50[[#This Row],[Inventory Turnover Rate]],0)</f>
        <v>9.3333333333333339</v>
      </c>
      <c r="AF231" s="15">
        <f>Table50[[#This Row],[ClosingQty]]/Table50[[#This Row],[USAGE / DAY]]</f>
        <v>8.5492227979274613</v>
      </c>
      <c r="AG231" s="15">
        <f>Table50[[#This Row],[USAGE / DAY]]*7</f>
        <v>27.02</v>
      </c>
      <c r="AH231" s="15">
        <f>Table50[[#This Row],[USAGE / DAY]]*3</f>
        <v>11.58</v>
      </c>
      <c r="AI231" s="15">
        <f>IF(Table50[[#This Row],[FORECASTED DEMAND]]+Table50[[#This Row],[SAFETY STOCK]]-Table50[[#This Row],[ClosingQty]]&gt;0,Table50[[#This Row],[FORECASTED DEMAND]]+Table50[[#This Row],[SAFETY STOCK]]-Table50[[#This Row],[ClosingQty]],"NO ORDER")</f>
        <v>5.6000000000000014</v>
      </c>
      <c r="AJ231" s="15">
        <f>IFERROR(Table50[[#This Row],[ORDER QTY2]]*Table50[[#This Row],[COST PRICE]],0)</f>
        <v>59.745777777777789</v>
      </c>
      <c r="AK231" s="15">
        <f>(Table50[[#This Row],[REORDER POINT]]*Table50[[#This Row],[COST PRICE]])+Table50[[#This Row],[ORDER COST]]</f>
        <v>388.56093333333331</v>
      </c>
      <c r="AL231" s="15">
        <f t="shared" si="11"/>
        <v>100</v>
      </c>
      <c r="AM231" s="15">
        <f>IFERROR((Table50[[#This Row],[REORDER POINT]]+Table50[[#This Row],[ORDER QTY]])/(Table50[[#This Row],[USAGE / DAY]]*Table50[[#This Row],[DEMAND %]]),Table50[[#This Row],[REORDER POINT]]/Table50[[#This Row],[USAGE / DAY]])</f>
        <v>9.4352331606217615E-2</v>
      </c>
    </row>
    <row r="232" spans="1:39" x14ac:dyDescent="0.25">
      <c r="A232" t="s">
        <v>324</v>
      </c>
      <c r="B232" t="s">
        <v>325</v>
      </c>
      <c r="C232" t="s">
        <v>326</v>
      </c>
      <c r="D232" t="s">
        <v>126</v>
      </c>
      <c r="E232">
        <v>160.44</v>
      </c>
      <c r="F232">
        <v>11785.92</v>
      </c>
      <c r="G232">
        <v>525.6</v>
      </c>
      <c r="H232">
        <v>38610</v>
      </c>
      <c r="I232">
        <v>255</v>
      </c>
      <c r="J232">
        <v>18732.3</v>
      </c>
      <c r="K232">
        <f>Table50[[#This Row],[OpeningQty]]+Table50[[#This Row],[PurchasesQty]]-Table50[[#This Row],[ClosingQty]]</f>
        <v>431.03999999999996</v>
      </c>
      <c r="L232">
        <v>31663.62</v>
      </c>
      <c r="M232" s="14">
        <f>Table50[[#This Row],[Usage]]/$L$1</f>
        <v>4.8090686904364841E-2</v>
      </c>
      <c r="N232" s="15">
        <f>IFERROR(Table50[[#This Row],[Opening]]/Table50[[#This Row],[OpeningQty]],0)</f>
        <v>73.459985041136875</v>
      </c>
      <c r="O232" s="15">
        <f>IFERROR(Table50[[#This Row],[Purchases]]/Table50[[#This Row],[PurchasesQty]],0)</f>
        <v>73.458904109589042</v>
      </c>
      <c r="P232" s="15">
        <f>IFERROR(Table50[[#This Row],[Closing]]/Table50[[#This Row],[ClosingQty]],0)</f>
        <v>73.459999999999994</v>
      </c>
      <c r="Q232" s="15">
        <f>IFERROR(AVERAGEIF(Table50[[#This Row],[OPENING COST PRICE]:[CLOSING COST PRICE]],"&gt;0"),0)</f>
        <v>73.459629716908637</v>
      </c>
      <c r="R232" s="15">
        <f>IFERROR(Table50[[#This Row],[COST PRICE]]-IFERROR(Table50[[#This Row],[Usage]]/Table50[[#This Row],[UsageQty]],Table50[[#This Row],[COST PRICE]]),0)</f>
        <v>9.7158773269256926E-4</v>
      </c>
      <c r="S232" s="16">
        <f>IFERROR(Table50[[#This Row],[COST PRICE CHANGE]]/Table50[[#This Row],[OPENING COST PRICE]],0)</f>
        <v>1.3226081276064644E-5</v>
      </c>
      <c r="T232" s="15">
        <f>Table50[[#This Row],[ClosingQty]]-(Table50[[#This Row],[USAGE / DAY]]*(IF(Table50[[#This Row],[ccnt]]="BEV",Table50[[#This Row],[DELIVERY DAY]],Table50[[#This Row],[DELIVERY DAY]])))</f>
        <v>101.04999999999998</v>
      </c>
      <c r="U232" s="15">
        <f>ROUNDUP(Table50[[#This Row],[UsageQty]]/Table50[[#This Row],[DATA POINT]],2)</f>
        <v>30.790000000000003</v>
      </c>
      <c r="V23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186</v>
      </c>
      <c r="W232" s="15">
        <f>IFERROR(Table50[[#This Row],[ORDER QTY]]*Table50[[#This Row],[COST PRICE]],0)</f>
        <v>13663.491127345007</v>
      </c>
      <c r="X232" s="15">
        <f>IFERROR(VLOOKUP(C232,[1]!Table49[[#All],[name]:[USAGE / DAY]],19,FALSE),1)</f>
        <v>33.239999999999995</v>
      </c>
      <c r="Y232" s="4">
        <f>IFERROR((Table50[[#This Row],[USAGE / DAY]]-Table50[[#This Row],[USAGE / DAY 2]])/Table50[[#This Row],[USAGE / DAY 2]],0)</f>
        <v>-7.3706377858002187E-2</v>
      </c>
      <c r="Z232" s="15">
        <f t="shared" si="9"/>
        <v>14</v>
      </c>
      <c r="AA232" s="15">
        <f t="shared" si="10"/>
        <v>9.311854181734148</v>
      </c>
      <c r="AB232" s="15">
        <f>IFERROR(IF(Table50[[#This Row],[ccnt]]="BEV",$AB$2,IF(Table50[[#This Row],[ccnt]]="FOOD",$AC$2,"ENTER # FROM LAST COUNT")),"ENTER # FROM LAST COUNT")</f>
        <v>5</v>
      </c>
      <c r="AC232" s="15">
        <f>(Table50[[#This Row],[OpeningQty]]+Table50[[#This Row],[ClosingQty]])/2</f>
        <v>207.72</v>
      </c>
      <c r="AD232" s="15">
        <f>IFERROR(Table50[[#This Row],[UsageQty]]/Table50[[#This Row],[AVE INVENTORY]],0)</f>
        <v>2.0751010976314266</v>
      </c>
      <c r="AE232" s="15">
        <f>IFERROR(Table50[[#This Row],[DATA POINT]]/Table50[[#This Row],[Inventory Turnover Rate]],0)</f>
        <v>6.7466592427616936</v>
      </c>
      <c r="AF232" s="15">
        <f>Table50[[#This Row],[ClosingQty]]/Table50[[#This Row],[USAGE / DAY]]</f>
        <v>8.2819097109451114</v>
      </c>
      <c r="AG232" s="15">
        <f>Table50[[#This Row],[USAGE / DAY]]*7</f>
        <v>215.53000000000003</v>
      </c>
      <c r="AH232" s="15">
        <f>Table50[[#This Row],[USAGE / DAY]]*3</f>
        <v>92.37</v>
      </c>
      <c r="AI232" s="15">
        <f>IF(Table50[[#This Row],[FORECASTED DEMAND]]+Table50[[#This Row],[SAFETY STOCK]]-Table50[[#This Row],[ClosingQty]]&gt;0,Table50[[#This Row],[FORECASTED DEMAND]]+Table50[[#This Row],[SAFETY STOCK]]-Table50[[#This Row],[ClosingQty]],"NO ORDER")</f>
        <v>52.900000000000034</v>
      </c>
      <c r="AJ232" s="15">
        <f>IFERROR(Table50[[#This Row],[ORDER QTY2]]*Table50[[#This Row],[COST PRICE]],0)</f>
        <v>3886.0144120244695</v>
      </c>
      <c r="AK232" s="15">
        <f>(Table50[[#This Row],[REORDER POINT]]*Table50[[#This Row],[COST PRICE]])+Table50[[#This Row],[ORDER COST]]</f>
        <v>21086.586710238626</v>
      </c>
      <c r="AL232" s="15">
        <f t="shared" si="11"/>
        <v>100</v>
      </c>
      <c r="AM232" s="15">
        <f>IFERROR((Table50[[#This Row],[REORDER POINT]]+Table50[[#This Row],[ORDER QTY]])/(Table50[[#This Row],[USAGE / DAY]]*Table50[[#This Row],[DEMAND %]]),Table50[[#This Row],[REORDER POINT]]/Table50[[#This Row],[USAGE / DAY]])</f>
        <v>9.3228320883403673E-2</v>
      </c>
    </row>
    <row r="233" spans="1:39" x14ac:dyDescent="0.25">
      <c r="A233" t="s">
        <v>324</v>
      </c>
      <c r="B233" t="s">
        <v>325</v>
      </c>
      <c r="C233" t="s">
        <v>327</v>
      </c>
      <c r="D233" t="s">
        <v>53</v>
      </c>
      <c r="E233">
        <v>42</v>
      </c>
      <c r="F233">
        <v>286.86</v>
      </c>
      <c r="G233">
        <v>0</v>
      </c>
      <c r="H233">
        <v>0</v>
      </c>
      <c r="I233">
        <v>181.82</v>
      </c>
      <c r="J233">
        <v>1129.0999999999999</v>
      </c>
      <c r="K233">
        <f>Table50[[#This Row],[OpeningQty]]+Table50[[#This Row],[PurchasesQty]]-Table50[[#This Row],[ClosingQty]]</f>
        <v>-139.82</v>
      </c>
      <c r="L233">
        <v>-842.24</v>
      </c>
      <c r="M233" s="14">
        <f>Table50[[#This Row],[Usage]]/$L$1</f>
        <v>-1.2791936025739396E-3</v>
      </c>
      <c r="N233" s="15">
        <f>IFERROR(Table50[[#This Row],[Opening]]/Table50[[#This Row],[OpeningQty]],0)</f>
        <v>6.83</v>
      </c>
      <c r="O233" s="15">
        <f>IFERROR(Table50[[#This Row],[Purchases]]/Table50[[#This Row],[PurchasesQty]],0)</f>
        <v>0</v>
      </c>
      <c r="P233" s="15">
        <f>IFERROR(Table50[[#This Row],[Closing]]/Table50[[#This Row],[ClosingQty]],0)</f>
        <v>6.2099879001209981</v>
      </c>
      <c r="Q233" s="15">
        <f>IFERROR(AVERAGEIF(Table50[[#This Row],[OPENING COST PRICE]:[CLOSING COST PRICE]],"&gt;0"),0)</f>
        <v>6.5199939500604991</v>
      </c>
      <c r="R233" s="15">
        <f>IFERROR(Table50[[#This Row],[COST PRICE]]-IFERROR(Table50[[#This Row],[Usage]]/Table50[[#This Row],[UsageQty]],Table50[[#This Row],[COST PRICE]]),0)</f>
        <v>0.49624913529866177</v>
      </c>
      <c r="S233" s="16">
        <f>IFERROR(Table50[[#This Row],[COST PRICE CHANGE]]/Table50[[#This Row],[OPENING COST PRICE]],0)</f>
        <v>7.2657267247241836E-2</v>
      </c>
      <c r="T233" s="15">
        <f>Table50[[#This Row],[ClosingQty]]-(Table50[[#This Row],[USAGE / DAY]]*(IF(Table50[[#This Row],[ccnt]]="BEV",Table50[[#This Row],[DELIVERY DAY]],Table50[[#This Row],[DELIVERY DAY]])))</f>
        <v>231.76999999999998</v>
      </c>
      <c r="U233" s="15">
        <f>ROUNDUP(Table50[[#This Row],[UsageQty]]/Table50[[#This Row],[DATA POINT]],2)</f>
        <v>-9.99</v>
      </c>
      <c r="V23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33" s="15">
        <f>IFERROR(Table50[[#This Row],[ORDER QTY]]*Table50[[#This Row],[COST PRICE]],0)</f>
        <v>0</v>
      </c>
      <c r="X233" s="15">
        <f>IFERROR(VLOOKUP(C233,[1]!Table49[[#All],[name]:[USAGE / DAY]],19,FALSE),1)</f>
        <v>-3.67</v>
      </c>
      <c r="Y233" s="4">
        <f>IFERROR((Table50[[#This Row],[USAGE / DAY]]-Table50[[#This Row],[USAGE / DAY 2]])/Table50[[#This Row],[USAGE / DAY 2]],0)</f>
        <v>1.7220708446866486</v>
      </c>
      <c r="Z233" s="15">
        <f t="shared" si="9"/>
        <v>14</v>
      </c>
      <c r="AA233" s="15">
        <f t="shared" si="10"/>
        <v>9.311854181734148</v>
      </c>
      <c r="AB233" s="15">
        <f>IFERROR(IF(Table50[[#This Row],[ccnt]]="BEV",$AB$2,IF(Table50[[#This Row],[ccnt]]="FOOD",$AC$2,"ENTER # FROM LAST COUNT")),"ENTER # FROM LAST COUNT")</f>
        <v>5</v>
      </c>
      <c r="AC233" s="15">
        <f>(Table50[[#This Row],[OpeningQty]]+Table50[[#This Row],[ClosingQty]])/2</f>
        <v>111.91</v>
      </c>
      <c r="AD233" s="15">
        <f>IFERROR(Table50[[#This Row],[UsageQty]]/Table50[[#This Row],[AVE INVENTORY]],0)</f>
        <v>-1.249396836743812</v>
      </c>
      <c r="AE233" s="15">
        <f>IFERROR(Table50[[#This Row],[DATA POINT]]/Table50[[#This Row],[Inventory Turnover Rate]],0)</f>
        <v>-11.205406951795165</v>
      </c>
      <c r="AF233" s="15">
        <f>Table50[[#This Row],[ClosingQty]]/Table50[[#This Row],[USAGE / DAY]]</f>
        <v>-18.2002002002002</v>
      </c>
      <c r="AG233" s="15">
        <f>Table50[[#This Row],[USAGE / DAY]]*7</f>
        <v>-69.930000000000007</v>
      </c>
      <c r="AH233" s="15">
        <f>Table50[[#This Row],[USAGE / DAY]]*3</f>
        <v>-29.97</v>
      </c>
      <c r="AI23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33" s="15">
        <f>IFERROR(Table50[[#This Row],[ORDER QTY2]]*Table50[[#This Row],[COST PRICE]],0)</f>
        <v>0</v>
      </c>
      <c r="AK233" s="15">
        <f>(Table50[[#This Row],[REORDER POINT]]*Table50[[#This Row],[COST PRICE]])+Table50[[#This Row],[ORDER COST]]</f>
        <v>1511.1389978055217</v>
      </c>
      <c r="AL233" s="15">
        <f t="shared" si="11"/>
        <v>100</v>
      </c>
      <c r="AM233" s="15">
        <f>IFERROR((Table50[[#This Row],[REORDER POINT]]+Table50[[#This Row],[ORDER QTY]])/(Table50[[#This Row],[USAGE / DAY]]*Table50[[#This Row],[DEMAND %]]),Table50[[#This Row],[REORDER POINT]]/Table50[[#This Row],[USAGE / DAY]])</f>
        <v>-23.200200200200197</v>
      </c>
    </row>
    <row r="234" spans="1:39" x14ac:dyDescent="0.25">
      <c r="A234" t="s">
        <v>324</v>
      </c>
      <c r="B234" t="s">
        <v>325</v>
      </c>
      <c r="C234" t="s">
        <v>328</v>
      </c>
      <c r="D234" t="s">
        <v>53</v>
      </c>
      <c r="E234">
        <v>85</v>
      </c>
      <c r="F234">
        <v>1014.05</v>
      </c>
      <c r="G234">
        <v>550</v>
      </c>
      <c r="H234">
        <v>6564.22</v>
      </c>
      <c r="I234">
        <v>136</v>
      </c>
      <c r="J234">
        <v>1622.48</v>
      </c>
      <c r="K234">
        <f>Table50[[#This Row],[OpeningQty]]+Table50[[#This Row],[PurchasesQty]]-Table50[[#This Row],[ClosingQty]]</f>
        <v>499</v>
      </c>
      <c r="L234">
        <v>5955.79</v>
      </c>
      <c r="M234" s="14">
        <f>Table50[[#This Row],[Usage]]/$L$1</f>
        <v>9.0456502496602444E-3</v>
      </c>
      <c r="N234" s="15">
        <f>IFERROR(Table50[[#This Row],[Opening]]/Table50[[#This Row],[OpeningQty]],0)</f>
        <v>11.93</v>
      </c>
      <c r="O234" s="15">
        <f>IFERROR(Table50[[#This Row],[Purchases]]/Table50[[#This Row],[PurchasesQty]],0)</f>
        <v>11.934945454545455</v>
      </c>
      <c r="P234" s="15">
        <f>IFERROR(Table50[[#This Row],[Closing]]/Table50[[#This Row],[ClosingQty]],0)</f>
        <v>11.93</v>
      </c>
      <c r="Q234" s="15">
        <f>IFERROR(AVERAGEIF(Table50[[#This Row],[OPENING COST PRICE]:[CLOSING COST PRICE]],"&gt;0"),0)</f>
        <v>11.931648484848486</v>
      </c>
      <c r="R234" s="15">
        <f>IFERROR(Table50[[#This Row],[COST PRICE]]-IFERROR(Table50[[#This Row],[Usage]]/Table50[[#This Row],[UsageQty]],Table50[[#This Row],[COST PRICE]]),0)</f>
        <v>-3.8024169551214015E-3</v>
      </c>
      <c r="S234" s="16">
        <f>IFERROR(Table50[[#This Row],[COST PRICE CHANGE]]/Table50[[#This Row],[OPENING COST PRICE]],0)</f>
        <v>-3.1872732230690712E-4</v>
      </c>
      <c r="T234" s="15">
        <f>Table50[[#This Row],[ClosingQty]]-(Table50[[#This Row],[USAGE / DAY]]*(IF(Table50[[#This Row],[ccnt]]="BEV",Table50[[#This Row],[DELIVERY DAY]],Table50[[#This Row],[DELIVERY DAY]])))</f>
        <v>-42.25</v>
      </c>
      <c r="U234" s="15">
        <f>ROUNDUP(Table50[[#This Row],[UsageQty]]/Table50[[#This Row],[DATA POINT]],2)</f>
        <v>35.65</v>
      </c>
      <c r="V23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375</v>
      </c>
      <c r="W234" s="15">
        <f>IFERROR(Table50[[#This Row],[ORDER QTY]]*Table50[[#This Row],[COST PRICE]],0)</f>
        <v>4474.3681818181822</v>
      </c>
      <c r="X234" s="15">
        <f>IFERROR(VLOOKUP(C234,[1]!Table49[[#All],[name]:[USAGE / DAY]],19,FALSE),1)</f>
        <v>29.8</v>
      </c>
      <c r="Y234" s="4">
        <f>IFERROR((Table50[[#This Row],[USAGE / DAY]]-Table50[[#This Row],[USAGE / DAY 2]])/Table50[[#This Row],[USAGE / DAY 2]],0)</f>
        <v>0.19630872483221468</v>
      </c>
      <c r="Z234" s="15">
        <f t="shared" si="9"/>
        <v>14</v>
      </c>
      <c r="AA234" s="15">
        <f t="shared" si="10"/>
        <v>9.311854181734148</v>
      </c>
      <c r="AB234" s="15">
        <f>IFERROR(IF(Table50[[#This Row],[ccnt]]="BEV",$AB$2,IF(Table50[[#This Row],[ccnt]]="FOOD",$AC$2,"ENTER # FROM LAST COUNT")),"ENTER # FROM LAST COUNT")</f>
        <v>5</v>
      </c>
      <c r="AC234" s="15">
        <f>(Table50[[#This Row],[OpeningQty]]+Table50[[#This Row],[ClosingQty]])/2</f>
        <v>110.5</v>
      </c>
      <c r="AD234" s="15">
        <f>IFERROR(Table50[[#This Row],[UsageQty]]/Table50[[#This Row],[AVE INVENTORY]],0)</f>
        <v>4.5158371040723981</v>
      </c>
      <c r="AE234" s="15">
        <f>IFERROR(Table50[[#This Row],[DATA POINT]]/Table50[[#This Row],[Inventory Turnover Rate]],0)</f>
        <v>3.1002004008016031</v>
      </c>
      <c r="AF234" s="15">
        <f>Table50[[#This Row],[ClosingQty]]/Table50[[#This Row],[USAGE / DAY]]</f>
        <v>3.8148667601683033</v>
      </c>
      <c r="AG234" s="15">
        <f>Table50[[#This Row],[USAGE / DAY]]*7</f>
        <v>249.54999999999998</v>
      </c>
      <c r="AH234" s="15">
        <f>Table50[[#This Row],[USAGE / DAY]]*3</f>
        <v>106.94999999999999</v>
      </c>
      <c r="AI234" s="15">
        <f>IF(Table50[[#This Row],[FORECASTED DEMAND]]+Table50[[#This Row],[SAFETY STOCK]]-Table50[[#This Row],[ClosingQty]]&gt;0,Table50[[#This Row],[FORECASTED DEMAND]]+Table50[[#This Row],[SAFETY STOCK]]-Table50[[#This Row],[ClosingQty]],"NO ORDER")</f>
        <v>220.5</v>
      </c>
      <c r="AJ234" s="15">
        <f>IFERROR(Table50[[#This Row],[ORDER QTY2]]*Table50[[#This Row],[COST PRICE]],0)</f>
        <v>2630.9284909090911</v>
      </c>
      <c r="AK234" s="15">
        <f>(Table50[[#This Row],[REORDER POINT]]*Table50[[#This Row],[COST PRICE]])+Table50[[#This Row],[ORDER COST]]</f>
        <v>3970.2560333333336</v>
      </c>
      <c r="AL234" s="15">
        <f t="shared" si="11"/>
        <v>100</v>
      </c>
      <c r="AM234" s="15">
        <f>IFERROR((Table50[[#This Row],[REORDER POINT]]+Table50[[#This Row],[ORDER QTY]])/(Table50[[#This Row],[USAGE / DAY]]*Table50[[#This Row],[DEMAND %]]),Table50[[#This Row],[REORDER POINT]]/Table50[[#This Row],[USAGE / DAY]])</f>
        <v>9.3338008415147264E-2</v>
      </c>
    </row>
    <row r="235" spans="1:39" x14ac:dyDescent="0.25">
      <c r="A235" t="s">
        <v>324</v>
      </c>
      <c r="B235" t="s">
        <v>325</v>
      </c>
      <c r="C235" t="s">
        <v>329</v>
      </c>
      <c r="D235" t="s">
        <v>53</v>
      </c>
      <c r="E235">
        <v>151</v>
      </c>
      <c r="F235">
        <v>2053.6</v>
      </c>
      <c r="G235">
        <v>0</v>
      </c>
      <c r="H235">
        <v>0</v>
      </c>
      <c r="I235">
        <v>247</v>
      </c>
      <c r="J235">
        <v>3448.12</v>
      </c>
      <c r="K235">
        <f>Table50[[#This Row],[OpeningQty]]+Table50[[#This Row],[PurchasesQty]]-Table50[[#This Row],[ClosingQty]]</f>
        <v>-96</v>
      </c>
      <c r="L235">
        <v>-1394.52</v>
      </c>
      <c r="M235" s="14">
        <f>Table50[[#This Row],[Usage]]/$L$1</f>
        <v>-2.1179961325292198E-3</v>
      </c>
      <c r="N235" s="15">
        <f>IFERROR(Table50[[#This Row],[Opening]]/Table50[[#This Row],[OpeningQty]],0)</f>
        <v>13.6</v>
      </c>
      <c r="O235" s="15">
        <f>IFERROR(Table50[[#This Row],[Purchases]]/Table50[[#This Row],[PurchasesQty]],0)</f>
        <v>0</v>
      </c>
      <c r="P235" s="15">
        <f>IFERROR(Table50[[#This Row],[Closing]]/Table50[[#This Row],[ClosingQty]],0)</f>
        <v>13.959999999999999</v>
      </c>
      <c r="Q235" s="15">
        <f>IFERROR(AVERAGEIF(Table50[[#This Row],[OPENING COST PRICE]:[CLOSING COST PRICE]],"&gt;0"),0)</f>
        <v>13.78</v>
      </c>
      <c r="R235" s="15">
        <f>IFERROR(Table50[[#This Row],[COST PRICE]]-IFERROR(Table50[[#This Row],[Usage]]/Table50[[#This Row],[UsageQty]],Table50[[#This Row],[COST PRICE]]),0)</f>
        <v>-0.74624999999999986</v>
      </c>
      <c r="S235" s="16">
        <f>IFERROR(Table50[[#This Row],[COST PRICE CHANGE]]/Table50[[#This Row],[OPENING COST PRICE]],0)</f>
        <v>-5.4871323529411757E-2</v>
      </c>
      <c r="T235" s="15">
        <f>Table50[[#This Row],[ClosingQty]]-(Table50[[#This Row],[USAGE / DAY]]*(IF(Table50[[#This Row],[ccnt]]="BEV",Table50[[#This Row],[DELIVERY DAY]],Table50[[#This Row],[DELIVERY DAY]])))</f>
        <v>281.3</v>
      </c>
      <c r="U235" s="15">
        <f>ROUNDUP(Table50[[#This Row],[UsageQty]]/Table50[[#This Row],[DATA POINT]],2)</f>
        <v>-6.8599999999999994</v>
      </c>
      <c r="V23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35" s="15">
        <f>IFERROR(Table50[[#This Row],[ORDER QTY]]*Table50[[#This Row],[COST PRICE]],0)</f>
        <v>0</v>
      </c>
      <c r="X235" s="15">
        <f>IFERROR(VLOOKUP(C235,[1]!Table49[[#All],[name]:[USAGE / DAY]],19,FALSE),1)</f>
        <v>-6.2</v>
      </c>
      <c r="Y235" s="4">
        <f>IFERROR((Table50[[#This Row],[USAGE / DAY]]-Table50[[#This Row],[USAGE / DAY 2]])/Table50[[#This Row],[USAGE / DAY 2]],0)</f>
        <v>0.10645161290322569</v>
      </c>
      <c r="Z235" s="15">
        <f t="shared" si="9"/>
        <v>14</v>
      </c>
      <c r="AA235" s="15">
        <f t="shared" si="10"/>
        <v>9.311854181734148</v>
      </c>
      <c r="AB235" s="15">
        <f>IFERROR(IF(Table50[[#This Row],[ccnt]]="BEV",$AB$2,IF(Table50[[#This Row],[ccnt]]="FOOD",$AC$2,"ENTER # FROM LAST COUNT")),"ENTER # FROM LAST COUNT")</f>
        <v>5</v>
      </c>
      <c r="AC235" s="15">
        <f>(Table50[[#This Row],[OpeningQty]]+Table50[[#This Row],[ClosingQty]])/2</f>
        <v>199</v>
      </c>
      <c r="AD235" s="15">
        <f>IFERROR(Table50[[#This Row],[UsageQty]]/Table50[[#This Row],[AVE INVENTORY]],0)</f>
        <v>-0.48241206030150752</v>
      </c>
      <c r="AE235" s="15">
        <f>IFERROR(Table50[[#This Row],[DATA POINT]]/Table50[[#This Row],[Inventory Turnover Rate]],0)</f>
        <v>-29.020833333333336</v>
      </c>
      <c r="AF235" s="15">
        <f>Table50[[#This Row],[ClosingQty]]/Table50[[#This Row],[USAGE / DAY]]</f>
        <v>-36.005830903790091</v>
      </c>
      <c r="AG235" s="15">
        <f>Table50[[#This Row],[USAGE / DAY]]*7</f>
        <v>-48.019999999999996</v>
      </c>
      <c r="AH235" s="15">
        <f>Table50[[#This Row],[USAGE / DAY]]*3</f>
        <v>-20.58</v>
      </c>
      <c r="AI23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35" s="15">
        <f>IFERROR(Table50[[#This Row],[ORDER QTY2]]*Table50[[#This Row],[COST PRICE]],0)</f>
        <v>0</v>
      </c>
      <c r="AK235" s="15">
        <f>(Table50[[#This Row],[REORDER POINT]]*Table50[[#This Row],[COST PRICE]])+Table50[[#This Row],[ORDER COST]]</f>
        <v>3876.3139999999999</v>
      </c>
      <c r="AL235" s="15">
        <f t="shared" si="11"/>
        <v>100</v>
      </c>
      <c r="AM235" s="15">
        <f>IFERROR((Table50[[#This Row],[REORDER POINT]]+Table50[[#This Row],[ORDER QTY]])/(Table50[[#This Row],[USAGE / DAY]]*Table50[[#This Row],[DEMAND %]]),Table50[[#This Row],[REORDER POINT]]/Table50[[#This Row],[USAGE / DAY]])</f>
        <v>-41.005830903790091</v>
      </c>
    </row>
    <row r="236" spans="1:39" x14ac:dyDescent="0.25">
      <c r="A236" t="s">
        <v>324</v>
      </c>
      <c r="B236" t="s">
        <v>330</v>
      </c>
      <c r="C236" t="s">
        <v>331</v>
      </c>
      <c r="D236" t="s">
        <v>126</v>
      </c>
      <c r="E236">
        <v>0.47</v>
      </c>
      <c r="F236">
        <v>103.4</v>
      </c>
      <c r="G236">
        <v>2</v>
      </c>
      <c r="H236">
        <v>440</v>
      </c>
      <c r="I236">
        <v>1.35</v>
      </c>
      <c r="J236">
        <v>297</v>
      </c>
      <c r="K236">
        <f>Table50[[#This Row],[OpeningQty]]+Table50[[#This Row],[PurchasesQty]]-Table50[[#This Row],[ClosingQty]]</f>
        <v>1.1199999999999997</v>
      </c>
      <c r="L236">
        <v>246.4</v>
      </c>
      <c r="M236" s="14">
        <f>Table50[[#This Row],[Usage]]/$L$1</f>
        <v>3.7423217096578022E-4</v>
      </c>
      <c r="N236" s="15">
        <f>IFERROR(Table50[[#This Row],[Opening]]/Table50[[#This Row],[OpeningQty]],0)</f>
        <v>220.00000000000003</v>
      </c>
      <c r="O236" s="15">
        <f>IFERROR(Table50[[#This Row],[Purchases]]/Table50[[#This Row],[PurchasesQty]],0)</f>
        <v>220</v>
      </c>
      <c r="P236" s="15">
        <f>IFERROR(Table50[[#This Row],[Closing]]/Table50[[#This Row],[ClosingQty]],0)</f>
        <v>219.99999999999997</v>
      </c>
      <c r="Q236" s="15">
        <f>IFERROR(AVERAGEIF(Table50[[#This Row],[OPENING COST PRICE]:[CLOSING COST PRICE]],"&gt;0"),0)</f>
        <v>220</v>
      </c>
      <c r="R236" s="15">
        <f>IFERROR(Table50[[#This Row],[COST PRICE]]-IFERROR(Table50[[#This Row],[Usage]]/Table50[[#This Row],[UsageQty]],Table50[[#This Row],[COST PRICE]]),0)</f>
        <v>-8.5265128291212022E-14</v>
      </c>
      <c r="S236" s="16">
        <f>IFERROR(Table50[[#This Row],[COST PRICE CHANGE]]/Table50[[#This Row],[OPENING COST PRICE]],0)</f>
        <v>-3.8756876496005458E-16</v>
      </c>
      <c r="T236" s="15">
        <f>Table50[[#This Row],[ClosingQty]]-(Table50[[#This Row],[USAGE / DAY]]*(IF(Table50[[#This Row],[ccnt]]="BEV",Table50[[#This Row],[DELIVERY DAY]],Table50[[#This Row],[DELIVERY DAY]])))</f>
        <v>0.95000000000000007</v>
      </c>
      <c r="U236" s="15">
        <f>ROUNDUP(Table50[[#This Row],[UsageQty]]/Table50[[#This Row],[DATA POINT]],2)</f>
        <v>0.08</v>
      </c>
      <c r="V23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36" s="15">
        <f>IFERROR(Table50[[#This Row],[ORDER QTY]]*Table50[[#This Row],[COST PRICE]],0)</f>
        <v>0</v>
      </c>
      <c r="X236" s="15">
        <f>IFERROR(VLOOKUP(C236,[1]!Table49[[#All],[name]:[USAGE / DAY]],19,FALSE),1)</f>
        <v>9.9999999999999992E-2</v>
      </c>
      <c r="Y236" s="4">
        <f>IFERROR((Table50[[#This Row],[USAGE / DAY]]-Table50[[#This Row],[USAGE / DAY 2]])/Table50[[#This Row],[USAGE / DAY 2]],0)</f>
        <v>-0.19999999999999993</v>
      </c>
      <c r="Z236" s="15">
        <f t="shared" si="9"/>
        <v>14</v>
      </c>
      <c r="AA236" s="15">
        <f t="shared" si="10"/>
        <v>9.311854181734148</v>
      </c>
      <c r="AB236" s="15">
        <f>IFERROR(IF(Table50[[#This Row],[ccnt]]="BEV",$AB$2,IF(Table50[[#This Row],[ccnt]]="FOOD",$AC$2,"ENTER # FROM LAST COUNT")),"ENTER # FROM LAST COUNT")</f>
        <v>5</v>
      </c>
      <c r="AC236" s="15">
        <f>(Table50[[#This Row],[OpeningQty]]+Table50[[#This Row],[ClosingQty]])/2</f>
        <v>0.91</v>
      </c>
      <c r="AD236" s="15">
        <f>IFERROR(Table50[[#This Row],[UsageQty]]/Table50[[#This Row],[AVE INVENTORY]],0)</f>
        <v>1.2307692307692304</v>
      </c>
      <c r="AE236" s="15">
        <f>IFERROR(Table50[[#This Row],[DATA POINT]]/Table50[[#This Row],[Inventory Turnover Rate]],0)</f>
        <v>11.375000000000004</v>
      </c>
      <c r="AF236" s="15">
        <f>Table50[[#This Row],[ClosingQty]]/Table50[[#This Row],[USAGE / DAY]]</f>
        <v>16.875</v>
      </c>
      <c r="AG236" s="15">
        <f>Table50[[#This Row],[USAGE / DAY]]*7</f>
        <v>0.56000000000000005</v>
      </c>
      <c r="AH236" s="15">
        <f>Table50[[#This Row],[USAGE / DAY]]*3</f>
        <v>0.24</v>
      </c>
      <c r="AI23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36" s="15">
        <f>IFERROR(Table50[[#This Row],[ORDER QTY2]]*Table50[[#This Row],[COST PRICE]],0)</f>
        <v>0</v>
      </c>
      <c r="AK236" s="15">
        <f>(Table50[[#This Row],[REORDER POINT]]*Table50[[#This Row],[COST PRICE]])+Table50[[#This Row],[ORDER COST]]</f>
        <v>209.00000000000003</v>
      </c>
      <c r="AL236" s="15">
        <f t="shared" si="11"/>
        <v>100</v>
      </c>
      <c r="AM236" s="15">
        <f>IFERROR((Table50[[#This Row],[REORDER POINT]]+Table50[[#This Row],[ORDER QTY]])/(Table50[[#This Row],[USAGE / DAY]]*Table50[[#This Row],[DEMAND %]]),Table50[[#This Row],[REORDER POINT]]/Table50[[#This Row],[USAGE / DAY]])</f>
        <v>11.875</v>
      </c>
    </row>
    <row r="237" spans="1:39" x14ac:dyDescent="0.25">
      <c r="A237" t="s">
        <v>324</v>
      </c>
      <c r="B237" t="s">
        <v>330</v>
      </c>
      <c r="C237" t="s">
        <v>332</v>
      </c>
      <c r="D237" t="s">
        <v>53</v>
      </c>
      <c r="E237">
        <v>1150</v>
      </c>
      <c r="F237">
        <v>287.5</v>
      </c>
      <c r="G237">
        <v>0</v>
      </c>
      <c r="H237">
        <v>0</v>
      </c>
      <c r="I237">
        <v>1095</v>
      </c>
      <c r="J237">
        <v>273.75</v>
      </c>
      <c r="K237">
        <f>Table50[[#This Row],[OpeningQty]]+Table50[[#This Row],[PurchasesQty]]-Table50[[#This Row],[ClosingQty]]</f>
        <v>55</v>
      </c>
      <c r="L237">
        <v>13.75</v>
      </c>
      <c r="M237" s="14">
        <f>Table50[[#This Row],[Usage]]/$L$1</f>
        <v>2.088349168335827E-5</v>
      </c>
      <c r="N237" s="15">
        <f>IFERROR(Table50[[#This Row],[Opening]]/Table50[[#This Row],[OpeningQty]],0)</f>
        <v>0.25</v>
      </c>
      <c r="O237" s="15">
        <f>IFERROR(Table50[[#This Row],[Purchases]]/Table50[[#This Row],[PurchasesQty]],0)</f>
        <v>0</v>
      </c>
      <c r="P237" s="15">
        <f>IFERROR(Table50[[#This Row],[Closing]]/Table50[[#This Row],[ClosingQty]],0)</f>
        <v>0.25</v>
      </c>
      <c r="Q237" s="15">
        <f>IFERROR(AVERAGEIF(Table50[[#This Row],[OPENING COST PRICE]:[CLOSING COST PRICE]],"&gt;0"),0)</f>
        <v>0.25</v>
      </c>
      <c r="R237" s="15">
        <f>IFERROR(Table50[[#This Row],[COST PRICE]]-IFERROR(Table50[[#This Row],[Usage]]/Table50[[#This Row],[UsageQty]],Table50[[#This Row],[COST PRICE]]),0)</f>
        <v>0</v>
      </c>
      <c r="S237" s="16">
        <f>IFERROR(Table50[[#This Row],[COST PRICE CHANGE]]/Table50[[#This Row],[OPENING COST PRICE]],0)</f>
        <v>0</v>
      </c>
      <c r="T237" s="15">
        <f>Table50[[#This Row],[ClosingQty]]-(Table50[[#This Row],[USAGE / DAY]]*(IF(Table50[[#This Row],[ccnt]]="BEV",Table50[[#This Row],[DELIVERY DAY]],Table50[[#This Row],[DELIVERY DAY]])))</f>
        <v>1075.3499999999999</v>
      </c>
      <c r="U237" s="15">
        <f>ROUNDUP(Table50[[#This Row],[UsageQty]]/Table50[[#This Row],[DATA POINT]],2)</f>
        <v>3.9299999999999997</v>
      </c>
      <c r="V23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37" s="15">
        <f>IFERROR(Table50[[#This Row],[ORDER QTY]]*Table50[[#This Row],[COST PRICE]],0)</f>
        <v>0</v>
      </c>
      <c r="X237" s="15">
        <f>IFERROR(VLOOKUP(C237,[1]!Table49[[#All],[name]:[USAGE / DAY]],19,FALSE),1)</f>
        <v>-4</v>
      </c>
      <c r="Y237" s="4">
        <f>IFERROR((Table50[[#This Row],[USAGE / DAY]]-Table50[[#This Row],[USAGE / DAY 2]])/Table50[[#This Row],[USAGE / DAY 2]],0)</f>
        <v>-1.9824999999999999</v>
      </c>
      <c r="Z237" s="15">
        <f t="shared" si="9"/>
        <v>14</v>
      </c>
      <c r="AA237" s="15">
        <f t="shared" si="10"/>
        <v>9.311854181734148</v>
      </c>
      <c r="AB237" s="15">
        <f>IFERROR(IF(Table50[[#This Row],[ccnt]]="BEV",$AB$2,IF(Table50[[#This Row],[ccnt]]="FOOD",$AC$2,"ENTER # FROM LAST COUNT")),"ENTER # FROM LAST COUNT")</f>
        <v>5</v>
      </c>
      <c r="AC237" s="15">
        <f>(Table50[[#This Row],[OpeningQty]]+Table50[[#This Row],[ClosingQty]])/2</f>
        <v>1122.5</v>
      </c>
      <c r="AD237" s="15">
        <f>IFERROR(Table50[[#This Row],[UsageQty]]/Table50[[#This Row],[AVE INVENTORY]],0)</f>
        <v>4.8997772828507792E-2</v>
      </c>
      <c r="AE237" s="15">
        <f>IFERROR(Table50[[#This Row],[DATA POINT]]/Table50[[#This Row],[Inventory Turnover Rate]],0)</f>
        <v>285.72727272727275</v>
      </c>
      <c r="AF237" s="15">
        <f>Table50[[#This Row],[ClosingQty]]/Table50[[#This Row],[USAGE / DAY]]</f>
        <v>278.62595419847332</v>
      </c>
      <c r="AG237" s="15">
        <f>Table50[[#This Row],[USAGE / DAY]]*7</f>
        <v>27.509999999999998</v>
      </c>
      <c r="AH237" s="15">
        <f>Table50[[#This Row],[USAGE / DAY]]*3</f>
        <v>11.79</v>
      </c>
      <c r="AI23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37" s="15">
        <f>IFERROR(Table50[[#This Row],[ORDER QTY2]]*Table50[[#This Row],[COST PRICE]],0)</f>
        <v>0</v>
      </c>
      <c r="AK237" s="15">
        <f>(Table50[[#This Row],[REORDER POINT]]*Table50[[#This Row],[COST PRICE]])+Table50[[#This Row],[ORDER COST]]</f>
        <v>268.83749999999998</v>
      </c>
      <c r="AL237" s="15">
        <f t="shared" si="11"/>
        <v>100</v>
      </c>
      <c r="AM237" s="15">
        <f>IFERROR((Table50[[#This Row],[REORDER POINT]]+Table50[[#This Row],[ORDER QTY]])/(Table50[[#This Row],[USAGE / DAY]]*Table50[[#This Row],[DEMAND %]]),Table50[[#This Row],[REORDER POINT]]/Table50[[#This Row],[USAGE / DAY]])</f>
        <v>273.62595419847327</v>
      </c>
    </row>
    <row r="238" spans="1:39" x14ac:dyDescent="0.25">
      <c r="A238" t="s">
        <v>324</v>
      </c>
      <c r="B238" t="s">
        <v>330</v>
      </c>
      <c r="C238" t="s">
        <v>333</v>
      </c>
      <c r="D238" t="s">
        <v>95</v>
      </c>
      <c r="E238">
        <v>1.07</v>
      </c>
      <c r="F238">
        <v>313.51</v>
      </c>
      <c r="G238">
        <v>0.65</v>
      </c>
      <c r="H238">
        <v>26.08</v>
      </c>
      <c r="I238">
        <v>0.08</v>
      </c>
      <c r="J238">
        <v>23.44</v>
      </c>
      <c r="K238">
        <f>Table50[[#This Row],[OpeningQty]]+Table50[[#This Row],[PurchasesQty]]-Table50[[#This Row],[ClosingQty]]</f>
        <v>1.6400000000000001</v>
      </c>
      <c r="L238">
        <v>316.14999999999998</v>
      </c>
      <c r="M238" s="14">
        <f>Table50[[#This Row],[Usage]]/$L$1</f>
        <v>4.8016842877772486E-4</v>
      </c>
      <c r="N238" s="15">
        <f>IFERROR(Table50[[#This Row],[Opening]]/Table50[[#This Row],[OpeningQty]],0)</f>
        <v>293</v>
      </c>
      <c r="O238" s="15">
        <f>IFERROR(Table50[[#This Row],[Purchases]]/Table50[[#This Row],[PurchasesQty]],0)</f>
        <v>40.123076923076916</v>
      </c>
      <c r="P238" s="15">
        <f>IFERROR(Table50[[#This Row],[Closing]]/Table50[[#This Row],[ClosingQty]],0)</f>
        <v>293</v>
      </c>
      <c r="Q238" s="15">
        <f>IFERROR(AVERAGEIF(Table50[[#This Row],[OPENING COST PRICE]:[CLOSING COST PRICE]],"&gt;0"),0)</f>
        <v>208.70769230769233</v>
      </c>
      <c r="R238" s="15">
        <f>IFERROR(Table50[[#This Row],[COST PRICE]]-IFERROR(Table50[[#This Row],[Usage]]/Table50[[#This Row],[UsageQty]],Table50[[#This Row],[COST PRICE]]),0)</f>
        <v>15.93330206378991</v>
      </c>
      <c r="S238" s="16">
        <f>IFERROR(Table50[[#This Row],[COST PRICE CHANGE]]/Table50[[#This Row],[OPENING COST PRICE]],0)</f>
        <v>5.437987052488024E-2</v>
      </c>
      <c r="T238" s="15">
        <f>Table50[[#This Row],[ClosingQty]]-(Table50[[#This Row],[USAGE / DAY]]*(IF(Table50[[#This Row],[ccnt]]="BEV",Table50[[#This Row],[DELIVERY DAY]],Table50[[#This Row],[DELIVERY DAY]])))</f>
        <v>-0.52</v>
      </c>
      <c r="U238" s="15">
        <f>ROUNDUP(Table50[[#This Row],[UsageQty]]/Table50[[#This Row],[DATA POINT]],2)</f>
        <v>0.12</v>
      </c>
      <c r="V23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238" s="15">
        <f>IFERROR(Table50[[#This Row],[ORDER QTY]]*Table50[[#This Row],[COST PRICE]],0)</f>
        <v>417.41538461538465</v>
      </c>
      <c r="X238" s="15">
        <f>IFERROR(VLOOKUP(C238,[1]!Table49[[#All],[name]:[USAGE / DAY]],19,FALSE),1)</f>
        <v>0.05</v>
      </c>
      <c r="Y238" s="4">
        <f>IFERROR((Table50[[#This Row],[USAGE / DAY]]-Table50[[#This Row],[USAGE / DAY 2]])/Table50[[#This Row],[USAGE / DAY 2]],0)</f>
        <v>1.3999999999999997</v>
      </c>
      <c r="Z238" s="15">
        <f t="shared" si="9"/>
        <v>14</v>
      </c>
      <c r="AA238" s="15">
        <f t="shared" si="10"/>
        <v>9.311854181734148</v>
      </c>
      <c r="AB238" s="15">
        <f>IFERROR(IF(Table50[[#This Row],[ccnt]]="BEV",$AB$2,IF(Table50[[#This Row],[ccnt]]="FOOD",$AC$2,"ENTER # FROM LAST COUNT")),"ENTER # FROM LAST COUNT")</f>
        <v>5</v>
      </c>
      <c r="AC238" s="15">
        <f>(Table50[[#This Row],[OpeningQty]]+Table50[[#This Row],[ClosingQty]])/2</f>
        <v>0.57500000000000007</v>
      </c>
      <c r="AD238" s="15">
        <f>IFERROR(Table50[[#This Row],[UsageQty]]/Table50[[#This Row],[AVE INVENTORY]],0)</f>
        <v>2.8521739130434782</v>
      </c>
      <c r="AE238" s="15">
        <f>IFERROR(Table50[[#This Row],[DATA POINT]]/Table50[[#This Row],[Inventory Turnover Rate]],0)</f>
        <v>4.9085365853658534</v>
      </c>
      <c r="AF238" s="15">
        <f>Table50[[#This Row],[ClosingQty]]/Table50[[#This Row],[USAGE / DAY]]</f>
        <v>0.66666666666666674</v>
      </c>
      <c r="AG238" s="15">
        <f>Table50[[#This Row],[USAGE / DAY]]*7</f>
        <v>0.84</v>
      </c>
      <c r="AH238" s="15">
        <f>Table50[[#This Row],[USAGE / DAY]]*3</f>
        <v>0.36</v>
      </c>
      <c r="AI238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1.1199999999999999</v>
      </c>
      <c r="AJ238" s="15">
        <f>IFERROR(Table50[[#This Row],[ORDER QTY2]]*Table50[[#This Row],[COST PRICE]],0)</f>
        <v>233.75261538461538</v>
      </c>
      <c r="AK238" s="15">
        <f>(Table50[[#This Row],[REORDER POINT]]*Table50[[#This Row],[COST PRICE]])+Table50[[#This Row],[ORDER COST]]</f>
        <v>308.88738461538463</v>
      </c>
      <c r="AL238" s="15">
        <f t="shared" si="11"/>
        <v>100</v>
      </c>
      <c r="AM238" s="15">
        <f>IFERROR((Table50[[#This Row],[REORDER POINT]]+Table50[[#This Row],[ORDER QTY]])/(Table50[[#This Row],[USAGE / DAY]]*Table50[[#This Row],[DEMAND %]]),Table50[[#This Row],[REORDER POINT]]/Table50[[#This Row],[USAGE / DAY]])</f>
        <v>0.12333333333333334</v>
      </c>
    </row>
    <row r="239" spans="1:39" x14ac:dyDescent="0.25">
      <c r="A239" t="s">
        <v>324</v>
      </c>
      <c r="B239" t="s">
        <v>330</v>
      </c>
      <c r="C239" t="s">
        <v>334</v>
      </c>
      <c r="D239" t="s">
        <v>126</v>
      </c>
      <c r="E239">
        <v>2</v>
      </c>
      <c r="F239">
        <v>118</v>
      </c>
      <c r="G239">
        <v>0</v>
      </c>
      <c r="H239">
        <v>0</v>
      </c>
      <c r="I239">
        <v>2</v>
      </c>
      <c r="J239">
        <v>118</v>
      </c>
      <c r="K239">
        <f>Table50[[#This Row],[OpeningQty]]+Table50[[#This Row],[PurchasesQty]]-Table50[[#This Row],[ClosingQty]]</f>
        <v>0</v>
      </c>
      <c r="L239">
        <v>0</v>
      </c>
      <c r="M239" s="14">
        <f>Table50[[#This Row],[Usage]]/$L$1</f>
        <v>0</v>
      </c>
      <c r="N239" s="15">
        <f>IFERROR(Table50[[#This Row],[Opening]]/Table50[[#This Row],[OpeningQty]],0)</f>
        <v>59</v>
      </c>
      <c r="O239" s="15">
        <f>IFERROR(Table50[[#This Row],[Purchases]]/Table50[[#This Row],[PurchasesQty]],0)</f>
        <v>0</v>
      </c>
      <c r="P239" s="15">
        <f>IFERROR(Table50[[#This Row],[Closing]]/Table50[[#This Row],[ClosingQty]],0)</f>
        <v>59</v>
      </c>
      <c r="Q239" s="15">
        <f>IFERROR(AVERAGEIF(Table50[[#This Row],[OPENING COST PRICE]:[CLOSING COST PRICE]],"&gt;0"),0)</f>
        <v>59</v>
      </c>
      <c r="R239" s="15">
        <f>IFERROR(Table50[[#This Row],[COST PRICE]]-IFERROR(Table50[[#This Row],[Usage]]/Table50[[#This Row],[UsageQty]],Table50[[#This Row],[COST PRICE]]),0)</f>
        <v>0</v>
      </c>
      <c r="S239" s="16">
        <f>IFERROR(Table50[[#This Row],[COST PRICE CHANGE]]/Table50[[#This Row],[OPENING COST PRICE]],0)</f>
        <v>0</v>
      </c>
      <c r="T239" s="15">
        <f>Table50[[#This Row],[ClosingQty]]-(Table50[[#This Row],[USAGE / DAY]]*(IF(Table50[[#This Row],[ccnt]]="BEV",Table50[[#This Row],[DELIVERY DAY]],Table50[[#This Row],[DELIVERY DAY]])))</f>
        <v>2</v>
      </c>
      <c r="U239" s="15">
        <f>ROUNDUP(Table50[[#This Row],[UsageQty]]/Table50[[#This Row],[DATA POINT]],2)</f>
        <v>0</v>
      </c>
      <c r="V23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39" s="15">
        <f>IFERROR(Table50[[#This Row],[ORDER QTY]]*Table50[[#This Row],[COST PRICE]],0)</f>
        <v>0</v>
      </c>
      <c r="X239" s="15">
        <f>IFERROR(VLOOKUP(C239,[1]!Table49[[#All],[name]:[USAGE / DAY]],19,FALSE),1)</f>
        <v>0</v>
      </c>
      <c r="Y239" s="4">
        <f>IFERROR((Table50[[#This Row],[USAGE / DAY]]-Table50[[#This Row],[USAGE / DAY 2]])/Table50[[#This Row],[USAGE / DAY 2]],0)</f>
        <v>0</v>
      </c>
      <c r="Z239" s="15">
        <f t="shared" si="9"/>
        <v>14</v>
      </c>
      <c r="AA239" s="15">
        <f t="shared" si="10"/>
        <v>9.311854181734148</v>
      </c>
      <c r="AB239" s="15">
        <f>IFERROR(IF(Table50[[#This Row],[ccnt]]="BEV",$AB$2,IF(Table50[[#This Row],[ccnt]]="FOOD",$AC$2,"ENTER # FROM LAST COUNT")),"ENTER # FROM LAST COUNT")</f>
        <v>5</v>
      </c>
      <c r="AC239" s="15">
        <f>(Table50[[#This Row],[OpeningQty]]+Table50[[#This Row],[ClosingQty]])/2</f>
        <v>2</v>
      </c>
      <c r="AD239" s="15">
        <f>IFERROR(Table50[[#This Row],[UsageQty]]/Table50[[#This Row],[AVE INVENTORY]],0)</f>
        <v>0</v>
      </c>
      <c r="AE239" s="15">
        <f>IFERROR(Table50[[#This Row],[DATA POINT]]/Table50[[#This Row],[Inventory Turnover Rate]],0)</f>
        <v>0</v>
      </c>
      <c r="AF239" s="15" t="e">
        <f>Table50[[#This Row],[ClosingQty]]/Table50[[#This Row],[USAGE / DAY]]</f>
        <v>#DIV/0!</v>
      </c>
      <c r="AG239" s="15">
        <f>Table50[[#This Row],[USAGE / DAY]]*7</f>
        <v>0</v>
      </c>
      <c r="AH239" s="15">
        <f>Table50[[#This Row],[USAGE / DAY]]*3</f>
        <v>0</v>
      </c>
      <c r="AI23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39" s="15">
        <f>IFERROR(Table50[[#This Row],[ORDER QTY2]]*Table50[[#This Row],[COST PRICE]],0)</f>
        <v>0</v>
      </c>
      <c r="AK239" s="15">
        <f>(Table50[[#This Row],[REORDER POINT]]*Table50[[#This Row],[COST PRICE]])+Table50[[#This Row],[ORDER COST]]</f>
        <v>118</v>
      </c>
      <c r="AL239" s="15">
        <f t="shared" si="11"/>
        <v>100</v>
      </c>
      <c r="AM239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240" spans="1:39" x14ac:dyDescent="0.25">
      <c r="A240" t="s">
        <v>324</v>
      </c>
      <c r="B240" t="s">
        <v>330</v>
      </c>
      <c r="C240" t="s">
        <v>335</v>
      </c>
      <c r="D240" t="s">
        <v>53</v>
      </c>
      <c r="E240">
        <v>425</v>
      </c>
      <c r="F240">
        <v>212.5</v>
      </c>
      <c r="G240">
        <v>500</v>
      </c>
      <c r="H240">
        <v>258</v>
      </c>
      <c r="I240">
        <v>592</v>
      </c>
      <c r="J240">
        <v>254.56</v>
      </c>
      <c r="K240">
        <f>Table50[[#This Row],[OpeningQty]]+Table50[[#This Row],[PurchasesQty]]-Table50[[#This Row],[ClosingQty]]</f>
        <v>333</v>
      </c>
      <c r="L240">
        <v>215.94</v>
      </c>
      <c r="M240" s="14">
        <f>Table50[[#This Row],[Usage]]/$L$1</f>
        <v>3.2796954138940981E-4</v>
      </c>
      <c r="N240" s="15">
        <f>IFERROR(Table50[[#This Row],[Opening]]/Table50[[#This Row],[OpeningQty]],0)</f>
        <v>0.5</v>
      </c>
      <c r="O240" s="15">
        <f>IFERROR(Table50[[#This Row],[Purchases]]/Table50[[#This Row],[PurchasesQty]],0)</f>
        <v>0.51600000000000001</v>
      </c>
      <c r="P240" s="15">
        <f>IFERROR(Table50[[#This Row],[Closing]]/Table50[[#This Row],[ClosingQty]],0)</f>
        <v>0.43</v>
      </c>
      <c r="Q240" s="15">
        <f>IFERROR(AVERAGEIF(Table50[[#This Row],[OPENING COST PRICE]:[CLOSING COST PRICE]],"&gt;0"),0)</f>
        <v>0.48199999999999998</v>
      </c>
      <c r="R240" s="15">
        <f>IFERROR(Table50[[#This Row],[COST PRICE]]-IFERROR(Table50[[#This Row],[Usage]]/Table50[[#This Row],[UsageQty]],Table50[[#This Row],[COST PRICE]]),0)</f>
        <v>-0.16646846846846852</v>
      </c>
      <c r="S240" s="16">
        <f>IFERROR(Table50[[#This Row],[COST PRICE CHANGE]]/Table50[[#This Row],[OPENING COST PRICE]],0)</f>
        <v>-0.33293693693693704</v>
      </c>
      <c r="T240" s="15">
        <f>Table50[[#This Row],[ClosingQty]]-(Table50[[#This Row],[USAGE / DAY]]*(IF(Table50[[#This Row],[ccnt]]="BEV",Table50[[#This Row],[DELIVERY DAY]],Table50[[#This Row],[DELIVERY DAY]])))</f>
        <v>473.04999999999995</v>
      </c>
      <c r="U240" s="15">
        <f>ROUNDUP(Table50[[#This Row],[UsageQty]]/Table50[[#This Row],[DATA POINT]],2)</f>
        <v>23.790000000000003</v>
      </c>
      <c r="V24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40" s="15">
        <f>IFERROR(Table50[[#This Row],[ORDER QTY]]*Table50[[#This Row],[COST PRICE]],0)</f>
        <v>0</v>
      </c>
      <c r="X240" s="15">
        <f>IFERROR(VLOOKUP(C240,[1]!Table49[[#All],[name]:[USAGE / DAY]],19,FALSE),1)</f>
        <v>41.339999999999996</v>
      </c>
      <c r="Y240" s="4">
        <f>IFERROR((Table50[[#This Row],[USAGE / DAY]]-Table50[[#This Row],[USAGE / DAY 2]])/Table50[[#This Row],[USAGE / DAY 2]],0)</f>
        <v>-0.42452830188679236</v>
      </c>
      <c r="Z240" s="15">
        <f t="shared" si="9"/>
        <v>14</v>
      </c>
      <c r="AA240" s="15">
        <f t="shared" si="10"/>
        <v>9.311854181734148</v>
      </c>
      <c r="AB240" s="15">
        <f>IFERROR(IF(Table50[[#This Row],[ccnt]]="BEV",$AB$2,IF(Table50[[#This Row],[ccnt]]="FOOD",$AC$2,"ENTER # FROM LAST COUNT")),"ENTER # FROM LAST COUNT")</f>
        <v>5</v>
      </c>
      <c r="AC240" s="15">
        <f>(Table50[[#This Row],[OpeningQty]]+Table50[[#This Row],[ClosingQty]])/2</f>
        <v>508.5</v>
      </c>
      <c r="AD240" s="15">
        <f>IFERROR(Table50[[#This Row],[UsageQty]]/Table50[[#This Row],[AVE INVENTORY]],0)</f>
        <v>0.65486725663716816</v>
      </c>
      <c r="AE240" s="15">
        <f>IFERROR(Table50[[#This Row],[DATA POINT]]/Table50[[#This Row],[Inventory Turnover Rate]],0)</f>
        <v>21.378378378378379</v>
      </c>
      <c r="AF240" s="15">
        <f>Table50[[#This Row],[ClosingQty]]/Table50[[#This Row],[USAGE / DAY]]</f>
        <v>24.884405212274061</v>
      </c>
      <c r="AG240" s="15">
        <f>Table50[[#This Row],[USAGE / DAY]]*7</f>
        <v>166.53000000000003</v>
      </c>
      <c r="AH240" s="15">
        <f>Table50[[#This Row],[USAGE / DAY]]*3</f>
        <v>71.37</v>
      </c>
      <c r="AI24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40" s="15">
        <f>IFERROR(Table50[[#This Row],[ORDER QTY2]]*Table50[[#This Row],[COST PRICE]],0)</f>
        <v>0</v>
      </c>
      <c r="AK240" s="15">
        <f>(Table50[[#This Row],[REORDER POINT]]*Table50[[#This Row],[COST PRICE]])+Table50[[#This Row],[ORDER COST]]</f>
        <v>228.01009999999997</v>
      </c>
      <c r="AL240" s="15">
        <f t="shared" si="11"/>
        <v>100</v>
      </c>
      <c r="AM240" s="15">
        <f>IFERROR((Table50[[#This Row],[REORDER POINT]]+Table50[[#This Row],[ORDER QTY]])/(Table50[[#This Row],[USAGE / DAY]]*Table50[[#This Row],[DEMAND %]]),Table50[[#This Row],[REORDER POINT]]/Table50[[#This Row],[USAGE / DAY]])</f>
        <v>19.884405212274061</v>
      </c>
    </row>
    <row r="241" spans="1:39" x14ac:dyDescent="0.25">
      <c r="A241" t="s">
        <v>324</v>
      </c>
      <c r="B241" t="s">
        <v>330</v>
      </c>
      <c r="C241" t="s">
        <v>336</v>
      </c>
      <c r="D241" t="s">
        <v>53</v>
      </c>
      <c r="E241">
        <v>3</v>
      </c>
      <c r="F241">
        <v>240</v>
      </c>
      <c r="G241">
        <v>0</v>
      </c>
      <c r="H241">
        <v>0</v>
      </c>
      <c r="I241">
        <v>1</v>
      </c>
      <c r="J241">
        <v>80</v>
      </c>
      <c r="K241">
        <f>Table50[[#This Row],[OpeningQty]]+Table50[[#This Row],[PurchasesQty]]-Table50[[#This Row],[ClosingQty]]</f>
        <v>2</v>
      </c>
      <c r="L241">
        <v>160</v>
      </c>
      <c r="M241" s="14">
        <f>Table50[[#This Row],[Usage]]/$L$1</f>
        <v>2.430079032245326E-4</v>
      </c>
      <c r="N241" s="15">
        <f>IFERROR(Table50[[#This Row],[Opening]]/Table50[[#This Row],[OpeningQty]],0)</f>
        <v>80</v>
      </c>
      <c r="O241" s="15">
        <f>IFERROR(Table50[[#This Row],[Purchases]]/Table50[[#This Row],[PurchasesQty]],0)</f>
        <v>0</v>
      </c>
      <c r="P241" s="15">
        <f>IFERROR(Table50[[#This Row],[Closing]]/Table50[[#This Row],[ClosingQty]],0)</f>
        <v>80</v>
      </c>
      <c r="Q241" s="15">
        <f>IFERROR(AVERAGEIF(Table50[[#This Row],[OPENING COST PRICE]:[CLOSING COST PRICE]],"&gt;0"),0)</f>
        <v>80</v>
      </c>
      <c r="R241" s="15">
        <f>IFERROR(Table50[[#This Row],[COST PRICE]]-IFERROR(Table50[[#This Row],[Usage]]/Table50[[#This Row],[UsageQty]],Table50[[#This Row],[COST PRICE]]),0)</f>
        <v>0</v>
      </c>
      <c r="S241" s="16">
        <f>IFERROR(Table50[[#This Row],[COST PRICE CHANGE]]/Table50[[#This Row],[OPENING COST PRICE]],0)</f>
        <v>0</v>
      </c>
      <c r="T241" s="15">
        <f>Table50[[#This Row],[ClosingQty]]-(Table50[[#This Row],[USAGE / DAY]]*(IF(Table50[[#This Row],[ccnt]]="BEV",Table50[[#This Row],[DELIVERY DAY]],Table50[[#This Row],[DELIVERY DAY]])))</f>
        <v>0.24999999999999989</v>
      </c>
      <c r="U241" s="15">
        <f>ROUNDUP(Table50[[#This Row],[UsageQty]]/Table50[[#This Row],[DATA POINT]],2)</f>
        <v>0.15000000000000002</v>
      </c>
      <c r="V24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241" s="15">
        <f>IFERROR(Table50[[#This Row],[ORDER QTY]]*Table50[[#This Row],[COST PRICE]],0)</f>
        <v>160</v>
      </c>
      <c r="X241" s="15">
        <f>IFERROR(VLOOKUP(C241,[1]!Table49[[#All],[name]:[USAGE / DAY]],19,FALSE),1)</f>
        <v>0.14000000000000001</v>
      </c>
      <c r="Y241" s="4">
        <f>IFERROR((Table50[[#This Row],[USAGE / DAY]]-Table50[[#This Row],[USAGE / DAY 2]])/Table50[[#This Row],[USAGE / DAY 2]],0)</f>
        <v>7.142857142857148E-2</v>
      </c>
      <c r="Z241" s="15">
        <f t="shared" si="9"/>
        <v>14</v>
      </c>
      <c r="AA241" s="15">
        <f t="shared" si="10"/>
        <v>9.311854181734148</v>
      </c>
      <c r="AB241" s="15">
        <f>IFERROR(IF(Table50[[#This Row],[ccnt]]="BEV",$AB$2,IF(Table50[[#This Row],[ccnt]]="FOOD",$AC$2,"ENTER # FROM LAST COUNT")),"ENTER # FROM LAST COUNT")</f>
        <v>5</v>
      </c>
      <c r="AC241" s="15">
        <f>(Table50[[#This Row],[OpeningQty]]+Table50[[#This Row],[ClosingQty]])/2</f>
        <v>2</v>
      </c>
      <c r="AD241" s="15">
        <f>IFERROR(Table50[[#This Row],[UsageQty]]/Table50[[#This Row],[AVE INVENTORY]],0)</f>
        <v>1</v>
      </c>
      <c r="AE241" s="15">
        <f>IFERROR(Table50[[#This Row],[DATA POINT]]/Table50[[#This Row],[Inventory Turnover Rate]],0)</f>
        <v>14</v>
      </c>
      <c r="AF241" s="15">
        <f>Table50[[#This Row],[ClosingQty]]/Table50[[#This Row],[USAGE / DAY]]</f>
        <v>6.6666666666666661</v>
      </c>
      <c r="AG241" s="15">
        <f>Table50[[#This Row],[USAGE / DAY]]*7</f>
        <v>1.0500000000000003</v>
      </c>
      <c r="AH241" s="15">
        <f>Table50[[#This Row],[USAGE / DAY]]*3</f>
        <v>0.45000000000000007</v>
      </c>
      <c r="AI241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0.50000000000000044</v>
      </c>
      <c r="AJ241" s="15">
        <f>IFERROR(Table50[[#This Row],[ORDER QTY2]]*Table50[[#This Row],[COST PRICE]],0)</f>
        <v>40.000000000000036</v>
      </c>
      <c r="AK241" s="15">
        <f>(Table50[[#This Row],[REORDER POINT]]*Table50[[#This Row],[COST PRICE]])+Table50[[#This Row],[ORDER COST]]</f>
        <v>180</v>
      </c>
      <c r="AL241" s="15">
        <f t="shared" si="11"/>
        <v>100</v>
      </c>
      <c r="AM241" s="15">
        <f>IFERROR((Table50[[#This Row],[REORDER POINT]]+Table50[[#This Row],[ORDER QTY]])/(Table50[[#This Row],[USAGE / DAY]]*Table50[[#This Row],[DEMAND %]]),Table50[[#This Row],[REORDER POINT]]/Table50[[#This Row],[USAGE / DAY]])</f>
        <v>0.15</v>
      </c>
    </row>
    <row r="242" spans="1:39" x14ac:dyDescent="0.25">
      <c r="A242" t="s">
        <v>324</v>
      </c>
      <c r="B242" t="s">
        <v>330</v>
      </c>
      <c r="C242" t="s">
        <v>337</v>
      </c>
      <c r="D242" t="s">
        <v>95</v>
      </c>
      <c r="E242">
        <v>0.09</v>
      </c>
      <c r="F242">
        <v>9.5299999999999994</v>
      </c>
      <c r="G242">
        <v>0.26</v>
      </c>
      <c r="H242">
        <v>79.040000000000006</v>
      </c>
      <c r="I242">
        <v>0.12</v>
      </c>
      <c r="J242">
        <v>25.42</v>
      </c>
      <c r="K242">
        <f>Table50[[#This Row],[OpeningQty]]+Table50[[#This Row],[PurchasesQty]]-Table50[[#This Row],[ClosingQty]]</f>
        <v>0.22999999999999998</v>
      </c>
      <c r="L242">
        <v>63.15</v>
      </c>
      <c r="M242" s="14">
        <f>Table50[[#This Row],[Usage]]/$L$1</f>
        <v>9.5912181803932707E-5</v>
      </c>
      <c r="N242" s="15">
        <f>IFERROR(Table50[[#This Row],[Opening]]/Table50[[#This Row],[OpeningQty]],0)</f>
        <v>105.88888888888889</v>
      </c>
      <c r="O242" s="15">
        <f>IFERROR(Table50[[#This Row],[Purchases]]/Table50[[#This Row],[PurchasesQty]],0)</f>
        <v>304</v>
      </c>
      <c r="P242" s="15">
        <f>IFERROR(Table50[[#This Row],[Closing]]/Table50[[#This Row],[ClosingQty]],0)</f>
        <v>211.83333333333334</v>
      </c>
      <c r="Q242" s="15">
        <f>IFERROR(AVERAGEIF(Table50[[#This Row],[OPENING COST PRICE]:[CLOSING COST PRICE]],"&gt;0"),0)</f>
        <v>207.24074074074076</v>
      </c>
      <c r="R242" s="15">
        <f>IFERROR(Table50[[#This Row],[COST PRICE]]-IFERROR(Table50[[#This Row],[Usage]]/Table50[[#This Row],[UsageQty]],Table50[[#This Row],[COST PRICE]]),0)</f>
        <v>-67.324476650563611</v>
      </c>
      <c r="S242" s="16">
        <f>IFERROR(Table50[[#This Row],[COST PRICE CHANGE]]/Table50[[#This Row],[OPENING COST PRICE]],0)</f>
        <v>-0.63580303237678126</v>
      </c>
      <c r="T242" s="15">
        <f>Table50[[#This Row],[ClosingQty]]-(Table50[[#This Row],[USAGE / DAY]]*(IF(Table50[[#This Row],[ccnt]]="BEV",Table50[[#This Row],[DELIVERY DAY]],Table50[[#This Row],[DELIVERY DAY]])))</f>
        <v>1.999999999999999E-2</v>
      </c>
      <c r="U242" s="15">
        <f>ROUNDUP(Table50[[#This Row],[UsageQty]]/Table50[[#This Row],[DATA POINT]],2)</f>
        <v>0.02</v>
      </c>
      <c r="V24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242" s="15">
        <f>IFERROR(Table50[[#This Row],[ORDER QTY]]*Table50[[#This Row],[COST PRICE]],0)</f>
        <v>207.24074074074076</v>
      </c>
      <c r="X242" s="15">
        <f>IFERROR(VLOOKUP(C242,[1]!Table49[[#All],[name]:[USAGE / DAY]],19,FALSE),1)</f>
        <v>0.02</v>
      </c>
      <c r="Y242" s="4">
        <f>IFERROR((Table50[[#This Row],[USAGE / DAY]]-Table50[[#This Row],[USAGE / DAY 2]])/Table50[[#This Row],[USAGE / DAY 2]],0)</f>
        <v>0</v>
      </c>
      <c r="Z242" s="15">
        <f t="shared" si="9"/>
        <v>14</v>
      </c>
      <c r="AA242" s="15">
        <f t="shared" si="10"/>
        <v>9.311854181734148</v>
      </c>
      <c r="AB242" s="15">
        <f>IFERROR(IF(Table50[[#This Row],[ccnt]]="BEV",$AB$2,IF(Table50[[#This Row],[ccnt]]="FOOD",$AC$2,"ENTER # FROM LAST COUNT")),"ENTER # FROM LAST COUNT")</f>
        <v>5</v>
      </c>
      <c r="AC242" s="15">
        <f>(Table50[[#This Row],[OpeningQty]]+Table50[[#This Row],[ClosingQty]])/2</f>
        <v>0.105</v>
      </c>
      <c r="AD242" s="15">
        <f>IFERROR(Table50[[#This Row],[UsageQty]]/Table50[[#This Row],[AVE INVENTORY]],0)</f>
        <v>2.1904761904761902</v>
      </c>
      <c r="AE242" s="15">
        <f>IFERROR(Table50[[#This Row],[DATA POINT]]/Table50[[#This Row],[Inventory Turnover Rate]],0)</f>
        <v>6.3913043478260878</v>
      </c>
      <c r="AF242" s="15">
        <f>Table50[[#This Row],[ClosingQty]]/Table50[[#This Row],[USAGE / DAY]]</f>
        <v>6</v>
      </c>
      <c r="AG242" s="15">
        <f>Table50[[#This Row],[USAGE / DAY]]*7</f>
        <v>0.14000000000000001</v>
      </c>
      <c r="AH242" s="15">
        <f>Table50[[#This Row],[USAGE / DAY]]*3</f>
        <v>0.06</v>
      </c>
      <c r="AI242" s="15">
        <f>IF(Table50[[#This Row],[FORECASTED DEMAND]]+Table50[[#This Row],[SAFETY STOCK]]-Table50[[#This Row],[ClosingQty]]&gt;0,Table50[[#This Row],[FORECASTED DEMAND]]+Table50[[#This Row],[SAFETY STOCK]]-Table50[[#This Row],[ClosingQty]],"NO ORDER")</f>
        <v>8.0000000000000016E-2</v>
      </c>
      <c r="AJ242" s="15">
        <f>IFERROR(Table50[[#This Row],[ORDER QTY2]]*Table50[[#This Row],[COST PRICE]],0)</f>
        <v>16.579259259259263</v>
      </c>
      <c r="AK242" s="15">
        <f>(Table50[[#This Row],[REORDER POINT]]*Table50[[#This Row],[COST PRICE]])+Table50[[#This Row],[ORDER COST]]</f>
        <v>211.38555555555558</v>
      </c>
      <c r="AL242" s="15">
        <f t="shared" si="11"/>
        <v>100</v>
      </c>
      <c r="AM242" s="15">
        <f>IFERROR((Table50[[#This Row],[REORDER POINT]]+Table50[[#This Row],[ORDER QTY]])/(Table50[[#This Row],[USAGE / DAY]]*Table50[[#This Row],[DEMAND %]]),Table50[[#This Row],[REORDER POINT]]/Table50[[#This Row],[USAGE / DAY]])</f>
        <v>0.51</v>
      </c>
    </row>
    <row r="243" spans="1:39" x14ac:dyDescent="0.25">
      <c r="A243" t="s">
        <v>324</v>
      </c>
      <c r="B243" t="s">
        <v>330</v>
      </c>
      <c r="C243" t="s">
        <v>338</v>
      </c>
      <c r="D243" t="s">
        <v>126</v>
      </c>
      <c r="E243">
        <v>0</v>
      </c>
      <c r="F243">
        <v>0</v>
      </c>
      <c r="G243">
        <v>0</v>
      </c>
      <c r="H243">
        <v>0</v>
      </c>
      <c r="I243">
        <v>7.2</v>
      </c>
      <c r="J243">
        <v>211.61</v>
      </c>
      <c r="K243">
        <f>Table50[[#This Row],[OpeningQty]]+Table50[[#This Row],[PurchasesQty]]-Table50[[#This Row],[ClosingQty]]</f>
        <v>-7.2</v>
      </c>
      <c r="L243">
        <v>-211.61</v>
      </c>
      <c r="M243" s="14">
        <f>Table50[[#This Row],[Usage]]/$L$1</f>
        <v>-3.2139314000839594E-4</v>
      </c>
      <c r="N243" s="15">
        <f>IFERROR(Table50[[#This Row],[Opening]]/Table50[[#This Row],[OpeningQty]],0)</f>
        <v>0</v>
      </c>
      <c r="O243" s="15">
        <f>IFERROR(Table50[[#This Row],[Purchases]]/Table50[[#This Row],[PurchasesQty]],0)</f>
        <v>0</v>
      </c>
      <c r="P243" s="15">
        <f>IFERROR(Table50[[#This Row],[Closing]]/Table50[[#This Row],[ClosingQty]],0)</f>
        <v>29.390277777777779</v>
      </c>
      <c r="Q243" s="15">
        <f>IFERROR(AVERAGEIF(Table50[[#This Row],[OPENING COST PRICE]:[CLOSING COST PRICE]],"&gt;0"),0)</f>
        <v>29.390277777777779</v>
      </c>
      <c r="R243" s="15">
        <f>IFERROR(Table50[[#This Row],[COST PRICE]]-IFERROR(Table50[[#This Row],[Usage]]/Table50[[#This Row],[UsageQty]],Table50[[#This Row],[COST PRICE]]),0)</f>
        <v>0</v>
      </c>
      <c r="S243" s="16">
        <f>IFERROR(Table50[[#This Row],[COST PRICE CHANGE]]/Table50[[#This Row],[OPENING COST PRICE]],0)</f>
        <v>0</v>
      </c>
      <c r="T243" s="15">
        <f>Table50[[#This Row],[ClosingQty]]-(Table50[[#This Row],[USAGE / DAY]]*(IF(Table50[[#This Row],[ccnt]]="BEV",Table50[[#This Row],[DELIVERY DAY]],Table50[[#This Row],[DELIVERY DAY]])))</f>
        <v>9.8000000000000007</v>
      </c>
      <c r="U243" s="15">
        <f>ROUNDUP(Table50[[#This Row],[UsageQty]]/Table50[[#This Row],[DATA POINT]],2)</f>
        <v>-0.52</v>
      </c>
      <c r="V24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43" s="15">
        <f>IFERROR(Table50[[#This Row],[ORDER QTY]]*Table50[[#This Row],[COST PRICE]],0)</f>
        <v>0</v>
      </c>
      <c r="X243" s="15">
        <f>IFERROR(VLOOKUP(C243,[1]!Table49[[#All],[name]:[USAGE / DAY]],19,FALSE),1)</f>
        <v>-0.14000000000000001</v>
      </c>
      <c r="Y243" s="4">
        <f>IFERROR((Table50[[#This Row],[USAGE / DAY]]-Table50[[#This Row],[USAGE / DAY 2]])/Table50[[#This Row],[USAGE / DAY 2]],0)</f>
        <v>2.714285714285714</v>
      </c>
      <c r="Z243" s="15">
        <f t="shared" si="9"/>
        <v>14</v>
      </c>
      <c r="AA243" s="15">
        <f t="shared" si="10"/>
        <v>9.311854181734148</v>
      </c>
      <c r="AB243" s="15">
        <f>IFERROR(IF(Table50[[#This Row],[ccnt]]="BEV",$AB$2,IF(Table50[[#This Row],[ccnt]]="FOOD",$AC$2,"ENTER # FROM LAST COUNT")),"ENTER # FROM LAST COUNT")</f>
        <v>5</v>
      </c>
      <c r="AC243" s="15">
        <f>(Table50[[#This Row],[OpeningQty]]+Table50[[#This Row],[ClosingQty]])/2</f>
        <v>3.6</v>
      </c>
      <c r="AD243" s="15">
        <f>IFERROR(Table50[[#This Row],[UsageQty]]/Table50[[#This Row],[AVE INVENTORY]],0)</f>
        <v>-2</v>
      </c>
      <c r="AE243" s="15">
        <f>IFERROR(Table50[[#This Row],[DATA POINT]]/Table50[[#This Row],[Inventory Turnover Rate]],0)</f>
        <v>-7</v>
      </c>
      <c r="AF243" s="15">
        <f>Table50[[#This Row],[ClosingQty]]/Table50[[#This Row],[USAGE / DAY]]</f>
        <v>-13.846153846153847</v>
      </c>
      <c r="AG243" s="15">
        <f>Table50[[#This Row],[USAGE / DAY]]*7</f>
        <v>-3.64</v>
      </c>
      <c r="AH243" s="15">
        <f>Table50[[#This Row],[USAGE / DAY]]*3</f>
        <v>-1.56</v>
      </c>
      <c r="AI24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43" s="15">
        <f>IFERROR(Table50[[#This Row],[ORDER QTY2]]*Table50[[#This Row],[COST PRICE]],0)</f>
        <v>0</v>
      </c>
      <c r="AK243" s="15">
        <f>(Table50[[#This Row],[REORDER POINT]]*Table50[[#This Row],[COST PRICE]])+Table50[[#This Row],[ORDER COST]]</f>
        <v>288.02472222222224</v>
      </c>
      <c r="AL243" s="15">
        <f t="shared" si="11"/>
        <v>100</v>
      </c>
      <c r="AM243" s="15">
        <f>IFERROR((Table50[[#This Row],[REORDER POINT]]+Table50[[#This Row],[ORDER QTY]])/(Table50[[#This Row],[USAGE / DAY]]*Table50[[#This Row],[DEMAND %]]),Table50[[#This Row],[REORDER POINT]]/Table50[[#This Row],[USAGE / DAY]])</f>
        <v>-18.846153846153847</v>
      </c>
    </row>
    <row r="244" spans="1:39" x14ac:dyDescent="0.25">
      <c r="A244" t="s">
        <v>324</v>
      </c>
      <c r="B244" t="s">
        <v>330</v>
      </c>
      <c r="C244" t="s">
        <v>339</v>
      </c>
      <c r="D244" t="s">
        <v>53</v>
      </c>
      <c r="E244">
        <v>0</v>
      </c>
      <c r="F244">
        <v>0</v>
      </c>
      <c r="G244">
        <v>9</v>
      </c>
      <c r="H244">
        <v>1110</v>
      </c>
      <c r="I244">
        <v>6</v>
      </c>
      <c r="J244">
        <v>739.98</v>
      </c>
      <c r="K244">
        <f>Table50[[#This Row],[OpeningQty]]+Table50[[#This Row],[PurchasesQty]]-Table50[[#This Row],[ClosingQty]]</f>
        <v>3</v>
      </c>
      <c r="L244">
        <v>370.02</v>
      </c>
      <c r="M244" s="14">
        <f>Table50[[#This Row],[Usage]]/$L$1</f>
        <v>5.6198615219463471E-4</v>
      </c>
      <c r="N244" s="15">
        <f>IFERROR(Table50[[#This Row],[Opening]]/Table50[[#This Row],[OpeningQty]],0)</f>
        <v>0</v>
      </c>
      <c r="O244" s="15">
        <f>IFERROR(Table50[[#This Row],[Purchases]]/Table50[[#This Row],[PurchasesQty]],0)</f>
        <v>123.33333333333333</v>
      </c>
      <c r="P244" s="15">
        <f>IFERROR(Table50[[#This Row],[Closing]]/Table50[[#This Row],[ClosingQty]],0)</f>
        <v>123.33</v>
      </c>
      <c r="Q244" s="15">
        <f>IFERROR(AVERAGEIF(Table50[[#This Row],[OPENING COST PRICE]:[CLOSING COST PRICE]],"&gt;0"),0)</f>
        <v>123.33166666666666</v>
      </c>
      <c r="R244" s="15">
        <f>IFERROR(Table50[[#This Row],[COST PRICE]]-IFERROR(Table50[[#This Row],[Usage]]/Table50[[#This Row],[UsageQty]],Table50[[#This Row],[COST PRICE]]),0)</f>
        <v>-8.3333333333257542E-3</v>
      </c>
      <c r="S244" s="16">
        <f>IFERROR(Table50[[#This Row],[COST PRICE CHANGE]]/Table50[[#This Row],[OPENING COST PRICE]],0)</f>
        <v>0</v>
      </c>
      <c r="T244" s="15">
        <f>Table50[[#This Row],[ClosingQty]]-(Table50[[#This Row],[USAGE / DAY]]*(IF(Table50[[#This Row],[ccnt]]="BEV",Table50[[#This Row],[DELIVERY DAY]],Table50[[#This Row],[DELIVERY DAY]])))</f>
        <v>4.9000000000000004</v>
      </c>
      <c r="U244" s="15">
        <f>ROUNDUP(Table50[[#This Row],[UsageQty]]/Table50[[#This Row],[DATA POINT]],2)</f>
        <v>0.22</v>
      </c>
      <c r="V24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44" s="15">
        <f>IFERROR(Table50[[#This Row],[ORDER QTY]]*Table50[[#This Row],[COST PRICE]],0)</f>
        <v>0</v>
      </c>
      <c r="X244" s="15">
        <f>IFERROR(VLOOKUP(C244,[1]!Table49[[#All],[name]:[USAGE / DAY]],19,FALSE),1)</f>
        <v>0.4</v>
      </c>
      <c r="Y244" s="4">
        <f>IFERROR((Table50[[#This Row],[USAGE / DAY]]-Table50[[#This Row],[USAGE / DAY 2]])/Table50[[#This Row],[USAGE / DAY 2]],0)</f>
        <v>-0.45</v>
      </c>
      <c r="Z244" s="15">
        <f t="shared" si="9"/>
        <v>14</v>
      </c>
      <c r="AA244" s="15">
        <f t="shared" si="10"/>
        <v>9.311854181734148</v>
      </c>
      <c r="AB244" s="15">
        <f>IFERROR(IF(Table50[[#This Row],[ccnt]]="BEV",$AB$2,IF(Table50[[#This Row],[ccnt]]="FOOD",$AC$2,"ENTER # FROM LAST COUNT")),"ENTER # FROM LAST COUNT")</f>
        <v>5</v>
      </c>
      <c r="AC244" s="15">
        <f>(Table50[[#This Row],[OpeningQty]]+Table50[[#This Row],[ClosingQty]])/2</f>
        <v>3</v>
      </c>
      <c r="AD244" s="15">
        <f>IFERROR(Table50[[#This Row],[UsageQty]]/Table50[[#This Row],[AVE INVENTORY]],0)</f>
        <v>1</v>
      </c>
      <c r="AE244" s="15">
        <f>IFERROR(Table50[[#This Row],[DATA POINT]]/Table50[[#This Row],[Inventory Turnover Rate]],0)</f>
        <v>14</v>
      </c>
      <c r="AF244" s="15">
        <f>Table50[[#This Row],[ClosingQty]]/Table50[[#This Row],[USAGE / DAY]]</f>
        <v>27.272727272727273</v>
      </c>
      <c r="AG244" s="15">
        <f>Table50[[#This Row],[USAGE / DAY]]*7</f>
        <v>1.54</v>
      </c>
      <c r="AH244" s="15">
        <f>Table50[[#This Row],[USAGE / DAY]]*3</f>
        <v>0.66</v>
      </c>
      <c r="AI24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44" s="15">
        <f>IFERROR(Table50[[#This Row],[ORDER QTY2]]*Table50[[#This Row],[COST PRICE]],0)</f>
        <v>0</v>
      </c>
      <c r="AK244" s="15">
        <f>(Table50[[#This Row],[REORDER POINT]]*Table50[[#This Row],[COST PRICE]])+Table50[[#This Row],[ORDER COST]]</f>
        <v>604.32516666666675</v>
      </c>
      <c r="AL244" s="15">
        <f t="shared" si="11"/>
        <v>100</v>
      </c>
      <c r="AM244" s="15">
        <f>IFERROR((Table50[[#This Row],[REORDER POINT]]+Table50[[#This Row],[ORDER QTY]])/(Table50[[#This Row],[USAGE / DAY]]*Table50[[#This Row],[DEMAND %]]),Table50[[#This Row],[REORDER POINT]]/Table50[[#This Row],[USAGE / DAY]])</f>
        <v>22.272727272727273</v>
      </c>
    </row>
    <row r="245" spans="1:39" x14ac:dyDescent="0.25">
      <c r="A245" t="s">
        <v>324</v>
      </c>
      <c r="B245" t="s">
        <v>330</v>
      </c>
      <c r="C245" t="s">
        <v>340</v>
      </c>
      <c r="D245" t="s">
        <v>53</v>
      </c>
      <c r="E245">
        <v>2</v>
      </c>
      <c r="F245">
        <v>54</v>
      </c>
      <c r="G245">
        <v>0</v>
      </c>
      <c r="H245">
        <v>0</v>
      </c>
      <c r="I245">
        <v>2</v>
      </c>
      <c r="J245">
        <v>54</v>
      </c>
      <c r="K245">
        <f>Table50[[#This Row],[OpeningQty]]+Table50[[#This Row],[PurchasesQty]]-Table50[[#This Row],[ClosingQty]]</f>
        <v>0</v>
      </c>
      <c r="L245">
        <v>0</v>
      </c>
      <c r="M245" s="14">
        <f>Table50[[#This Row],[Usage]]/$L$1</f>
        <v>0</v>
      </c>
      <c r="N245" s="15">
        <f>IFERROR(Table50[[#This Row],[Opening]]/Table50[[#This Row],[OpeningQty]],0)</f>
        <v>27</v>
      </c>
      <c r="O245" s="15">
        <f>IFERROR(Table50[[#This Row],[Purchases]]/Table50[[#This Row],[PurchasesQty]],0)</f>
        <v>0</v>
      </c>
      <c r="P245" s="15">
        <f>IFERROR(Table50[[#This Row],[Closing]]/Table50[[#This Row],[ClosingQty]],0)</f>
        <v>27</v>
      </c>
      <c r="Q245" s="15">
        <f>IFERROR(AVERAGEIF(Table50[[#This Row],[OPENING COST PRICE]:[CLOSING COST PRICE]],"&gt;0"),0)</f>
        <v>27</v>
      </c>
      <c r="R245" s="15">
        <f>IFERROR(Table50[[#This Row],[COST PRICE]]-IFERROR(Table50[[#This Row],[Usage]]/Table50[[#This Row],[UsageQty]],Table50[[#This Row],[COST PRICE]]),0)</f>
        <v>0</v>
      </c>
      <c r="S245" s="16">
        <f>IFERROR(Table50[[#This Row],[COST PRICE CHANGE]]/Table50[[#This Row],[OPENING COST PRICE]],0)</f>
        <v>0</v>
      </c>
      <c r="T245" s="15">
        <f>Table50[[#This Row],[ClosingQty]]-(Table50[[#This Row],[USAGE / DAY]]*(IF(Table50[[#This Row],[ccnt]]="BEV",Table50[[#This Row],[DELIVERY DAY]],Table50[[#This Row],[DELIVERY DAY]])))</f>
        <v>2</v>
      </c>
      <c r="U245" s="15">
        <f>ROUNDUP(Table50[[#This Row],[UsageQty]]/Table50[[#This Row],[DATA POINT]],2)</f>
        <v>0</v>
      </c>
      <c r="V24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45" s="15">
        <f>IFERROR(Table50[[#This Row],[ORDER QTY]]*Table50[[#This Row],[COST PRICE]],0)</f>
        <v>0</v>
      </c>
      <c r="X245" s="15">
        <f>IFERROR(VLOOKUP(C245,[1]!Table49[[#All],[name]:[USAGE / DAY]],19,FALSE),1)</f>
        <v>0</v>
      </c>
      <c r="Y245" s="4">
        <f>IFERROR((Table50[[#This Row],[USAGE / DAY]]-Table50[[#This Row],[USAGE / DAY 2]])/Table50[[#This Row],[USAGE / DAY 2]],0)</f>
        <v>0</v>
      </c>
      <c r="Z245" s="15">
        <f t="shared" si="9"/>
        <v>14</v>
      </c>
      <c r="AA245" s="15">
        <f t="shared" si="10"/>
        <v>9.311854181734148</v>
      </c>
      <c r="AB245" s="15">
        <f>IFERROR(IF(Table50[[#This Row],[ccnt]]="BEV",$AB$2,IF(Table50[[#This Row],[ccnt]]="FOOD",$AC$2,"ENTER # FROM LAST COUNT")),"ENTER # FROM LAST COUNT")</f>
        <v>5</v>
      </c>
      <c r="AC245" s="15">
        <f>(Table50[[#This Row],[OpeningQty]]+Table50[[#This Row],[ClosingQty]])/2</f>
        <v>2</v>
      </c>
      <c r="AD245" s="15">
        <f>IFERROR(Table50[[#This Row],[UsageQty]]/Table50[[#This Row],[AVE INVENTORY]],0)</f>
        <v>0</v>
      </c>
      <c r="AE245" s="15">
        <f>IFERROR(Table50[[#This Row],[DATA POINT]]/Table50[[#This Row],[Inventory Turnover Rate]],0)</f>
        <v>0</v>
      </c>
      <c r="AF245" s="15" t="e">
        <f>Table50[[#This Row],[ClosingQty]]/Table50[[#This Row],[USAGE / DAY]]</f>
        <v>#DIV/0!</v>
      </c>
      <c r="AG245" s="15">
        <f>Table50[[#This Row],[USAGE / DAY]]*7</f>
        <v>0</v>
      </c>
      <c r="AH245" s="15">
        <f>Table50[[#This Row],[USAGE / DAY]]*3</f>
        <v>0</v>
      </c>
      <c r="AI24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45" s="15">
        <f>IFERROR(Table50[[#This Row],[ORDER QTY2]]*Table50[[#This Row],[COST PRICE]],0)</f>
        <v>0</v>
      </c>
      <c r="AK245" s="15">
        <f>(Table50[[#This Row],[REORDER POINT]]*Table50[[#This Row],[COST PRICE]])+Table50[[#This Row],[ORDER COST]]</f>
        <v>54</v>
      </c>
      <c r="AL245" s="15">
        <f t="shared" si="11"/>
        <v>100</v>
      </c>
      <c r="AM245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246" spans="1:39" x14ac:dyDescent="0.25">
      <c r="A246" t="s">
        <v>324</v>
      </c>
      <c r="B246" t="s">
        <v>330</v>
      </c>
      <c r="C246" t="s">
        <v>341</v>
      </c>
      <c r="D246" t="s">
        <v>76</v>
      </c>
      <c r="E246">
        <v>20</v>
      </c>
      <c r="F246">
        <v>547.79999999999995</v>
      </c>
      <c r="G246">
        <v>42</v>
      </c>
      <c r="H246">
        <v>919.77</v>
      </c>
      <c r="I246">
        <v>28.3</v>
      </c>
      <c r="J246">
        <v>489.59</v>
      </c>
      <c r="K246">
        <f>Table50[[#This Row],[OpeningQty]]+Table50[[#This Row],[PurchasesQty]]-Table50[[#This Row],[ClosingQty]]</f>
        <v>33.700000000000003</v>
      </c>
      <c r="L246">
        <v>977.98</v>
      </c>
      <c r="M246" s="14">
        <f>Table50[[#This Row],[Usage]]/$L$1</f>
        <v>1.4853554324720526E-3</v>
      </c>
      <c r="N246" s="15">
        <f>IFERROR(Table50[[#This Row],[Opening]]/Table50[[#This Row],[OpeningQty]],0)</f>
        <v>27.389999999999997</v>
      </c>
      <c r="O246" s="15">
        <f>IFERROR(Table50[[#This Row],[Purchases]]/Table50[[#This Row],[PurchasesQty]],0)</f>
        <v>21.899285714285714</v>
      </c>
      <c r="P246" s="15">
        <f>IFERROR(Table50[[#This Row],[Closing]]/Table50[[#This Row],[ClosingQty]],0)</f>
        <v>17.299999999999997</v>
      </c>
      <c r="Q246" s="15">
        <f>IFERROR(AVERAGEIF(Table50[[#This Row],[OPENING COST PRICE]:[CLOSING COST PRICE]],"&gt;0"),0)</f>
        <v>22.196428571428569</v>
      </c>
      <c r="R246" s="15">
        <f>IFERROR(Table50[[#This Row],[COST PRICE]]-IFERROR(Table50[[#This Row],[Usage]]/Table50[[#This Row],[UsageQty]],Table50[[#This Row],[COST PRICE]]),0)</f>
        <v>-6.823749470114457</v>
      </c>
      <c r="S246" s="16">
        <f>IFERROR(Table50[[#This Row],[COST PRICE CHANGE]]/Table50[[#This Row],[OPENING COST PRICE]],0)</f>
        <v>-0.2491328758712836</v>
      </c>
      <c r="T246" s="15">
        <f>Table50[[#This Row],[ClosingQty]]-(Table50[[#This Row],[USAGE / DAY]]*(IF(Table50[[#This Row],[ccnt]]="BEV",Table50[[#This Row],[DELIVERY DAY]],Table50[[#This Row],[DELIVERY DAY]])))</f>
        <v>16.25</v>
      </c>
      <c r="U246" s="15">
        <f>ROUNDUP(Table50[[#This Row],[UsageQty]]/Table50[[#This Row],[DATA POINT]],2)</f>
        <v>2.4099999999999997</v>
      </c>
      <c r="V24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7</v>
      </c>
      <c r="W246" s="15">
        <f>IFERROR(Table50[[#This Row],[ORDER QTY]]*Table50[[#This Row],[COST PRICE]],0)</f>
        <v>155.375</v>
      </c>
      <c r="X246" s="15">
        <f>IFERROR(VLOOKUP(C246,[1]!Table49[[#All],[name]:[USAGE / DAY]],19,FALSE),1)</f>
        <v>2.48</v>
      </c>
      <c r="Y246" s="4">
        <f>IFERROR((Table50[[#This Row],[USAGE / DAY]]-Table50[[#This Row],[USAGE / DAY 2]])/Table50[[#This Row],[USAGE / DAY 2]],0)</f>
        <v>-2.8225806451613017E-2</v>
      </c>
      <c r="Z246" s="15">
        <f t="shared" si="9"/>
        <v>14</v>
      </c>
      <c r="AA246" s="15">
        <f t="shared" si="10"/>
        <v>9.311854181734148</v>
      </c>
      <c r="AB246" s="15">
        <f>IFERROR(IF(Table50[[#This Row],[ccnt]]="BEV",$AB$2,IF(Table50[[#This Row],[ccnt]]="FOOD",$AC$2,"ENTER # FROM LAST COUNT")),"ENTER # FROM LAST COUNT")</f>
        <v>5</v>
      </c>
      <c r="AC246" s="15">
        <f>(Table50[[#This Row],[OpeningQty]]+Table50[[#This Row],[ClosingQty]])/2</f>
        <v>24.15</v>
      </c>
      <c r="AD246" s="15">
        <f>IFERROR(Table50[[#This Row],[UsageQty]]/Table50[[#This Row],[AVE INVENTORY]],0)</f>
        <v>1.3954451345755696</v>
      </c>
      <c r="AE246" s="15">
        <f>IFERROR(Table50[[#This Row],[DATA POINT]]/Table50[[#This Row],[Inventory Turnover Rate]],0)</f>
        <v>10.032640949554894</v>
      </c>
      <c r="AF246" s="15">
        <f>Table50[[#This Row],[ClosingQty]]/Table50[[#This Row],[USAGE / DAY]]</f>
        <v>11.742738589211619</v>
      </c>
      <c r="AG246" s="15">
        <f>Table50[[#This Row],[USAGE / DAY]]*7</f>
        <v>16.869999999999997</v>
      </c>
      <c r="AH246" s="15">
        <f>Table50[[#This Row],[USAGE / DAY]]*3</f>
        <v>7.2299999999999986</v>
      </c>
      <c r="AI24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46" s="15">
        <f>IFERROR(Table50[[#This Row],[ORDER QTY2]]*Table50[[#This Row],[COST PRICE]],0)</f>
        <v>0</v>
      </c>
      <c r="AK246" s="15">
        <f>(Table50[[#This Row],[REORDER POINT]]*Table50[[#This Row],[COST PRICE]])+Table50[[#This Row],[ORDER COST]]</f>
        <v>516.06696428571422</v>
      </c>
      <c r="AL246" s="15">
        <f t="shared" si="11"/>
        <v>100</v>
      </c>
      <c r="AM246" s="15">
        <f>IFERROR((Table50[[#This Row],[REORDER POINT]]+Table50[[#This Row],[ORDER QTY]])/(Table50[[#This Row],[USAGE / DAY]]*Table50[[#This Row],[DEMAND %]]),Table50[[#This Row],[REORDER POINT]]/Table50[[#This Row],[USAGE / DAY]])</f>
        <v>9.6473029045643172E-2</v>
      </c>
    </row>
    <row r="247" spans="1:39" x14ac:dyDescent="0.25">
      <c r="A247" t="s">
        <v>324</v>
      </c>
      <c r="B247" t="s">
        <v>330</v>
      </c>
      <c r="C247" t="s">
        <v>342</v>
      </c>
      <c r="D247" t="s">
        <v>126</v>
      </c>
      <c r="E247">
        <v>60</v>
      </c>
      <c r="F247">
        <v>1740</v>
      </c>
      <c r="G247">
        <v>0</v>
      </c>
      <c r="H247">
        <v>0</v>
      </c>
      <c r="I247">
        <v>20</v>
      </c>
      <c r="J247">
        <v>580</v>
      </c>
      <c r="K247">
        <f>Table50[[#This Row],[OpeningQty]]+Table50[[#This Row],[PurchasesQty]]-Table50[[#This Row],[ClosingQty]]</f>
        <v>40</v>
      </c>
      <c r="L247">
        <v>1160</v>
      </c>
      <c r="M247" s="14">
        <f>Table50[[#This Row],[Usage]]/$L$1</f>
        <v>1.7618072983778613E-3</v>
      </c>
      <c r="N247" s="15">
        <f>IFERROR(Table50[[#This Row],[Opening]]/Table50[[#This Row],[OpeningQty]],0)</f>
        <v>29</v>
      </c>
      <c r="O247" s="15">
        <f>IFERROR(Table50[[#This Row],[Purchases]]/Table50[[#This Row],[PurchasesQty]],0)</f>
        <v>0</v>
      </c>
      <c r="P247" s="15">
        <f>IFERROR(Table50[[#This Row],[Closing]]/Table50[[#This Row],[ClosingQty]],0)</f>
        <v>29</v>
      </c>
      <c r="Q247" s="15">
        <f>IFERROR(AVERAGEIF(Table50[[#This Row],[OPENING COST PRICE]:[CLOSING COST PRICE]],"&gt;0"),0)</f>
        <v>29</v>
      </c>
      <c r="R247" s="15">
        <f>IFERROR(Table50[[#This Row],[COST PRICE]]-IFERROR(Table50[[#This Row],[Usage]]/Table50[[#This Row],[UsageQty]],Table50[[#This Row],[COST PRICE]]),0)</f>
        <v>0</v>
      </c>
      <c r="S247" s="16">
        <f>IFERROR(Table50[[#This Row],[COST PRICE CHANGE]]/Table50[[#This Row],[OPENING COST PRICE]],0)</f>
        <v>0</v>
      </c>
      <c r="T247" s="15">
        <f>Table50[[#This Row],[ClosingQty]]-(Table50[[#This Row],[USAGE / DAY]]*(IF(Table50[[#This Row],[ccnt]]="BEV",Table50[[#This Row],[DELIVERY DAY]],Table50[[#This Row],[DELIVERY DAY]])))</f>
        <v>5.7000000000000011</v>
      </c>
      <c r="U247" s="15">
        <f>ROUNDUP(Table50[[#This Row],[UsageQty]]/Table50[[#This Row],[DATA POINT]],2)</f>
        <v>2.86</v>
      </c>
      <c r="V24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21</v>
      </c>
      <c r="W247" s="15">
        <f>IFERROR(Table50[[#This Row],[ORDER QTY]]*Table50[[#This Row],[COST PRICE]],0)</f>
        <v>609</v>
      </c>
      <c r="X247" s="15">
        <f>IFERROR(VLOOKUP(C247,[1]!Table49[[#All],[name]:[USAGE / DAY]],19,FALSE),1)</f>
        <v>2.67</v>
      </c>
      <c r="Y247" s="4">
        <f>IFERROR((Table50[[#This Row],[USAGE / DAY]]-Table50[[#This Row],[USAGE / DAY 2]])/Table50[[#This Row],[USAGE / DAY 2]],0)</f>
        <v>7.1161048689138556E-2</v>
      </c>
      <c r="Z247" s="15">
        <f t="shared" si="9"/>
        <v>14</v>
      </c>
      <c r="AA247" s="15">
        <f t="shared" si="10"/>
        <v>9.311854181734148</v>
      </c>
      <c r="AB247" s="15">
        <f>IFERROR(IF(Table50[[#This Row],[ccnt]]="BEV",$AB$2,IF(Table50[[#This Row],[ccnt]]="FOOD",$AC$2,"ENTER # FROM LAST COUNT")),"ENTER # FROM LAST COUNT")</f>
        <v>5</v>
      </c>
      <c r="AC247" s="15">
        <f>(Table50[[#This Row],[OpeningQty]]+Table50[[#This Row],[ClosingQty]])/2</f>
        <v>40</v>
      </c>
      <c r="AD247" s="15">
        <f>IFERROR(Table50[[#This Row],[UsageQty]]/Table50[[#This Row],[AVE INVENTORY]],0)</f>
        <v>1</v>
      </c>
      <c r="AE247" s="15">
        <f>IFERROR(Table50[[#This Row],[DATA POINT]]/Table50[[#This Row],[Inventory Turnover Rate]],0)</f>
        <v>14</v>
      </c>
      <c r="AF247" s="15">
        <f>Table50[[#This Row],[ClosingQty]]/Table50[[#This Row],[USAGE / DAY]]</f>
        <v>6.9930069930069934</v>
      </c>
      <c r="AG247" s="15">
        <f>Table50[[#This Row],[USAGE / DAY]]*7</f>
        <v>20.02</v>
      </c>
      <c r="AH247" s="15">
        <f>Table50[[#This Row],[USAGE / DAY]]*3</f>
        <v>8.58</v>
      </c>
      <c r="AI247" s="15">
        <f>IF(Table50[[#This Row],[FORECASTED DEMAND]]+Table50[[#This Row],[SAFETY STOCK]]-Table50[[#This Row],[ClosingQty]]&gt;0,Table50[[#This Row],[FORECASTED DEMAND]]+Table50[[#This Row],[SAFETY STOCK]]-Table50[[#This Row],[ClosingQty]],"NO ORDER")</f>
        <v>8.6000000000000014</v>
      </c>
      <c r="AJ247" s="15">
        <f>IFERROR(Table50[[#This Row],[ORDER QTY2]]*Table50[[#This Row],[COST PRICE]],0)</f>
        <v>249.40000000000003</v>
      </c>
      <c r="AK247" s="15">
        <f>(Table50[[#This Row],[REORDER POINT]]*Table50[[#This Row],[COST PRICE]])+Table50[[#This Row],[ORDER COST]]</f>
        <v>774.30000000000007</v>
      </c>
      <c r="AL247" s="15">
        <f t="shared" si="11"/>
        <v>100</v>
      </c>
      <c r="AM247" s="15">
        <f>IFERROR((Table50[[#This Row],[REORDER POINT]]+Table50[[#This Row],[ORDER QTY]])/(Table50[[#This Row],[USAGE / DAY]]*Table50[[#This Row],[DEMAND %]]),Table50[[#This Row],[REORDER POINT]]/Table50[[#This Row],[USAGE / DAY]])</f>
        <v>9.3356643356643371E-2</v>
      </c>
    </row>
    <row r="248" spans="1:39" x14ac:dyDescent="0.25">
      <c r="A248" t="s">
        <v>324</v>
      </c>
      <c r="B248" t="s">
        <v>330</v>
      </c>
      <c r="C248" t="s">
        <v>343</v>
      </c>
      <c r="D248" t="s">
        <v>126</v>
      </c>
      <c r="E248">
        <v>5</v>
      </c>
      <c r="F248">
        <v>1200</v>
      </c>
      <c r="G248">
        <v>0</v>
      </c>
      <c r="H248">
        <v>0</v>
      </c>
      <c r="I248">
        <v>5</v>
      </c>
      <c r="J248">
        <v>1200</v>
      </c>
      <c r="K248">
        <f>Table50[[#This Row],[OpeningQty]]+Table50[[#This Row],[PurchasesQty]]-Table50[[#This Row],[ClosingQty]]</f>
        <v>0</v>
      </c>
      <c r="L248">
        <v>0</v>
      </c>
      <c r="M248" s="14">
        <f>Table50[[#This Row],[Usage]]/$L$1</f>
        <v>0</v>
      </c>
      <c r="N248" s="15">
        <f>IFERROR(Table50[[#This Row],[Opening]]/Table50[[#This Row],[OpeningQty]],0)</f>
        <v>240</v>
      </c>
      <c r="O248" s="15">
        <f>IFERROR(Table50[[#This Row],[Purchases]]/Table50[[#This Row],[PurchasesQty]],0)</f>
        <v>0</v>
      </c>
      <c r="P248" s="15">
        <f>IFERROR(Table50[[#This Row],[Closing]]/Table50[[#This Row],[ClosingQty]],0)</f>
        <v>240</v>
      </c>
      <c r="Q248" s="15">
        <f>IFERROR(AVERAGEIF(Table50[[#This Row],[OPENING COST PRICE]:[CLOSING COST PRICE]],"&gt;0"),0)</f>
        <v>240</v>
      </c>
      <c r="R248" s="15">
        <f>IFERROR(Table50[[#This Row],[COST PRICE]]-IFERROR(Table50[[#This Row],[Usage]]/Table50[[#This Row],[UsageQty]],Table50[[#This Row],[COST PRICE]]),0)</f>
        <v>0</v>
      </c>
      <c r="S248" s="16">
        <f>IFERROR(Table50[[#This Row],[COST PRICE CHANGE]]/Table50[[#This Row],[OPENING COST PRICE]],0)</f>
        <v>0</v>
      </c>
      <c r="T248" s="15">
        <f>Table50[[#This Row],[ClosingQty]]-(Table50[[#This Row],[USAGE / DAY]]*(IF(Table50[[#This Row],[ccnt]]="BEV",Table50[[#This Row],[DELIVERY DAY]],Table50[[#This Row],[DELIVERY DAY]])))</f>
        <v>5</v>
      </c>
      <c r="U248" s="15">
        <f>ROUNDUP(Table50[[#This Row],[UsageQty]]/Table50[[#This Row],[DATA POINT]],2)</f>
        <v>0</v>
      </c>
      <c r="V24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48" s="15">
        <f>IFERROR(Table50[[#This Row],[ORDER QTY]]*Table50[[#This Row],[COST PRICE]],0)</f>
        <v>0</v>
      </c>
      <c r="X248" s="15">
        <f>IFERROR(VLOOKUP(C248,[1]!Table49[[#All],[name]:[USAGE / DAY]],19,FALSE),1)</f>
        <v>6.9999999999999993E-2</v>
      </c>
      <c r="Y248" s="4">
        <f>IFERROR((Table50[[#This Row],[USAGE / DAY]]-Table50[[#This Row],[USAGE / DAY 2]])/Table50[[#This Row],[USAGE / DAY 2]],0)</f>
        <v>-1</v>
      </c>
      <c r="Z248" s="15">
        <f t="shared" si="9"/>
        <v>14</v>
      </c>
      <c r="AA248" s="15">
        <f t="shared" si="10"/>
        <v>9.311854181734148</v>
      </c>
      <c r="AB248" s="15">
        <f>IFERROR(IF(Table50[[#This Row],[ccnt]]="BEV",$AB$2,IF(Table50[[#This Row],[ccnt]]="FOOD",$AC$2,"ENTER # FROM LAST COUNT")),"ENTER # FROM LAST COUNT")</f>
        <v>5</v>
      </c>
      <c r="AC248" s="15">
        <f>(Table50[[#This Row],[OpeningQty]]+Table50[[#This Row],[ClosingQty]])/2</f>
        <v>5</v>
      </c>
      <c r="AD248" s="15">
        <f>IFERROR(Table50[[#This Row],[UsageQty]]/Table50[[#This Row],[AVE INVENTORY]],0)</f>
        <v>0</v>
      </c>
      <c r="AE248" s="15">
        <f>IFERROR(Table50[[#This Row],[DATA POINT]]/Table50[[#This Row],[Inventory Turnover Rate]],0)</f>
        <v>0</v>
      </c>
      <c r="AF248" s="15" t="e">
        <f>Table50[[#This Row],[ClosingQty]]/Table50[[#This Row],[USAGE / DAY]]</f>
        <v>#DIV/0!</v>
      </c>
      <c r="AG248" s="15">
        <f>Table50[[#This Row],[USAGE / DAY]]*7</f>
        <v>0</v>
      </c>
      <c r="AH248" s="15">
        <f>Table50[[#This Row],[USAGE / DAY]]*3</f>
        <v>0</v>
      </c>
      <c r="AI24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48" s="15">
        <f>IFERROR(Table50[[#This Row],[ORDER QTY2]]*Table50[[#This Row],[COST PRICE]],0)</f>
        <v>0</v>
      </c>
      <c r="AK248" s="15">
        <f>(Table50[[#This Row],[REORDER POINT]]*Table50[[#This Row],[COST PRICE]])+Table50[[#This Row],[ORDER COST]]</f>
        <v>1200</v>
      </c>
      <c r="AL248" s="15">
        <f t="shared" si="11"/>
        <v>100</v>
      </c>
      <c r="AM248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249" spans="1:39" x14ac:dyDescent="0.25">
      <c r="A249" t="s">
        <v>324</v>
      </c>
      <c r="B249" t="s">
        <v>330</v>
      </c>
      <c r="C249" t="s">
        <v>344</v>
      </c>
      <c r="D249" t="s">
        <v>76</v>
      </c>
      <c r="E249">
        <v>6</v>
      </c>
      <c r="F249">
        <v>267.3</v>
      </c>
      <c r="G249">
        <v>0</v>
      </c>
      <c r="H249">
        <v>0</v>
      </c>
      <c r="I249">
        <v>3.95</v>
      </c>
      <c r="J249">
        <v>175.97</v>
      </c>
      <c r="K249">
        <f>Table50[[#This Row],[OpeningQty]]+Table50[[#This Row],[PurchasesQty]]-Table50[[#This Row],[ClosingQty]]</f>
        <v>2.0499999999999998</v>
      </c>
      <c r="L249">
        <v>91.33</v>
      </c>
      <c r="M249" s="14">
        <f>Table50[[#This Row],[Usage]]/$L$1</f>
        <v>1.3871194875935352E-4</v>
      </c>
      <c r="N249" s="15">
        <f>IFERROR(Table50[[#This Row],[Opening]]/Table50[[#This Row],[OpeningQty]],0)</f>
        <v>44.550000000000004</v>
      </c>
      <c r="O249" s="15">
        <f>IFERROR(Table50[[#This Row],[Purchases]]/Table50[[#This Row],[PurchasesQty]],0)</f>
        <v>0</v>
      </c>
      <c r="P249" s="15">
        <f>IFERROR(Table50[[#This Row],[Closing]]/Table50[[#This Row],[ClosingQty]],0)</f>
        <v>44.549367088607596</v>
      </c>
      <c r="Q249" s="15">
        <f>IFERROR(AVERAGEIF(Table50[[#This Row],[OPENING COST PRICE]:[CLOSING COST PRICE]],"&gt;0"),0)</f>
        <v>44.549683544303804</v>
      </c>
      <c r="R249" s="15">
        <f>IFERROR(Table50[[#This Row],[COST PRICE]]-IFERROR(Table50[[#This Row],[Usage]]/Table50[[#This Row],[UsageQty]],Table50[[#This Row],[COST PRICE]]),0)</f>
        <v>-1.535967891321377E-3</v>
      </c>
      <c r="S249" s="16">
        <f>IFERROR(Table50[[#This Row],[COST PRICE CHANGE]]/Table50[[#This Row],[OPENING COST PRICE]],0)</f>
        <v>-3.4477393744587582E-5</v>
      </c>
      <c r="T249" s="15">
        <f>Table50[[#This Row],[ClosingQty]]-(Table50[[#This Row],[USAGE / DAY]]*(IF(Table50[[#This Row],[ccnt]]="BEV",Table50[[#This Row],[DELIVERY DAY]],Table50[[#This Row],[DELIVERY DAY]])))</f>
        <v>3.2</v>
      </c>
      <c r="U249" s="15">
        <f>ROUNDUP(Table50[[#This Row],[UsageQty]]/Table50[[#This Row],[DATA POINT]],2)</f>
        <v>0.15000000000000002</v>
      </c>
      <c r="V24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49" s="15">
        <f>IFERROR(Table50[[#This Row],[ORDER QTY]]*Table50[[#This Row],[COST PRICE]],0)</f>
        <v>0</v>
      </c>
      <c r="X249" s="15">
        <f>IFERROR(VLOOKUP(C249,[1]!Table49[[#All],[name]:[USAGE / DAY]],19,FALSE),1)</f>
        <v>0.23</v>
      </c>
      <c r="Y249" s="4">
        <f>IFERROR((Table50[[#This Row],[USAGE / DAY]]-Table50[[#This Row],[USAGE / DAY 2]])/Table50[[#This Row],[USAGE / DAY 2]],0)</f>
        <v>-0.34782608695652167</v>
      </c>
      <c r="Z249" s="15">
        <f t="shared" si="9"/>
        <v>14</v>
      </c>
      <c r="AA249" s="15">
        <f t="shared" si="10"/>
        <v>9.311854181734148</v>
      </c>
      <c r="AB249" s="15">
        <f>IFERROR(IF(Table50[[#This Row],[ccnt]]="BEV",$AB$2,IF(Table50[[#This Row],[ccnt]]="FOOD",$AC$2,"ENTER # FROM LAST COUNT")),"ENTER # FROM LAST COUNT")</f>
        <v>5</v>
      </c>
      <c r="AC249" s="15">
        <f>(Table50[[#This Row],[OpeningQty]]+Table50[[#This Row],[ClosingQty]])/2</f>
        <v>4.9749999999999996</v>
      </c>
      <c r="AD249" s="15">
        <f>IFERROR(Table50[[#This Row],[UsageQty]]/Table50[[#This Row],[AVE INVENTORY]],0)</f>
        <v>0.4120603015075377</v>
      </c>
      <c r="AE249" s="15">
        <f>IFERROR(Table50[[#This Row],[DATA POINT]]/Table50[[#This Row],[Inventory Turnover Rate]],0)</f>
        <v>33.975609756097562</v>
      </c>
      <c r="AF249" s="15">
        <f>Table50[[#This Row],[ClosingQty]]/Table50[[#This Row],[USAGE / DAY]]</f>
        <v>26.333333333333332</v>
      </c>
      <c r="AG249" s="15">
        <f>Table50[[#This Row],[USAGE / DAY]]*7</f>
        <v>1.0500000000000003</v>
      </c>
      <c r="AH249" s="15">
        <f>Table50[[#This Row],[USAGE / DAY]]*3</f>
        <v>0.45000000000000007</v>
      </c>
      <c r="AI24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49" s="15">
        <f>IFERROR(Table50[[#This Row],[ORDER QTY2]]*Table50[[#This Row],[COST PRICE]],0)</f>
        <v>0</v>
      </c>
      <c r="AK249" s="15">
        <f>(Table50[[#This Row],[REORDER POINT]]*Table50[[#This Row],[COST PRICE]])+Table50[[#This Row],[ORDER COST]]</f>
        <v>142.55898734177217</v>
      </c>
      <c r="AL249" s="15">
        <f t="shared" si="11"/>
        <v>100</v>
      </c>
      <c r="AM249" s="15">
        <f>IFERROR((Table50[[#This Row],[REORDER POINT]]+Table50[[#This Row],[ORDER QTY]])/(Table50[[#This Row],[USAGE / DAY]]*Table50[[#This Row],[DEMAND %]]),Table50[[#This Row],[REORDER POINT]]/Table50[[#This Row],[USAGE / DAY]])</f>
        <v>21.333333333333332</v>
      </c>
    </row>
    <row r="250" spans="1:39" x14ac:dyDescent="0.25">
      <c r="A250" t="s">
        <v>324</v>
      </c>
      <c r="B250" t="s">
        <v>330</v>
      </c>
      <c r="C250" t="s">
        <v>345</v>
      </c>
      <c r="D250" t="s">
        <v>346</v>
      </c>
      <c r="E250">
        <v>1</v>
      </c>
      <c r="F250">
        <v>91.66</v>
      </c>
      <c r="G250">
        <v>0</v>
      </c>
      <c r="H250">
        <v>0</v>
      </c>
      <c r="I250">
        <v>1</v>
      </c>
      <c r="J250">
        <v>91.66</v>
      </c>
      <c r="K250">
        <f>Table50[[#This Row],[OpeningQty]]+Table50[[#This Row],[PurchasesQty]]-Table50[[#This Row],[ClosingQty]]</f>
        <v>0</v>
      </c>
      <c r="L250">
        <v>0</v>
      </c>
      <c r="M250" s="14">
        <f>Table50[[#This Row],[Usage]]/$L$1</f>
        <v>0</v>
      </c>
      <c r="N250" s="15">
        <f>IFERROR(Table50[[#This Row],[Opening]]/Table50[[#This Row],[OpeningQty]],0)</f>
        <v>91.66</v>
      </c>
      <c r="O250" s="15">
        <f>IFERROR(Table50[[#This Row],[Purchases]]/Table50[[#This Row],[PurchasesQty]],0)</f>
        <v>0</v>
      </c>
      <c r="P250" s="15">
        <f>IFERROR(Table50[[#This Row],[Closing]]/Table50[[#This Row],[ClosingQty]],0)</f>
        <v>91.66</v>
      </c>
      <c r="Q250" s="15">
        <f>IFERROR(AVERAGEIF(Table50[[#This Row],[OPENING COST PRICE]:[CLOSING COST PRICE]],"&gt;0"),0)</f>
        <v>91.66</v>
      </c>
      <c r="R250" s="15">
        <f>IFERROR(Table50[[#This Row],[COST PRICE]]-IFERROR(Table50[[#This Row],[Usage]]/Table50[[#This Row],[UsageQty]],Table50[[#This Row],[COST PRICE]]),0)</f>
        <v>0</v>
      </c>
      <c r="S250" s="16">
        <f>IFERROR(Table50[[#This Row],[COST PRICE CHANGE]]/Table50[[#This Row],[OPENING COST PRICE]],0)</f>
        <v>0</v>
      </c>
      <c r="T250" s="15">
        <f>Table50[[#This Row],[ClosingQty]]-(Table50[[#This Row],[USAGE / DAY]]*(IF(Table50[[#This Row],[ccnt]]="BEV",Table50[[#This Row],[DELIVERY DAY]],Table50[[#This Row],[DELIVERY DAY]])))</f>
        <v>1</v>
      </c>
      <c r="U250" s="15">
        <f>ROUNDUP(Table50[[#This Row],[UsageQty]]/Table50[[#This Row],[DATA POINT]],2)</f>
        <v>0</v>
      </c>
      <c r="V25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50" s="15">
        <f>IFERROR(Table50[[#This Row],[ORDER QTY]]*Table50[[#This Row],[COST PRICE]],0)</f>
        <v>0</v>
      </c>
      <c r="X250" s="15">
        <f>IFERROR(VLOOKUP(C250,[1]!Table49[[#All],[name]:[USAGE / DAY]],19,FALSE),1)</f>
        <v>0</v>
      </c>
      <c r="Y250" s="4">
        <f>IFERROR((Table50[[#This Row],[USAGE / DAY]]-Table50[[#This Row],[USAGE / DAY 2]])/Table50[[#This Row],[USAGE / DAY 2]],0)</f>
        <v>0</v>
      </c>
      <c r="Z250" s="15">
        <f t="shared" si="9"/>
        <v>14</v>
      </c>
      <c r="AA250" s="15">
        <f t="shared" si="10"/>
        <v>9.311854181734148</v>
      </c>
      <c r="AB250" s="15">
        <f>IFERROR(IF(Table50[[#This Row],[ccnt]]="BEV",$AB$2,IF(Table50[[#This Row],[ccnt]]="FOOD",$AC$2,"ENTER # FROM LAST COUNT")),"ENTER # FROM LAST COUNT")</f>
        <v>5</v>
      </c>
      <c r="AC250" s="15">
        <f>(Table50[[#This Row],[OpeningQty]]+Table50[[#This Row],[ClosingQty]])/2</f>
        <v>1</v>
      </c>
      <c r="AD250" s="15">
        <f>IFERROR(Table50[[#This Row],[UsageQty]]/Table50[[#This Row],[AVE INVENTORY]],0)</f>
        <v>0</v>
      </c>
      <c r="AE250" s="15">
        <f>IFERROR(Table50[[#This Row],[DATA POINT]]/Table50[[#This Row],[Inventory Turnover Rate]],0)</f>
        <v>0</v>
      </c>
      <c r="AF250" s="15" t="e">
        <f>Table50[[#This Row],[ClosingQty]]/Table50[[#This Row],[USAGE / DAY]]</f>
        <v>#DIV/0!</v>
      </c>
      <c r="AG250" s="15">
        <f>Table50[[#This Row],[USAGE / DAY]]*7</f>
        <v>0</v>
      </c>
      <c r="AH250" s="15">
        <f>Table50[[#This Row],[USAGE / DAY]]*3</f>
        <v>0</v>
      </c>
      <c r="AI25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0" s="15">
        <f>IFERROR(Table50[[#This Row],[ORDER QTY2]]*Table50[[#This Row],[COST PRICE]],0)</f>
        <v>0</v>
      </c>
      <c r="AK250" s="15">
        <f>(Table50[[#This Row],[REORDER POINT]]*Table50[[#This Row],[COST PRICE]])+Table50[[#This Row],[ORDER COST]]</f>
        <v>91.66</v>
      </c>
      <c r="AL250" s="15">
        <f t="shared" si="11"/>
        <v>100</v>
      </c>
      <c r="AM250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251" spans="1:39" x14ac:dyDescent="0.25">
      <c r="A251" t="s">
        <v>324</v>
      </c>
      <c r="B251" t="s">
        <v>330</v>
      </c>
      <c r="C251" t="s">
        <v>347</v>
      </c>
      <c r="D251" t="s">
        <v>95</v>
      </c>
      <c r="E251">
        <v>2.94</v>
      </c>
      <c r="F251">
        <v>583.62</v>
      </c>
      <c r="G251">
        <v>0</v>
      </c>
      <c r="H251">
        <v>0</v>
      </c>
      <c r="I251">
        <v>2.94</v>
      </c>
      <c r="J251">
        <v>583.62</v>
      </c>
      <c r="K251">
        <f>Table50[[#This Row],[OpeningQty]]+Table50[[#This Row],[PurchasesQty]]-Table50[[#This Row],[ClosingQty]]</f>
        <v>0</v>
      </c>
      <c r="L251">
        <v>0</v>
      </c>
      <c r="M251" s="14">
        <f>Table50[[#This Row],[Usage]]/$L$1</f>
        <v>0</v>
      </c>
      <c r="N251" s="15">
        <f>IFERROR(Table50[[#This Row],[Opening]]/Table50[[#This Row],[OpeningQty]],0)</f>
        <v>198.51020408163265</v>
      </c>
      <c r="O251" s="15">
        <f>IFERROR(Table50[[#This Row],[Purchases]]/Table50[[#This Row],[PurchasesQty]],0)</f>
        <v>0</v>
      </c>
      <c r="P251" s="15">
        <f>IFERROR(Table50[[#This Row],[Closing]]/Table50[[#This Row],[ClosingQty]],0)</f>
        <v>198.51020408163265</v>
      </c>
      <c r="Q251" s="15">
        <f>IFERROR(AVERAGEIF(Table50[[#This Row],[OPENING COST PRICE]:[CLOSING COST PRICE]],"&gt;0"),0)</f>
        <v>198.51020408163265</v>
      </c>
      <c r="R251" s="15">
        <f>IFERROR(Table50[[#This Row],[COST PRICE]]-IFERROR(Table50[[#This Row],[Usage]]/Table50[[#This Row],[UsageQty]],Table50[[#This Row],[COST PRICE]]),0)</f>
        <v>0</v>
      </c>
      <c r="S251" s="16">
        <f>IFERROR(Table50[[#This Row],[COST PRICE CHANGE]]/Table50[[#This Row],[OPENING COST PRICE]],0)</f>
        <v>0</v>
      </c>
      <c r="T251" s="15">
        <f>Table50[[#This Row],[ClosingQty]]-(Table50[[#This Row],[USAGE / DAY]]*(IF(Table50[[#This Row],[ccnt]]="BEV",Table50[[#This Row],[DELIVERY DAY]],Table50[[#This Row],[DELIVERY DAY]])))</f>
        <v>2.94</v>
      </c>
      <c r="U251" s="15">
        <f>ROUNDUP(Table50[[#This Row],[UsageQty]]/Table50[[#This Row],[DATA POINT]],2)</f>
        <v>0</v>
      </c>
      <c r="V25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51" s="15">
        <f>IFERROR(Table50[[#This Row],[ORDER QTY]]*Table50[[#This Row],[COST PRICE]],0)</f>
        <v>0</v>
      </c>
      <c r="X251" s="15">
        <f>IFERROR(VLOOKUP(C251,[1]!Table49[[#All],[name]:[USAGE / DAY]],19,FALSE),1)</f>
        <v>0</v>
      </c>
      <c r="Y251" s="4">
        <f>IFERROR((Table50[[#This Row],[USAGE / DAY]]-Table50[[#This Row],[USAGE / DAY 2]])/Table50[[#This Row],[USAGE / DAY 2]],0)</f>
        <v>0</v>
      </c>
      <c r="Z251" s="15">
        <f t="shared" si="9"/>
        <v>14</v>
      </c>
      <c r="AA251" s="15">
        <f t="shared" si="10"/>
        <v>9.311854181734148</v>
      </c>
      <c r="AB251" s="15">
        <f>IFERROR(IF(Table50[[#This Row],[ccnt]]="BEV",$AB$2,IF(Table50[[#This Row],[ccnt]]="FOOD",$AC$2,"ENTER # FROM LAST COUNT")),"ENTER # FROM LAST COUNT")</f>
        <v>5</v>
      </c>
      <c r="AC251" s="15">
        <f>(Table50[[#This Row],[OpeningQty]]+Table50[[#This Row],[ClosingQty]])/2</f>
        <v>2.94</v>
      </c>
      <c r="AD251" s="15">
        <f>IFERROR(Table50[[#This Row],[UsageQty]]/Table50[[#This Row],[AVE INVENTORY]],0)</f>
        <v>0</v>
      </c>
      <c r="AE251" s="15">
        <f>IFERROR(Table50[[#This Row],[DATA POINT]]/Table50[[#This Row],[Inventory Turnover Rate]],0)</f>
        <v>0</v>
      </c>
      <c r="AF251" s="15" t="e">
        <f>Table50[[#This Row],[ClosingQty]]/Table50[[#This Row],[USAGE / DAY]]</f>
        <v>#DIV/0!</v>
      </c>
      <c r="AG251" s="15">
        <f>Table50[[#This Row],[USAGE / DAY]]*7</f>
        <v>0</v>
      </c>
      <c r="AH251" s="15">
        <f>Table50[[#This Row],[USAGE / DAY]]*3</f>
        <v>0</v>
      </c>
      <c r="AI25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1" s="15">
        <f>IFERROR(Table50[[#This Row],[ORDER QTY2]]*Table50[[#This Row],[COST PRICE]],0)</f>
        <v>0</v>
      </c>
      <c r="AK251" s="15">
        <f>(Table50[[#This Row],[REORDER POINT]]*Table50[[#This Row],[COST PRICE]])+Table50[[#This Row],[ORDER COST]]</f>
        <v>583.62</v>
      </c>
      <c r="AL251" s="15">
        <f t="shared" si="11"/>
        <v>100</v>
      </c>
      <c r="AM251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252" spans="1:39" x14ac:dyDescent="0.25">
      <c r="A252" t="s">
        <v>324</v>
      </c>
      <c r="B252" t="s">
        <v>330</v>
      </c>
      <c r="C252" t="s">
        <v>348</v>
      </c>
      <c r="D252" t="s">
        <v>126</v>
      </c>
      <c r="E252">
        <v>15</v>
      </c>
      <c r="F252">
        <v>1500</v>
      </c>
      <c r="G252">
        <v>9</v>
      </c>
      <c r="H252">
        <v>900</v>
      </c>
      <c r="I252">
        <v>10.199999999999999</v>
      </c>
      <c r="J252">
        <v>1020</v>
      </c>
      <c r="K252">
        <f>Table50[[#This Row],[OpeningQty]]+Table50[[#This Row],[PurchasesQty]]-Table50[[#This Row],[ClosingQty]]</f>
        <v>13.8</v>
      </c>
      <c r="L252">
        <v>1380</v>
      </c>
      <c r="M252" s="14">
        <f>Table50[[#This Row],[Usage]]/$L$1</f>
        <v>2.0959431653115937E-3</v>
      </c>
      <c r="N252" s="15">
        <f>IFERROR(Table50[[#This Row],[Opening]]/Table50[[#This Row],[OpeningQty]],0)</f>
        <v>100</v>
      </c>
      <c r="O252" s="15">
        <f>IFERROR(Table50[[#This Row],[Purchases]]/Table50[[#This Row],[PurchasesQty]],0)</f>
        <v>100</v>
      </c>
      <c r="P252" s="15">
        <f>IFERROR(Table50[[#This Row],[Closing]]/Table50[[#This Row],[ClosingQty]],0)</f>
        <v>100</v>
      </c>
      <c r="Q252" s="15">
        <f>IFERROR(AVERAGEIF(Table50[[#This Row],[OPENING COST PRICE]:[CLOSING COST PRICE]],"&gt;0"),0)</f>
        <v>100</v>
      </c>
      <c r="R252" s="15">
        <f>IFERROR(Table50[[#This Row],[COST PRICE]]-IFERROR(Table50[[#This Row],[Usage]]/Table50[[#This Row],[UsageQty]],Table50[[#This Row],[COST PRICE]]),0)</f>
        <v>0</v>
      </c>
      <c r="S252" s="16">
        <f>IFERROR(Table50[[#This Row],[COST PRICE CHANGE]]/Table50[[#This Row],[OPENING COST PRICE]],0)</f>
        <v>0</v>
      </c>
      <c r="T252" s="15">
        <f>Table50[[#This Row],[ClosingQty]]-(Table50[[#This Row],[USAGE / DAY]]*(IF(Table50[[#This Row],[ccnt]]="BEV",Table50[[#This Row],[DELIVERY DAY]],Table50[[#This Row],[DELIVERY DAY]])))</f>
        <v>5.2499999999999991</v>
      </c>
      <c r="U252" s="15">
        <f>ROUNDUP(Table50[[#This Row],[UsageQty]]/Table50[[#This Row],[DATA POINT]],2)</f>
        <v>0.99</v>
      </c>
      <c r="V25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252" s="15">
        <f>IFERROR(Table50[[#This Row],[ORDER QTY]]*Table50[[#This Row],[COST PRICE]],0)</f>
        <v>400</v>
      </c>
      <c r="X252" s="15">
        <f>IFERROR(VLOOKUP(C252,[1]!Table49[[#All],[name]:[USAGE / DAY]],19,FALSE),1)</f>
        <v>0.94000000000000006</v>
      </c>
      <c r="Y252" s="4">
        <f>IFERROR((Table50[[#This Row],[USAGE / DAY]]-Table50[[#This Row],[USAGE / DAY 2]])/Table50[[#This Row],[USAGE / DAY 2]],0)</f>
        <v>5.3191489361702052E-2</v>
      </c>
      <c r="Z252" s="15">
        <f t="shared" si="9"/>
        <v>14</v>
      </c>
      <c r="AA252" s="15">
        <f t="shared" si="10"/>
        <v>9.311854181734148</v>
      </c>
      <c r="AB252" s="15">
        <f>IFERROR(IF(Table50[[#This Row],[ccnt]]="BEV",$AB$2,IF(Table50[[#This Row],[ccnt]]="FOOD",$AC$2,"ENTER # FROM LAST COUNT")),"ENTER # FROM LAST COUNT")</f>
        <v>5</v>
      </c>
      <c r="AC252" s="15">
        <f>(Table50[[#This Row],[OpeningQty]]+Table50[[#This Row],[ClosingQty]])/2</f>
        <v>12.6</v>
      </c>
      <c r="AD252" s="15">
        <f>IFERROR(Table50[[#This Row],[UsageQty]]/Table50[[#This Row],[AVE INVENTORY]],0)</f>
        <v>1.0952380952380953</v>
      </c>
      <c r="AE252" s="15">
        <f>IFERROR(Table50[[#This Row],[DATA POINT]]/Table50[[#This Row],[Inventory Turnover Rate]],0)</f>
        <v>12.782608695652172</v>
      </c>
      <c r="AF252" s="15">
        <f>Table50[[#This Row],[ClosingQty]]/Table50[[#This Row],[USAGE / DAY]]</f>
        <v>10.303030303030303</v>
      </c>
      <c r="AG252" s="15">
        <f>Table50[[#This Row],[USAGE / DAY]]*7</f>
        <v>6.93</v>
      </c>
      <c r="AH252" s="15">
        <f>Table50[[#This Row],[USAGE / DAY]]*3</f>
        <v>2.9699999999999998</v>
      </c>
      <c r="AI25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2" s="15">
        <f>IFERROR(Table50[[#This Row],[ORDER QTY2]]*Table50[[#This Row],[COST PRICE]],0)</f>
        <v>0</v>
      </c>
      <c r="AK252" s="15">
        <f>(Table50[[#This Row],[REORDER POINT]]*Table50[[#This Row],[COST PRICE]])+Table50[[#This Row],[ORDER COST]]</f>
        <v>924.99999999999989</v>
      </c>
      <c r="AL252" s="15">
        <f t="shared" si="11"/>
        <v>100</v>
      </c>
      <c r="AM252" s="15">
        <f>IFERROR((Table50[[#This Row],[REORDER POINT]]+Table50[[#This Row],[ORDER QTY]])/(Table50[[#This Row],[USAGE / DAY]]*Table50[[#This Row],[DEMAND %]]),Table50[[#This Row],[REORDER POINT]]/Table50[[#This Row],[USAGE / DAY]])</f>
        <v>9.3434343434343439E-2</v>
      </c>
    </row>
    <row r="253" spans="1:39" x14ac:dyDescent="0.25">
      <c r="A253" t="s">
        <v>324</v>
      </c>
      <c r="B253" t="s">
        <v>330</v>
      </c>
      <c r="C253" t="s">
        <v>349</v>
      </c>
      <c r="D253" t="s">
        <v>346</v>
      </c>
      <c r="E253">
        <v>3.15</v>
      </c>
      <c r="F253">
        <v>160.65</v>
      </c>
      <c r="G253">
        <v>0</v>
      </c>
      <c r="H253">
        <v>0</v>
      </c>
      <c r="I253">
        <v>2</v>
      </c>
      <c r="J253">
        <v>102</v>
      </c>
      <c r="K253">
        <f>Table50[[#This Row],[OpeningQty]]+Table50[[#This Row],[PurchasesQty]]-Table50[[#This Row],[ClosingQty]]</f>
        <v>1.1499999999999999</v>
      </c>
      <c r="L253">
        <v>58.65</v>
      </c>
      <c r="M253" s="14">
        <f>Table50[[#This Row],[Usage]]/$L$1</f>
        <v>8.9077584525742724E-5</v>
      </c>
      <c r="N253" s="15">
        <f>IFERROR(Table50[[#This Row],[Opening]]/Table50[[#This Row],[OpeningQty]],0)</f>
        <v>51</v>
      </c>
      <c r="O253" s="15">
        <f>IFERROR(Table50[[#This Row],[Purchases]]/Table50[[#This Row],[PurchasesQty]],0)</f>
        <v>0</v>
      </c>
      <c r="P253" s="15">
        <f>IFERROR(Table50[[#This Row],[Closing]]/Table50[[#This Row],[ClosingQty]],0)</f>
        <v>51</v>
      </c>
      <c r="Q253" s="15">
        <f>IFERROR(AVERAGEIF(Table50[[#This Row],[OPENING COST PRICE]:[CLOSING COST PRICE]],"&gt;0"),0)</f>
        <v>51</v>
      </c>
      <c r="R253" s="15">
        <f>IFERROR(Table50[[#This Row],[COST PRICE]]-IFERROR(Table50[[#This Row],[Usage]]/Table50[[#This Row],[UsageQty]],Table50[[#This Row],[COST PRICE]]),0)</f>
        <v>0</v>
      </c>
      <c r="S253" s="16">
        <f>IFERROR(Table50[[#This Row],[COST PRICE CHANGE]]/Table50[[#This Row],[OPENING COST PRICE]],0)</f>
        <v>0</v>
      </c>
      <c r="T253" s="15">
        <f>Table50[[#This Row],[ClosingQty]]-(Table50[[#This Row],[USAGE / DAY]]*(IF(Table50[[#This Row],[ccnt]]="BEV",Table50[[#This Row],[DELIVERY DAY]],Table50[[#This Row],[DELIVERY DAY]])))</f>
        <v>1.55</v>
      </c>
      <c r="U253" s="15">
        <f>ROUNDUP(Table50[[#This Row],[UsageQty]]/Table50[[#This Row],[DATA POINT]],2)</f>
        <v>0.09</v>
      </c>
      <c r="V25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53" s="15">
        <f>IFERROR(Table50[[#This Row],[ORDER QTY]]*Table50[[#This Row],[COST PRICE]],0)</f>
        <v>0</v>
      </c>
      <c r="X253" s="15">
        <f>IFERROR(VLOOKUP(C253,[1]!Table49[[#All],[name]:[USAGE / DAY]],19,FALSE),1)</f>
        <v>0.09</v>
      </c>
      <c r="Y253" s="4">
        <f>IFERROR((Table50[[#This Row],[USAGE / DAY]]-Table50[[#This Row],[USAGE / DAY 2]])/Table50[[#This Row],[USAGE / DAY 2]],0)</f>
        <v>0</v>
      </c>
      <c r="Z253" s="15">
        <f t="shared" si="9"/>
        <v>14</v>
      </c>
      <c r="AA253" s="15">
        <f t="shared" si="10"/>
        <v>9.311854181734148</v>
      </c>
      <c r="AB253" s="15">
        <f>IFERROR(IF(Table50[[#This Row],[ccnt]]="BEV",$AB$2,IF(Table50[[#This Row],[ccnt]]="FOOD",$AC$2,"ENTER # FROM LAST COUNT")),"ENTER # FROM LAST COUNT")</f>
        <v>5</v>
      </c>
      <c r="AC253" s="15">
        <f>(Table50[[#This Row],[OpeningQty]]+Table50[[#This Row],[ClosingQty]])/2</f>
        <v>2.5750000000000002</v>
      </c>
      <c r="AD253" s="15">
        <f>IFERROR(Table50[[#This Row],[UsageQty]]/Table50[[#This Row],[AVE INVENTORY]],0)</f>
        <v>0.44660194174757273</v>
      </c>
      <c r="AE253" s="15">
        <f>IFERROR(Table50[[#This Row],[DATA POINT]]/Table50[[#This Row],[Inventory Turnover Rate]],0)</f>
        <v>31.347826086956527</v>
      </c>
      <c r="AF253" s="15">
        <f>Table50[[#This Row],[ClosingQty]]/Table50[[#This Row],[USAGE / DAY]]</f>
        <v>22.222222222222221</v>
      </c>
      <c r="AG253" s="15">
        <f>Table50[[#This Row],[USAGE / DAY]]*7</f>
        <v>0.63</v>
      </c>
      <c r="AH253" s="15">
        <f>Table50[[#This Row],[USAGE / DAY]]*3</f>
        <v>0.27</v>
      </c>
      <c r="AI25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3" s="15">
        <f>IFERROR(Table50[[#This Row],[ORDER QTY2]]*Table50[[#This Row],[COST PRICE]],0)</f>
        <v>0</v>
      </c>
      <c r="AK253" s="15">
        <f>(Table50[[#This Row],[REORDER POINT]]*Table50[[#This Row],[COST PRICE]])+Table50[[#This Row],[ORDER COST]]</f>
        <v>79.05</v>
      </c>
      <c r="AL253" s="15">
        <f t="shared" si="11"/>
        <v>100</v>
      </c>
      <c r="AM253" s="15">
        <f>IFERROR((Table50[[#This Row],[REORDER POINT]]+Table50[[#This Row],[ORDER QTY]])/(Table50[[#This Row],[USAGE / DAY]]*Table50[[#This Row],[DEMAND %]]),Table50[[#This Row],[REORDER POINT]]/Table50[[#This Row],[USAGE / DAY]])</f>
        <v>17.222222222222225</v>
      </c>
    </row>
    <row r="254" spans="1:39" x14ac:dyDescent="0.25">
      <c r="A254" t="s">
        <v>324</v>
      </c>
      <c r="B254" t="s">
        <v>330</v>
      </c>
      <c r="C254" t="s">
        <v>350</v>
      </c>
      <c r="D254" t="s">
        <v>138</v>
      </c>
      <c r="E254">
        <v>0</v>
      </c>
      <c r="F254">
        <v>0</v>
      </c>
      <c r="G254">
        <v>8</v>
      </c>
      <c r="H254">
        <v>79.959999999999994</v>
      </c>
      <c r="I254">
        <v>3</v>
      </c>
      <c r="J254">
        <v>30</v>
      </c>
      <c r="K254">
        <f>Table50[[#This Row],[OpeningQty]]+Table50[[#This Row],[PurchasesQty]]-Table50[[#This Row],[ClosingQty]]</f>
        <v>5</v>
      </c>
      <c r="L254">
        <v>49.96</v>
      </c>
      <c r="M254" s="14">
        <f>Table50[[#This Row],[Usage]]/$L$1</f>
        <v>7.5879217781860304E-5</v>
      </c>
      <c r="N254" s="15">
        <f>IFERROR(Table50[[#This Row],[Opening]]/Table50[[#This Row],[OpeningQty]],0)</f>
        <v>0</v>
      </c>
      <c r="O254" s="15">
        <f>IFERROR(Table50[[#This Row],[Purchases]]/Table50[[#This Row],[PurchasesQty]],0)</f>
        <v>9.9949999999999992</v>
      </c>
      <c r="P254" s="15">
        <f>IFERROR(Table50[[#This Row],[Closing]]/Table50[[#This Row],[ClosingQty]],0)</f>
        <v>10</v>
      </c>
      <c r="Q254" s="15">
        <f>IFERROR(AVERAGEIF(Table50[[#This Row],[OPENING COST PRICE]:[CLOSING COST PRICE]],"&gt;0"),0)</f>
        <v>9.9974999999999987</v>
      </c>
      <c r="R254" s="15">
        <f>IFERROR(Table50[[#This Row],[COST PRICE]]-IFERROR(Table50[[#This Row],[Usage]]/Table50[[#This Row],[UsageQty]],Table50[[#This Row],[COST PRICE]]),0)</f>
        <v>5.49999999999784E-3</v>
      </c>
      <c r="S254" s="16">
        <f>IFERROR(Table50[[#This Row],[COST PRICE CHANGE]]/Table50[[#This Row],[OPENING COST PRICE]],0)</f>
        <v>0</v>
      </c>
      <c r="T254" s="15">
        <f>Table50[[#This Row],[ClosingQty]]-(Table50[[#This Row],[USAGE / DAY]]*(IF(Table50[[#This Row],[ccnt]]="BEV",Table50[[#This Row],[DELIVERY DAY]],Table50[[#This Row],[DELIVERY DAY]])))</f>
        <v>1.2000000000000002</v>
      </c>
      <c r="U254" s="15">
        <f>ROUNDUP(Table50[[#This Row],[UsageQty]]/Table50[[#This Row],[DATA POINT]],2)</f>
        <v>0.36</v>
      </c>
      <c r="V25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</v>
      </c>
      <c r="W254" s="15">
        <f>IFERROR(Table50[[#This Row],[ORDER QTY]]*Table50[[#This Row],[COST PRICE]],0)</f>
        <v>29.992499999999996</v>
      </c>
      <c r="X254" s="15">
        <f>IFERROR(VLOOKUP(C254,[1]!Table49[[#All],[name]:[USAGE / DAY]],19,FALSE),1)</f>
        <v>0.34</v>
      </c>
      <c r="Y254" s="4">
        <f>IFERROR((Table50[[#This Row],[USAGE / DAY]]-Table50[[#This Row],[USAGE / DAY 2]])/Table50[[#This Row],[USAGE / DAY 2]],0)</f>
        <v>5.8823529411764594E-2</v>
      </c>
      <c r="Z254" s="15">
        <f t="shared" si="9"/>
        <v>14</v>
      </c>
      <c r="AA254" s="15">
        <f t="shared" si="10"/>
        <v>9.311854181734148</v>
      </c>
      <c r="AB254" s="15">
        <f>IFERROR(IF(Table50[[#This Row],[ccnt]]="BEV",$AB$2,IF(Table50[[#This Row],[ccnt]]="FOOD",$AC$2,"ENTER # FROM LAST COUNT")),"ENTER # FROM LAST COUNT")</f>
        <v>5</v>
      </c>
      <c r="AC254" s="15">
        <f>(Table50[[#This Row],[OpeningQty]]+Table50[[#This Row],[ClosingQty]])/2</f>
        <v>1.5</v>
      </c>
      <c r="AD254" s="15">
        <f>IFERROR(Table50[[#This Row],[UsageQty]]/Table50[[#This Row],[AVE INVENTORY]],0)</f>
        <v>3.3333333333333335</v>
      </c>
      <c r="AE254" s="15">
        <f>IFERROR(Table50[[#This Row],[DATA POINT]]/Table50[[#This Row],[Inventory Turnover Rate]],0)</f>
        <v>4.2</v>
      </c>
      <c r="AF254" s="15">
        <f>Table50[[#This Row],[ClosingQty]]/Table50[[#This Row],[USAGE / DAY]]</f>
        <v>8.3333333333333339</v>
      </c>
      <c r="AG254" s="15">
        <f>Table50[[#This Row],[USAGE / DAY]]*7</f>
        <v>2.52</v>
      </c>
      <c r="AH254" s="15">
        <f>Table50[[#This Row],[USAGE / DAY]]*3</f>
        <v>1.08</v>
      </c>
      <c r="AI254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0.60000000000000009</v>
      </c>
      <c r="AJ254" s="15">
        <f>IFERROR(Table50[[#This Row],[ORDER QTY2]]*Table50[[#This Row],[COST PRICE]],0)</f>
        <v>5.9984999999999999</v>
      </c>
      <c r="AK254" s="15">
        <f>(Table50[[#This Row],[REORDER POINT]]*Table50[[#This Row],[COST PRICE]])+Table50[[#This Row],[ORDER COST]]</f>
        <v>41.989499999999992</v>
      </c>
      <c r="AL254" s="15">
        <f t="shared" si="11"/>
        <v>100</v>
      </c>
      <c r="AM254" s="15">
        <f>IFERROR((Table50[[#This Row],[REORDER POINT]]+Table50[[#This Row],[ORDER QTY]])/(Table50[[#This Row],[USAGE / DAY]]*Table50[[#This Row],[DEMAND %]]),Table50[[#This Row],[REORDER POINT]]/Table50[[#This Row],[USAGE / DAY]])</f>
        <v>0.11666666666666667</v>
      </c>
    </row>
    <row r="255" spans="1:39" x14ac:dyDescent="0.25">
      <c r="A255" t="s">
        <v>324</v>
      </c>
      <c r="B255" t="s">
        <v>330</v>
      </c>
      <c r="C255" t="s">
        <v>351</v>
      </c>
      <c r="D255" t="s">
        <v>53</v>
      </c>
      <c r="E255">
        <v>9</v>
      </c>
      <c r="F255">
        <v>324.36</v>
      </c>
      <c r="G255">
        <v>0</v>
      </c>
      <c r="H255">
        <v>0</v>
      </c>
      <c r="I255">
        <v>6.4</v>
      </c>
      <c r="J255">
        <v>230.66</v>
      </c>
      <c r="K255">
        <f>Table50[[#This Row],[OpeningQty]]+Table50[[#This Row],[PurchasesQty]]-Table50[[#This Row],[ClosingQty]]</f>
        <v>2.5999999999999996</v>
      </c>
      <c r="L255">
        <v>93.7</v>
      </c>
      <c r="M255" s="14">
        <f>Table50[[#This Row],[Usage]]/$L$1</f>
        <v>1.4231150332586691E-4</v>
      </c>
      <c r="N255" s="15">
        <f>IFERROR(Table50[[#This Row],[Opening]]/Table50[[#This Row],[OpeningQty]],0)</f>
        <v>36.04</v>
      </c>
      <c r="O255" s="15">
        <f>IFERROR(Table50[[#This Row],[Purchases]]/Table50[[#This Row],[PurchasesQty]],0)</f>
        <v>0</v>
      </c>
      <c r="P255" s="15">
        <f>IFERROR(Table50[[#This Row],[Closing]]/Table50[[#This Row],[ClosingQty]],0)</f>
        <v>36.040624999999999</v>
      </c>
      <c r="Q255" s="15">
        <f>IFERROR(AVERAGEIF(Table50[[#This Row],[OPENING COST PRICE]:[CLOSING COST PRICE]],"&gt;0"),0)</f>
        <v>36.040312499999999</v>
      </c>
      <c r="R255" s="15">
        <f>IFERROR(Table50[[#This Row],[COST PRICE]]-IFERROR(Table50[[#This Row],[Usage]]/Table50[[#This Row],[UsageQty]],Table50[[#This Row],[COST PRICE]]),0)</f>
        <v>1.8509615384516565E-3</v>
      </c>
      <c r="S255" s="16">
        <f>IFERROR(Table50[[#This Row],[COST PRICE CHANGE]]/Table50[[#This Row],[OPENING COST PRICE]],0)</f>
        <v>5.1358533253375598E-5</v>
      </c>
      <c r="T255" s="15">
        <f>Table50[[#This Row],[ClosingQty]]-(Table50[[#This Row],[USAGE / DAY]]*(IF(Table50[[#This Row],[ccnt]]="BEV",Table50[[#This Row],[DELIVERY DAY]],Table50[[#This Row],[DELIVERY DAY]])))</f>
        <v>5.45</v>
      </c>
      <c r="U255" s="15">
        <f>ROUNDUP(Table50[[#This Row],[UsageQty]]/Table50[[#This Row],[DATA POINT]],2)</f>
        <v>0.19</v>
      </c>
      <c r="V25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55" s="15">
        <f>IFERROR(Table50[[#This Row],[ORDER QTY]]*Table50[[#This Row],[COST PRICE]],0)</f>
        <v>0</v>
      </c>
      <c r="X255" s="15">
        <f>IFERROR(VLOOKUP(C255,[1]!Table49[[#All],[name]:[USAGE / DAY]],19,FALSE),1)</f>
        <v>0.13</v>
      </c>
      <c r="Y255" s="4">
        <f>IFERROR((Table50[[#This Row],[USAGE / DAY]]-Table50[[#This Row],[USAGE / DAY 2]])/Table50[[#This Row],[USAGE / DAY 2]],0)</f>
        <v>0.46153846153846151</v>
      </c>
      <c r="Z255" s="15">
        <f t="shared" si="9"/>
        <v>14</v>
      </c>
      <c r="AA255" s="15">
        <f t="shared" si="10"/>
        <v>9.311854181734148</v>
      </c>
      <c r="AB255" s="15">
        <f>IFERROR(IF(Table50[[#This Row],[ccnt]]="BEV",$AB$2,IF(Table50[[#This Row],[ccnt]]="FOOD",$AC$2,"ENTER # FROM LAST COUNT")),"ENTER # FROM LAST COUNT")</f>
        <v>5</v>
      </c>
      <c r="AC255" s="15">
        <f>(Table50[[#This Row],[OpeningQty]]+Table50[[#This Row],[ClosingQty]])/2</f>
        <v>7.7</v>
      </c>
      <c r="AD255" s="15">
        <f>IFERROR(Table50[[#This Row],[UsageQty]]/Table50[[#This Row],[AVE INVENTORY]],0)</f>
        <v>0.33766233766233761</v>
      </c>
      <c r="AE255" s="15">
        <f>IFERROR(Table50[[#This Row],[DATA POINT]]/Table50[[#This Row],[Inventory Turnover Rate]],0)</f>
        <v>41.461538461538467</v>
      </c>
      <c r="AF255" s="15">
        <f>Table50[[#This Row],[ClosingQty]]/Table50[[#This Row],[USAGE / DAY]]</f>
        <v>33.684210526315788</v>
      </c>
      <c r="AG255" s="15">
        <f>Table50[[#This Row],[USAGE / DAY]]*7</f>
        <v>1.33</v>
      </c>
      <c r="AH255" s="15">
        <f>Table50[[#This Row],[USAGE / DAY]]*3</f>
        <v>0.57000000000000006</v>
      </c>
      <c r="AI25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5" s="15">
        <f>IFERROR(Table50[[#This Row],[ORDER QTY2]]*Table50[[#This Row],[COST PRICE]],0)</f>
        <v>0</v>
      </c>
      <c r="AK255" s="15">
        <f>(Table50[[#This Row],[REORDER POINT]]*Table50[[#This Row],[COST PRICE]])+Table50[[#This Row],[ORDER COST]]</f>
        <v>196.41970312500001</v>
      </c>
      <c r="AL255" s="15">
        <f t="shared" si="11"/>
        <v>100</v>
      </c>
      <c r="AM255" s="15">
        <f>IFERROR((Table50[[#This Row],[REORDER POINT]]+Table50[[#This Row],[ORDER QTY]])/(Table50[[#This Row],[USAGE / DAY]]*Table50[[#This Row],[DEMAND %]]),Table50[[#This Row],[REORDER POINT]]/Table50[[#This Row],[USAGE / DAY]])</f>
        <v>28.684210526315791</v>
      </c>
    </row>
    <row r="256" spans="1:39" x14ac:dyDescent="0.25">
      <c r="A256" t="s">
        <v>324</v>
      </c>
      <c r="B256" t="s">
        <v>330</v>
      </c>
      <c r="C256" t="s">
        <v>352</v>
      </c>
      <c r="D256" t="s">
        <v>95</v>
      </c>
      <c r="E256">
        <v>0.15</v>
      </c>
      <c r="F256">
        <v>5.22</v>
      </c>
      <c r="G256">
        <v>0.4</v>
      </c>
      <c r="H256">
        <v>34.770000000000003</v>
      </c>
      <c r="I256">
        <v>0.48</v>
      </c>
      <c r="J256">
        <v>41.73</v>
      </c>
      <c r="K256">
        <f>Table50[[#This Row],[OpeningQty]]+Table50[[#This Row],[PurchasesQty]]-Table50[[#This Row],[ClosingQty]]</f>
        <v>7.0000000000000062E-2</v>
      </c>
      <c r="L256">
        <v>-1.74</v>
      </c>
      <c r="M256" s="14">
        <f>Table50[[#This Row],[Usage]]/$L$1</f>
        <v>-2.6427109475667922E-6</v>
      </c>
      <c r="N256" s="15">
        <f>IFERROR(Table50[[#This Row],[Opening]]/Table50[[#This Row],[OpeningQty]],0)</f>
        <v>34.799999999999997</v>
      </c>
      <c r="O256" s="15">
        <f>IFERROR(Table50[[#This Row],[Purchases]]/Table50[[#This Row],[PurchasesQty]],0)</f>
        <v>86.924999999999997</v>
      </c>
      <c r="P256" s="15">
        <f>IFERROR(Table50[[#This Row],[Closing]]/Table50[[#This Row],[ClosingQty]],0)</f>
        <v>86.9375</v>
      </c>
      <c r="Q256" s="15">
        <f>IFERROR(AVERAGEIF(Table50[[#This Row],[OPENING COST PRICE]:[CLOSING COST PRICE]],"&gt;0"),0)</f>
        <v>69.55416666666666</v>
      </c>
      <c r="R256" s="15">
        <f>IFERROR(Table50[[#This Row],[COST PRICE]]-IFERROR(Table50[[#This Row],[Usage]]/Table50[[#This Row],[UsageQty]],Table50[[#This Row],[COST PRICE]]),0)</f>
        <v>94.411309523809493</v>
      </c>
      <c r="S256" s="16">
        <f>IFERROR(Table50[[#This Row],[COST PRICE CHANGE]]/Table50[[#This Row],[OPENING COST PRICE]],0)</f>
        <v>2.7129686644772844</v>
      </c>
      <c r="T256" s="15">
        <f>Table50[[#This Row],[ClosingQty]]-(Table50[[#This Row],[USAGE / DAY]]*(IF(Table50[[#This Row],[ccnt]]="BEV",Table50[[#This Row],[DELIVERY DAY]],Table50[[#This Row],[DELIVERY DAY]])))</f>
        <v>0.43</v>
      </c>
      <c r="U256" s="15">
        <f>ROUNDUP(Table50[[#This Row],[UsageQty]]/Table50[[#This Row],[DATA POINT]],2)</f>
        <v>0.01</v>
      </c>
      <c r="V25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56" s="15">
        <f>IFERROR(Table50[[#This Row],[ORDER QTY]]*Table50[[#This Row],[COST PRICE]],0)</f>
        <v>0</v>
      </c>
      <c r="X256" s="15">
        <f>IFERROR(VLOOKUP(C256,[1]!Table49[[#All],[name]:[USAGE / DAY]],19,FALSE),1)</f>
        <v>0.02</v>
      </c>
      <c r="Y256" s="4">
        <f>IFERROR((Table50[[#This Row],[USAGE / DAY]]-Table50[[#This Row],[USAGE / DAY 2]])/Table50[[#This Row],[USAGE / DAY 2]],0)</f>
        <v>-0.5</v>
      </c>
      <c r="Z256" s="15">
        <f t="shared" si="9"/>
        <v>14</v>
      </c>
      <c r="AA256" s="15">
        <f t="shared" si="10"/>
        <v>9.311854181734148</v>
      </c>
      <c r="AB256" s="15">
        <f>IFERROR(IF(Table50[[#This Row],[ccnt]]="BEV",$AB$2,IF(Table50[[#This Row],[ccnt]]="FOOD",$AC$2,"ENTER # FROM LAST COUNT")),"ENTER # FROM LAST COUNT")</f>
        <v>5</v>
      </c>
      <c r="AC256" s="15">
        <f>(Table50[[#This Row],[OpeningQty]]+Table50[[#This Row],[ClosingQty]])/2</f>
        <v>0.315</v>
      </c>
      <c r="AD256" s="15">
        <f>IFERROR(Table50[[#This Row],[UsageQty]]/Table50[[#This Row],[AVE INVENTORY]],0)</f>
        <v>0.2222222222222224</v>
      </c>
      <c r="AE256" s="15">
        <f>IFERROR(Table50[[#This Row],[DATA POINT]]/Table50[[#This Row],[Inventory Turnover Rate]],0)</f>
        <v>62.99999999999995</v>
      </c>
      <c r="AF256" s="15">
        <f>Table50[[#This Row],[ClosingQty]]/Table50[[#This Row],[USAGE / DAY]]</f>
        <v>48</v>
      </c>
      <c r="AG256" s="15">
        <f>Table50[[#This Row],[USAGE / DAY]]*7</f>
        <v>7.0000000000000007E-2</v>
      </c>
      <c r="AH256" s="15">
        <f>Table50[[#This Row],[USAGE / DAY]]*3</f>
        <v>0.03</v>
      </c>
      <c r="AI25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6" s="15">
        <f>IFERROR(Table50[[#This Row],[ORDER QTY2]]*Table50[[#This Row],[COST PRICE]],0)</f>
        <v>0</v>
      </c>
      <c r="AK256" s="15">
        <f>(Table50[[#This Row],[REORDER POINT]]*Table50[[#This Row],[COST PRICE]])+Table50[[#This Row],[ORDER COST]]</f>
        <v>29.908291666666663</v>
      </c>
      <c r="AL256" s="15">
        <f t="shared" si="11"/>
        <v>100</v>
      </c>
      <c r="AM256" s="15">
        <f>IFERROR((Table50[[#This Row],[REORDER POINT]]+Table50[[#This Row],[ORDER QTY]])/(Table50[[#This Row],[USAGE / DAY]]*Table50[[#This Row],[DEMAND %]]),Table50[[#This Row],[REORDER POINT]]/Table50[[#This Row],[USAGE / DAY]])</f>
        <v>43</v>
      </c>
    </row>
    <row r="257" spans="1:39" x14ac:dyDescent="0.25">
      <c r="A257" t="s">
        <v>324</v>
      </c>
      <c r="B257" t="s">
        <v>330</v>
      </c>
      <c r="C257" t="s">
        <v>353</v>
      </c>
      <c r="D257" t="s">
        <v>76</v>
      </c>
      <c r="E257">
        <v>5.46</v>
      </c>
      <c r="F257">
        <v>682.5</v>
      </c>
      <c r="G257">
        <v>0</v>
      </c>
      <c r="H257">
        <v>0</v>
      </c>
      <c r="I257">
        <v>3.3</v>
      </c>
      <c r="J257">
        <v>412.5</v>
      </c>
      <c r="K257">
        <f>Table50[[#This Row],[OpeningQty]]+Table50[[#This Row],[PurchasesQty]]-Table50[[#This Row],[ClosingQty]]</f>
        <v>2.16</v>
      </c>
      <c r="L257">
        <v>270</v>
      </c>
      <c r="M257" s="14">
        <f>Table50[[#This Row],[Usage]]/$L$1</f>
        <v>4.1007583669139876E-4</v>
      </c>
      <c r="N257" s="15">
        <f>IFERROR(Table50[[#This Row],[Opening]]/Table50[[#This Row],[OpeningQty]],0)</f>
        <v>125</v>
      </c>
      <c r="O257" s="15">
        <f>IFERROR(Table50[[#This Row],[Purchases]]/Table50[[#This Row],[PurchasesQty]],0)</f>
        <v>0</v>
      </c>
      <c r="P257" s="15">
        <f>IFERROR(Table50[[#This Row],[Closing]]/Table50[[#This Row],[ClosingQty]],0)</f>
        <v>125</v>
      </c>
      <c r="Q257" s="15">
        <f>IFERROR(AVERAGEIF(Table50[[#This Row],[OPENING COST PRICE]:[CLOSING COST PRICE]],"&gt;0"),0)</f>
        <v>125</v>
      </c>
      <c r="R257" s="15">
        <f>IFERROR(Table50[[#This Row],[COST PRICE]]-IFERROR(Table50[[#This Row],[Usage]]/Table50[[#This Row],[UsageQty]],Table50[[#This Row],[COST PRICE]]),0)</f>
        <v>1.4210854715202004E-14</v>
      </c>
      <c r="S257" s="16">
        <f>IFERROR(Table50[[#This Row],[COST PRICE CHANGE]]/Table50[[#This Row],[OPENING COST PRICE]],0)</f>
        <v>1.1368683772161603E-16</v>
      </c>
      <c r="T257" s="15">
        <f>Table50[[#This Row],[ClosingQty]]-(Table50[[#This Row],[USAGE / DAY]]*(IF(Table50[[#This Row],[ccnt]]="BEV",Table50[[#This Row],[DELIVERY DAY]],Table50[[#This Row],[DELIVERY DAY]])))</f>
        <v>2.5</v>
      </c>
      <c r="U257" s="15">
        <f>ROUNDUP(Table50[[#This Row],[UsageQty]]/Table50[[#This Row],[DATA POINT]],2)</f>
        <v>0.16</v>
      </c>
      <c r="V25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57" s="15">
        <f>IFERROR(Table50[[#This Row],[ORDER QTY]]*Table50[[#This Row],[COST PRICE]],0)</f>
        <v>0</v>
      </c>
      <c r="X257" s="15">
        <f>IFERROR(VLOOKUP(C257,[1]!Table49[[#All],[name]:[USAGE / DAY]],19,FALSE),1)</f>
        <v>0.15000000000000002</v>
      </c>
      <c r="Y257" s="4">
        <f>IFERROR((Table50[[#This Row],[USAGE / DAY]]-Table50[[#This Row],[USAGE / DAY 2]])/Table50[[#This Row],[USAGE / DAY 2]],0)</f>
        <v>6.6666666666666527E-2</v>
      </c>
      <c r="Z257" s="15">
        <f t="shared" si="9"/>
        <v>14</v>
      </c>
      <c r="AA257" s="15">
        <f t="shared" si="10"/>
        <v>9.311854181734148</v>
      </c>
      <c r="AB257" s="15">
        <f>IFERROR(IF(Table50[[#This Row],[ccnt]]="BEV",$AB$2,IF(Table50[[#This Row],[ccnt]]="FOOD",$AC$2,"ENTER # FROM LAST COUNT")),"ENTER # FROM LAST COUNT")</f>
        <v>5</v>
      </c>
      <c r="AC257" s="15">
        <f>(Table50[[#This Row],[OpeningQty]]+Table50[[#This Row],[ClosingQty]])/2</f>
        <v>4.38</v>
      </c>
      <c r="AD257" s="15">
        <f>IFERROR(Table50[[#This Row],[UsageQty]]/Table50[[#This Row],[AVE INVENTORY]],0)</f>
        <v>0.49315068493150688</v>
      </c>
      <c r="AE257" s="15">
        <f>IFERROR(Table50[[#This Row],[DATA POINT]]/Table50[[#This Row],[Inventory Turnover Rate]],0)</f>
        <v>28.388888888888886</v>
      </c>
      <c r="AF257" s="15">
        <f>Table50[[#This Row],[ClosingQty]]/Table50[[#This Row],[USAGE / DAY]]</f>
        <v>20.625</v>
      </c>
      <c r="AG257" s="15">
        <f>Table50[[#This Row],[USAGE / DAY]]*7</f>
        <v>1.1200000000000001</v>
      </c>
      <c r="AH257" s="15">
        <f>Table50[[#This Row],[USAGE / DAY]]*3</f>
        <v>0.48</v>
      </c>
      <c r="AI25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7" s="15">
        <f>IFERROR(Table50[[#This Row],[ORDER QTY2]]*Table50[[#This Row],[COST PRICE]],0)</f>
        <v>0</v>
      </c>
      <c r="AK257" s="15">
        <f>(Table50[[#This Row],[REORDER POINT]]*Table50[[#This Row],[COST PRICE]])+Table50[[#This Row],[ORDER COST]]</f>
        <v>312.5</v>
      </c>
      <c r="AL257" s="15">
        <f t="shared" si="11"/>
        <v>100</v>
      </c>
      <c r="AM257" s="15">
        <f>IFERROR((Table50[[#This Row],[REORDER POINT]]+Table50[[#This Row],[ORDER QTY]])/(Table50[[#This Row],[USAGE / DAY]]*Table50[[#This Row],[DEMAND %]]),Table50[[#This Row],[REORDER POINT]]/Table50[[#This Row],[USAGE / DAY]])</f>
        <v>15.625</v>
      </c>
    </row>
    <row r="258" spans="1:39" x14ac:dyDescent="0.25">
      <c r="A258" t="s">
        <v>324</v>
      </c>
      <c r="B258" t="s">
        <v>330</v>
      </c>
      <c r="C258" t="s">
        <v>354</v>
      </c>
      <c r="D258" t="s">
        <v>95</v>
      </c>
      <c r="E258">
        <v>1.36</v>
      </c>
      <c r="F258">
        <v>236.67</v>
      </c>
      <c r="G258">
        <v>4.08</v>
      </c>
      <c r="H258">
        <v>710</v>
      </c>
      <c r="I258">
        <v>4.18</v>
      </c>
      <c r="J258">
        <v>727.4</v>
      </c>
      <c r="K258">
        <f>Table50[[#This Row],[OpeningQty]]+Table50[[#This Row],[PurchasesQty]]-Table50[[#This Row],[ClosingQty]]</f>
        <v>1.2600000000000007</v>
      </c>
      <c r="L258">
        <v>219.27</v>
      </c>
      <c r="M258" s="14">
        <f>Table50[[#This Row],[Usage]]/$L$1</f>
        <v>3.3302714337527043E-4</v>
      </c>
      <c r="N258" s="15">
        <f>IFERROR(Table50[[#This Row],[Opening]]/Table50[[#This Row],[OpeningQty]],0)</f>
        <v>174.02205882352939</v>
      </c>
      <c r="O258" s="15">
        <f>IFERROR(Table50[[#This Row],[Purchases]]/Table50[[#This Row],[PurchasesQty]],0)</f>
        <v>174.01960784313727</v>
      </c>
      <c r="P258" s="15">
        <f>IFERROR(Table50[[#This Row],[Closing]]/Table50[[#This Row],[ClosingQty]],0)</f>
        <v>174.01913875598086</v>
      </c>
      <c r="Q258" s="15">
        <f>IFERROR(AVERAGEIF(Table50[[#This Row],[OPENING COST PRICE]:[CLOSING COST PRICE]],"&gt;0"),0)</f>
        <v>174.02026847421584</v>
      </c>
      <c r="R258" s="15">
        <f>IFERROR(Table50[[#This Row],[COST PRICE]]-IFERROR(Table50[[#This Row],[Usage]]/Table50[[#This Row],[UsageQty]],Table50[[#This Row],[COST PRICE]]),0)</f>
        <v>-3.5410495935934705E-3</v>
      </c>
      <c r="S258" s="16">
        <f>IFERROR(Table50[[#This Row],[COST PRICE CHANGE]]/Table50[[#This Row],[OPENING COST PRICE]],0)</f>
        <v>-2.0348280083183845E-5</v>
      </c>
      <c r="T258" s="15">
        <f>Table50[[#This Row],[ClosingQty]]-(Table50[[#This Row],[USAGE / DAY]]*(IF(Table50[[#This Row],[ccnt]]="BEV",Table50[[#This Row],[DELIVERY DAY]],Table50[[#This Row],[DELIVERY DAY]])))</f>
        <v>3.6799999999999997</v>
      </c>
      <c r="U258" s="15">
        <f>ROUNDUP(Table50[[#This Row],[UsageQty]]/Table50[[#This Row],[DATA POINT]],2)</f>
        <v>9.9999999999999992E-2</v>
      </c>
      <c r="V25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58" s="15">
        <f>IFERROR(Table50[[#This Row],[ORDER QTY]]*Table50[[#This Row],[COST PRICE]],0)</f>
        <v>0</v>
      </c>
      <c r="X258" s="15">
        <f>IFERROR(VLOOKUP(C258,[1]!Table49[[#All],[name]:[USAGE / DAY]],19,FALSE),1)</f>
        <v>0.18</v>
      </c>
      <c r="Y258" s="4">
        <f>IFERROR((Table50[[#This Row],[USAGE / DAY]]-Table50[[#This Row],[USAGE / DAY 2]])/Table50[[#This Row],[USAGE / DAY 2]],0)</f>
        <v>-0.44444444444444448</v>
      </c>
      <c r="Z258" s="15">
        <f t="shared" si="9"/>
        <v>14</v>
      </c>
      <c r="AA258" s="15">
        <f t="shared" si="10"/>
        <v>9.311854181734148</v>
      </c>
      <c r="AB258" s="15">
        <f>IFERROR(IF(Table50[[#This Row],[ccnt]]="BEV",$AB$2,IF(Table50[[#This Row],[ccnt]]="FOOD",$AC$2,"ENTER # FROM LAST COUNT")),"ENTER # FROM LAST COUNT")</f>
        <v>5</v>
      </c>
      <c r="AC258" s="15">
        <f>(Table50[[#This Row],[OpeningQty]]+Table50[[#This Row],[ClosingQty]])/2</f>
        <v>2.77</v>
      </c>
      <c r="AD258" s="15">
        <f>IFERROR(Table50[[#This Row],[UsageQty]]/Table50[[#This Row],[AVE INVENTORY]],0)</f>
        <v>0.45487364620938653</v>
      </c>
      <c r="AE258" s="15">
        <f>IFERROR(Table50[[#This Row],[DATA POINT]]/Table50[[#This Row],[Inventory Turnover Rate]],0)</f>
        <v>30.777777777777761</v>
      </c>
      <c r="AF258" s="15">
        <f>Table50[[#This Row],[ClosingQty]]/Table50[[#This Row],[USAGE / DAY]]</f>
        <v>41.8</v>
      </c>
      <c r="AG258" s="15">
        <f>Table50[[#This Row],[USAGE / DAY]]*7</f>
        <v>0.7</v>
      </c>
      <c r="AH258" s="15">
        <f>Table50[[#This Row],[USAGE / DAY]]*3</f>
        <v>0.3</v>
      </c>
      <c r="AI25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8" s="15">
        <f>IFERROR(Table50[[#This Row],[ORDER QTY2]]*Table50[[#This Row],[COST PRICE]],0)</f>
        <v>0</v>
      </c>
      <c r="AK258" s="15">
        <f>(Table50[[#This Row],[REORDER POINT]]*Table50[[#This Row],[COST PRICE]])+Table50[[#This Row],[ORDER COST]]</f>
        <v>640.39458798511419</v>
      </c>
      <c r="AL258" s="15">
        <f t="shared" si="11"/>
        <v>100</v>
      </c>
      <c r="AM258" s="15">
        <f>IFERROR((Table50[[#This Row],[REORDER POINT]]+Table50[[#This Row],[ORDER QTY]])/(Table50[[#This Row],[USAGE / DAY]]*Table50[[#This Row],[DEMAND %]]),Table50[[#This Row],[REORDER POINT]]/Table50[[#This Row],[USAGE / DAY]])</f>
        <v>36.799999999999997</v>
      </c>
    </row>
    <row r="259" spans="1:39" x14ac:dyDescent="0.25">
      <c r="A259" t="s">
        <v>324</v>
      </c>
      <c r="B259" t="s">
        <v>330</v>
      </c>
      <c r="C259" t="s">
        <v>355</v>
      </c>
      <c r="D259" t="s">
        <v>53</v>
      </c>
      <c r="E259">
        <v>2</v>
      </c>
      <c r="F259">
        <v>46.84</v>
      </c>
      <c r="G259">
        <v>18</v>
      </c>
      <c r="H259">
        <v>421.54</v>
      </c>
      <c r="I259">
        <v>11.3</v>
      </c>
      <c r="J259">
        <v>264.64999999999998</v>
      </c>
      <c r="K259">
        <f>Table50[[#This Row],[OpeningQty]]+Table50[[#This Row],[PurchasesQty]]-Table50[[#This Row],[ClosingQty]]</f>
        <v>8.6999999999999993</v>
      </c>
      <c r="L259">
        <v>203.73</v>
      </c>
      <c r="M259" s="14">
        <f>Table50[[#This Row],[Usage]]/$L$1</f>
        <v>3.0942500077458764E-4</v>
      </c>
      <c r="N259" s="15">
        <f>IFERROR(Table50[[#This Row],[Opening]]/Table50[[#This Row],[OpeningQty]],0)</f>
        <v>23.42</v>
      </c>
      <c r="O259" s="15">
        <f>IFERROR(Table50[[#This Row],[Purchases]]/Table50[[#This Row],[PurchasesQty]],0)</f>
        <v>23.41888888888889</v>
      </c>
      <c r="P259" s="15">
        <f>IFERROR(Table50[[#This Row],[Closing]]/Table50[[#This Row],[ClosingQty]],0)</f>
        <v>23.420353982300881</v>
      </c>
      <c r="Q259" s="15">
        <f>IFERROR(AVERAGEIF(Table50[[#This Row],[OPENING COST PRICE]:[CLOSING COST PRICE]],"&gt;0"),0)</f>
        <v>23.419747623729922</v>
      </c>
      <c r="R259" s="15">
        <f>IFERROR(Table50[[#This Row],[COST PRICE]]-IFERROR(Table50[[#This Row],[Usage]]/Table50[[#This Row],[UsageQty]],Table50[[#This Row],[COST PRICE]]),0)</f>
        <v>2.5062444195746991E-3</v>
      </c>
      <c r="S259" s="16">
        <f>IFERROR(Table50[[#This Row],[COST PRICE CHANGE]]/Table50[[#This Row],[OPENING COST PRICE]],0)</f>
        <v>1.0701299827389833E-4</v>
      </c>
      <c r="T259" s="15">
        <f>Table50[[#This Row],[ClosingQty]]-(Table50[[#This Row],[USAGE / DAY]]*(IF(Table50[[#This Row],[ccnt]]="BEV",Table50[[#This Row],[DELIVERY DAY]],Table50[[#This Row],[DELIVERY DAY]])))</f>
        <v>8.15</v>
      </c>
      <c r="U259" s="15">
        <f>ROUNDUP(Table50[[#This Row],[UsageQty]]/Table50[[#This Row],[DATA POINT]],2)</f>
        <v>0.63</v>
      </c>
      <c r="V25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59" s="15">
        <f>IFERROR(Table50[[#This Row],[ORDER QTY]]*Table50[[#This Row],[COST PRICE]],0)</f>
        <v>0</v>
      </c>
      <c r="X259" s="15">
        <f>IFERROR(VLOOKUP(C259,[1]!Table49[[#All],[name]:[USAGE / DAY]],19,FALSE),1)</f>
        <v>0.96</v>
      </c>
      <c r="Y259" s="4">
        <f>IFERROR((Table50[[#This Row],[USAGE / DAY]]-Table50[[#This Row],[USAGE / DAY 2]])/Table50[[#This Row],[USAGE / DAY 2]],0)</f>
        <v>-0.34374999999999994</v>
      </c>
      <c r="Z259" s="15">
        <f t="shared" si="9"/>
        <v>14</v>
      </c>
      <c r="AA259" s="15">
        <f t="shared" si="10"/>
        <v>9.311854181734148</v>
      </c>
      <c r="AB259" s="15">
        <f>IFERROR(IF(Table50[[#This Row],[ccnt]]="BEV",$AB$2,IF(Table50[[#This Row],[ccnt]]="FOOD",$AC$2,"ENTER # FROM LAST COUNT")),"ENTER # FROM LAST COUNT")</f>
        <v>5</v>
      </c>
      <c r="AC259" s="15">
        <f>(Table50[[#This Row],[OpeningQty]]+Table50[[#This Row],[ClosingQty]])/2</f>
        <v>6.65</v>
      </c>
      <c r="AD259" s="15">
        <f>IFERROR(Table50[[#This Row],[UsageQty]]/Table50[[#This Row],[AVE INVENTORY]],0)</f>
        <v>1.3082706766917291</v>
      </c>
      <c r="AE259" s="15">
        <f>IFERROR(Table50[[#This Row],[DATA POINT]]/Table50[[#This Row],[Inventory Turnover Rate]],0)</f>
        <v>10.701149425287358</v>
      </c>
      <c r="AF259" s="15">
        <f>Table50[[#This Row],[ClosingQty]]/Table50[[#This Row],[USAGE / DAY]]</f>
        <v>17.936507936507937</v>
      </c>
      <c r="AG259" s="15">
        <f>Table50[[#This Row],[USAGE / DAY]]*7</f>
        <v>4.41</v>
      </c>
      <c r="AH259" s="15">
        <f>Table50[[#This Row],[USAGE / DAY]]*3</f>
        <v>1.8900000000000001</v>
      </c>
      <c r="AI25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59" s="15">
        <f>IFERROR(Table50[[#This Row],[ORDER QTY2]]*Table50[[#This Row],[COST PRICE]],0)</f>
        <v>0</v>
      </c>
      <c r="AK259" s="15">
        <f>(Table50[[#This Row],[REORDER POINT]]*Table50[[#This Row],[COST PRICE]])+Table50[[#This Row],[ORDER COST]]</f>
        <v>190.87094313339887</v>
      </c>
      <c r="AL259" s="15">
        <f t="shared" si="11"/>
        <v>100</v>
      </c>
      <c r="AM259" s="15">
        <f>IFERROR((Table50[[#This Row],[REORDER POINT]]+Table50[[#This Row],[ORDER QTY]])/(Table50[[#This Row],[USAGE / DAY]]*Table50[[#This Row],[DEMAND %]]),Table50[[#This Row],[REORDER POINT]]/Table50[[#This Row],[USAGE / DAY]])</f>
        <v>12.936507936507937</v>
      </c>
    </row>
    <row r="260" spans="1:39" x14ac:dyDescent="0.25">
      <c r="A260" t="s">
        <v>324</v>
      </c>
      <c r="B260" t="s">
        <v>330</v>
      </c>
      <c r="C260" t="s">
        <v>356</v>
      </c>
      <c r="D260" t="s">
        <v>138</v>
      </c>
      <c r="E260">
        <v>5.66</v>
      </c>
      <c r="F260">
        <v>123.67</v>
      </c>
      <c r="G260">
        <v>5</v>
      </c>
      <c r="H260">
        <v>79.95</v>
      </c>
      <c r="I260">
        <v>5.2</v>
      </c>
      <c r="J260">
        <v>83.15</v>
      </c>
      <c r="K260">
        <f>Table50[[#This Row],[OpeningQty]]+Table50[[#This Row],[PurchasesQty]]-Table50[[#This Row],[ClosingQty]]</f>
        <v>5.46</v>
      </c>
      <c r="L260">
        <v>120.47</v>
      </c>
      <c r="M260" s="14">
        <f>Table50[[#This Row],[Usage]]/$L$1</f>
        <v>1.8296976313412152E-4</v>
      </c>
      <c r="N260" s="15">
        <f>IFERROR(Table50[[#This Row],[Opening]]/Table50[[#This Row],[OpeningQty]],0)</f>
        <v>21.849823321554769</v>
      </c>
      <c r="O260" s="15">
        <f>IFERROR(Table50[[#This Row],[Purchases]]/Table50[[#This Row],[PurchasesQty]],0)</f>
        <v>15.99</v>
      </c>
      <c r="P260" s="15">
        <f>IFERROR(Table50[[#This Row],[Closing]]/Table50[[#This Row],[ClosingQty]],0)</f>
        <v>15.990384615384617</v>
      </c>
      <c r="Q260" s="15">
        <f>IFERROR(AVERAGEIF(Table50[[#This Row],[OPENING COST PRICE]:[CLOSING COST PRICE]],"&gt;0"),0)</f>
        <v>17.943402645646461</v>
      </c>
      <c r="R260" s="15">
        <f>IFERROR(Table50[[#This Row],[COST PRICE]]-IFERROR(Table50[[#This Row],[Usage]]/Table50[[#This Row],[UsageQty]],Table50[[#This Row],[COST PRICE]]),0)</f>
        <v>-4.1206999184561042</v>
      </c>
      <c r="S260" s="16">
        <f>IFERROR(Table50[[#This Row],[COST PRICE CHANGE]]/Table50[[#This Row],[OPENING COST PRICE]],0)</f>
        <v>-0.18859191023256691</v>
      </c>
      <c r="T260" s="15">
        <f>Table50[[#This Row],[ClosingQty]]-(Table50[[#This Row],[USAGE / DAY]]*(IF(Table50[[#This Row],[ccnt]]="BEV",Table50[[#This Row],[DELIVERY DAY]],Table50[[#This Row],[DELIVERY DAY]])))</f>
        <v>3.25</v>
      </c>
      <c r="U260" s="15">
        <f>ROUNDUP(Table50[[#This Row],[UsageQty]]/Table50[[#This Row],[DATA POINT]],2)</f>
        <v>0.39</v>
      </c>
      <c r="V26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260" s="15">
        <f>IFERROR(Table50[[#This Row],[ORDER QTY]]*Table50[[#This Row],[COST PRICE]],0)</f>
        <v>17.943402645646461</v>
      </c>
      <c r="X260" s="15">
        <f>IFERROR(VLOOKUP(C260,[1]!Table49[[#All],[name]:[USAGE / DAY]],19,FALSE),1)</f>
        <v>-0.2</v>
      </c>
      <c r="Y260" s="4">
        <f>IFERROR((Table50[[#This Row],[USAGE / DAY]]-Table50[[#This Row],[USAGE / DAY 2]])/Table50[[#This Row],[USAGE / DAY 2]],0)</f>
        <v>-2.95</v>
      </c>
      <c r="Z260" s="15">
        <f t="shared" ref="Z260:Z323" si="12">_xlfn.DAYS($V$2,$V$1)</f>
        <v>14</v>
      </c>
      <c r="AA260" s="15">
        <f t="shared" ref="AA260:AA323" si="13">($R$2*$R$1)+$R$2</f>
        <v>9.311854181734148</v>
      </c>
      <c r="AB260" s="15">
        <f>IFERROR(IF(Table50[[#This Row],[ccnt]]="BEV",$AB$2,IF(Table50[[#This Row],[ccnt]]="FOOD",$AC$2,"ENTER # FROM LAST COUNT")),"ENTER # FROM LAST COUNT")</f>
        <v>5</v>
      </c>
      <c r="AC260" s="15">
        <f>(Table50[[#This Row],[OpeningQty]]+Table50[[#This Row],[ClosingQty]])/2</f>
        <v>5.43</v>
      </c>
      <c r="AD260" s="15">
        <f>IFERROR(Table50[[#This Row],[UsageQty]]/Table50[[#This Row],[AVE INVENTORY]],0)</f>
        <v>1.0055248618784531</v>
      </c>
      <c r="AE260" s="15">
        <f>IFERROR(Table50[[#This Row],[DATA POINT]]/Table50[[#This Row],[Inventory Turnover Rate]],0)</f>
        <v>13.923076923076922</v>
      </c>
      <c r="AF260" s="15">
        <f>Table50[[#This Row],[ClosingQty]]/Table50[[#This Row],[USAGE / DAY]]</f>
        <v>13.333333333333334</v>
      </c>
      <c r="AG260" s="15">
        <f>Table50[[#This Row],[USAGE / DAY]]*7</f>
        <v>2.73</v>
      </c>
      <c r="AH260" s="15">
        <f>Table50[[#This Row],[USAGE / DAY]]*3</f>
        <v>1.17</v>
      </c>
      <c r="AI26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0" s="15">
        <f>IFERROR(Table50[[#This Row],[ORDER QTY2]]*Table50[[#This Row],[COST PRICE]],0)</f>
        <v>0</v>
      </c>
      <c r="AK260" s="15">
        <f>(Table50[[#This Row],[REORDER POINT]]*Table50[[#This Row],[COST PRICE]])+Table50[[#This Row],[ORDER COST]]</f>
        <v>76.259461243997464</v>
      </c>
      <c r="AL260" s="15">
        <f t="shared" ref="AL260:AL323" si="14">$AL$2</f>
        <v>100</v>
      </c>
      <c r="AM260" s="15">
        <f>IFERROR((Table50[[#This Row],[REORDER POINT]]+Table50[[#This Row],[ORDER QTY]])/(Table50[[#This Row],[USAGE / DAY]]*Table50[[#This Row],[DEMAND %]]),Table50[[#This Row],[REORDER POINT]]/Table50[[#This Row],[USAGE / DAY]])</f>
        <v>0.10897435897435898</v>
      </c>
    </row>
    <row r="261" spans="1:39" x14ac:dyDescent="0.25">
      <c r="A261" t="s">
        <v>324</v>
      </c>
      <c r="B261" t="s">
        <v>330</v>
      </c>
      <c r="C261" t="s">
        <v>357</v>
      </c>
      <c r="D261" t="s">
        <v>53</v>
      </c>
      <c r="E261">
        <v>5</v>
      </c>
      <c r="F261">
        <v>204.6</v>
      </c>
      <c r="G261">
        <v>0</v>
      </c>
      <c r="H261">
        <v>0</v>
      </c>
      <c r="I261">
        <v>0</v>
      </c>
      <c r="J261">
        <v>0</v>
      </c>
      <c r="K261">
        <f>Table50[[#This Row],[OpeningQty]]+Table50[[#This Row],[PurchasesQty]]-Table50[[#This Row],[ClosingQty]]</f>
        <v>5</v>
      </c>
      <c r="L261">
        <v>204.6</v>
      </c>
      <c r="M261" s="14">
        <f>Table50[[#This Row],[Usage]]/$L$1</f>
        <v>3.1074635624837106E-4</v>
      </c>
      <c r="N261" s="15">
        <f>IFERROR(Table50[[#This Row],[Opening]]/Table50[[#This Row],[OpeningQty]],0)</f>
        <v>40.92</v>
      </c>
      <c r="O261" s="15">
        <f>IFERROR(Table50[[#This Row],[Purchases]]/Table50[[#This Row],[PurchasesQty]],0)</f>
        <v>0</v>
      </c>
      <c r="P261" s="15">
        <f>IFERROR(Table50[[#This Row],[Closing]]/Table50[[#This Row],[ClosingQty]],0)</f>
        <v>0</v>
      </c>
      <c r="Q261" s="15">
        <f>IFERROR(AVERAGEIF(Table50[[#This Row],[OPENING COST PRICE]:[CLOSING COST PRICE]],"&gt;0"),0)</f>
        <v>40.92</v>
      </c>
      <c r="R261" s="15">
        <f>IFERROR(Table50[[#This Row],[COST PRICE]]-IFERROR(Table50[[#This Row],[Usage]]/Table50[[#This Row],[UsageQty]],Table50[[#This Row],[COST PRICE]]),0)</f>
        <v>0</v>
      </c>
      <c r="S261" s="16">
        <f>IFERROR(Table50[[#This Row],[COST PRICE CHANGE]]/Table50[[#This Row],[OPENING COST PRICE]],0)</f>
        <v>0</v>
      </c>
      <c r="T261" s="15">
        <f>Table50[[#This Row],[ClosingQty]]-(Table50[[#This Row],[USAGE / DAY]]*(IF(Table50[[#This Row],[ccnt]]="BEV",Table50[[#This Row],[DELIVERY DAY]],Table50[[#This Row],[DELIVERY DAY]])))</f>
        <v>-1.7999999999999998</v>
      </c>
      <c r="U261" s="15">
        <f>ROUNDUP(Table50[[#This Row],[UsageQty]]/Table50[[#This Row],[DATA POINT]],2)</f>
        <v>0.36</v>
      </c>
      <c r="V26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6</v>
      </c>
      <c r="W261" s="15">
        <f>IFERROR(Table50[[#This Row],[ORDER QTY]]*Table50[[#This Row],[COST PRICE]],0)</f>
        <v>245.52</v>
      </c>
      <c r="X261" s="15">
        <f>IFERROR(VLOOKUP(C261,[1]!Table49[[#All],[name]:[USAGE / DAY]],19,FALSE),1)</f>
        <v>0.13</v>
      </c>
      <c r="Y261" s="4">
        <f>IFERROR((Table50[[#This Row],[USAGE / DAY]]-Table50[[#This Row],[USAGE / DAY 2]])/Table50[[#This Row],[USAGE / DAY 2]],0)</f>
        <v>1.7692307692307689</v>
      </c>
      <c r="Z261" s="15">
        <f t="shared" si="12"/>
        <v>14</v>
      </c>
      <c r="AA261" s="15">
        <f t="shared" si="13"/>
        <v>9.311854181734148</v>
      </c>
      <c r="AB261" s="15">
        <f>IFERROR(IF(Table50[[#This Row],[ccnt]]="BEV",$AB$2,IF(Table50[[#This Row],[ccnt]]="FOOD",$AC$2,"ENTER # FROM LAST COUNT")),"ENTER # FROM LAST COUNT")</f>
        <v>5</v>
      </c>
      <c r="AC261" s="15">
        <f>(Table50[[#This Row],[OpeningQty]]+Table50[[#This Row],[ClosingQty]])/2</f>
        <v>2.5</v>
      </c>
      <c r="AD261" s="15">
        <f>IFERROR(Table50[[#This Row],[UsageQty]]/Table50[[#This Row],[AVE INVENTORY]],0)</f>
        <v>2</v>
      </c>
      <c r="AE261" s="15">
        <f>IFERROR(Table50[[#This Row],[DATA POINT]]/Table50[[#This Row],[Inventory Turnover Rate]],0)</f>
        <v>7</v>
      </c>
      <c r="AF261" s="15">
        <f>Table50[[#This Row],[ClosingQty]]/Table50[[#This Row],[USAGE / DAY]]</f>
        <v>0</v>
      </c>
      <c r="AG261" s="15">
        <f>Table50[[#This Row],[USAGE / DAY]]*7</f>
        <v>2.52</v>
      </c>
      <c r="AH261" s="15">
        <f>Table50[[#This Row],[USAGE / DAY]]*3</f>
        <v>1.08</v>
      </c>
      <c r="AI261" s="15">
        <f>IF(Table50[[#This Row],[FORECASTED DEMAND]]+Table50[[#This Row],[SAFETY STOCK]]-Table50[[#This Row],[ClosingQty]]&gt;0,Table50[[#This Row],[FORECASTED DEMAND]]+Table50[[#This Row],[SAFETY STOCK]]-Table50[[#This Row],[ClosingQty]],"NO ORDER")</f>
        <v>3.6</v>
      </c>
      <c r="AJ261" s="15">
        <f>IFERROR(Table50[[#This Row],[ORDER QTY2]]*Table50[[#This Row],[COST PRICE]],0)</f>
        <v>147.31200000000001</v>
      </c>
      <c r="AK261" s="15">
        <f>(Table50[[#This Row],[REORDER POINT]]*Table50[[#This Row],[COST PRICE]])+Table50[[#This Row],[ORDER COST]]</f>
        <v>171.86400000000003</v>
      </c>
      <c r="AL261" s="15">
        <f t="shared" si="14"/>
        <v>100</v>
      </c>
      <c r="AM261" s="15">
        <f>IFERROR((Table50[[#This Row],[REORDER POINT]]+Table50[[#This Row],[ORDER QTY]])/(Table50[[#This Row],[USAGE / DAY]]*Table50[[#This Row],[DEMAND %]]),Table50[[#This Row],[REORDER POINT]]/Table50[[#This Row],[USAGE / DAY]])</f>
        <v>0.11666666666666667</v>
      </c>
    </row>
    <row r="262" spans="1:39" x14ac:dyDescent="0.25">
      <c r="A262" t="s">
        <v>324</v>
      </c>
      <c r="B262" t="s">
        <v>330</v>
      </c>
      <c r="C262" t="s">
        <v>358</v>
      </c>
      <c r="D262" t="s">
        <v>131</v>
      </c>
      <c r="E262">
        <v>2.66</v>
      </c>
      <c r="F262">
        <v>786.32</v>
      </c>
      <c r="G262">
        <v>3</v>
      </c>
      <c r="H262">
        <v>886.83</v>
      </c>
      <c r="I262">
        <v>2.48</v>
      </c>
      <c r="J262">
        <v>733.11</v>
      </c>
      <c r="K262">
        <f>Table50[[#This Row],[OpeningQty]]+Table50[[#This Row],[PurchasesQty]]-Table50[[#This Row],[ClosingQty]]</f>
        <v>3.18</v>
      </c>
      <c r="L262">
        <v>940.04</v>
      </c>
      <c r="M262" s="14">
        <f>Table50[[#This Row],[Usage]]/$L$1</f>
        <v>1.4277321834199352E-3</v>
      </c>
      <c r="N262" s="15">
        <f>IFERROR(Table50[[#This Row],[Opening]]/Table50[[#This Row],[OpeningQty]],0)</f>
        <v>295.60902255639098</v>
      </c>
      <c r="O262" s="15">
        <f>IFERROR(Table50[[#This Row],[Purchases]]/Table50[[#This Row],[PurchasesQty]],0)</f>
        <v>295.61</v>
      </c>
      <c r="P262" s="15">
        <f>IFERROR(Table50[[#This Row],[Closing]]/Table50[[#This Row],[ClosingQty]],0)</f>
        <v>295.60887096774195</v>
      </c>
      <c r="Q262" s="15">
        <f>IFERROR(AVERAGEIF(Table50[[#This Row],[OPENING COST PRICE]:[CLOSING COST PRICE]],"&gt;0"),0)</f>
        <v>295.60929784137767</v>
      </c>
      <c r="R262" s="15">
        <f>IFERROR(Table50[[#This Row],[COST PRICE]]-IFERROR(Table50[[#This Row],[Usage]]/Table50[[#This Row],[UsageQty]],Table50[[#This Row],[COST PRICE]]),0)</f>
        <v>-7.6505170409291168E-4</v>
      </c>
      <c r="S262" s="16">
        <f>IFERROR(Table50[[#This Row],[COST PRICE CHANGE]]/Table50[[#This Row],[OPENING COST PRICE]],0)</f>
        <v>-2.5880526158397917E-6</v>
      </c>
      <c r="T262" s="15">
        <f>Table50[[#This Row],[ClosingQty]]-(Table50[[#This Row],[USAGE / DAY]]*(IF(Table50[[#This Row],[ccnt]]="BEV",Table50[[#This Row],[DELIVERY DAY]],Table50[[#This Row],[DELIVERY DAY]])))</f>
        <v>1.3299999999999998</v>
      </c>
      <c r="U262" s="15">
        <f>ROUNDUP(Table50[[#This Row],[UsageQty]]/Table50[[#This Row],[DATA POINT]],2)</f>
        <v>0.23</v>
      </c>
      <c r="V26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262" s="15">
        <f>IFERROR(Table50[[#This Row],[ORDER QTY]]*Table50[[#This Row],[COST PRICE]],0)</f>
        <v>295.60929784137767</v>
      </c>
      <c r="X262" s="15">
        <f>IFERROR(VLOOKUP(C262,[1]!Table49[[#All],[name]:[USAGE / DAY]],19,FALSE),1)</f>
        <v>0.05</v>
      </c>
      <c r="Y262" s="4">
        <f>IFERROR((Table50[[#This Row],[USAGE / DAY]]-Table50[[#This Row],[USAGE / DAY 2]])/Table50[[#This Row],[USAGE / DAY 2]],0)</f>
        <v>3.5999999999999996</v>
      </c>
      <c r="Z262" s="15">
        <f t="shared" si="12"/>
        <v>14</v>
      </c>
      <c r="AA262" s="15">
        <f t="shared" si="13"/>
        <v>9.311854181734148</v>
      </c>
      <c r="AB262" s="15">
        <f>IFERROR(IF(Table50[[#This Row],[ccnt]]="BEV",$AB$2,IF(Table50[[#This Row],[ccnt]]="FOOD",$AC$2,"ENTER # FROM LAST COUNT")),"ENTER # FROM LAST COUNT")</f>
        <v>5</v>
      </c>
      <c r="AC262" s="15">
        <f>(Table50[[#This Row],[OpeningQty]]+Table50[[#This Row],[ClosingQty]])/2</f>
        <v>2.5700000000000003</v>
      </c>
      <c r="AD262" s="15">
        <f>IFERROR(Table50[[#This Row],[UsageQty]]/Table50[[#This Row],[AVE INVENTORY]],0)</f>
        <v>1.2373540856031127</v>
      </c>
      <c r="AE262" s="15">
        <f>IFERROR(Table50[[#This Row],[DATA POINT]]/Table50[[#This Row],[Inventory Turnover Rate]],0)</f>
        <v>11.314465408805033</v>
      </c>
      <c r="AF262" s="15">
        <f>Table50[[#This Row],[ClosingQty]]/Table50[[#This Row],[USAGE / DAY]]</f>
        <v>10.782608695652174</v>
      </c>
      <c r="AG262" s="15">
        <f>Table50[[#This Row],[USAGE / DAY]]*7</f>
        <v>1.61</v>
      </c>
      <c r="AH262" s="15">
        <f>Table50[[#This Row],[USAGE / DAY]]*3</f>
        <v>0.69000000000000006</v>
      </c>
      <c r="AI26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2" s="15">
        <f>IFERROR(Table50[[#This Row],[ORDER QTY2]]*Table50[[#This Row],[COST PRICE]],0)</f>
        <v>0</v>
      </c>
      <c r="AK262" s="15">
        <f>(Table50[[#This Row],[REORDER POINT]]*Table50[[#This Row],[COST PRICE]])+Table50[[#This Row],[ORDER COST]]</f>
        <v>688.76966397040997</v>
      </c>
      <c r="AL262" s="15">
        <f t="shared" si="14"/>
        <v>100</v>
      </c>
      <c r="AM262" s="15">
        <f>IFERROR((Table50[[#This Row],[REORDER POINT]]+Table50[[#This Row],[ORDER QTY]])/(Table50[[#This Row],[USAGE / DAY]]*Table50[[#This Row],[DEMAND %]]),Table50[[#This Row],[REORDER POINT]]/Table50[[#This Row],[USAGE / DAY]])</f>
        <v>0.10130434782608697</v>
      </c>
    </row>
    <row r="263" spans="1:39" x14ac:dyDescent="0.25">
      <c r="A263" t="s">
        <v>324</v>
      </c>
      <c r="B263" t="s">
        <v>330</v>
      </c>
      <c r="C263" t="s">
        <v>359</v>
      </c>
      <c r="D263" t="s">
        <v>138</v>
      </c>
      <c r="E263">
        <v>6</v>
      </c>
      <c r="F263">
        <v>239.7</v>
      </c>
      <c r="G263">
        <v>12</v>
      </c>
      <c r="H263">
        <v>419.4</v>
      </c>
      <c r="I263">
        <v>9</v>
      </c>
      <c r="J263">
        <v>314.55</v>
      </c>
      <c r="K263">
        <f>Table50[[#This Row],[OpeningQty]]+Table50[[#This Row],[PurchasesQty]]-Table50[[#This Row],[ClosingQty]]</f>
        <v>9</v>
      </c>
      <c r="L263">
        <v>344.55</v>
      </c>
      <c r="M263" s="14">
        <f>Table50[[#This Row],[Usage]]/$L$1</f>
        <v>5.2330233160007944E-4</v>
      </c>
      <c r="N263" s="15">
        <f>IFERROR(Table50[[#This Row],[Opening]]/Table50[[#This Row],[OpeningQty]],0)</f>
        <v>39.949999999999996</v>
      </c>
      <c r="O263" s="15">
        <f>IFERROR(Table50[[#This Row],[Purchases]]/Table50[[#This Row],[PurchasesQty]],0)</f>
        <v>34.949999999999996</v>
      </c>
      <c r="P263" s="15">
        <f>IFERROR(Table50[[#This Row],[Closing]]/Table50[[#This Row],[ClosingQty]],0)</f>
        <v>34.950000000000003</v>
      </c>
      <c r="Q263" s="15">
        <f>IFERROR(AVERAGEIF(Table50[[#This Row],[OPENING COST PRICE]:[CLOSING COST PRICE]],"&gt;0"),0)</f>
        <v>36.616666666666667</v>
      </c>
      <c r="R263" s="15">
        <f>IFERROR(Table50[[#This Row],[COST PRICE]]-IFERROR(Table50[[#This Row],[Usage]]/Table50[[#This Row],[UsageQty]],Table50[[#This Row],[COST PRICE]]),0)</f>
        <v>-1.6666666666666643</v>
      </c>
      <c r="S263" s="16">
        <f>IFERROR(Table50[[#This Row],[COST PRICE CHANGE]]/Table50[[#This Row],[OPENING COST PRICE]],0)</f>
        <v>-4.1718815185648669E-2</v>
      </c>
      <c r="T263" s="15">
        <f>Table50[[#This Row],[ClosingQty]]-(Table50[[#This Row],[USAGE / DAY]]*(IF(Table50[[#This Row],[ccnt]]="BEV",Table50[[#This Row],[DELIVERY DAY]],Table50[[#This Row],[DELIVERY DAY]])))</f>
        <v>5.75</v>
      </c>
      <c r="U263" s="15">
        <f>ROUNDUP(Table50[[#This Row],[UsageQty]]/Table50[[#This Row],[DATA POINT]],2)</f>
        <v>0.65</v>
      </c>
      <c r="V26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263" s="15">
        <f>IFERROR(Table50[[#This Row],[ORDER QTY]]*Table50[[#This Row],[COST PRICE]],0)</f>
        <v>36.616666666666667</v>
      </c>
      <c r="X263" s="15">
        <f>IFERROR(VLOOKUP(C263,[1]!Table49[[#All],[name]:[USAGE / DAY]],19,FALSE),1)</f>
        <v>-6.9999999999999993E-2</v>
      </c>
      <c r="Y263" s="4">
        <f>IFERROR((Table50[[#This Row],[USAGE / DAY]]-Table50[[#This Row],[USAGE / DAY 2]])/Table50[[#This Row],[USAGE / DAY 2]],0)</f>
        <v>-10.285714285714286</v>
      </c>
      <c r="Z263" s="15">
        <f t="shared" si="12"/>
        <v>14</v>
      </c>
      <c r="AA263" s="15">
        <f t="shared" si="13"/>
        <v>9.311854181734148</v>
      </c>
      <c r="AB263" s="15">
        <f>IFERROR(IF(Table50[[#This Row],[ccnt]]="BEV",$AB$2,IF(Table50[[#This Row],[ccnt]]="FOOD",$AC$2,"ENTER # FROM LAST COUNT")),"ENTER # FROM LAST COUNT")</f>
        <v>5</v>
      </c>
      <c r="AC263" s="15">
        <f>(Table50[[#This Row],[OpeningQty]]+Table50[[#This Row],[ClosingQty]])/2</f>
        <v>7.5</v>
      </c>
      <c r="AD263" s="15">
        <f>IFERROR(Table50[[#This Row],[UsageQty]]/Table50[[#This Row],[AVE INVENTORY]],0)</f>
        <v>1.2</v>
      </c>
      <c r="AE263" s="15">
        <f>IFERROR(Table50[[#This Row],[DATA POINT]]/Table50[[#This Row],[Inventory Turnover Rate]],0)</f>
        <v>11.666666666666668</v>
      </c>
      <c r="AF263" s="15">
        <f>Table50[[#This Row],[ClosingQty]]/Table50[[#This Row],[USAGE / DAY]]</f>
        <v>13.846153846153845</v>
      </c>
      <c r="AG263" s="15">
        <f>Table50[[#This Row],[USAGE / DAY]]*7</f>
        <v>4.55</v>
      </c>
      <c r="AH263" s="15">
        <f>Table50[[#This Row],[USAGE / DAY]]*3</f>
        <v>1.9500000000000002</v>
      </c>
      <c r="AI26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3" s="15">
        <f>IFERROR(Table50[[#This Row],[ORDER QTY2]]*Table50[[#This Row],[COST PRICE]],0)</f>
        <v>0</v>
      </c>
      <c r="AK263" s="15">
        <f>(Table50[[#This Row],[REORDER POINT]]*Table50[[#This Row],[COST PRICE]])+Table50[[#This Row],[ORDER COST]]</f>
        <v>247.16250000000002</v>
      </c>
      <c r="AL263" s="15">
        <f t="shared" si="14"/>
        <v>100</v>
      </c>
      <c r="AM263" s="15">
        <f>IFERROR((Table50[[#This Row],[REORDER POINT]]+Table50[[#This Row],[ORDER QTY]])/(Table50[[#This Row],[USAGE / DAY]]*Table50[[#This Row],[DEMAND %]]),Table50[[#This Row],[REORDER POINT]]/Table50[[#This Row],[USAGE / DAY]])</f>
        <v>0.10384615384615385</v>
      </c>
    </row>
    <row r="264" spans="1:39" x14ac:dyDescent="0.25">
      <c r="A264" t="s">
        <v>324</v>
      </c>
      <c r="B264" t="s">
        <v>330</v>
      </c>
      <c r="C264" t="s">
        <v>360</v>
      </c>
      <c r="D264" t="s">
        <v>138</v>
      </c>
      <c r="E264">
        <v>6</v>
      </c>
      <c r="F264">
        <v>239.7</v>
      </c>
      <c r="G264">
        <v>12</v>
      </c>
      <c r="H264">
        <v>419.41</v>
      </c>
      <c r="I264">
        <v>9</v>
      </c>
      <c r="J264">
        <v>314.55</v>
      </c>
      <c r="K264">
        <f>Table50[[#This Row],[OpeningQty]]+Table50[[#This Row],[PurchasesQty]]-Table50[[#This Row],[ClosingQty]]</f>
        <v>9</v>
      </c>
      <c r="L264">
        <v>344.56</v>
      </c>
      <c r="M264" s="14">
        <f>Table50[[#This Row],[Usage]]/$L$1</f>
        <v>5.2331751959403092E-4</v>
      </c>
      <c r="N264" s="15">
        <f>IFERROR(Table50[[#This Row],[Opening]]/Table50[[#This Row],[OpeningQty]],0)</f>
        <v>39.949999999999996</v>
      </c>
      <c r="O264" s="15">
        <f>IFERROR(Table50[[#This Row],[Purchases]]/Table50[[#This Row],[PurchasesQty]],0)</f>
        <v>34.950833333333335</v>
      </c>
      <c r="P264" s="15">
        <f>IFERROR(Table50[[#This Row],[Closing]]/Table50[[#This Row],[ClosingQty]],0)</f>
        <v>34.950000000000003</v>
      </c>
      <c r="Q264" s="15">
        <f>IFERROR(AVERAGEIF(Table50[[#This Row],[OPENING COST PRICE]:[CLOSING COST PRICE]],"&gt;0"),0)</f>
        <v>36.616944444444449</v>
      </c>
      <c r="R264" s="15">
        <f>IFERROR(Table50[[#This Row],[COST PRICE]]-IFERROR(Table50[[#This Row],[Usage]]/Table50[[#This Row],[UsageQty]],Table50[[#This Row],[COST PRICE]]),0)</f>
        <v>-1.6674999999999969</v>
      </c>
      <c r="S264" s="16">
        <f>IFERROR(Table50[[#This Row],[COST PRICE CHANGE]]/Table50[[#This Row],[OPENING COST PRICE]],0)</f>
        <v>-4.1739674593241481E-2</v>
      </c>
      <c r="T264" s="15">
        <f>Table50[[#This Row],[ClosingQty]]-(Table50[[#This Row],[USAGE / DAY]]*(IF(Table50[[#This Row],[ccnt]]="BEV",Table50[[#This Row],[DELIVERY DAY]],Table50[[#This Row],[DELIVERY DAY]])))</f>
        <v>5.75</v>
      </c>
      <c r="U264" s="15">
        <f>ROUNDUP(Table50[[#This Row],[UsageQty]]/Table50[[#This Row],[DATA POINT]],2)</f>
        <v>0.65</v>
      </c>
      <c r="V26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264" s="15">
        <f>IFERROR(Table50[[#This Row],[ORDER QTY]]*Table50[[#This Row],[COST PRICE]],0)</f>
        <v>36.616944444444449</v>
      </c>
      <c r="X264" s="15">
        <f>IFERROR(VLOOKUP(C264,[1]!Table49[[#All],[name]:[USAGE / DAY]],19,FALSE),1)</f>
        <v>0</v>
      </c>
      <c r="Y264" s="4">
        <f>IFERROR((Table50[[#This Row],[USAGE / DAY]]-Table50[[#This Row],[USAGE / DAY 2]])/Table50[[#This Row],[USAGE / DAY 2]],0)</f>
        <v>0</v>
      </c>
      <c r="Z264" s="15">
        <f t="shared" si="12"/>
        <v>14</v>
      </c>
      <c r="AA264" s="15">
        <f t="shared" si="13"/>
        <v>9.311854181734148</v>
      </c>
      <c r="AB264" s="15">
        <f>IFERROR(IF(Table50[[#This Row],[ccnt]]="BEV",$AB$2,IF(Table50[[#This Row],[ccnt]]="FOOD",$AC$2,"ENTER # FROM LAST COUNT")),"ENTER # FROM LAST COUNT")</f>
        <v>5</v>
      </c>
      <c r="AC264" s="15">
        <f>(Table50[[#This Row],[OpeningQty]]+Table50[[#This Row],[ClosingQty]])/2</f>
        <v>7.5</v>
      </c>
      <c r="AD264" s="15">
        <f>IFERROR(Table50[[#This Row],[UsageQty]]/Table50[[#This Row],[AVE INVENTORY]],0)</f>
        <v>1.2</v>
      </c>
      <c r="AE264" s="15">
        <f>IFERROR(Table50[[#This Row],[DATA POINT]]/Table50[[#This Row],[Inventory Turnover Rate]],0)</f>
        <v>11.666666666666668</v>
      </c>
      <c r="AF264" s="15">
        <f>Table50[[#This Row],[ClosingQty]]/Table50[[#This Row],[USAGE / DAY]]</f>
        <v>13.846153846153845</v>
      </c>
      <c r="AG264" s="15">
        <f>Table50[[#This Row],[USAGE / DAY]]*7</f>
        <v>4.55</v>
      </c>
      <c r="AH264" s="15">
        <f>Table50[[#This Row],[USAGE / DAY]]*3</f>
        <v>1.9500000000000002</v>
      </c>
      <c r="AI26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4" s="15">
        <f>IFERROR(Table50[[#This Row],[ORDER QTY2]]*Table50[[#This Row],[COST PRICE]],0)</f>
        <v>0</v>
      </c>
      <c r="AK264" s="15">
        <f>(Table50[[#This Row],[REORDER POINT]]*Table50[[#This Row],[COST PRICE]])+Table50[[#This Row],[ORDER COST]]</f>
        <v>247.16437500000004</v>
      </c>
      <c r="AL264" s="15">
        <f t="shared" si="14"/>
        <v>100</v>
      </c>
      <c r="AM264" s="15">
        <f>IFERROR((Table50[[#This Row],[REORDER POINT]]+Table50[[#This Row],[ORDER QTY]])/(Table50[[#This Row],[USAGE / DAY]]*Table50[[#This Row],[DEMAND %]]),Table50[[#This Row],[REORDER POINT]]/Table50[[#This Row],[USAGE / DAY]])</f>
        <v>0.10384615384615385</v>
      </c>
    </row>
    <row r="265" spans="1:39" x14ac:dyDescent="0.25">
      <c r="A265" t="s">
        <v>324</v>
      </c>
      <c r="B265" t="s">
        <v>330</v>
      </c>
      <c r="C265" t="s">
        <v>361</v>
      </c>
      <c r="D265" t="s">
        <v>76</v>
      </c>
      <c r="E265">
        <v>4.1900000000000004</v>
      </c>
      <c r="F265">
        <v>253.29</v>
      </c>
      <c r="G265">
        <v>8.4</v>
      </c>
      <c r="H265">
        <v>507.79</v>
      </c>
      <c r="I265">
        <v>7.07</v>
      </c>
      <c r="J265">
        <v>427.38</v>
      </c>
      <c r="K265">
        <f>Table50[[#This Row],[OpeningQty]]+Table50[[#This Row],[PurchasesQty]]-Table50[[#This Row],[ClosingQty]]</f>
        <v>5.52</v>
      </c>
      <c r="L265">
        <v>333.7</v>
      </c>
      <c r="M265" s="14">
        <f>Table50[[#This Row],[Usage]]/$L$1</f>
        <v>5.0682335816266575E-4</v>
      </c>
      <c r="N265" s="15">
        <f>IFERROR(Table50[[#This Row],[Opening]]/Table50[[#This Row],[OpeningQty]],0)</f>
        <v>60.451073985680182</v>
      </c>
      <c r="O265" s="15">
        <f>IFERROR(Table50[[#This Row],[Purchases]]/Table50[[#This Row],[PurchasesQty]],0)</f>
        <v>60.451190476190476</v>
      </c>
      <c r="P265" s="15">
        <f>IFERROR(Table50[[#This Row],[Closing]]/Table50[[#This Row],[ClosingQty]],0)</f>
        <v>60.449787835926443</v>
      </c>
      <c r="Q265" s="15">
        <f>IFERROR(AVERAGEIF(Table50[[#This Row],[OPENING COST PRICE]:[CLOSING COST PRICE]],"&gt;0"),0)</f>
        <v>60.450684099265708</v>
      </c>
      <c r="R265" s="15">
        <f>IFERROR(Table50[[#This Row],[COST PRICE]]-IFERROR(Table50[[#This Row],[Usage]]/Table50[[#This Row],[UsageQty]],Table50[[#This Row],[COST PRICE]]),0)</f>
        <v>-2.2144514589328423E-3</v>
      </c>
      <c r="S265" s="16">
        <f>IFERROR(Table50[[#This Row],[COST PRICE CHANGE]]/Table50[[#This Row],[OPENING COST PRICE]],0)</f>
        <v>-3.6632127651816537E-5</v>
      </c>
      <c r="T265" s="15">
        <f>Table50[[#This Row],[ClosingQty]]-(Table50[[#This Row],[USAGE / DAY]]*(IF(Table50[[#This Row],[ccnt]]="BEV",Table50[[#This Row],[DELIVERY DAY]],Table50[[#This Row],[DELIVERY DAY]])))</f>
        <v>5.07</v>
      </c>
      <c r="U265" s="15">
        <f>ROUNDUP(Table50[[#This Row],[UsageQty]]/Table50[[#This Row],[DATA POINT]],2)</f>
        <v>0.4</v>
      </c>
      <c r="V26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65" s="15">
        <f>IFERROR(Table50[[#This Row],[ORDER QTY]]*Table50[[#This Row],[COST PRICE]],0)</f>
        <v>0</v>
      </c>
      <c r="X265" s="15">
        <f>IFERROR(VLOOKUP(C265,[1]!Table49[[#All],[name]:[USAGE / DAY]],19,FALSE),1)</f>
        <v>0.57999999999999996</v>
      </c>
      <c r="Y265" s="4">
        <f>IFERROR((Table50[[#This Row],[USAGE / DAY]]-Table50[[#This Row],[USAGE / DAY 2]])/Table50[[#This Row],[USAGE / DAY 2]],0)</f>
        <v>-0.3103448275862068</v>
      </c>
      <c r="Z265" s="15">
        <f t="shared" si="12"/>
        <v>14</v>
      </c>
      <c r="AA265" s="15">
        <f t="shared" si="13"/>
        <v>9.311854181734148</v>
      </c>
      <c r="AB265" s="15">
        <f>IFERROR(IF(Table50[[#This Row],[ccnt]]="BEV",$AB$2,IF(Table50[[#This Row],[ccnt]]="FOOD",$AC$2,"ENTER # FROM LAST COUNT")),"ENTER # FROM LAST COUNT")</f>
        <v>5</v>
      </c>
      <c r="AC265" s="15">
        <f>(Table50[[#This Row],[OpeningQty]]+Table50[[#This Row],[ClosingQty]])/2</f>
        <v>5.6300000000000008</v>
      </c>
      <c r="AD265" s="15">
        <f>IFERROR(Table50[[#This Row],[UsageQty]]/Table50[[#This Row],[AVE INVENTORY]],0)</f>
        <v>0.9804618117229128</v>
      </c>
      <c r="AE265" s="15">
        <f>IFERROR(Table50[[#This Row],[DATA POINT]]/Table50[[#This Row],[Inventory Turnover Rate]],0)</f>
        <v>14.278985507246379</v>
      </c>
      <c r="AF265" s="15">
        <f>Table50[[#This Row],[ClosingQty]]/Table50[[#This Row],[USAGE / DAY]]</f>
        <v>17.675000000000001</v>
      </c>
      <c r="AG265" s="15">
        <f>Table50[[#This Row],[USAGE / DAY]]*7</f>
        <v>2.8000000000000003</v>
      </c>
      <c r="AH265" s="15">
        <f>Table50[[#This Row],[USAGE / DAY]]*3</f>
        <v>1.2000000000000002</v>
      </c>
      <c r="AI26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5" s="15">
        <f>IFERROR(Table50[[#This Row],[ORDER QTY2]]*Table50[[#This Row],[COST PRICE]],0)</f>
        <v>0</v>
      </c>
      <c r="AK265" s="15">
        <f>(Table50[[#This Row],[REORDER POINT]]*Table50[[#This Row],[COST PRICE]])+Table50[[#This Row],[ORDER COST]]</f>
        <v>306.48496838327713</v>
      </c>
      <c r="AL265" s="15">
        <f t="shared" si="14"/>
        <v>100</v>
      </c>
      <c r="AM265" s="15">
        <f>IFERROR((Table50[[#This Row],[REORDER POINT]]+Table50[[#This Row],[ORDER QTY]])/(Table50[[#This Row],[USAGE / DAY]]*Table50[[#This Row],[DEMAND %]]),Table50[[#This Row],[REORDER POINT]]/Table50[[#This Row],[USAGE / DAY]])</f>
        <v>12.675000000000001</v>
      </c>
    </row>
    <row r="266" spans="1:39" x14ac:dyDescent="0.25">
      <c r="A266" t="s">
        <v>324</v>
      </c>
      <c r="B266" t="s">
        <v>330</v>
      </c>
      <c r="C266" t="s">
        <v>362</v>
      </c>
      <c r="D266" t="s">
        <v>76</v>
      </c>
      <c r="E266">
        <v>6.2</v>
      </c>
      <c r="F266">
        <v>455.89</v>
      </c>
      <c r="G266">
        <v>0</v>
      </c>
      <c r="H266">
        <v>0</v>
      </c>
      <c r="I266">
        <v>5.33</v>
      </c>
      <c r="J266">
        <v>391.91</v>
      </c>
      <c r="K266">
        <f>Table50[[#This Row],[OpeningQty]]+Table50[[#This Row],[PurchasesQty]]-Table50[[#This Row],[ClosingQty]]</f>
        <v>0.87000000000000011</v>
      </c>
      <c r="L266">
        <v>63.98</v>
      </c>
      <c r="M266" s="14">
        <f>Table50[[#This Row],[Usage]]/$L$1</f>
        <v>9.7172785301909964E-5</v>
      </c>
      <c r="N266" s="15">
        <f>IFERROR(Table50[[#This Row],[Opening]]/Table50[[#This Row],[OpeningQty]],0)</f>
        <v>73.530645161290323</v>
      </c>
      <c r="O266" s="15">
        <f>IFERROR(Table50[[#This Row],[Purchases]]/Table50[[#This Row],[PurchasesQty]],0)</f>
        <v>0</v>
      </c>
      <c r="P266" s="15">
        <f>IFERROR(Table50[[#This Row],[Closing]]/Table50[[#This Row],[ClosingQty]],0)</f>
        <v>73.529080675422136</v>
      </c>
      <c r="Q266" s="15">
        <f>IFERROR(AVERAGEIF(Table50[[#This Row],[OPENING COST PRICE]:[CLOSING COST PRICE]],"&gt;0"),0)</f>
        <v>73.52986291835623</v>
      </c>
      <c r="R266" s="15">
        <f>IFERROR(Table50[[#This Row],[COST PRICE]]-IFERROR(Table50[[#This Row],[Usage]]/Table50[[#This Row],[UsageQty]],Table50[[#This Row],[COST PRICE]]),0)</f>
        <v>-1.0366966701226943E-2</v>
      </c>
      <c r="S266" s="16">
        <f>IFERROR(Table50[[#This Row],[COST PRICE CHANGE]]/Table50[[#This Row],[OPENING COST PRICE]],0)</f>
        <v>-1.4098838217027583E-4</v>
      </c>
      <c r="T266" s="15">
        <f>Table50[[#This Row],[ClosingQty]]-(Table50[[#This Row],[USAGE / DAY]]*(IF(Table50[[#This Row],[ccnt]]="BEV",Table50[[#This Row],[DELIVERY DAY]],Table50[[#This Row],[DELIVERY DAY]])))</f>
        <v>4.9800000000000004</v>
      </c>
      <c r="U266" s="15">
        <f>ROUNDUP(Table50[[#This Row],[UsageQty]]/Table50[[#This Row],[DATA POINT]],2)</f>
        <v>6.9999999999999993E-2</v>
      </c>
      <c r="V26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66" s="15">
        <f>IFERROR(Table50[[#This Row],[ORDER QTY]]*Table50[[#This Row],[COST PRICE]],0)</f>
        <v>0</v>
      </c>
      <c r="X266" s="15">
        <f>IFERROR(VLOOKUP(C266,[1]!Table49[[#All],[name]:[USAGE / DAY]],19,FALSE),1)</f>
        <v>0.08</v>
      </c>
      <c r="Y266" s="4">
        <f>IFERROR((Table50[[#This Row],[USAGE / DAY]]-Table50[[#This Row],[USAGE / DAY 2]])/Table50[[#This Row],[USAGE / DAY 2]],0)</f>
        <v>-0.12500000000000011</v>
      </c>
      <c r="Z266" s="15">
        <f t="shared" si="12"/>
        <v>14</v>
      </c>
      <c r="AA266" s="15">
        <f t="shared" si="13"/>
        <v>9.311854181734148</v>
      </c>
      <c r="AB266" s="15">
        <f>IFERROR(IF(Table50[[#This Row],[ccnt]]="BEV",$AB$2,IF(Table50[[#This Row],[ccnt]]="FOOD",$AC$2,"ENTER # FROM LAST COUNT")),"ENTER # FROM LAST COUNT")</f>
        <v>5</v>
      </c>
      <c r="AC266" s="15">
        <f>(Table50[[#This Row],[OpeningQty]]+Table50[[#This Row],[ClosingQty]])/2</f>
        <v>5.7650000000000006</v>
      </c>
      <c r="AD266" s="15">
        <f>IFERROR(Table50[[#This Row],[UsageQty]]/Table50[[#This Row],[AVE INVENTORY]],0)</f>
        <v>0.15091066782307025</v>
      </c>
      <c r="AE266" s="15">
        <f>IFERROR(Table50[[#This Row],[DATA POINT]]/Table50[[#This Row],[Inventory Turnover Rate]],0)</f>
        <v>92.770114942528735</v>
      </c>
      <c r="AF266" s="15">
        <f>Table50[[#This Row],[ClosingQty]]/Table50[[#This Row],[USAGE / DAY]]</f>
        <v>76.142857142857153</v>
      </c>
      <c r="AG266" s="15">
        <f>Table50[[#This Row],[USAGE / DAY]]*7</f>
        <v>0.48999999999999994</v>
      </c>
      <c r="AH266" s="15">
        <f>Table50[[#This Row],[USAGE / DAY]]*3</f>
        <v>0.20999999999999996</v>
      </c>
      <c r="AI26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6" s="15">
        <f>IFERROR(Table50[[#This Row],[ORDER QTY2]]*Table50[[#This Row],[COST PRICE]],0)</f>
        <v>0</v>
      </c>
      <c r="AK266" s="15">
        <f>(Table50[[#This Row],[REORDER POINT]]*Table50[[#This Row],[COST PRICE]])+Table50[[#This Row],[ORDER COST]]</f>
        <v>366.17871733341406</v>
      </c>
      <c r="AL266" s="15">
        <f t="shared" si="14"/>
        <v>100</v>
      </c>
      <c r="AM266" s="15">
        <f>IFERROR((Table50[[#This Row],[REORDER POINT]]+Table50[[#This Row],[ORDER QTY]])/(Table50[[#This Row],[USAGE / DAY]]*Table50[[#This Row],[DEMAND %]]),Table50[[#This Row],[REORDER POINT]]/Table50[[#This Row],[USAGE / DAY]])</f>
        <v>71.142857142857153</v>
      </c>
    </row>
    <row r="267" spans="1:39" x14ac:dyDescent="0.25">
      <c r="A267" t="s">
        <v>324</v>
      </c>
      <c r="B267" t="s">
        <v>330</v>
      </c>
      <c r="C267" t="s">
        <v>363</v>
      </c>
      <c r="D267" t="s">
        <v>131</v>
      </c>
      <c r="E267">
        <v>0.9</v>
      </c>
      <c r="F267">
        <v>40.049999999999997</v>
      </c>
      <c r="G267">
        <v>0</v>
      </c>
      <c r="H267">
        <v>0</v>
      </c>
      <c r="I267">
        <v>0.65</v>
      </c>
      <c r="J267">
        <v>28.93</v>
      </c>
      <c r="K267">
        <f>Table50[[#This Row],[OpeningQty]]+Table50[[#This Row],[PurchasesQty]]-Table50[[#This Row],[ClosingQty]]</f>
        <v>0.25</v>
      </c>
      <c r="L267">
        <v>11.12</v>
      </c>
      <c r="M267" s="14">
        <f>Table50[[#This Row],[Usage]]/$L$1</f>
        <v>1.6889049274105016E-5</v>
      </c>
      <c r="N267" s="15">
        <f>IFERROR(Table50[[#This Row],[Opening]]/Table50[[#This Row],[OpeningQty]],0)</f>
        <v>44.499999999999993</v>
      </c>
      <c r="O267" s="15">
        <f>IFERROR(Table50[[#This Row],[Purchases]]/Table50[[#This Row],[PurchasesQty]],0)</f>
        <v>0</v>
      </c>
      <c r="P267" s="15">
        <f>IFERROR(Table50[[#This Row],[Closing]]/Table50[[#This Row],[ClosingQty]],0)</f>
        <v>44.507692307692302</v>
      </c>
      <c r="Q267" s="15">
        <f>IFERROR(AVERAGEIF(Table50[[#This Row],[OPENING COST PRICE]:[CLOSING COST PRICE]],"&gt;0"),0)</f>
        <v>44.503846153846148</v>
      </c>
      <c r="R267" s="15">
        <f>IFERROR(Table50[[#This Row],[COST PRICE]]-IFERROR(Table50[[#This Row],[Usage]]/Table50[[#This Row],[UsageQty]],Table50[[#This Row],[COST PRICE]]),0)</f>
        <v>2.3846153846150742E-2</v>
      </c>
      <c r="S267" s="16">
        <f>IFERROR(Table50[[#This Row],[COST PRICE CHANGE]]/Table50[[#This Row],[OPENING COST PRICE]],0)</f>
        <v>5.3586862575619653E-4</v>
      </c>
      <c r="T267" s="15">
        <f>Table50[[#This Row],[ClosingQty]]-(Table50[[#This Row],[USAGE / DAY]]*(IF(Table50[[#This Row],[ccnt]]="BEV",Table50[[#This Row],[DELIVERY DAY]],Table50[[#This Row],[DELIVERY DAY]])))</f>
        <v>0.55000000000000004</v>
      </c>
      <c r="U267" s="15">
        <f>ROUNDUP(Table50[[#This Row],[UsageQty]]/Table50[[#This Row],[DATA POINT]],2)</f>
        <v>0.02</v>
      </c>
      <c r="V26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67" s="15">
        <f>IFERROR(Table50[[#This Row],[ORDER QTY]]*Table50[[#This Row],[COST PRICE]],0)</f>
        <v>0</v>
      </c>
      <c r="X267" s="15">
        <f>IFERROR(VLOOKUP(C267,[1]!Table49[[#All],[name]:[USAGE / DAY]],19,FALSE),1)</f>
        <v>-0.03</v>
      </c>
      <c r="Y267" s="4">
        <f>IFERROR((Table50[[#This Row],[USAGE / DAY]]-Table50[[#This Row],[USAGE / DAY 2]])/Table50[[#This Row],[USAGE / DAY 2]],0)</f>
        <v>-1.6666666666666667</v>
      </c>
      <c r="Z267" s="15">
        <f t="shared" si="12"/>
        <v>14</v>
      </c>
      <c r="AA267" s="15">
        <f t="shared" si="13"/>
        <v>9.311854181734148</v>
      </c>
      <c r="AB267" s="15">
        <f>IFERROR(IF(Table50[[#This Row],[ccnt]]="BEV",$AB$2,IF(Table50[[#This Row],[ccnt]]="FOOD",$AC$2,"ENTER # FROM LAST COUNT")),"ENTER # FROM LAST COUNT")</f>
        <v>5</v>
      </c>
      <c r="AC267" s="15">
        <f>(Table50[[#This Row],[OpeningQty]]+Table50[[#This Row],[ClosingQty]])/2</f>
        <v>0.77500000000000002</v>
      </c>
      <c r="AD267" s="15">
        <f>IFERROR(Table50[[#This Row],[UsageQty]]/Table50[[#This Row],[AVE INVENTORY]],0)</f>
        <v>0.32258064516129031</v>
      </c>
      <c r="AE267" s="15">
        <f>IFERROR(Table50[[#This Row],[DATA POINT]]/Table50[[#This Row],[Inventory Turnover Rate]],0)</f>
        <v>43.4</v>
      </c>
      <c r="AF267" s="15">
        <f>Table50[[#This Row],[ClosingQty]]/Table50[[#This Row],[USAGE / DAY]]</f>
        <v>32.5</v>
      </c>
      <c r="AG267" s="15">
        <f>Table50[[#This Row],[USAGE / DAY]]*7</f>
        <v>0.14000000000000001</v>
      </c>
      <c r="AH267" s="15">
        <f>Table50[[#This Row],[USAGE / DAY]]*3</f>
        <v>0.06</v>
      </c>
      <c r="AI26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7" s="15">
        <f>IFERROR(Table50[[#This Row],[ORDER QTY2]]*Table50[[#This Row],[COST PRICE]],0)</f>
        <v>0</v>
      </c>
      <c r="AK267" s="15">
        <f>(Table50[[#This Row],[REORDER POINT]]*Table50[[#This Row],[COST PRICE]])+Table50[[#This Row],[ORDER COST]]</f>
        <v>24.477115384615384</v>
      </c>
      <c r="AL267" s="15">
        <f t="shared" si="14"/>
        <v>100</v>
      </c>
      <c r="AM267" s="15">
        <f>IFERROR((Table50[[#This Row],[REORDER POINT]]+Table50[[#This Row],[ORDER QTY]])/(Table50[[#This Row],[USAGE / DAY]]*Table50[[#This Row],[DEMAND %]]),Table50[[#This Row],[REORDER POINT]]/Table50[[#This Row],[USAGE / DAY]])</f>
        <v>27.5</v>
      </c>
    </row>
    <row r="268" spans="1:39" x14ac:dyDescent="0.25">
      <c r="A268" t="s">
        <v>324</v>
      </c>
      <c r="B268" t="s">
        <v>330</v>
      </c>
      <c r="C268" t="s">
        <v>364</v>
      </c>
      <c r="D268" t="s">
        <v>76</v>
      </c>
      <c r="E268">
        <v>9</v>
      </c>
      <c r="F268">
        <v>53.91</v>
      </c>
      <c r="G268">
        <v>0</v>
      </c>
      <c r="H268">
        <v>0</v>
      </c>
      <c r="I268">
        <v>8.15</v>
      </c>
      <c r="J268">
        <v>48.82</v>
      </c>
      <c r="K268">
        <f>Table50[[#This Row],[OpeningQty]]+Table50[[#This Row],[PurchasesQty]]-Table50[[#This Row],[ClosingQty]]</f>
        <v>0.84999999999999964</v>
      </c>
      <c r="L268">
        <v>5.09</v>
      </c>
      <c r="M268" s="14">
        <f>Table50[[#This Row],[Usage]]/$L$1</f>
        <v>7.7306889213304431E-6</v>
      </c>
      <c r="N268" s="15">
        <f>IFERROR(Table50[[#This Row],[Opening]]/Table50[[#This Row],[OpeningQty]],0)</f>
        <v>5.9899999999999993</v>
      </c>
      <c r="O268" s="15">
        <f>IFERROR(Table50[[#This Row],[Purchases]]/Table50[[#This Row],[PurchasesQty]],0)</f>
        <v>0</v>
      </c>
      <c r="P268" s="15">
        <f>IFERROR(Table50[[#This Row],[Closing]]/Table50[[#This Row],[ClosingQty]],0)</f>
        <v>5.9901840490797547</v>
      </c>
      <c r="Q268" s="15">
        <f>IFERROR(AVERAGEIF(Table50[[#This Row],[OPENING COST PRICE]:[CLOSING COST PRICE]],"&gt;0"),0)</f>
        <v>5.9900920245398765</v>
      </c>
      <c r="R268" s="15">
        <f>IFERROR(Table50[[#This Row],[COST PRICE]]-IFERROR(Table50[[#This Row],[Usage]]/Table50[[#This Row],[UsageQty]],Table50[[#This Row],[COST PRICE]]),0)</f>
        <v>1.8567304222267822E-3</v>
      </c>
      <c r="S268" s="16">
        <f>IFERROR(Table50[[#This Row],[COST PRICE CHANGE]]/Table50[[#This Row],[OPENING COST PRICE]],0)</f>
        <v>3.0997168985422076E-4</v>
      </c>
      <c r="T268" s="15">
        <f>Table50[[#This Row],[ClosingQty]]-(Table50[[#This Row],[USAGE / DAY]]*(IF(Table50[[#This Row],[ccnt]]="BEV",Table50[[#This Row],[DELIVERY DAY]],Table50[[#This Row],[DELIVERY DAY]])))</f>
        <v>7.8000000000000007</v>
      </c>
      <c r="U268" s="15">
        <f>ROUNDUP(Table50[[#This Row],[UsageQty]]/Table50[[#This Row],[DATA POINT]],2)</f>
        <v>6.9999999999999993E-2</v>
      </c>
      <c r="V26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68" s="15">
        <f>IFERROR(Table50[[#This Row],[ORDER QTY]]*Table50[[#This Row],[COST PRICE]],0)</f>
        <v>0</v>
      </c>
      <c r="X268" s="15">
        <f>IFERROR(VLOOKUP(C268,[1]!Table49[[#All],[name]:[USAGE / DAY]],19,FALSE),1)</f>
        <v>0.33</v>
      </c>
      <c r="Y268" s="4">
        <f>IFERROR((Table50[[#This Row],[USAGE / DAY]]-Table50[[#This Row],[USAGE / DAY 2]])/Table50[[#This Row],[USAGE / DAY 2]],0)</f>
        <v>-0.78787878787878785</v>
      </c>
      <c r="Z268" s="15">
        <f t="shared" si="12"/>
        <v>14</v>
      </c>
      <c r="AA268" s="15">
        <f t="shared" si="13"/>
        <v>9.311854181734148</v>
      </c>
      <c r="AB268" s="15">
        <f>IFERROR(IF(Table50[[#This Row],[ccnt]]="BEV",$AB$2,IF(Table50[[#This Row],[ccnt]]="FOOD",$AC$2,"ENTER # FROM LAST COUNT")),"ENTER # FROM LAST COUNT")</f>
        <v>5</v>
      </c>
      <c r="AC268" s="15">
        <f>(Table50[[#This Row],[OpeningQty]]+Table50[[#This Row],[ClosingQty]])/2</f>
        <v>8.5749999999999993</v>
      </c>
      <c r="AD268" s="15">
        <f>IFERROR(Table50[[#This Row],[UsageQty]]/Table50[[#This Row],[AVE INVENTORY]],0)</f>
        <v>9.9125364431486854E-2</v>
      </c>
      <c r="AE268" s="15">
        <f>IFERROR(Table50[[#This Row],[DATA POINT]]/Table50[[#This Row],[Inventory Turnover Rate]],0)</f>
        <v>141.2352941176471</v>
      </c>
      <c r="AF268" s="15">
        <f>Table50[[#This Row],[ClosingQty]]/Table50[[#This Row],[USAGE / DAY]]</f>
        <v>116.42857142857144</v>
      </c>
      <c r="AG268" s="15">
        <f>Table50[[#This Row],[USAGE / DAY]]*7</f>
        <v>0.48999999999999994</v>
      </c>
      <c r="AH268" s="15">
        <f>Table50[[#This Row],[USAGE / DAY]]*3</f>
        <v>0.20999999999999996</v>
      </c>
      <c r="AI26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8" s="15">
        <f>IFERROR(Table50[[#This Row],[ORDER QTY2]]*Table50[[#This Row],[COST PRICE]],0)</f>
        <v>0</v>
      </c>
      <c r="AK268" s="15">
        <f>(Table50[[#This Row],[REORDER POINT]]*Table50[[#This Row],[COST PRICE]])+Table50[[#This Row],[ORDER COST]]</f>
        <v>46.722717791411043</v>
      </c>
      <c r="AL268" s="15">
        <f t="shared" si="14"/>
        <v>100</v>
      </c>
      <c r="AM268" s="15">
        <f>IFERROR((Table50[[#This Row],[REORDER POINT]]+Table50[[#This Row],[ORDER QTY]])/(Table50[[#This Row],[USAGE / DAY]]*Table50[[#This Row],[DEMAND %]]),Table50[[#This Row],[REORDER POINT]]/Table50[[#This Row],[USAGE / DAY]])</f>
        <v>111.42857142857144</v>
      </c>
    </row>
    <row r="269" spans="1:39" x14ac:dyDescent="0.25">
      <c r="A269" t="s">
        <v>324</v>
      </c>
      <c r="B269" t="s">
        <v>330</v>
      </c>
      <c r="C269" t="s">
        <v>365</v>
      </c>
      <c r="D269" t="s">
        <v>53</v>
      </c>
      <c r="E269">
        <v>8</v>
      </c>
      <c r="F269">
        <v>211.52</v>
      </c>
      <c r="G269">
        <v>6</v>
      </c>
      <c r="H269">
        <v>158.63999999999999</v>
      </c>
      <c r="I269">
        <v>8</v>
      </c>
      <c r="J269">
        <v>211.52</v>
      </c>
      <c r="K269">
        <f>Table50[[#This Row],[OpeningQty]]+Table50[[#This Row],[PurchasesQty]]-Table50[[#This Row],[ClosingQty]]</f>
        <v>6</v>
      </c>
      <c r="L269">
        <v>158.63999999999999</v>
      </c>
      <c r="M269" s="14">
        <f>Table50[[#This Row],[Usage]]/$L$1</f>
        <v>2.4094233604712406E-4</v>
      </c>
      <c r="N269" s="15">
        <f>IFERROR(Table50[[#This Row],[Opening]]/Table50[[#This Row],[OpeningQty]],0)</f>
        <v>26.44</v>
      </c>
      <c r="O269" s="15">
        <f>IFERROR(Table50[[#This Row],[Purchases]]/Table50[[#This Row],[PurchasesQty]],0)</f>
        <v>26.439999999999998</v>
      </c>
      <c r="P269" s="15">
        <f>IFERROR(Table50[[#This Row],[Closing]]/Table50[[#This Row],[ClosingQty]],0)</f>
        <v>26.44</v>
      </c>
      <c r="Q269" s="15">
        <f>IFERROR(AVERAGEIF(Table50[[#This Row],[OPENING COST PRICE]:[CLOSING COST PRICE]],"&gt;0"),0)</f>
        <v>26.439999999999998</v>
      </c>
      <c r="R269" s="15">
        <f>IFERROR(Table50[[#This Row],[COST PRICE]]-IFERROR(Table50[[#This Row],[Usage]]/Table50[[#This Row],[UsageQty]],Table50[[#This Row],[COST PRICE]]),0)</f>
        <v>0</v>
      </c>
      <c r="S269" s="16">
        <f>IFERROR(Table50[[#This Row],[COST PRICE CHANGE]]/Table50[[#This Row],[OPENING COST PRICE]],0)</f>
        <v>0</v>
      </c>
      <c r="T269" s="15">
        <f>Table50[[#This Row],[ClosingQty]]-(Table50[[#This Row],[USAGE / DAY]]*(IF(Table50[[#This Row],[ccnt]]="BEV",Table50[[#This Row],[DELIVERY DAY]],Table50[[#This Row],[DELIVERY DAY]])))</f>
        <v>5.85</v>
      </c>
      <c r="U269" s="15">
        <f>ROUNDUP(Table50[[#This Row],[UsageQty]]/Table50[[#This Row],[DATA POINT]],2)</f>
        <v>0.43</v>
      </c>
      <c r="V26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69" s="15">
        <f>IFERROR(Table50[[#This Row],[ORDER QTY]]*Table50[[#This Row],[COST PRICE]],0)</f>
        <v>0</v>
      </c>
      <c r="X269" s="15">
        <f>IFERROR(VLOOKUP(C269,[1]!Table49[[#All],[name]:[USAGE / DAY]],19,FALSE),1)</f>
        <v>0.4</v>
      </c>
      <c r="Y269" s="4">
        <f>IFERROR((Table50[[#This Row],[USAGE / DAY]]-Table50[[#This Row],[USAGE / DAY 2]])/Table50[[#This Row],[USAGE / DAY 2]],0)</f>
        <v>7.4999999999999928E-2</v>
      </c>
      <c r="Z269" s="15">
        <f t="shared" si="12"/>
        <v>14</v>
      </c>
      <c r="AA269" s="15">
        <f t="shared" si="13"/>
        <v>9.311854181734148</v>
      </c>
      <c r="AB269" s="15">
        <f>IFERROR(IF(Table50[[#This Row],[ccnt]]="BEV",$AB$2,IF(Table50[[#This Row],[ccnt]]="FOOD",$AC$2,"ENTER # FROM LAST COUNT")),"ENTER # FROM LAST COUNT")</f>
        <v>5</v>
      </c>
      <c r="AC269" s="15">
        <f>(Table50[[#This Row],[OpeningQty]]+Table50[[#This Row],[ClosingQty]])/2</f>
        <v>8</v>
      </c>
      <c r="AD269" s="15">
        <f>IFERROR(Table50[[#This Row],[UsageQty]]/Table50[[#This Row],[AVE INVENTORY]],0)</f>
        <v>0.75</v>
      </c>
      <c r="AE269" s="15">
        <f>IFERROR(Table50[[#This Row],[DATA POINT]]/Table50[[#This Row],[Inventory Turnover Rate]],0)</f>
        <v>18.666666666666668</v>
      </c>
      <c r="AF269" s="15">
        <f>Table50[[#This Row],[ClosingQty]]/Table50[[#This Row],[USAGE / DAY]]</f>
        <v>18.604651162790699</v>
      </c>
      <c r="AG269" s="15">
        <f>Table50[[#This Row],[USAGE / DAY]]*7</f>
        <v>3.01</v>
      </c>
      <c r="AH269" s="15">
        <f>Table50[[#This Row],[USAGE / DAY]]*3</f>
        <v>1.29</v>
      </c>
      <c r="AI26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69" s="15">
        <f>IFERROR(Table50[[#This Row],[ORDER QTY2]]*Table50[[#This Row],[COST PRICE]],0)</f>
        <v>0</v>
      </c>
      <c r="AK269" s="15">
        <f>(Table50[[#This Row],[REORDER POINT]]*Table50[[#This Row],[COST PRICE]])+Table50[[#This Row],[ORDER COST]]</f>
        <v>154.67399999999998</v>
      </c>
      <c r="AL269" s="15">
        <f t="shared" si="14"/>
        <v>100</v>
      </c>
      <c r="AM269" s="15">
        <f>IFERROR((Table50[[#This Row],[REORDER POINT]]+Table50[[#This Row],[ORDER QTY]])/(Table50[[#This Row],[USAGE / DAY]]*Table50[[#This Row],[DEMAND %]]),Table50[[#This Row],[REORDER POINT]]/Table50[[#This Row],[USAGE / DAY]])</f>
        <v>13.604651162790697</v>
      </c>
    </row>
    <row r="270" spans="1:39" x14ac:dyDescent="0.25">
      <c r="A270" t="s">
        <v>324</v>
      </c>
      <c r="B270" t="s">
        <v>366</v>
      </c>
      <c r="C270" t="s">
        <v>367</v>
      </c>
      <c r="D270" t="s">
        <v>126</v>
      </c>
      <c r="E270">
        <v>16.63</v>
      </c>
      <c r="F270">
        <v>3324.34</v>
      </c>
      <c r="G270">
        <v>26.25</v>
      </c>
      <c r="H270">
        <v>5247.36</v>
      </c>
      <c r="I270">
        <v>21</v>
      </c>
      <c r="J270">
        <v>4197.8999999999996</v>
      </c>
      <c r="K270">
        <f>Table50[[#This Row],[OpeningQty]]+Table50[[#This Row],[PurchasesQty]]-Table50[[#This Row],[ClosingQty]]</f>
        <v>21.879999999999995</v>
      </c>
      <c r="L270">
        <v>4373.8</v>
      </c>
      <c r="M270" s="14">
        <f>Table50[[#This Row],[Usage]]/$L$1</f>
        <v>6.6429247945216296E-3</v>
      </c>
      <c r="N270" s="15">
        <f>IFERROR(Table50[[#This Row],[Opening]]/Table50[[#This Row],[OpeningQty]],0)</f>
        <v>199.90018039687314</v>
      </c>
      <c r="O270" s="15">
        <f>IFERROR(Table50[[#This Row],[Purchases]]/Table50[[#This Row],[PurchasesQty]],0)</f>
        <v>199.89942857142856</v>
      </c>
      <c r="P270" s="15">
        <f>IFERROR(Table50[[#This Row],[Closing]]/Table50[[#This Row],[ClosingQty]],0)</f>
        <v>199.89999999999998</v>
      </c>
      <c r="Q270" s="15">
        <f>IFERROR(AVERAGEIF(Table50[[#This Row],[OPENING COST PRICE]:[CLOSING COST PRICE]],"&gt;0"),0)</f>
        <v>199.89986965610055</v>
      </c>
      <c r="R270" s="15">
        <f>IFERROR(Table50[[#This Row],[COST PRICE]]-IFERROR(Table50[[#This Row],[Usage]]/Table50[[#This Row],[UsageQty]],Table50[[#This Row],[COST PRICE]]),0)</f>
        <v>4.1810216995941119E-4</v>
      </c>
      <c r="S270" s="16">
        <f>IFERROR(Table50[[#This Row],[COST PRICE CHANGE]]/Table50[[#This Row],[OPENING COST PRICE]],0)</f>
        <v>2.0915547406176888E-6</v>
      </c>
      <c r="T270" s="15">
        <f>Table50[[#This Row],[ClosingQty]]-(Table50[[#This Row],[USAGE / DAY]]*(IF(Table50[[#This Row],[ccnt]]="BEV",Table50[[#This Row],[DELIVERY DAY]],Table50[[#This Row],[DELIVERY DAY]])))</f>
        <v>13.149999999999999</v>
      </c>
      <c r="U270" s="15">
        <f>ROUNDUP(Table50[[#This Row],[UsageQty]]/Table50[[#This Row],[DATA POINT]],2)</f>
        <v>1.57</v>
      </c>
      <c r="V27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270" s="15">
        <f>IFERROR(Table50[[#This Row],[ORDER QTY]]*Table50[[#This Row],[COST PRICE]],0)</f>
        <v>399.7997393122011</v>
      </c>
      <c r="X270" s="15">
        <f>IFERROR(VLOOKUP(C270,[1]!Table49[[#All],[name]:[USAGE / DAY]],19,FALSE),1)</f>
        <v>1.68</v>
      </c>
      <c r="Y270" s="4">
        <f>IFERROR((Table50[[#This Row],[USAGE / DAY]]-Table50[[#This Row],[USAGE / DAY 2]])/Table50[[#This Row],[USAGE / DAY 2]],0)</f>
        <v>-6.547619047619041E-2</v>
      </c>
      <c r="Z270" s="15">
        <f t="shared" si="12"/>
        <v>14</v>
      </c>
      <c r="AA270" s="15">
        <f t="shared" si="13"/>
        <v>9.311854181734148</v>
      </c>
      <c r="AB270" s="15">
        <f>IFERROR(IF(Table50[[#This Row],[ccnt]]="BEV",$AB$2,IF(Table50[[#This Row],[ccnt]]="FOOD",$AC$2,"ENTER # FROM LAST COUNT")),"ENTER # FROM LAST COUNT")</f>
        <v>5</v>
      </c>
      <c r="AC270" s="15">
        <f>(Table50[[#This Row],[OpeningQty]]+Table50[[#This Row],[ClosingQty]])/2</f>
        <v>18.814999999999998</v>
      </c>
      <c r="AD270" s="15">
        <f>IFERROR(Table50[[#This Row],[UsageQty]]/Table50[[#This Row],[AVE INVENTORY]],0)</f>
        <v>1.1629019399415359</v>
      </c>
      <c r="AE270" s="15">
        <f>IFERROR(Table50[[#This Row],[DATA POINT]]/Table50[[#This Row],[Inventory Turnover Rate]],0)</f>
        <v>12.038848263254115</v>
      </c>
      <c r="AF270" s="15">
        <f>Table50[[#This Row],[ClosingQty]]/Table50[[#This Row],[USAGE / DAY]]</f>
        <v>13.375796178343949</v>
      </c>
      <c r="AG270" s="15">
        <f>Table50[[#This Row],[USAGE / DAY]]*7</f>
        <v>10.99</v>
      </c>
      <c r="AH270" s="15">
        <f>Table50[[#This Row],[USAGE / DAY]]*3</f>
        <v>4.71</v>
      </c>
      <c r="AI27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70" s="15">
        <f>IFERROR(Table50[[#This Row],[ORDER QTY2]]*Table50[[#This Row],[COST PRICE]],0)</f>
        <v>0</v>
      </c>
      <c r="AK270" s="15">
        <f>(Table50[[#This Row],[REORDER POINT]]*Table50[[#This Row],[COST PRICE]])+Table50[[#This Row],[ORDER COST]]</f>
        <v>3028.4830252899228</v>
      </c>
      <c r="AL270" s="15">
        <f t="shared" si="14"/>
        <v>100</v>
      </c>
      <c r="AM270" s="15">
        <f>IFERROR((Table50[[#This Row],[REORDER POINT]]+Table50[[#This Row],[ORDER QTY]])/(Table50[[#This Row],[USAGE / DAY]]*Table50[[#This Row],[DEMAND %]]),Table50[[#This Row],[REORDER POINT]]/Table50[[#This Row],[USAGE / DAY]])</f>
        <v>9.6496815286624196E-2</v>
      </c>
    </row>
    <row r="271" spans="1:39" x14ac:dyDescent="0.25">
      <c r="A271" t="s">
        <v>324</v>
      </c>
      <c r="B271" t="s">
        <v>366</v>
      </c>
      <c r="C271" t="s">
        <v>368</v>
      </c>
      <c r="D271" t="s">
        <v>76</v>
      </c>
      <c r="E271">
        <v>21</v>
      </c>
      <c r="F271">
        <v>1236.69</v>
      </c>
      <c r="G271">
        <v>42</v>
      </c>
      <c r="H271">
        <v>2473.5</v>
      </c>
      <c r="I271">
        <v>19</v>
      </c>
      <c r="J271">
        <v>1118.9100000000001</v>
      </c>
      <c r="K271">
        <f>Table50[[#This Row],[OpeningQty]]+Table50[[#This Row],[PurchasesQty]]-Table50[[#This Row],[ClosingQty]]</f>
        <v>44</v>
      </c>
      <c r="L271">
        <v>2591.2800000000002</v>
      </c>
      <c r="M271" s="14">
        <f>Table50[[#This Row],[Usage]]/$L$1</f>
        <v>3.9356344966729184E-3</v>
      </c>
      <c r="N271" s="15">
        <f>IFERROR(Table50[[#This Row],[Opening]]/Table50[[#This Row],[OpeningQty]],0)</f>
        <v>58.89</v>
      </c>
      <c r="O271" s="15">
        <f>IFERROR(Table50[[#This Row],[Purchases]]/Table50[[#This Row],[PurchasesQty]],0)</f>
        <v>58.892857142857146</v>
      </c>
      <c r="P271" s="15">
        <f>IFERROR(Table50[[#This Row],[Closing]]/Table50[[#This Row],[ClosingQty]],0)</f>
        <v>58.890000000000008</v>
      </c>
      <c r="Q271" s="15">
        <f>IFERROR(AVERAGEIF(Table50[[#This Row],[OPENING COST PRICE]:[CLOSING COST PRICE]],"&gt;0"),0)</f>
        <v>58.890952380952392</v>
      </c>
      <c r="R271" s="15">
        <f>IFERROR(Table50[[#This Row],[COST PRICE]]-IFERROR(Table50[[#This Row],[Usage]]/Table50[[#This Row],[UsageQty]],Table50[[#This Row],[COST PRICE]]),0)</f>
        <v>-1.7748917748861004E-3</v>
      </c>
      <c r="S271" s="16">
        <f>IFERROR(Table50[[#This Row],[COST PRICE CHANGE]]/Table50[[#This Row],[OPENING COST PRICE]],0)</f>
        <v>-3.0139102986688747E-5</v>
      </c>
      <c r="T271" s="15">
        <f>Table50[[#This Row],[ClosingQty]]-(Table50[[#This Row],[USAGE / DAY]]*(IF(Table50[[#This Row],[ccnt]]="BEV",Table50[[#This Row],[DELIVERY DAY]],Table50[[#This Row],[DELIVERY DAY]])))</f>
        <v>3.25</v>
      </c>
      <c r="U271" s="15">
        <f>ROUNDUP(Table50[[#This Row],[UsageQty]]/Table50[[#This Row],[DATA POINT]],2)</f>
        <v>3.15</v>
      </c>
      <c r="V27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27</v>
      </c>
      <c r="W271" s="15">
        <f>IFERROR(Table50[[#This Row],[ORDER QTY]]*Table50[[#This Row],[COST PRICE]],0)</f>
        <v>1590.0557142857147</v>
      </c>
      <c r="X271" s="15">
        <f>IFERROR(VLOOKUP(C271,[1]!Table49[[#All],[name]:[USAGE / DAY]],19,FALSE),1)</f>
        <v>3.4</v>
      </c>
      <c r="Y271" s="4">
        <f>IFERROR((Table50[[#This Row],[USAGE / DAY]]-Table50[[#This Row],[USAGE / DAY 2]])/Table50[[#This Row],[USAGE / DAY 2]],0)</f>
        <v>-7.3529411764705885E-2</v>
      </c>
      <c r="Z271" s="15">
        <f t="shared" si="12"/>
        <v>14</v>
      </c>
      <c r="AA271" s="15">
        <f t="shared" si="13"/>
        <v>9.311854181734148</v>
      </c>
      <c r="AB271" s="15">
        <f>IFERROR(IF(Table50[[#This Row],[ccnt]]="BEV",$AB$2,IF(Table50[[#This Row],[ccnt]]="FOOD",$AC$2,"ENTER # FROM LAST COUNT")),"ENTER # FROM LAST COUNT")</f>
        <v>5</v>
      </c>
      <c r="AC271" s="15">
        <f>(Table50[[#This Row],[OpeningQty]]+Table50[[#This Row],[ClosingQty]])/2</f>
        <v>20</v>
      </c>
      <c r="AD271" s="15">
        <f>IFERROR(Table50[[#This Row],[UsageQty]]/Table50[[#This Row],[AVE INVENTORY]],0)</f>
        <v>2.2000000000000002</v>
      </c>
      <c r="AE271" s="15">
        <f>IFERROR(Table50[[#This Row],[DATA POINT]]/Table50[[#This Row],[Inventory Turnover Rate]],0)</f>
        <v>6.3636363636363633</v>
      </c>
      <c r="AF271" s="15">
        <f>Table50[[#This Row],[ClosingQty]]/Table50[[#This Row],[USAGE / DAY]]</f>
        <v>6.0317460317460316</v>
      </c>
      <c r="AG271" s="15">
        <f>Table50[[#This Row],[USAGE / DAY]]*7</f>
        <v>22.05</v>
      </c>
      <c r="AH271" s="15">
        <f>Table50[[#This Row],[USAGE / DAY]]*3</f>
        <v>9.4499999999999993</v>
      </c>
      <c r="AI271" s="15">
        <f>IF(Table50[[#This Row],[FORECASTED DEMAND]]+Table50[[#This Row],[SAFETY STOCK]]-Table50[[#This Row],[ClosingQty]]&gt;0,Table50[[#This Row],[FORECASTED DEMAND]]+Table50[[#This Row],[SAFETY STOCK]]-Table50[[#This Row],[ClosingQty]],"NO ORDER")</f>
        <v>12.5</v>
      </c>
      <c r="AJ271" s="15">
        <f>IFERROR(Table50[[#This Row],[ORDER QTY2]]*Table50[[#This Row],[COST PRICE]],0)</f>
        <v>736.13690476190493</v>
      </c>
      <c r="AK271" s="15">
        <f>(Table50[[#This Row],[REORDER POINT]]*Table50[[#This Row],[COST PRICE]])+Table50[[#This Row],[ORDER COST]]</f>
        <v>1781.4513095238099</v>
      </c>
      <c r="AL271" s="15">
        <f t="shared" si="14"/>
        <v>100</v>
      </c>
      <c r="AM271" s="15">
        <f>IFERROR((Table50[[#This Row],[REORDER POINT]]+Table50[[#This Row],[ORDER QTY]])/(Table50[[#This Row],[USAGE / DAY]]*Table50[[#This Row],[DEMAND %]]),Table50[[#This Row],[REORDER POINT]]/Table50[[#This Row],[USAGE / DAY]])</f>
        <v>9.6031746031746038E-2</v>
      </c>
    </row>
    <row r="272" spans="1:39" x14ac:dyDescent="0.25">
      <c r="A272" t="s">
        <v>324</v>
      </c>
      <c r="B272" t="s">
        <v>366</v>
      </c>
      <c r="C272" t="s">
        <v>369</v>
      </c>
      <c r="D272" t="s">
        <v>126</v>
      </c>
      <c r="E272">
        <v>2.6</v>
      </c>
      <c r="F272">
        <v>362.54</v>
      </c>
      <c r="G272">
        <v>20.8</v>
      </c>
      <c r="H272">
        <v>2831</v>
      </c>
      <c r="I272">
        <v>13.6</v>
      </c>
      <c r="J272">
        <v>1896.38</v>
      </c>
      <c r="K272">
        <f>Table50[[#This Row],[OpeningQty]]+Table50[[#This Row],[PurchasesQty]]-Table50[[#This Row],[ClosingQty]]</f>
        <v>9.8000000000000025</v>
      </c>
      <c r="L272">
        <v>1297.1600000000001</v>
      </c>
      <c r="M272" s="14">
        <f>Table50[[#This Row],[Usage]]/$L$1</f>
        <v>1.970125823417092E-3</v>
      </c>
      <c r="N272" s="15">
        <f>IFERROR(Table50[[#This Row],[Opening]]/Table50[[#This Row],[OpeningQty]],0)</f>
        <v>139.43846153846155</v>
      </c>
      <c r="O272" s="15">
        <f>IFERROR(Table50[[#This Row],[Purchases]]/Table50[[#This Row],[PurchasesQty]],0)</f>
        <v>136.10576923076923</v>
      </c>
      <c r="P272" s="15">
        <f>IFERROR(Table50[[#This Row],[Closing]]/Table50[[#This Row],[ClosingQty]],0)</f>
        <v>139.43970588235294</v>
      </c>
      <c r="Q272" s="15">
        <f>IFERROR(AVERAGEIF(Table50[[#This Row],[OPENING COST PRICE]:[CLOSING COST PRICE]],"&gt;0"),0)</f>
        <v>138.32797888386125</v>
      </c>
      <c r="R272" s="15">
        <f>IFERROR(Table50[[#This Row],[COST PRICE]]-IFERROR(Table50[[#This Row],[Usage]]/Table50[[#This Row],[UsageQty]],Table50[[#This Row],[COST PRICE]]),0)</f>
        <v>5.96471357773882</v>
      </c>
      <c r="S272" s="16">
        <f>IFERROR(Table50[[#This Row],[COST PRICE CHANGE]]/Table50[[#This Row],[OPENING COST PRICE]],0)</f>
        <v>4.2776673752195425E-2</v>
      </c>
      <c r="T272" s="15">
        <f>Table50[[#This Row],[ClosingQty]]-(Table50[[#This Row],[USAGE / DAY]]*(IF(Table50[[#This Row],[ccnt]]="BEV",Table50[[#This Row],[DELIVERY DAY]],Table50[[#This Row],[DELIVERY DAY]])))</f>
        <v>10.1</v>
      </c>
      <c r="U272" s="15">
        <f>ROUNDUP(Table50[[#This Row],[UsageQty]]/Table50[[#This Row],[DATA POINT]],2)</f>
        <v>0.7</v>
      </c>
      <c r="V27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72" s="15">
        <f>IFERROR(Table50[[#This Row],[ORDER QTY]]*Table50[[#This Row],[COST PRICE]],0)</f>
        <v>0</v>
      </c>
      <c r="X272" s="15">
        <f>IFERROR(VLOOKUP(C272,[1]!Table49[[#All],[name]:[USAGE / DAY]],19,FALSE),1)</f>
        <v>0.89</v>
      </c>
      <c r="Y272" s="4">
        <f>IFERROR((Table50[[#This Row],[USAGE / DAY]]-Table50[[#This Row],[USAGE / DAY 2]])/Table50[[#This Row],[USAGE / DAY 2]],0)</f>
        <v>-0.21348314606741578</v>
      </c>
      <c r="Z272" s="15">
        <f t="shared" si="12"/>
        <v>14</v>
      </c>
      <c r="AA272" s="15">
        <f t="shared" si="13"/>
        <v>9.311854181734148</v>
      </c>
      <c r="AB272" s="15">
        <f>IFERROR(IF(Table50[[#This Row],[ccnt]]="BEV",$AB$2,IF(Table50[[#This Row],[ccnt]]="FOOD",$AC$2,"ENTER # FROM LAST COUNT")),"ENTER # FROM LAST COUNT")</f>
        <v>5</v>
      </c>
      <c r="AC272" s="15">
        <f>(Table50[[#This Row],[OpeningQty]]+Table50[[#This Row],[ClosingQty]])/2</f>
        <v>8.1</v>
      </c>
      <c r="AD272" s="15">
        <f>IFERROR(Table50[[#This Row],[UsageQty]]/Table50[[#This Row],[AVE INVENTORY]],0)</f>
        <v>1.2098765432098768</v>
      </c>
      <c r="AE272" s="15">
        <f>IFERROR(Table50[[#This Row],[DATA POINT]]/Table50[[#This Row],[Inventory Turnover Rate]],0)</f>
        <v>11.571428571428569</v>
      </c>
      <c r="AF272" s="15">
        <f>Table50[[#This Row],[ClosingQty]]/Table50[[#This Row],[USAGE / DAY]]</f>
        <v>19.428571428571431</v>
      </c>
      <c r="AG272" s="15">
        <f>Table50[[#This Row],[USAGE / DAY]]*7</f>
        <v>4.8999999999999995</v>
      </c>
      <c r="AH272" s="15">
        <f>Table50[[#This Row],[USAGE / DAY]]*3</f>
        <v>2.0999999999999996</v>
      </c>
      <c r="AI27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72" s="15">
        <f>IFERROR(Table50[[#This Row],[ORDER QTY2]]*Table50[[#This Row],[COST PRICE]],0)</f>
        <v>0</v>
      </c>
      <c r="AK272" s="15">
        <f>(Table50[[#This Row],[REORDER POINT]]*Table50[[#This Row],[COST PRICE]])+Table50[[#This Row],[ORDER COST]]</f>
        <v>1397.1125867269986</v>
      </c>
      <c r="AL272" s="15">
        <f t="shared" si="14"/>
        <v>100</v>
      </c>
      <c r="AM272" s="15">
        <f>IFERROR((Table50[[#This Row],[REORDER POINT]]+Table50[[#This Row],[ORDER QTY]])/(Table50[[#This Row],[USAGE / DAY]]*Table50[[#This Row],[DEMAND %]]),Table50[[#This Row],[REORDER POINT]]/Table50[[#This Row],[USAGE / DAY]])</f>
        <v>14.428571428571429</v>
      </c>
    </row>
    <row r="273" spans="1:39" x14ac:dyDescent="0.25">
      <c r="A273" t="s">
        <v>324</v>
      </c>
      <c r="B273" t="s">
        <v>366</v>
      </c>
      <c r="C273" t="s">
        <v>370</v>
      </c>
      <c r="D273" t="s">
        <v>126</v>
      </c>
      <c r="E273">
        <v>0.83</v>
      </c>
      <c r="F273">
        <v>200.65</v>
      </c>
      <c r="G273">
        <v>0</v>
      </c>
      <c r="H273">
        <v>0</v>
      </c>
      <c r="I273">
        <v>0</v>
      </c>
      <c r="J273">
        <v>0</v>
      </c>
      <c r="K273">
        <f>Table50[[#This Row],[OpeningQty]]+Table50[[#This Row],[PurchasesQty]]-Table50[[#This Row],[ClosingQty]]</f>
        <v>0.83</v>
      </c>
      <c r="L273">
        <v>200.65</v>
      </c>
      <c r="M273" s="14">
        <f>Table50[[#This Row],[Usage]]/$L$1</f>
        <v>3.0474709863751543E-4</v>
      </c>
      <c r="N273" s="15">
        <f>IFERROR(Table50[[#This Row],[Opening]]/Table50[[#This Row],[OpeningQty]],0)</f>
        <v>241.74698795180726</v>
      </c>
      <c r="O273" s="15">
        <f>IFERROR(Table50[[#This Row],[Purchases]]/Table50[[#This Row],[PurchasesQty]],0)</f>
        <v>0</v>
      </c>
      <c r="P273" s="15">
        <f>IFERROR(Table50[[#This Row],[Closing]]/Table50[[#This Row],[ClosingQty]],0)</f>
        <v>0</v>
      </c>
      <c r="Q273" s="15">
        <f>IFERROR(AVERAGEIF(Table50[[#This Row],[OPENING COST PRICE]:[CLOSING COST PRICE]],"&gt;0"),0)</f>
        <v>241.74698795180726</v>
      </c>
      <c r="R273" s="15">
        <f>IFERROR(Table50[[#This Row],[COST PRICE]]-IFERROR(Table50[[#This Row],[Usage]]/Table50[[#This Row],[UsageQty]],Table50[[#This Row],[COST PRICE]]),0)</f>
        <v>0</v>
      </c>
      <c r="S273" s="16">
        <f>IFERROR(Table50[[#This Row],[COST PRICE CHANGE]]/Table50[[#This Row],[OPENING COST PRICE]],0)</f>
        <v>0</v>
      </c>
      <c r="T273" s="15">
        <f>Table50[[#This Row],[ClosingQty]]-(Table50[[#This Row],[USAGE / DAY]]*(IF(Table50[[#This Row],[ccnt]]="BEV",Table50[[#This Row],[DELIVERY DAY]],Table50[[#This Row],[DELIVERY DAY]])))</f>
        <v>-0.30000000000000004</v>
      </c>
      <c r="U273" s="15">
        <f>ROUNDUP(Table50[[#This Row],[UsageQty]]/Table50[[#This Row],[DATA POINT]],2)</f>
        <v>6.0000000000000005E-2</v>
      </c>
      <c r="V27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273" s="15">
        <f>IFERROR(Table50[[#This Row],[ORDER QTY]]*Table50[[#This Row],[COST PRICE]],0)</f>
        <v>241.74698795180726</v>
      </c>
      <c r="X273" s="15">
        <f>IFERROR(VLOOKUP(C273,[1]!Table49[[#All],[name]:[USAGE / DAY]],19,FALSE),1)</f>
        <v>0.05</v>
      </c>
      <c r="Y273" s="4">
        <f>IFERROR((Table50[[#This Row],[USAGE / DAY]]-Table50[[#This Row],[USAGE / DAY 2]])/Table50[[#This Row],[USAGE / DAY 2]],0)</f>
        <v>0.20000000000000004</v>
      </c>
      <c r="Z273" s="15">
        <f t="shared" si="12"/>
        <v>14</v>
      </c>
      <c r="AA273" s="15">
        <f t="shared" si="13"/>
        <v>9.311854181734148</v>
      </c>
      <c r="AB273" s="15">
        <f>IFERROR(IF(Table50[[#This Row],[ccnt]]="BEV",$AB$2,IF(Table50[[#This Row],[ccnt]]="FOOD",$AC$2,"ENTER # FROM LAST COUNT")),"ENTER # FROM LAST COUNT")</f>
        <v>5</v>
      </c>
      <c r="AC273" s="15">
        <f>(Table50[[#This Row],[OpeningQty]]+Table50[[#This Row],[ClosingQty]])/2</f>
        <v>0.41499999999999998</v>
      </c>
      <c r="AD273" s="15">
        <f>IFERROR(Table50[[#This Row],[UsageQty]]/Table50[[#This Row],[AVE INVENTORY]],0)</f>
        <v>2</v>
      </c>
      <c r="AE273" s="15">
        <f>IFERROR(Table50[[#This Row],[DATA POINT]]/Table50[[#This Row],[Inventory Turnover Rate]],0)</f>
        <v>7</v>
      </c>
      <c r="AF273" s="15">
        <f>Table50[[#This Row],[ClosingQty]]/Table50[[#This Row],[USAGE / DAY]]</f>
        <v>0</v>
      </c>
      <c r="AG273" s="15">
        <f>Table50[[#This Row],[USAGE / DAY]]*7</f>
        <v>0.42000000000000004</v>
      </c>
      <c r="AH273" s="15">
        <f>Table50[[#This Row],[USAGE / DAY]]*3</f>
        <v>0.18000000000000002</v>
      </c>
      <c r="AI273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0.60000000000000009</v>
      </c>
      <c r="AJ273" s="15">
        <f>IFERROR(Table50[[#This Row],[ORDER QTY2]]*Table50[[#This Row],[COST PRICE]],0)</f>
        <v>145.04819277108439</v>
      </c>
      <c r="AK273" s="15">
        <f>(Table50[[#This Row],[REORDER POINT]]*Table50[[#This Row],[COST PRICE]])+Table50[[#This Row],[ORDER COST]]</f>
        <v>169.22289156626505</v>
      </c>
      <c r="AL273" s="15">
        <f t="shared" si="14"/>
        <v>100</v>
      </c>
      <c r="AM273" s="15">
        <f>IFERROR((Table50[[#This Row],[REORDER POINT]]+Table50[[#This Row],[ORDER QTY]])/(Table50[[#This Row],[USAGE / DAY]]*Table50[[#This Row],[DEMAND %]]),Table50[[#This Row],[REORDER POINT]]/Table50[[#This Row],[USAGE / DAY]])</f>
        <v>0.11666666666666664</v>
      </c>
    </row>
    <row r="274" spans="1:39" x14ac:dyDescent="0.25">
      <c r="A274" t="s">
        <v>324</v>
      </c>
      <c r="B274" t="s">
        <v>366</v>
      </c>
      <c r="C274" t="s">
        <v>371</v>
      </c>
      <c r="D274" t="s">
        <v>53</v>
      </c>
      <c r="E274">
        <v>62</v>
      </c>
      <c r="F274">
        <v>157.47999999999999</v>
      </c>
      <c r="G274">
        <v>0</v>
      </c>
      <c r="H274">
        <v>0</v>
      </c>
      <c r="I274">
        <v>37</v>
      </c>
      <c r="J274">
        <v>93.98</v>
      </c>
      <c r="K274">
        <f>Table50[[#This Row],[OpeningQty]]+Table50[[#This Row],[PurchasesQty]]-Table50[[#This Row],[ClosingQty]]</f>
        <v>25</v>
      </c>
      <c r="L274">
        <v>63.5</v>
      </c>
      <c r="M274" s="14">
        <f>Table50[[#This Row],[Usage]]/$L$1</f>
        <v>9.6443761592236377E-5</v>
      </c>
      <c r="N274" s="15">
        <f>IFERROR(Table50[[#This Row],[Opening]]/Table50[[#This Row],[OpeningQty]],0)</f>
        <v>2.54</v>
      </c>
      <c r="O274" s="15">
        <f>IFERROR(Table50[[#This Row],[Purchases]]/Table50[[#This Row],[PurchasesQty]],0)</f>
        <v>0</v>
      </c>
      <c r="P274" s="15">
        <f>IFERROR(Table50[[#This Row],[Closing]]/Table50[[#This Row],[ClosingQty]],0)</f>
        <v>2.54</v>
      </c>
      <c r="Q274" s="15">
        <f>IFERROR(AVERAGEIF(Table50[[#This Row],[OPENING COST PRICE]:[CLOSING COST PRICE]],"&gt;0"),0)</f>
        <v>2.54</v>
      </c>
      <c r="R274" s="15">
        <f>IFERROR(Table50[[#This Row],[COST PRICE]]-IFERROR(Table50[[#This Row],[Usage]]/Table50[[#This Row],[UsageQty]],Table50[[#This Row],[COST PRICE]]),0)</f>
        <v>0</v>
      </c>
      <c r="S274" s="16">
        <f>IFERROR(Table50[[#This Row],[COST PRICE CHANGE]]/Table50[[#This Row],[OPENING COST PRICE]],0)</f>
        <v>0</v>
      </c>
      <c r="T274" s="15">
        <f>Table50[[#This Row],[ClosingQty]]-(Table50[[#This Row],[USAGE / DAY]]*(IF(Table50[[#This Row],[ccnt]]="BEV",Table50[[#This Row],[DELIVERY DAY]],Table50[[#This Row],[DELIVERY DAY]])))</f>
        <v>28.05</v>
      </c>
      <c r="U274" s="15">
        <f>ROUNDUP(Table50[[#This Row],[UsageQty]]/Table50[[#This Row],[DATA POINT]],2)</f>
        <v>1.79</v>
      </c>
      <c r="V27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74" s="15">
        <f>IFERROR(Table50[[#This Row],[ORDER QTY]]*Table50[[#This Row],[COST PRICE]],0)</f>
        <v>0</v>
      </c>
      <c r="X274" s="15">
        <f>IFERROR(VLOOKUP(C274,[1]!Table49[[#All],[name]:[USAGE / DAY]],19,FALSE),1)</f>
        <v>5.29</v>
      </c>
      <c r="Y274" s="4">
        <f>IFERROR((Table50[[#This Row],[USAGE / DAY]]-Table50[[#This Row],[USAGE / DAY 2]])/Table50[[#This Row],[USAGE / DAY 2]],0)</f>
        <v>-0.66162570888468808</v>
      </c>
      <c r="Z274" s="15">
        <f t="shared" si="12"/>
        <v>14</v>
      </c>
      <c r="AA274" s="15">
        <f t="shared" si="13"/>
        <v>9.311854181734148</v>
      </c>
      <c r="AB274" s="15">
        <f>IFERROR(IF(Table50[[#This Row],[ccnt]]="BEV",$AB$2,IF(Table50[[#This Row],[ccnt]]="FOOD",$AC$2,"ENTER # FROM LAST COUNT")),"ENTER # FROM LAST COUNT")</f>
        <v>5</v>
      </c>
      <c r="AC274" s="15">
        <f>(Table50[[#This Row],[OpeningQty]]+Table50[[#This Row],[ClosingQty]])/2</f>
        <v>49.5</v>
      </c>
      <c r="AD274" s="15">
        <f>IFERROR(Table50[[#This Row],[UsageQty]]/Table50[[#This Row],[AVE INVENTORY]],0)</f>
        <v>0.50505050505050508</v>
      </c>
      <c r="AE274" s="15">
        <f>IFERROR(Table50[[#This Row],[DATA POINT]]/Table50[[#This Row],[Inventory Turnover Rate]],0)</f>
        <v>27.72</v>
      </c>
      <c r="AF274" s="15">
        <f>Table50[[#This Row],[ClosingQty]]/Table50[[#This Row],[USAGE / DAY]]</f>
        <v>20.670391061452513</v>
      </c>
      <c r="AG274" s="15">
        <f>Table50[[#This Row],[USAGE / DAY]]*7</f>
        <v>12.530000000000001</v>
      </c>
      <c r="AH274" s="15">
        <f>Table50[[#This Row],[USAGE / DAY]]*3</f>
        <v>5.37</v>
      </c>
      <c r="AI27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74" s="15">
        <f>IFERROR(Table50[[#This Row],[ORDER QTY2]]*Table50[[#This Row],[COST PRICE]],0)</f>
        <v>0</v>
      </c>
      <c r="AK274" s="15">
        <f>(Table50[[#This Row],[REORDER POINT]]*Table50[[#This Row],[COST PRICE]])+Table50[[#This Row],[ORDER COST]]</f>
        <v>71.247</v>
      </c>
      <c r="AL274" s="15">
        <f t="shared" si="14"/>
        <v>100</v>
      </c>
      <c r="AM274" s="15">
        <f>IFERROR((Table50[[#This Row],[REORDER POINT]]+Table50[[#This Row],[ORDER QTY]])/(Table50[[#This Row],[USAGE / DAY]]*Table50[[#This Row],[DEMAND %]]),Table50[[#This Row],[REORDER POINT]]/Table50[[#This Row],[USAGE / DAY]])</f>
        <v>15.670391061452515</v>
      </c>
    </row>
    <row r="275" spans="1:39" x14ac:dyDescent="0.25">
      <c r="A275" t="s">
        <v>324</v>
      </c>
      <c r="B275" t="s">
        <v>366</v>
      </c>
      <c r="C275" t="s">
        <v>372</v>
      </c>
      <c r="D275" t="s">
        <v>53</v>
      </c>
      <c r="E275">
        <v>64</v>
      </c>
      <c r="F275">
        <v>757.12</v>
      </c>
      <c r="G275">
        <v>210</v>
      </c>
      <c r="H275">
        <v>2484.9899999999998</v>
      </c>
      <c r="I275">
        <v>99</v>
      </c>
      <c r="J275">
        <v>1171.17</v>
      </c>
      <c r="K275">
        <f>Table50[[#This Row],[OpeningQty]]+Table50[[#This Row],[PurchasesQty]]-Table50[[#This Row],[ClosingQty]]</f>
        <v>175</v>
      </c>
      <c r="L275">
        <v>2070.94</v>
      </c>
      <c r="M275" s="14">
        <f>Table50[[#This Row],[Usage]]/$L$1</f>
        <v>3.1453424193988349E-3</v>
      </c>
      <c r="N275" s="15">
        <f>IFERROR(Table50[[#This Row],[Opening]]/Table50[[#This Row],[OpeningQty]],0)</f>
        <v>11.83</v>
      </c>
      <c r="O275" s="15">
        <f>IFERROR(Table50[[#This Row],[Purchases]]/Table50[[#This Row],[PurchasesQty]],0)</f>
        <v>11.833285714285713</v>
      </c>
      <c r="P275" s="15">
        <f>IFERROR(Table50[[#This Row],[Closing]]/Table50[[#This Row],[ClosingQty]],0)</f>
        <v>11.83</v>
      </c>
      <c r="Q275" s="15">
        <f>IFERROR(AVERAGEIF(Table50[[#This Row],[OPENING COST PRICE]:[CLOSING COST PRICE]],"&gt;0"),0)</f>
        <v>11.831095238095237</v>
      </c>
      <c r="R275" s="15">
        <f>IFERROR(Table50[[#This Row],[COST PRICE]]-IFERROR(Table50[[#This Row],[Usage]]/Table50[[#This Row],[UsageQty]],Table50[[#This Row],[COST PRICE]]),0)</f>
        <v>-2.8476190476194319E-3</v>
      </c>
      <c r="S275" s="16">
        <f>IFERROR(Table50[[#This Row],[COST PRICE CHANGE]]/Table50[[#This Row],[OPENING COST PRICE]],0)</f>
        <v>-2.4071166928313033E-4</v>
      </c>
      <c r="T275" s="15">
        <f>Table50[[#This Row],[ClosingQty]]-(Table50[[#This Row],[USAGE / DAY]]*(IF(Table50[[#This Row],[ccnt]]="BEV",Table50[[#This Row],[DELIVERY DAY]],Table50[[#This Row],[DELIVERY DAY]])))</f>
        <v>36.5</v>
      </c>
      <c r="U275" s="15">
        <f>ROUNDUP(Table50[[#This Row],[UsageQty]]/Table50[[#This Row],[DATA POINT]],2)</f>
        <v>12.5</v>
      </c>
      <c r="V27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80</v>
      </c>
      <c r="W275" s="15">
        <f>IFERROR(Table50[[#This Row],[ORDER QTY]]*Table50[[#This Row],[COST PRICE]],0)</f>
        <v>946.48761904761898</v>
      </c>
      <c r="X275" s="15">
        <f>IFERROR(VLOOKUP(C275,[1]!Table49[[#All],[name]:[USAGE / DAY]],19,FALSE),1)</f>
        <v>14</v>
      </c>
      <c r="Y275" s="4">
        <f>IFERROR((Table50[[#This Row],[USAGE / DAY]]-Table50[[#This Row],[USAGE / DAY 2]])/Table50[[#This Row],[USAGE / DAY 2]],0)</f>
        <v>-0.10714285714285714</v>
      </c>
      <c r="Z275" s="15">
        <f t="shared" si="12"/>
        <v>14</v>
      </c>
      <c r="AA275" s="15">
        <f t="shared" si="13"/>
        <v>9.311854181734148</v>
      </c>
      <c r="AB275" s="15">
        <f>IFERROR(IF(Table50[[#This Row],[ccnt]]="BEV",$AB$2,IF(Table50[[#This Row],[ccnt]]="FOOD",$AC$2,"ENTER # FROM LAST COUNT")),"ENTER # FROM LAST COUNT")</f>
        <v>5</v>
      </c>
      <c r="AC275" s="15">
        <f>(Table50[[#This Row],[OpeningQty]]+Table50[[#This Row],[ClosingQty]])/2</f>
        <v>81.5</v>
      </c>
      <c r="AD275" s="15">
        <f>IFERROR(Table50[[#This Row],[UsageQty]]/Table50[[#This Row],[AVE INVENTORY]],0)</f>
        <v>2.147239263803681</v>
      </c>
      <c r="AE275" s="15">
        <f>IFERROR(Table50[[#This Row],[DATA POINT]]/Table50[[#This Row],[Inventory Turnover Rate]],0)</f>
        <v>6.52</v>
      </c>
      <c r="AF275" s="15">
        <f>Table50[[#This Row],[ClosingQty]]/Table50[[#This Row],[USAGE / DAY]]</f>
        <v>7.92</v>
      </c>
      <c r="AG275" s="15">
        <f>Table50[[#This Row],[USAGE / DAY]]*7</f>
        <v>87.5</v>
      </c>
      <c r="AH275" s="15">
        <f>Table50[[#This Row],[USAGE / DAY]]*3</f>
        <v>37.5</v>
      </c>
      <c r="AI275" s="15">
        <f>IF(Table50[[#This Row],[FORECASTED DEMAND]]+Table50[[#This Row],[SAFETY STOCK]]-Table50[[#This Row],[ClosingQty]]&gt;0,Table50[[#This Row],[FORECASTED DEMAND]]+Table50[[#This Row],[SAFETY STOCK]]-Table50[[#This Row],[ClosingQty]],"NO ORDER")</f>
        <v>26</v>
      </c>
      <c r="AJ275" s="15">
        <f>IFERROR(Table50[[#This Row],[ORDER QTY2]]*Table50[[#This Row],[COST PRICE]],0)</f>
        <v>307.60847619047615</v>
      </c>
      <c r="AK275" s="15">
        <f>(Table50[[#This Row],[REORDER POINT]]*Table50[[#This Row],[COST PRICE]])+Table50[[#This Row],[ORDER COST]]</f>
        <v>1378.3225952380951</v>
      </c>
      <c r="AL275" s="15">
        <f t="shared" si="14"/>
        <v>100</v>
      </c>
      <c r="AM275" s="15">
        <f>IFERROR((Table50[[#This Row],[REORDER POINT]]+Table50[[#This Row],[ORDER QTY]])/(Table50[[#This Row],[USAGE / DAY]]*Table50[[#This Row],[DEMAND %]]),Table50[[#This Row],[REORDER POINT]]/Table50[[#This Row],[USAGE / DAY]])</f>
        <v>9.3200000000000005E-2</v>
      </c>
    </row>
    <row r="276" spans="1:39" x14ac:dyDescent="0.25">
      <c r="A276" t="s">
        <v>324</v>
      </c>
      <c r="B276" t="s">
        <v>366</v>
      </c>
      <c r="C276" t="s">
        <v>373</v>
      </c>
      <c r="D276" t="s">
        <v>76</v>
      </c>
      <c r="E276">
        <v>45</v>
      </c>
      <c r="F276">
        <v>724.05</v>
      </c>
      <c r="G276">
        <v>118</v>
      </c>
      <c r="H276">
        <v>1912.8</v>
      </c>
      <c r="I276">
        <v>44</v>
      </c>
      <c r="J276">
        <v>723.8</v>
      </c>
      <c r="K276">
        <f>Table50[[#This Row],[OpeningQty]]+Table50[[#This Row],[PurchasesQty]]-Table50[[#This Row],[ClosingQty]]</f>
        <v>119</v>
      </c>
      <c r="L276">
        <v>1913.05</v>
      </c>
      <c r="M276" s="14">
        <f>Table50[[#This Row],[Usage]]/$L$1</f>
        <v>2.9055391828980755E-3</v>
      </c>
      <c r="N276" s="15">
        <f>IFERROR(Table50[[#This Row],[Opening]]/Table50[[#This Row],[OpeningQty]],0)</f>
        <v>16.09</v>
      </c>
      <c r="O276" s="15">
        <f>IFERROR(Table50[[#This Row],[Purchases]]/Table50[[#This Row],[PurchasesQty]],0)</f>
        <v>16.210169491525424</v>
      </c>
      <c r="P276" s="15">
        <f>IFERROR(Table50[[#This Row],[Closing]]/Table50[[#This Row],[ClosingQty]],0)</f>
        <v>16.45</v>
      </c>
      <c r="Q276" s="15">
        <f>IFERROR(AVERAGEIF(Table50[[#This Row],[OPENING COST PRICE]:[CLOSING COST PRICE]],"&gt;0"),0)</f>
        <v>16.250056497175141</v>
      </c>
      <c r="R276" s="15">
        <f>IFERROR(Table50[[#This Row],[COST PRICE]]-IFERROR(Table50[[#This Row],[Usage]]/Table50[[#This Row],[UsageQty]],Table50[[#This Row],[COST PRICE]]),0)</f>
        <v>0.17400607700707482</v>
      </c>
      <c r="S276" s="16">
        <f>IFERROR(Table50[[#This Row],[COST PRICE CHANGE]]/Table50[[#This Row],[OPENING COST PRICE]],0)</f>
        <v>1.0814547980551575E-2</v>
      </c>
      <c r="T276" s="15">
        <f>Table50[[#This Row],[ClosingQty]]-(Table50[[#This Row],[USAGE / DAY]]*(IF(Table50[[#This Row],[ccnt]]="BEV",Table50[[#This Row],[DELIVERY DAY]],Table50[[#This Row],[DELIVERY DAY]])))</f>
        <v>1.5</v>
      </c>
      <c r="U276" s="15">
        <f>ROUNDUP(Table50[[#This Row],[UsageQty]]/Table50[[#This Row],[DATA POINT]],2)</f>
        <v>8.5</v>
      </c>
      <c r="V27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78</v>
      </c>
      <c r="W276" s="15">
        <f>IFERROR(Table50[[#This Row],[ORDER QTY]]*Table50[[#This Row],[COST PRICE]],0)</f>
        <v>1267.5044067796609</v>
      </c>
      <c r="X276" s="15">
        <f>IFERROR(VLOOKUP(C276,[1]!Table49[[#All],[name]:[USAGE / DAY]],19,FALSE),1)</f>
        <v>10.07</v>
      </c>
      <c r="Y276" s="4">
        <f>IFERROR((Table50[[#This Row],[USAGE / DAY]]-Table50[[#This Row],[USAGE / DAY 2]])/Table50[[#This Row],[USAGE / DAY 2]],0)</f>
        <v>-0.15590863952333667</v>
      </c>
      <c r="Z276" s="15">
        <f t="shared" si="12"/>
        <v>14</v>
      </c>
      <c r="AA276" s="15">
        <f t="shared" si="13"/>
        <v>9.311854181734148</v>
      </c>
      <c r="AB276" s="15">
        <f>IFERROR(IF(Table50[[#This Row],[ccnt]]="BEV",$AB$2,IF(Table50[[#This Row],[ccnt]]="FOOD",$AC$2,"ENTER # FROM LAST COUNT")),"ENTER # FROM LAST COUNT")</f>
        <v>5</v>
      </c>
      <c r="AC276" s="15">
        <f>(Table50[[#This Row],[OpeningQty]]+Table50[[#This Row],[ClosingQty]])/2</f>
        <v>44.5</v>
      </c>
      <c r="AD276" s="15">
        <f>IFERROR(Table50[[#This Row],[UsageQty]]/Table50[[#This Row],[AVE INVENTORY]],0)</f>
        <v>2.6741573033707864</v>
      </c>
      <c r="AE276" s="15">
        <f>IFERROR(Table50[[#This Row],[DATA POINT]]/Table50[[#This Row],[Inventory Turnover Rate]],0)</f>
        <v>5.2352941176470589</v>
      </c>
      <c r="AF276" s="15">
        <f>Table50[[#This Row],[ClosingQty]]/Table50[[#This Row],[USAGE / DAY]]</f>
        <v>5.1764705882352944</v>
      </c>
      <c r="AG276" s="15">
        <f>Table50[[#This Row],[USAGE / DAY]]*7</f>
        <v>59.5</v>
      </c>
      <c r="AH276" s="15">
        <f>Table50[[#This Row],[USAGE / DAY]]*3</f>
        <v>25.5</v>
      </c>
      <c r="AI276" s="15">
        <f>IF(Table50[[#This Row],[FORECASTED DEMAND]]+Table50[[#This Row],[SAFETY STOCK]]-Table50[[#This Row],[ClosingQty]]&gt;0,Table50[[#This Row],[FORECASTED DEMAND]]+Table50[[#This Row],[SAFETY STOCK]]-Table50[[#This Row],[ClosingQty]],"NO ORDER")</f>
        <v>41</v>
      </c>
      <c r="AJ276" s="15">
        <f>IFERROR(Table50[[#This Row],[ORDER QTY2]]*Table50[[#This Row],[COST PRICE]],0)</f>
        <v>666.25231638418074</v>
      </c>
      <c r="AK276" s="15">
        <f>(Table50[[#This Row],[REORDER POINT]]*Table50[[#This Row],[COST PRICE]])+Table50[[#This Row],[ORDER COST]]</f>
        <v>1291.8794915254236</v>
      </c>
      <c r="AL276" s="15">
        <f t="shared" si="14"/>
        <v>100</v>
      </c>
      <c r="AM276" s="15">
        <f>IFERROR((Table50[[#This Row],[REORDER POINT]]+Table50[[#This Row],[ORDER QTY]])/(Table50[[#This Row],[USAGE / DAY]]*Table50[[#This Row],[DEMAND %]]),Table50[[#This Row],[REORDER POINT]]/Table50[[#This Row],[USAGE / DAY]])</f>
        <v>9.3529411764705889E-2</v>
      </c>
    </row>
    <row r="277" spans="1:39" x14ac:dyDescent="0.25">
      <c r="A277" t="s">
        <v>324</v>
      </c>
      <c r="B277" t="s">
        <v>366</v>
      </c>
      <c r="C277" t="s">
        <v>374</v>
      </c>
      <c r="D277" t="s">
        <v>76</v>
      </c>
      <c r="E277">
        <v>0</v>
      </c>
      <c r="F277">
        <v>0</v>
      </c>
      <c r="G277">
        <v>1</v>
      </c>
      <c r="H277">
        <v>46.08</v>
      </c>
      <c r="I277">
        <v>1.2</v>
      </c>
      <c r="J277">
        <v>55.3</v>
      </c>
      <c r="K277">
        <f>Table50[[#This Row],[OpeningQty]]+Table50[[#This Row],[PurchasesQty]]-Table50[[#This Row],[ClosingQty]]</f>
        <v>-0.19999999999999996</v>
      </c>
      <c r="L277">
        <v>-9.2200000000000006</v>
      </c>
      <c r="M277" s="14">
        <f>Table50[[#This Row],[Usage]]/$L$1</f>
        <v>-1.4003330423313693E-5</v>
      </c>
      <c r="N277" s="15">
        <f>IFERROR(Table50[[#This Row],[Opening]]/Table50[[#This Row],[OpeningQty]],0)</f>
        <v>0</v>
      </c>
      <c r="O277" s="15">
        <f>IFERROR(Table50[[#This Row],[Purchases]]/Table50[[#This Row],[PurchasesQty]],0)</f>
        <v>46.08</v>
      </c>
      <c r="P277" s="15">
        <f>IFERROR(Table50[[#This Row],[Closing]]/Table50[[#This Row],[ClosingQty]],0)</f>
        <v>46.083333333333336</v>
      </c>
      <c r="Q277" s="15">
        <f>IFERROR(AVERAGEIF(Table50[[#This Row],[OPENING COST PRICE]:[CLOSING COST PRICE]],"&gt;0"),0)</f>
        <v>46.081666666666663</v>
      </c>
      <c r="R277" s="15">
        <f>IFERROR(Table50[[#This Row],[COST PRICE]]-IFERROR(Table50[[#This Row],[Usage]]/Table50[[#This Row],[UsageQty]],Table50[[#This Row],[COST PRICE]]),0)</f>
        <v>-1.8333333333352186E-2</v>
      </c>
      <c r="S277" s="16">
        <f>IFERROR(Table50[[#This Row],[COST PRICE CHANGE]]/Table50[[#This Row],[OPENING COST PRICE]],0)</f>
        <v>0</v>
      </c>
      <c r="T277" s="15">
        <f>Table50[[#This Row],[ClosingQty]]-(Table50[[#This Row],[USAGE / DAY]]*(IF(Table50[[#This Row],[ccnt]]="BEV",Table50[[#This Row],[DELIVERY DAY]],Table50[[#This Row],[DELIVERY DAY]])))</f>
        <v>1.3</v>
      </c>
      <c r="U277" s="15">
        <f>ROUNDUP(Table50[[#This Row],[UsageQty]]/Table50[[#This Row],[DATA POINT]],2)</f>
        <v>-0.02</v>
      </c>
      <c r="V27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77" s="15">
        <f>IFERROR(Table50[[#This Row],[ORDER QTY]]*Table50[[#This Row],[COST PRICE]],0)</f>
        <v>0</v>
      </c>
      <c r="X277" s="15">
        <f>IFERROR(VLOOKUP(C277,[1]!Table49[[#All],[name]:[USAGE / DAY]],19,FALSE),1)</f>
        <v>6.9999999999999993E-2</v>
      </c>
      <c r="Y277" s="4">
        <f>IFERROR((Table50[[#This Row],[USAGE / DAY]]-Table50[[#This Row],[USAGE / DAY 2]])/Table50[[#This Row],[USAGE / DAY 2]],0)</f>
        <v>-1.2857142857142858</v>
      </c>
      <c r="Z277" s="15">
        <f t="shared" si="12"/>
        <v>14</v>
      </c>
      <c r="AA277" s="15">
        <f t="shared" si="13"/>
        <v>9.311854181734148</v>
      </c>
      <c r="AB277" s="15">
        <f>IFERROR(IF(Table50[[#This Row],[ccnt]]="BEV",$AB$2,IF(Table50[[#This Row],[ccnt]]="FOOD",$AC$2,"ENTER # FROM LAST COUNT")),"ENTER # FROM LAST COUNT")</f>
        <v>5</v>
      </c>
      <c r="AC277" s="15">
        <f>(Table50[[#This Row],[OpeningQty]]+Table50[[#This Row],[ClosingQty]])/2</f>
        <v>0.6</v>
      </c>
      <c r="AD277" s="15">
        <f>IFERROR(Table50[[#This Row],[UsageQty]]/Table50[[#This Row],[AVE INVENTORY]],0)</f>
        <v>-0.33333333333333326</v>
      </c>
      <c r="AE277" s="15">
        <f>IFERROR(Table50[[#This Row],[DATA POINT]]/Table50[[#This Row],[Inventory Turnover Rate]],0)</f>
        <v>-42.000000000000007</v>
      </c>
      <c r="AF277" s="15">
        <f>Table50[[#This Row],[ClosingQty]]/Table50[[#This Row],[USAGE / DAY]]</f>
        <v>-60</v>
      </c>
      <c r="AG277" s="15">
        <f>Table50[[#This Row],[USAGE / DAY]]*7</f>
        <v>-0.14000000000000001</v>
      </c>
      <c r="AH277" s="15">
        <f>Table50[[#This Row],[USAGE / DAY]]*3</f>
        <v>-0.06</v>
      </c>
      <c r="AI27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77" s="15">
        <f>IFERROR(Table50[[#This Row],[ORDER QTY2]]*Table50[[#This Row],[COST PRICE]],0)</f>
        <v>0</v>
      </c>
      <c r="AK277" s="15">
        <f>(Table50[[#This Row],[REORDER POINT]]*Table50[[#This Row],[COST PRICE]])+Table50[[#This Row],[ORDER COST]]</f>
        <v>59.906166666666664</v>
      </c>
      <c r="AL277" s="15">
        <f t="shared" si="14"/>
        <v>100</v>
      </c>
      <c r="AM277" s="15">
        <f>IFERROR((Table50[[#This Row],[REORDER POINT]]+Table50[[#This Row],[ORDER QTY]])/(Table50[[#This Row],[USAGE / DAY]]*Table50[[#This Row],[DEMAND %]]),Table50[[#This Row],[REORDER POINT]]/Table50[[#This Row],[USAGE / DAY]])</f>
        <v>-65</v>
      </c>
    </row>
    <row r="278" spans="1:39" x14ac:dyDescent="0.25">
      <c r="A278" t="s">
        <v>324</v>
      </c>
      <c r="B278" t="s">
        <v>375</v>
      </c>
      <c r="C278" t="s">
        <v>376</v>
      </c>
      <c r="D278" t="s">
        <v>53</v>
      </c>
      <c r="E278">
        <v>11</v>
      </c>
      <c r="F278">
        <v>132</v>
      </c>
      <c r="G278">
        <v>0</v>
      </c>
      <c r="H278">
        <v>0</v>
      </c>
      <c r="I278">
        <v>11</v>
      </c>
      <c r="J278">
        <v>132</v>
      </c>
      <c r="K278">
        <f>Table50[[#This Row],[OpeningQty]]+Table50[[#This Row],[PurchasesQty]]-Table50[[#This Row],[ClosingQty]]</f>
        <v>0</v>
      </c>
      <c r="L278">
        <v>0</v>
      </c>
      <c r="M278" s="14">
        <f>Table50[[#This Row],[Usage]]/$L$1</f>
        <v>0</v>
      </c>
      <c r="N278" s="15">
        <f>IFERROR(Table50[[#This Row],[Opening]]/Table50[[#This Row],[OpeningQty]],0)</f>
        <v>12</v>
      </c>
      <c r="O278" s="15">
        <f>IFERROR(Table50[[#This Row],[Purchases]]/Table50[[#This Row],[PurchasesQty]],0)</f>
        <v>0</v>
      </c>
      <c r="P278" s="15">
        <f>IFERROR(Table50[[#This Row],[Closing]]/Table50[[#This Row],[ClosingQty]],0)</f>
        <v>12</v>
      </c>
      <c r="Q278" s="15">
        <f>IFERROR(AVERAGEIF(Table50[[#This Row],[OPENING COST PRICE]:[CLOSING COST PRICE]],"&gt;0"),0)</f>
        <v>12</v>
      </c>
      <c r="R278" s="15">
        <f>IFERROR(Table50[[#This Row],[COST PRICE]]-IFERROR(Table50[[#This Row],[Usage]]/Table50[[#This Row],[UsageQty]],Table50[[#This Row],[COST PRICE]]),0)</f>
        <v>0</v>
      </c>
      <c r="S278" s="16">
        <f>IFERROR(Table50[[#This Row],[COST PRICE CHANGE]]/Table50[[#This Row],[OPENING COST PRICE]],0)</f>
        <v>0</v>
      </c>
      <c r="T278" s="15">
        <f>Table50[[#This Row],[ClosingQty]]-(Table50[[#This Row],[USAGE / DAY]]*(IF(Table50[[#This Row],[ccnt]]="BEV",Table50[[#This Row],[DELIVERY DAY]],Table50[[#This Row],[DELIVERY DAY]])))</f>
        <v>11</v>
      </c>
      <c r="U278" s="15">
        <f>ROUNDUP(Table50[[#This Row],[UsageQty]]/Table50[[#This Row],[DATA POINT]],2)</f>
        <v>0</v>
      </c>
      <c r="V27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78" s="15">
        <f>IFERROR(Table50[[#This Row],[ORDER QTY]]*Table50[[#This Row],[COST PRICE]],0)</f>
        <v>0</v>
      </c>
      <c r="X278" s="15">
        <f>IFERROR(VLOOKUP(C278,[1]!Table49[[#All],[name]:[USAGE / DAY]],19,FALSE),1)</f>
        <v>0</v>
      </c>
      <c r="Y278" s="4">
        <f>IFERROR((Table50[[#This Row],[USAGE / DAY]]-Table50[[#This Row],[USAGE / DAY 2]])/Table50[[#This Row],[USAGE / DAY 2]],0)</f>
        <v>0</v>
      </c>
      <c r="Z278" s="15">
        <f t="shared" si="12"/>
        <v>14</v>
      </c>
      <c r="AA278" s="15">
        <f t="shared" si="13"/>
        <v>9.311854181734148</v>
      </c>
      <c r="AB278" s="15">
        <f>IFERROR(IF(Table50[[#This Row],[ccnt]]="BEV",$AB$2,IF(Table50[[#This Row],[ccnt]]="FOOD",$AC$2,"ENTER # FROM LAST COUNT")),"ENTER # FROM LAST COUNT")</f>
        <v>5</v>
      </c>
      <c r="AC278" s="15">
        <f>(Table50[[#This Row],[OpeningQty]]+Table50[[#This Row],[ClosingQty]])/2</f>
        <v>11</v>
      </c>
      <c r="AD278" s="15">
        <f>IFERROR(Table50[[#This Row],[UsageQty]]/Table50[[#This Row],[AVE INVENTORY]],0)</f>
        <v>0</v>
      </c>
      <c r="AE278" s="15">
        <f>IFERROR(Table50[[#This Row],[DATA POINT]]/Table50[[#This Row],[Inventory Turnover Rate]],0)</f>
        <v>0</v>
      </c>
      <c r="AF278" s="15" t="e">
        <f>Table50[[#This Row],[ClosingQty]]/Table50[[#This Row],[USAGE / DAY]]</f>
        <v>#DIV/0!</v>
      </c>
      <c r="AG278" s="15">
        <f>Table50[[#This Row],[USAGE / DAY]]*7</f>
        <v>0</v>
      </c>
      <c r="AH278" s="15">
        <f>Table50[[#This Row],[USAGE / DAY]]*3</f>
        <v>0</v>
      </c>
      <c r="AI27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78" s="15">
        <f>IFERROR(Table50[[#This Row],[ORDER QTY2]]*Table50[[#This Row],[COST PRICE]],0)</f>
        <v>0</v>
      </c>
      <c r="AK278" s="15">
        <f>(Table50[[#This Row],[REORDER POINT]]*Table50[[#This Row],[COST PRICE]])+Table50[[#This Row],[ORDER COST]]</f>
        <v>132</v>
      </c>
      <c r="AL278" s="15">
        <f t="shared" si="14"/>
        <v>100</v>
      </c>
      <c r="AM278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279" spans="1:39" x14ac:dyDescent="0.25">
      <c r="A279" t="s">
        <v>324</v>
      </c>
      <c r="B279" t="s">
        <v>375</v>
      </c>
      <c r="C279" t="s">
        <v>377</v>
      </c>
      <c r="D279" t="s">
        <v>95</v>
      </c>
      <c r="E279">
        <v>2</v>
      </c>
      <c r="F279">
        <v>450</v>
      </c>
      <c r="G279">
        <v>0</v>
      </c>
      <c r="H279">
        <v>0</v>
      </c>
      <c r="I279">
        <v>2</v>
      </c>
      <c r="J279">
        <v>450</v>
      </c>
      <c r="K279">
        <f>Table50[[#This Row],[OpeningQty]]+Table50[[#This Row],[PurchasesQty]]-Table50[[#This Row],[ClosingQty]]</f>
        <v>0</v>
      </c>
      <c r="L279">
        <v>0</v>
      </c>
      <c r="M279" s="14">
        <f>Table50[[#This Row],[Usage]]/$L$1</f>
        <v>0</v>
      </c>
      <c r="N279" s="15">
        <f>IFERROR(Table50[[#This Row],[Opening]]/Table50[[#This Row],[OpeningQty]],0)</f>
        <v>225</v>
      </c>
      <c r="O279" s="15">
        <f>IFERROR(Table50[[#This Row],[Purchases]]/Table50[[#This Row],[PurchasesQty]],0)</f>
        <v>0</v>
      </c>
      <c r="P279" s="15">
        <f>IFERROR(Table50[[#This Row],[Closing]]/Table50[[#This Row],[ClosingQty]],0)</f>
        <v>225</v>
      </c>
      <c r="Q279" s="15">
        <f>IFERROR(AVERAGEIF(Table50[[#This Row],[OPENING COST PRICE]:[CLOSING COST PRICE]],"&gt;0"),0)</f>
        <v>225</v>
      </c>
      <c r="R279" s="15">
        <f>IFERROR(Table50[[#This Row],[COST PRICE]]-IFERROR(Table50[[#This Row],[Usage]]/Table50[[#This Row],[UsageQty]],Table50[[#This Row],[COST PRICE]]),0)</f>
        <v>0</v>
      </c>
      <c r="S279" s="16">
        <f>IFERROR(Table50[[#This Row],[COST PRICE CHANGE]]/Table50[[#This Row],[OPENING COST PRICE]],0)</f>
        <v>0</v>
      </c>
      <c r="T279" s="15">
        <f>Table50[[#This Row],[ClosingQty]]-(Table50[[#This Row],[USAGE / DAY]]*(IF(Table50[[#This Row],[ccnt]]="BEV",Table50[[#This Row],[DELIVERY DAY]],Table50[[#This Row],[DELIVERY DAY]])))</f>
        <v>2</v>
      </c>
      <c r="U279" s="15">
        <f>ROUNDUP(Table50[[#This Row],[UsageQty]]/Table50[[#This Row],[DATA POINT]],2)</f>
        <v>0</v>
      </c>
      <c r="V27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79" s="15">
        <f>IFERROR(Table50[[#This Row],[ORDER QTY]]*Table50[[#This Row],[COST PRICE]],0)</f>
        <v>0</v>
      </c>
      <c r="X279" s="15">
        <f>IFERROR(VLOOKUP(C279,[1]!Table49[[#All],[name]:[USAGE / DAY]],19,FALSE),1)</f>
        <v>0</v>
      </c>
      <c r="Y279" s="4">
        <f>IFERROR((Table50[[#This Row],[USAGE / DAY]]-Table50[[#This Row],[USAGE / DAY 2]])/Table50[[#This Row],[USAGE / DAY 2]],0)</f>
        <v>0</v>
      </c>
      <c r="Z279" s="15">
        <f t="shared" si="12"/>
        <v>14</v>
      </c>
      <c r="AA279" s="15">
        <f t="shared" si="13"/>
        <v>9.311854181734148</v>
      </c>
      <c r="AB279" s="15">
        <f>IFERROR(IF(Table50[[#This Row],[ccnt]]="BEV",$AB$2,IF(Table50[[#This Row],[ccnt]]="FOOD",$AC$2,"ENTER # FROM LAST COUNT")),"ENTER # FROM LAST COUNT")</f>
        <v>5</v>
      </c>
      <c r="AC279" s="15">
        <f>(Table50[[#This Row],[OpeningQty]]+Table50[[#This Row],[ClosingQty]])/2</f>
        <v>2</v>
      </c>
      <c r="AD279" s="15">
        <f>IFERROR(Table50[[#This Row],[UsageQty]]/Table50[[#This Row],[AVE INVENTORY]],0)</f>
        <v>0</v>
      </c>
      <c r="AE279" s="15">
        <f>IFERROR(Table50[[#This Row],[DATA POINT]]/Table50[[#This Row],[Inventory Turnover Rate]],0)</f>
        <v>0</v>
      </c>
      <c r="AF279" s="15" t="e">
        <f>Table50[[#This Row],[ClosingQty]]/Table50[[#This Row],[USAGE / DAY]]</f>
        <v>#DIV/0!</v>
      </c>
      <c r="AG279" s="15">
        <f>Table50[[#This Row],[USAGE / DAY]]*7</f>
        <v>0</v>
      </c>
      <c r="AH279" s="15">
        <f>Table50[[#This Row],[USAGE / DAY]]*3</f>
        <v>0</v>
      </c>
      <c r="AI27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79" s="15">
        <f>IFERROR(Table50[[#This Row],[ORDER QTY2]]*Table50[[#This Row],[COST PRICE]],0)</f>
        <v>0</v>
      </c>
      <c r="AK279" s="15">
        <f>(Table50[[#This Row],[REORDER POINT]]*Table50[[#This Row],[COST PRICE]])+Table50[[#This Row],[ORDER COST]]</f>
        <v>450</v>
      </c>
      <c r="AL279" s="15">
        <f t="shared" si="14"/>
        <v>100</v>
      </c>
      <c r="AM279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280" spans="1:39" x14ac:dyDescent="0.25">
      <c r="A280" t="s">
        <v>324</v>
      </c>
      <c r="B280" t="s">
        <v>375</v>
      </c>
      <c r="C280" t="s">
        <v>378</v>
      </c>
      <c r="D280" t="s">
        <v>379</v>
      </c>
      <c r="E280">
        <v>28</v>
      </c>
      <c r="F280">
        <v>406.56</v>
      </c>
      <c r="G280">
        <v>0</v>
      </c>
      <c r="H280">
        <v>0</v>
      </c>
      <c r="I280">
        <v>20</v>
      </c>
      <c r="J280">
        <v>290.39999999999998</v>
      </c>
      <c r="K280">
        <f>Table50[[#This Row],[OpeningQty]]+Table50[[#This Row],[PurchasesQty]]-Table50[[#This Row],[ClosingQty]]</f>
        <v>8</v>
      </c>
      <c r="L280">
        <v>116.16</v>
      </c>
      <c r="M280" s="14">
        <f>Table50[[#This Row],[Usage]]/$L$1</f>
        <v>1.7642373774101066E-4</v>
      </c>
      <c r="N280" s="15">
        <f>IFERROR(Table50[[#This Row],[Opening]]/Table50[[#This Row],[OpeningQty]],0)</f>
        <v>14.52</v>
      </c>
      <c r="O280" s="15">
        <f>IFERROR(Table50[[#This Row],[Purchases]]/Table50[[#This Row],[PurchasesQty]],0)</f>
        <v>0</v>
      </c>
      <c r="P280" s="15">
        <f>IFERROR(Table50[[#This Row],[Closing]]/Table50[[#This Row],[ClosingQty]],0)</f>
        <v>14.52</v>
      </c>
      <c r="Q280" s="15">
        <f>IFERROR(AVERAGEIF(Table50[[#This Row],[OPENING COST PRICE]:[CLOSING COST PRICE]],"&gt;0"),0)</f>
        <v>14.52</v>
      </c>
      <c r="R280" s="15">
        <f>IFERROR(Table50[[#This Row],[COST PRICE]]-IFERROR(Table50[[#This Row],[Usage]]/Table50[[#This Row],[UsageQty]],Table50[[#This Row],[COST PRICE]]),0)</f>
        <v>0</v>
      </c>
      <c r="S280" s="16">
        <f>IFERROR(Table50[[#This Row],[COST PRICE CHANGE]]/Table50[[#This Row],[OPENING COST PRICE]],0)</f>
        <v>0</v>
      </c>
      <c r="T280" s="15">
        <f>Table50[[#This Row],[ClosingQty]]-(Table50[[#This Row],[USAGE / DAY]]*(IF(Table50[[#This Row],[ccnt]]="BEV",Table50[[#This Row],[DELIVERY DAY]],Table50[[#This Row],[DELIVERY DAY]])))</f>
        <v>17.100000000000001</v>
      </c>
      <c r="U280" s="15">
        <f>ROUNDUP(Table50[[#This Row],[UsageQty]]/Table50[[#This Row],[DATA POINT]],2)</f>
        <v>0.57999999999999996</v>
      </c>
      <c r="V28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80" s="15">
        <f>IFERROR(Table50[[#This Row],[ORDER QTY]]*Table50[[#This Row],[COST PRICE]],0)</f>
        <v>0</v>
      </c>
      <c r="X280" s="15">
        <f>IFERROR(VLOOKUP(C280,[1]!Table49[[#All],[name]:[USAGE / DAY]],19,FALSE),1)</f>
        <v>0.67</v>
      </c>
      <c r="Y280" s="4">
        <f>IFERROR((Table50[[#This Row],[USAGE / DAY]]-Table50[[#This Row],[USAGE / DAY 2]])/Table50[[#This Row],[USAGE / DAY 2]],0)</f>
        <v>-0.13432835820895533</v>
      </c>
      <c r="Z280" s="15">
        <f t="shared" si="12"/>
        <v>14</v>
      </c>
      <c r="AA280" s="15">
        <f t="shared" si="13"/>
        <v>9.311854181734148</v>
      </c>
      <c r="AB280" s="15">
        <f>IFERROR(IF(Table50[[#This Row],[ccnt]]="BEV",$AB$2,IF(Table50[[#This Row],[ccnt]]="FOOD",$AC$2,"ENTER # FROM LAST COUNT")),"ENTER # FROM LAST COUNT")</f>
        <v>5</v>
      </c>
      <c r="AC280" s="15">
        <f>(Table50[[#This Row],[OpeningQty]]+Table50[[#This Row],[ClosingQty]])/2</f>
        <v>24</v>
      </c>
      <c r="AD280" s="15">
        <f>IFERROR(Table50[[#This Row],[UsageQty]]/Table50[[#This Row],[AVE INVENTORY]],0)</f>
        <v>0.33333333333333331</v>
      </c>
      <c r="AE280" s="15">
        <f>IFERROR(Table50[[#This Row],[DATA POINT]]/Table50[[#This Row],[Inventory Turnover Rate]],0)</f>
        <v>42</v>
      </c>
      <c r="AF280" s="15">
        <f>Table50[[#This Row],[ClosingQty]]/Table50[[#This Row],[USAGE / DAY]]</f>
        <v>34.482758620689658</v>
      </c>
      <c r="AG280" s="15">
        <f>Table50[[#This Row],[USAGE / DAY]]*7</f>
        <v>4.0599999999999996</v>
      </c>
      <c r="AH280" s="15">
        <f>Table50[[#This Row],[USAGE / DAY]]*3</f>
        <v>1.7399999999999998</v>
      </c>
      <c r="AI28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80" s="15">
        <f>IFERROR(Table50[[#This Row],[ORDER QTY2]]*Table50[[#This Row],[COST PRICE]],0)</f>
        <v>0</v>
      </c>
      <c r="AK280" s="15">
        <f>(Table50[[#This Row],[REORDER POINT]]*Table50[[#This Row],[COST PRICE]])+Table50[[#This Row],[ORDER COST]]</f>
        <v>248.292</v>
      </c>
      <c r="AL280" s="15">
        <f t="shared" si="14"/>
        <v>100</v>
      </c>
      <c r="AM280" s="15">
        <f>IFERROR((Table50[[#This Row],[REORDER POINT]]+Table50[[#This Row],[ORDER QTY]])/(Table50[[#This Row],[USAGE / DAY]]*Table50[[#This Row],[DEMAND %]]),Table50[[#This Row],[REORDER POINT]]/Table50[[#This Row],[USAGE / DAY]])</f>
        <v>29.482758620689658</v>
      </c>
    </row>
    <row r="281" spans="1:39" x14ac:dyDescent="0.25">
      <c r="A281" t="s">
        <v>324</v>
      </c>
      <c r="B281" t="s">
        <v>375</v>
      </c>
      <c r="C281" t="s">
        <v>380</v>
      </c>
      <c r="D281" t="s">
        <v>53</v>
      </c>
      <c r="E281">
        <v>7</v>
      </c>
      <c r="F281">
        <v>157.63999999999999</v>
      </c>
      <c r="G281">
        <v>44</v>
      </c>
      <c r="H281">
        <v>990.98</v>
      </c>
      <c r="I281">
        <v>38</v>
      </c>
      <c r="J281">
        <v>855.76</v>
      </c>
      <c r="K281">
        <f>Table50[[#This Row],[OpeningQty]]+Table50[[#This Row],[PurchasesQty]]-Table50[[#This Row],[ClosingQty]]</f>
        <v>13</v>
      </c>
      <c r="L281">
        <v>292.86</v>
      </c>
      <c r="M281" s="14">
        <f>Table50[[#This Row],[Usage]]/$L$1</f>
        <v>4.4479559086460388E-4</v>
      </c>
      <c r="N281" s="15">
        <f>IFERROR(Table50[[#This Row],[Opening]]/Table50[[#This Row],[OpeningQty]],0)</f>
        <v>22.52</v>
      </c>
      <c r="O281" s="15">
        <f>IFERROR(Table50[[#This Row],[Purchases]]/Table50[[#This Row],[PurchasesQty]],0)</f>
        <v>22.522272727272728</v>
      </c>
      <c r="P281" s="15">
        <f>IFERROR(Table50[[#This Row],[Closing]]/Table50[[#This Row],[ClosingQty]],0)</f>
        <v>22.52</v>
      </c>
      <c r="Q281" s="15">
        <f>IFERROR(AVERAGEIF(Table50[[#This Row],[OPENING COST PRICE]:[CLOSING COST PRICE]],"&gt;0"),0)</f>
        <v>22.520757575757575</v>
      </c>
      <c r="R281" s="15">
        <f>IFERROR(Table50[[#This Row],[COST PRICE]]-IFERROR(Table50[[#This Row],[Usage]]/Table50[[#This Row],[UsageQty]],Table50[[#This Row],[COST PRICE]]),0)</f>
        <v>-6.9347319347343728E-3</v>
      </c>
      <c r="S281" s="16">
        <f>IFERROR(Table50[[#This Row],[COST PRICE CHANGE]]/Table50[[#This Row],[OPENING COST PRICE]],0)</f>
        <v>-3.0793658679992774E-4</v>
      </c>
      <c r="T281" s="15">
        <f>Table50[[#This Row],[ClosingQty]]-(Table50[[#This Row],[USAGE / DAY]]*(IF(Table50[[#This Row],[ccnt]]="BEV",Table50[[#This Row],[DELIVERY DAY]],Table50[[#This Row],[DELIVERY DAY]])))</f>
        <v>33.35</v>
      </c>
      <c r="U281" s="15">
        <f>ROUNDUP(Table50[[#This Row],[UsageQty]]/Table50[[#This Row],[DATA POINT]],2)</f>
        <v>0.93</v>
      </c>
      <c r="V28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81" s="15">
        <f>IFERROR(Table50[[#This Row],[ORDER QTY]]*Table50[[#This Row],[COST PRICE]],0)</f>
        <v>0</v>
      </c>
      <c r="X281" s="15">
        <f>IFERROR(VLOOKUP(C281,[1]!Table49[[#All],[name]:[USAGE / DAY]],19,FALSE),1)</f>
        <v>1.67</v>
      </c>
      <c r="Y281" s="4">
        <f>IFERROR((Table50[[#This Row],[USAGE / DAY]]-Table50[[#This Row],[USAGE / DAY 2]])/Table50[[#This Row],[USAGE / DAY 2]],0)</f>
        <v>-0.44311377245508976</v>
      </c>
      <c r="Z281" s="15">
        <f t="shared" si="12"/>
        <v>14</v>
      </c>
      <c r="AA281" s="15">
        <f t="shared" si="13"/>
        <v>9.311854181734148</v>
      </c>
      <c r="AB281" s="15">
        <f>IFERROR(IF(Table50[[#This Row],[ccnt]]="BEV",$AB$2,IF(Table50[[#This Row],[ccnt]]="FOOD",$AC$2,"ENTER # FROM LAST COUNT")),"ENTER # FROM LAST COUNT")</f>
        <v>5</v>
      </c>
      <c r="AC281" s="15">
        <f>(Table50[[#This Row],[OpeningQty]]+Table50[[#This Row],[ClosingQty]])/2</f>
        <v>22.5</v>
      </c>
      <c r="AD281" s="15">
        <f>IFERROR(Table50[[#This Row],[UsageQty]]/Table50[[#This Row],[AVE INVENTORY]],0)</f>
        <v>0.57777777777777772</v>
      </c>
      <c r="AE281" s="15">
        <f>IFERROR(Table50[[#This Row],[DATA POINT]]/Table50[[#This Row],[Inventory Turnover Rate]],0)</f>
        <v>24.230769230769234</v>
      </c>
      <c r="AF281" s="15">
        <f>Table50[[#This Row],[ClosingQty]]/Table50[[#This Row],[USAGE / DAY]]</f>
        <v>40.86021505376344</v>
      </c>
      <c r="AG281" s="15">
        <f>Table50[[#This Row],[USAGE / DAY]]*7</f>
        <v>6.5100000000000007</v>
      </c>
      <c r="AH281" s="15">
        <f>Table50[[#This Row],[USAGE / DAY]]*3</f>
        <v>2.79</v>
      </c>
      <c r="AI28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81" s="15">
        <f>IFERROR(Table50[[#This Row],[ORDER QTY2]]*Table50[[#This Row],[COST PRICE]],0)</f>
        <v>0</v>
      </c>
      <c r="AK281" s="15">
        <f>(Table50[[#This Row],[REORDER POINT]]*Table50[[#This Row],[COST PRICE]])+Table50[[#This Row],[ORDER COST]]</f>
        <v>751.06726515151513</v>
      </c>
      <c r="AL281" s="15">
        <f t="shared" si="14"/>
        <v>100</v>
      </c>
      <c r="AM281" s="15">
        <f>IFERROR((Table50[[#This Row],[REORDER POINT]]+Table50[[#This Row],[ORDER QTY]])/(Table50[[#This Row],[USAGE / DAY]]*Table50[[#This Row],[DEMAND %]]),Table50[[#This Row],[REORDER POINT]]/Table50[[#This Row],[USAGE / DAY]])</f>
        <v>35.86021505376344</v>
      </c>
    </row>
    <row r="282" spans="1:39" x14ac:dyDescent="0.25">
      <c r="A282" t="s">
        <v>324</v>
      </c>
      <c r="B282" t="s">
        <v>375</v>
      </c>
      <c r="C282" t="s">
        <v>381</v>
      </c>
      <c r="D282" t="s">
        <v>76</v>
      </c>
      <c r="E282">
        <v>0.61</v>
      </c>
      <c r="F282">
        <v>115.9</v>
      </c>
      <c r="G282">
        <v>0</v>
      </c>
      <c r="H282">
        <v>0</v>
      </c>
      <c r="I282">
        <v>0.46</v>
      </c>
      <c r="J282">
        <v>87.4</v>
      </c>
      <c r="K282">
        <f>Table50[[#This Row],[OpeningQty]]+Table50[[#This Row],[PurchasesQty]]-Table50[[#This Row],[ClosingQty]]</f>
        <v>0.14999999999999997</v>
      </c>
      <c r="L282">
        <v>28.5</v>
      </c>
      <c r="M282" s="14">
        <f>Table50[[#This Row],[Usage]]/$L$1</f>
        <v>4.3285782761869872E-5</v>
      </c>
      <c r="N282" s="15">
        <f>IFERROR(Table50[[#This Row],[Opening]]/Table50[[#This Row],[OpeningQty]],0)</f>
        <v>190</v>
      </c>
      <c r="O282" s="15">
        <f>IFERROR(Table50[[#This Row],[Purchases]]/Table50[[#This Row],[PurchasesQty]],0)</f>
        <v>0</v>
      </c>
      <c r="P282" s="15">
        <f>IFERROR(Table50[[#This Row],[Closing]]/Table50[[#This Row],[ClosingQty]],0)</f>
        <v>190</v>
      </c>
      <c r="Q282" s="15">
        <f>IFERROR(AVERAGEIF(Table50[[#This Row],[OPENING COST PRICE]:[CLOSING COST PRICE]],"&gt;0"),0)</f>
        <v>190</v>
      </c>
      <c r="R282" s="15">
        <f>IFERROR(Table50[[#This Row],[COST PRICE]]-IFERROR(Table50[[#This Row],[Usage]]/Table50[[#This Row],[UsageQty]],Table50[[#This Row],[COST PRICE]]),0)</f>
        <v>-2.8421709430404007E-14</v>
      </c>
      <c r="S282" s="16">
        <f>IFERROR(Table50[[#This Row],[COST PRICE CHANGE]]/Table50[[#This Row],[OPENING COST PRICE]],0)</f>
        <v>-1.495879443705474E-16</v>
      </c>
      <c r="T282" s="15">
        <f>Table50[[#This Row],[ClosingQty]]-(Table50[[#This Row],[USAGE / DAY]]*(IF(Table50[[#This Row],[ccnt]]="BEV",Table50[[#This Row],[DELIVERY DAY]],Table50[[#This Row],[DELIVERY DAY]])))</f>
        <v>0.36</v>
      </c>
      <c r="U282" s="15">
        <f>ROUNDUP(Table50[[#This Row],[UsageQty]]/Table50[[#This Row],[DATA POINT]],2)</f>
        <v>0.02</v>
      </c>
      <c r="V28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82" s="15">
        <f>IFERROR(Table50[[#This Row],[ORDER QTY]]*Table50[[#This Row],[COST PRICE]],0)</f>
        <v>0</v>
      </c>
      <c r="X282" s="15">
        <f>IFERROR(VLOOKUP(C282,[1]!Table49[[#All],[name]:[USAGE / DAY]],19,FALSE),1)</f>
        <v>0.03</v>
      </c>
      <c r="Y282" s="4">
        <f>IFERROR((Table50[[#This Row],[USAGE / DAY]]-Table50[[#This Row],[USAGE / DAY 2]])/Table50[[#This Row],[USAGE / DAY 2]],0)</f>
        <v>-0.33333333333333331</v>
      </c>
      <c r="Z282" s="15">
        <f t="shared" si="12"/>
        <v>14</v>
      </c>
      <c r="AA282" s="15">
        <f t="shared" si="13"/>
        <v>9.311854181734148</v>
      </c>
      <c r="AB282" s="15">
        <f>IFERROR(IF(Table50[[#This Row],[ccnt]]="BEV",$AB$2,IF(Table50[[#This Row],[ccnt]]="FOOD",$AC$2,"ENTER # FROM LAST COUNT")),"ENTER # FROM LAST COUNT")</f>
        <v>5</v>
      </c>
      <c r="AC282" s="15">
        <f>(Table50[[#This Row],[OpeningQty]]+Table50[[#This Row],[ClosingQty]])/2</f>
        <v>0.53500000000000003</v>
      </c>
      <c r="AD282" s="15">
        <f>IFERROR(Table50[[#This Row],[UsageQty]]/Table50[[#This Row],[AVE INVENTORY]],0)</f>
        <v>0.28037383177570085</v>
      </c>
      <c r="AE282" s="15">
        <f>IFERROR(Table50[[#This Row],[DATA POINT]]/Table50[[#This Row],[Inventory Turnover Rate]],0)</f>
        <v>49.933333333333344</v>
      </c>
      <c r="AF282" s="15">
        <f>Table50[[#This Row],[ClosingQty]]/Table50[[#This Row],[USAGE / DAY]]</f>
        <v>23</v>
      </c>
      <c r="AG282" s="15">
        <f>Table50[[#This Row],[USAGE / DAY]]*7</f>
        <v>0.14000000000000001</v>
      </c>
      <c r="AH282" s="15">
        <f>Table50[[#This Row],[USAGE / DAY]]*3</f>
        <v>0.06</v>
      </c>
      <c r="AI28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82" s="15">
        <f>IFERROR(Table50[[#This Row],[ORDER QTY2]]*Table50[[#This Row],[COST PRICE]],0)</f>
        <v>0</v>
      </c>
      <c r="AK282" s="15">
        <f>(Table50[[#This Row],[REORDER POINT]]*Table50[[#This Row],[COST PRICE]])+Table50[[#This Row],[ORDER COST]]</f>
        <v>68.399999999999991</v>
      </c>
      <c r="AL282" s="15">
        <f t="shared" si="14"/>
        <v>100</v>
      </c>
      <c r="AM282" s="15">
        <f>IFERROR((Table50[[#This Row],[REORDER POINT]]+Table50[[#This Row],[ORDER QTY]])/(Table50[[#This Row],[USAGE / DAY]]*Table50[[#This Row],[DEMAND %]]),Table50[[#This Row],[REORDER POINT]]/Table50[[#This Row],[USAGE / DAY]])</f>
        <v>18</v>
      </c>
    </row>
    <row r="283" spans="1:39" x14ac:dyDescent="0.25">
      <c r="A283" t="s">
        <v>324</v>
      </c>
      <c r="B283" t="s">
        <v>375</v>
      </c>
      <c r="C283" t="s">
        <v>382</v>
      </c>
      <c r="D283" t="s">
        <v>53</v>
      </c>
      <c r="E283">
        <v>58</v>
      </c>
      <c r="F283">
        <v>380.48</v>
      </c>
      <c r="G283">
        <v>0</v>
      </c>
      <c r="H283">
        <v>315</v>
      </c>
      <c r="I283">
        <v>64</v>
      </c>
      <c r="J283">
        <v>419.84</v>
      </c>
      <c r="K283">
        <f>Table50[[#This Row],[OpeningQty]]+Table50[[#This Row],[PurchasesQty]]-Table50[[#This Row],[ClosingQty]]</f>
        <v>-6</v>
      </c>
      <c r="L283">
        <v>275.64</v>
      </c>
      <c r="M283" s="14">
        <f>Table50[[#This Row],[Usage]]/$L$1</f>
        <v>4.1864186528006351E-4</v>
      </c>
      <c r="N283" s="15">
        <f>IFERROR(Table50[[#This Row],[Opening]]/Table50[[#This Row],[OpeningQty]],0)</f>
        <v>6.5600000000000005</v>
      </c>
      <c r="O283" s="15">
        <f>IFERROR(Table50[[#This Row],[Purchases]]/Table50[[#This Row],[PurchasesQty]],0)</f>
        <v>0</v>
      </c>
      <c r="P283" s="15">
        <f>IFERROR(Table50[[#This Row],[Closing]]/Table50[[#This Row],[ClosingQty]],0)</f>
        <v>6.56</v>
      </c>
      <c r="Q283" s="15">
        <f>IFERROR(AVERAGEIF(Table50[[#This Row],[OPENING COST PRICE]:[CLOSING COST PRICE]],"&gt;0"),0)</f>
        <v>6.5600000000000005</v>
      </c>
      <c r="R283" s="15">
        <f>IFERROR(Table50[[#This Row],[COST PRICE]]-IFERROR(Table50[[#This Row],[Usage]]/Table50[[#This Row],[UsageQty]],Table50[[#This Row],[COST PRICE]]),0)</f>
        <v>52.5</v>
      </c>
      <c r="S283" s="16">
        <f>IFERROR(Table50[[#This Row],[COST PRICE CHANGE]]/Table50[[#This Row],[OPENING COST PRICE]],0)</f>
        <v>8.0030487804878039</v>
      </c>
      <c r="T283" s="15">
        <f>Table50[[#This Row],[ClosingQty]]-(Table50[[#This Row],[USAGE / DAY]]*(IF(Table50[[#This Row],[ccnt]]="BEV",Table50[[#This Row],[DELIVERY DAY]],Table50[[#This Row],[DELIVERY DAY]])))</f>
        <v>66.150000000000006</v>
      </c>
      <c r="U283" s="15">
        <f>ROUNDUP(Table50[[#This Row],[UsageQty]]/Table50[[#This Row],[DATA POINT]],2)</f>
        <v>-0.43</v>
      </c>
      <c r="V28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83" s="15">
        <f>IFERROR(Table50[[#This Row],[ORDER QTY]]*Table50[[#This Row],[COST PRICE]],0)</f>
        <v>0</v>
      </c>
      <c r="X283" s="15">
        <f>IFERROR(VLOOKUP(C283,[1]!Table49[[#All],[name]:[USAGE / DAY]],19,FALSE),1)</f>
        <v>0.54</v>
      </c>
      <c r="Y283" s="4">
        <f>IFERROR((Table50[[#This Row],[USAGE / DAY]]-Table50[[#This Row],[USAGE / DAY 2]])/Table50[[#This Row],[USAGE / DAY 2]],0)</f>
        <v>-1.7962962962962961</v>
      </c>
      <c r="Z283" s="15">
        <f t="shared" si="12"/>
        <v>14</v>
      </c>
      <c r="AA283" s="15">
        <f t="shared" si="13"/>
        <v>9.311854181734148</v>
      </c>
      <c r="AB283" s="15">
        <f>IFERROR(IF(Table50[[#This Row],[ccnt]]="BEV",$AB$2,IF(Table50[[#This Row],[ccnt]]="FOOD",$AC$2,"ENTER # FROM LAST COUNT")),"ENTER # FROM LAST COUNT")</f>
        <v>5</v>
      </c>
      <c r="AC283" s="15">
        <f>(Table50[[#This Row],[OpeningQty]]+Table50[[#This Row],[ClosingQty]])/2</f>
        <v>61</v>
      </c>
      <c r="AD283" s="15">
        <f>IFERROR(Table50[[#This Row],[UsageQty]]/Table50[[#This Row],[AVE INVENTORY]],0)</f>
        <v>-9.8360655737704916E-2</v>
      </c>
      <c r="AE283" s="15">
        <f>IFERROR(Table50[[#This Row],[DATA POINT]]/Table50[[#This Row],[Inventory Turnover Rate]],0)</f>
        <v>-142.33333333333334</v>
      </c>
      <c r="AF283" s="15">
        <f>Table50[[#This Row],[ClosingQty]]/Table50[[#This Row],[USAGE / DAY]]</f>
        <v>-148.83720930232559</v>
      </c>
      <c r="AG283" s="15">
        <f>Table50[[#This Row],[USAGE / DAY]]*7</f>
        <v>-3.01</v>
      </c>
      <c r="AH283" s="15">
        <f>Table50[[#This Row],[USAGE / DAY]]*3</f>
        <v>-1.29</v>
      </c>
      <c r="AI28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83" s="15">
        <f>IFERROR(Table50[[#This Row],[ORDER QTY2]]*Table50[[#This Row],[COST PRICE]],0)</f>
        <v>0</v>
      </c>
      <c r="AK283" s="15">
        <f>(Table50[[#This Row],[REORDER POINT]]*Table50[[#This Row],[COST PRICE]])+Table50[[#This Row],[ORDER COST]]</f>
        <v>433.94400000000007</v>
      </c>
      <c r="AL283" s="15">
        <f t="shared" si="14"/>
        <v>100</v>
      </c>
      <c r="AM283" s="15">
        <f>IFERROR((Table50[[#This Row],[REORDER POINT]]+Table50[[#This Row],[ORDER QTY]])/(Table50[[#This Row],[USAGE / DAY]]*Table50[[#This Row],[DEMAND %]]),Table50[[#This Row],[REORDER POINT]]/Table50[[#This Row],[USAGE / DAY]])</f>
        <v>-153.83720930232559</v>
      </c>
    </row>
    <row r="284" spans="1:39" x14ac:dyDescent="0.25">
      <c r="A284" t="s">
        <v>324</v>
      </c>
      <c r="B284" t="s">
        <v>375</v>
      </c>
      <c r="C284" t="s">
        <v>383</v>
      </c>
      <c r="D284" t="s">
        <v>76</v>
      </c>
      <c r="E284">
        <v>143</v>
      </c>
      <c r="F284">
        <v>2036.32</v>
      </c>
      <c r="G284">
        <v>100</v>
      </c>
      <c r="H284">
        <v>1424.35</v>
      </c>
      <c r="I284">
        <v>119</v>
      </c>
      <c r="J284">
        <v>1694.56</v>
      </c>
      <c r="K284">
        <f>Table50[[#This Row],[OpeningQty]]+Table50[[#This Row],[PurchasesQty]]-Table50[[#This Row],[ClosingQty]]</f>
        <v>124</v>
      </c>
      <c r="L284">
        <v>1766.11</v>
      </c>
      <c r="M284" s="14">
        <f>Table50[[#This Row],[Usage]]/$L$1</f>
        <v>2.6823667997742454E-3</v>
      </c>
      <c r="N284" s="15">
        <f>IFERROR(Table50[[#This Row],[Opening]]/Table50[[#This Row],[OpeningQty]],0)</f>
        <v>14.24</v>
      </c>
      <c r="O284" s="15">
        <f>IFERROR(Table50[[#This Row],[Purchases]]/Table50[[#This Row],[PurchasesQty]],0)</f>
        <v>14.243499999999999</v>
      </c>
      <c r="P284" s="15">
        <f>IFERROR(Table50[[#This Row],[Closing]]/Table50[[#This Row],[ClosingQty]],0)</f>
        <v>14.24</v>
      </c>
      <c r="Q284" s="15">
        <f>IFERROR(AVERAGEIF(Table50[[#This Row],[OPENING COST PRICE]:[CLOSING COST PRICE]],"&gt;0"),0)</f>
        <v>14.241166666666667</v>
      </c>
      <c r="R284" s="15">
        <f>IFERROR(Table50[[#This Row],[COST PRICE]]-IFERROR(Table50[[#This Row],[Usage]]/Table50[[#This Row],[UsageQty]],Table50[[#This Row],[COST PRICE]]),0)</f>
        <v>-1.6559139784941834E-3</v>
      </c>
      <c r="S284" s="16">
        <f>IFERROR(Table50[[#This Row],[COST PRICE CHANGE]]/Table50[[#This Row],[OPENING COST PRICE]],0)</f>
        <v>-1.1628609399537805E-4</v>
      </c>
      <c r="T284" s="15">
        <f>Table50[[#This Row],[ClosingQty]]-(Table50[[#This Row],[USAGE / DAY]]*(IF(Table50[[#This Row],[ccnt]]="BEV",Table50[[#This Row],[DELIVERY DAY]],Table50[[#This Row],[DELIVERY DAY]])))</f>
        <v>74.7</v>
      </c>
      <c r="U284" s="15">
        <f>ROUNDUP(Table50[[#This Row],[UsageQty]]/Table50[[#This Row],[DATA POINT]],2)</f>
        <v>8.86</v>
      </c>
      <c r="V28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8</v>
      </c>
      <c r="W284" s="15">
        <f>IFERROR(Table50[[#This Row],[ORDER QTY]]*Table50[[#This Row],[COST PRICE]],0)</f>
        <v>113.92933333333333</v>
      </c>
      <c r="X284" s="15">
        <f>IFERROR(VLOOKUP(C284,[1]!Table49[[#All],[name]:[USAGE / DAY]],19,FALSE),1)</f>
        <v>8.67</v>
      </c>
      <c r="Y284" s="4">
        <f>IFERROR((Table50[[#This Row],[USAGE / DAY]]-Table50[[#This Row],[USAGE / DAY 2]])/Table50[[#This Row],[USAGE / DAY 2]],0)</f>
        <v>2.1914648212226009E-2</v>
      </c>
      <c r="Z284" s="15">
        <f t="shared" si="12"/>
        <v>14</v>
      </c>
      <c r="AA284" s="15">
        <f t="shared" si="13"/>
        <v>9.311854181734148</v>
      </c>
      <c r="AB284" s="15">
        <f>IFERROR(IF(Table50[[#This Row],[ccnt]]="BEV",$AB$2,IF(Table50[[#This Row],[ccnt]]="FOOD",$AC$2,"ENTER # FROM LAST COUNT")),"ENTER # FROM LAST COUNT")</f>
        <v>5</v>
      </c>
      <c r="AC284" s="15">
        <f>(Table50[[#This Row],[OpeningQty]]+Table50[[#This Row],[ClosingQty]])/2</f>
        <v>131</v>
      </c>
      <c r="AD284" s="15">
        <f>IFERROR(Table50[[#This Row],[UsageQty]]/Table50[[#This Row],[AVE INVENTORY]],0)</f>
        <v>0.94656488549618323</v>
      </c>
      <c r="AE284" s="15">
        <f>IFERROR(Table50[[#This Row],[DATA POINT]]/Table50[[#This Row],[Inventory Turnover Rate]],0)</f>
        <v>14.79032258064516</v>
      </c>
      <c r="AF284" s="15">
        <f>Table50[[#This Row],[ClosingQty]]/Table50[[#This Row],[USAGE / DAY]]</f>
        <v>13.431151241534989</v>
      </c>
      <c r="AG284" s="15">
        <f>Table50[[#This Row],[USAGE / DAY]]*7</f>
        <v>62.019999999999996</v>
      </c>
      <c r="AH284" s="15">
        <f>Table50[[#This Row],[USAGE / DAY]]*3</f>
        <v>26.58</v>
      </c>
      <c r="AI28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84" s="15">
        <f>IFERROR(Table50[[#This Row],[ORDER QTY2]]*Table50[[#This Row],[COST PRICE]],0)</f>
        <v>0</v>
      </c>
      <c r="AK284" s="15">
        <f>(Table50[[#This Row],[REORDER POINT]]*Table50[[#This Row],[COST PRICE]])+Table50[[#This Row],[ORDER COST]]</f>
        <v>1177.7444833333334</v>
      </c>
      <c r="AL284" s="15">
        <f t="shared" si="14"/>
        <v>100</v>
      </c>
      <c r="AM284" s="15">
        <f>IFERROR((Table50[[#This Row],[REORDER POINT]]+Table50[[#This Row],[ORDER QTY]])/(Table50[[#This Row],[USAGE / DAY]]*Table50[[#This Row],[DEMAND %]]),Table50[[#This Row],[REORDER POINT]]/Table50[[#This Row],[USAGE / DAY]])</f>
        <v>9.3340857787810386E-2</v>
      </c>
    </row>
    <row r="285" spans="1:39" x14ac:dyDescent="0.25">
      <c r="A285" t="s">
        <v>324</v>
      </c>
      <c r="B285" t="s">
        <v>375</v>
      </c>
      <c r="C285" t="s">
        <v>384</v>
      </c>
      <c r="D285" t="s">
        <v>95</v>
      </c>
      <c r="E285">
        <v>0.45</v>
      </c>
      <c r="F285">
        <v>400.5</v>
      </c>
      <c r="G285">
        <v>0</v>
      </c>
      <c r="H285">
        <v>0</v>
      </c>
      <c r="I285">
        <v>0.37</v>
      </c>
      <c r="J285">
        <v>329.3</v>
      </c>
      <c r="K285">
        <f>Table50[[#This Row],[OpeningQty]]+Table50[[#This Row],[PurchasesQty]]-Table50[[#This Row],[ClosingQty]]</f>
        <v>8.0000000000000016E-2</v>
      </c>
      <c r="L285">
        <v>71.2</v>
      </c>
      <c r="M285" s="14">
        <f>Table50[[#This Row],[Usage]]/$L$1</f>
        <v>1.0813851693491702E-4</v>
      </c>
      <c r="N285" s="15">
        <f>IFERROR(Table50[[#This Row],[Opening]]/Table50[[#This Row],[OpeningQty]],0)</f>
        <v>890</v>
      </c>
      <c r="O285" s="15">
        <f>IFERROR(Table50[[#This Row],[Purchases]]/Table50[[#This Row],[PurchasesQty]],0)</f>
        <v>0</v>
      </c>
      <c r="P285" s="15">
        <f>IFERROR(Table50[[#This Row],[Closing]]/Table50[[#This Row],[ClosingQty]],0)</f>
        <v>890</v>
      </c>
      <c r="Q285" s="15">
        <f>IFERROR(AVERAGEIF(Table50[[#This Row],[OPENING COST PRICE]:[CLOSING COST PRICE]],"&gt;0"),0)</f>
        <v>890</v>
      </c>
      <c r="R285" s="15">
        <f>IFERROR(Table50[[#This Row],[COST PRICE]]-IFERROR(Table50[[#This Row],[Usage]]/Table50[[#This Row],[UsageQty]],Table50[[#This Row],[COST PRICE]]),0)</f>
        <v>1.1368683772161603E-13</v>
      </c>
      <c r="S285" s="16">
        <f>IFERROR(Table50[[#This Row],[COST PRICE CHANGE]]/Table50[[#This Row],[OPENING COST PRICE]],0)</f>
        <v>1.2773801991192813E-16</v>
      </c>
      <c r="T285" s="15">
        <f>Table50[[#This Row],[ClosingQty]]-(Table50[[#This Row],[USAGE / DAY]]*(IF(Table50[[#This Row],[ccnt]]="BEV",Table50[[#This Row],[DELIVERY DAY]],Table50[[#This Row],[DELIVERY DAY]])))</f>
        <v>0.32</v>
      </c>
      <c r="U285" s="15">
        <f>ROUNDUP(Table50[[#This Row],[UsageQty]]/Table50[[#This Row],[DATA POINT]],2)</f>
        <v>0.01</v>
      </c>
      <c r="V28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85" s="15">
        <f>IFERROR(Table50[[#This Row],[ORDER QTY]]*Table50[[#This Row],[COST PRICE]],0)</f>
        <v>0</v>
      </c>
      <c r="X285" s="15">
        <f>IFERROR(VLOOKUP(C285,[1]!Table49[[#All],[name]:[USAGE / DAY]],19,FALSE),1)</f>
        <v>0</v>
      </c>
      <c r="Y285" s="4">
        <f>IFERROR((Table50[[#This Row],[USAGE / DAY]]-Table50[[#This Row],[USAGE / DAY 2]])/Table50[[#This Row],[USAGE / DAY 2]],0)</f>
        <v>0</v>
      </c>
      <c r="Z285" s="15">
        <f t="shared" si="12"/>
        <v>14</v>
      </c>
      <c r="AA285" s="15">
        <f t="shared" si="13"/>
        <v>9.311854181734148</v>
      </c>
      <c r="AB285" s="15">
        <f>IFERROR(IF(Table50[[#This Row],[ccnt]]="BEV",$AB$2,IF(Table50[[#This Row],[ccnt]]="FOOD",$AC$2,"ENTER # FROM LAST COUNT")),"ENTER # FROM LAST COUNT")</f>
        <v>5</v>
      </c>
      <c r="AC285" s="15">
        <f>(Table50[[#This Row],[OpeningQty]]+Table50[[#This Row],[ClosingQty]])/2</f>
        <v>0.41000000000000003</v>
      </c>
      <c r="AD285" s="15">
        <f>IFERROR(Table50[[#This Row],[UsageQty]]/Table50[[#This Row],[AVE INVENTORY]],0)</f>
        <v>0.19512195121951223</v>
      </c>
      <c r="AE285" s="15">
        <f>IFERROR(Table50[[#This Row],[DATA POINT]]/Table50[[#This Row],[Inventory Turnover Rate]],0)</f>
        <v>71.749999999999986</v>
      </c>
      <c r="AF285" s="15">
        <f>Table50[[#This Row],[ClosingQty]]/Table50[[#This Row],[USAGE / DAY]]</f>
        <v>37</v>
      </c>
      <c r="AG285" s="15">
        <f>Table50[[#This Row],[USAGE / DAY]]*7</f>
        <v>7.0000000000000007E-2</v>
      </c>
      <c r="AH285" s="15">
        <f>Table50[[#This Row],[USAGE / DAY]]*3</f>
        <v>0.03</v>
      </c>
      <c r="AI28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85" s="15">
        <f>IFERROR(Table50[[#This Row],[ORDER QTY2]]*Table50[[#This Row],[COST PRICE]],0)</f>
        <v>0</v>
      </c>
      <c r="AK285" s="15">
        <f>(Table50[[#This Row],[REORDER POINT]]*Table50[[#This Row],[COST PRICE]])+Table50[[#This Row],[ORDER COST]]</f>
        <v>284.8</v>
      </c>
      <c r="AL285" s="15">
        <f t="shared" si="14"/>
        <v>100</v>
      </c>
      <c r="AM285" s="15">
        <f>IFERROR((Table50[[#This Row],[REORDER POINT]]+Table50[[#This Row],[ORDER QTY]])/(Table50[[#This Row],[USAGE / DAY]]*Table50[[#This Row],[DEMAND %]]),Table50[[#This Row],[REORDER POINT]]/Table50[[#This Row],[USAGE / DAY]])</f>
        <v>32</v>
      </c>
    </row>
    <row r="286" spans="1:39" x14ac:dyDescent="0.25">
      <c r="A286" t="s">
        <v>324</v>
      </c>
      <c r="B286" t="s">
        <v>375</v>
      </c>
      <c r="C286" t="s">
        <v>385</v>
      </c>
      <c r="D286" t="s">
        <v>95</v>
      </c>
      <c r="E286">
        <v>3</v>
      </c>
      <c r="F286">
        <v>129</v>
      </c>
      <c r="G286">
        <v>0</v>
      </c>
      <c r="H286">
        <v>0</v>
      </c>
      <c r="I286">
        <v>1.2</v>
      </c>
      <c r="J286">
        <v>51.6</v>
      </c>
      <c r="K286">
        <f>Table50[[#This Row],[OpeningQty]]+Table50[[#This Row],[PurchasesQty]]-Table50[[#This Row],[ClosingQty]]</f>
        <v>1.8</v>
      </c>
      <c r="L286">
        <v>77.400000000000006</v>
      </c>
      <c r="M286" s="14">
        <f>Table50[[#This Row],[Usage]]/$L$1</f>
        <v>1.1755507318486765E-4</v>
      </c>
      <c r="N286" s="15">
        <f>IFERROR(Table50[[#This Row],[Opening]]/Table50[[#This Row],[OpeningQty]],0)</f>
        <v>43</v>
      </c>
      <c r="O286" s="15">
        <f>IFERROR(Table50[[#This Row],[Purchases]]/Table50[[#This Row],[PurchasesQty]],0)</f>
        <v>0</v>
      </c>
      <c r="P286" s="15">
        <f>IFERROR(Table50[[#This Row],[Closing]]/Table50[[#This Row],[ClosingQty]],0)</f>
        <v>43</v>
      </c>
      <c r="Q286" s="15">
        <f>IFERROR(AVERAGEIF(Table50[[#This Row],[OPENING COST PRICE]:[CLOSING COST PRICE]],"&gt;0"),0)</f>
        <v>43</v>
      </c>
      <c r="R286" s="15">
        <f>IFERROR(Table50[[#This Row],[COST PRICE]]-IFERROR(Table50[[#This Row],[Usage]]/Table50[[#This Row],[UsageQty]],Table50[[#This Row],[COST PRICE]]),0)</f>
        <v>0</v>
      </c>
      <c r="S286" s="16">
        <f>IFERROR(Table50[[#This Row],[COST PRICE CHANGE]]/Table50[[#This Row],[OPENING COST PRICE]],0)</f>
        <v>0</v>
      </c>
      <c r="T286" s="15">
        <f>Table50[[#This Row],[ClosingQty]]-(Table50[[#This Row],[USAGE / DAY]]*(IF(Table50[[#This Row],[ccnt]]="BEV",Table50[[#This Row],[DELIVERY DAY]],Table50[[#This Row],[DELIVERY DAY]])))</f>
        <v>0.54999999999999993</v>
      </c>
      <c r="U286" s="15">
        <f>ROUNDUP(Table50[[#This Row],[UsageQty]]/Table50[[#This Row],[DATA POINT]],2)</f>
        <v>0.13</v>
      </c>
      <c r="V28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286" s="15">
        <f>IFERROR(Table50[[#This Row],[ORDER QTY]]*Table50[[#This Row],[COST PRICE]],0)</f>
        <v>43</v>
      </c>
      <c r="X286" s="15">
        <f>IFERROR(VLOOKUP(C286,[1]!Table49[[#All],[name]:[USAGE / DAY]],19,FALSE),1)</f>
        <v>7.0000000000000007E-2</v>
      </c>
      <c r="Y286" s="4">
        <f>IFERROR((Table50[[#This Row],[USAGE / DAY]]-Table50[[#This Row],[USAGE / DAY 2]])/Table50[[#This Row],[USAGE / DAY 2]],0)</f>
        <v>0.85714285714285698</v>
      </c>
      <c r="Z286" s="15">
        <f t="shared" si="12"/>
        <v>14</v>
      </c>
      <c r="AA286" s="15">
        <f t="shared" si="13"/>
        <v>9.311854181734148</v>
      </c>
      <c r="AB286" s="15">
        <f>IFERROR(IF(Table50[[#This Row],[ccnt]]="BEV",$AB$2,IF(Table50[[#This Row],[ccnt]]="FOOD",$AC$2,"ENTER # FROM LAST COUNT")),"ENTER # FROM LAST COUNT")</f>
        <v>5</v>
      </c>
      <c r="AC286" s="15">
        <f>(Table50[[#This Row],[OpeningQty]]+Table50[[#This Row],[ClosingQty]])/2</f>
        <v>2.1</v>
      </c>
      <c r="AD286" s="15">
        <f>IFERROR(Table50[[#This Row],[UsageQty]]/Table50[[#This Row],[AVE INVENTORY]],0)</f>
        <v>0.8571428571428571</v>
      </c>
      <c r="AE286" s="15">
        <f>IFERROR(Table50[[#This Row],[DATA POINT]]/Table50[[#This Row],[Inventory Turnover Rate]],0)</f>
        <v>16.333333333333336</v>
      </c>
      <c r="AF286" s="15">
        <f>Table50[[#This Row],[ClosingQty]]/Table50[[#This Row],[USAGE / DAY]]</f>
        <v>9.2307692307692299</v>
      </c>
      <c r="AG286" s="15">
        <f>Table50[[#This Row],[USAGE / DAY]]*7</f>
        <v>0.91</v>
      </c>
      <c r="AH286" s="15">
        <f>Table50[[#This Row],[USAGE / DAY]]*3</f>
        <v>0.39</v>
      </c>
      <c r="AI286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0.10000000000000009</v>
      </c>
      <c r="AJ286" s="15">
        <f>IFERROR(Table50[[#This Row],[ORDER QTY2]]*Table50[[#This Row],[COST PRICE]],0)</f>
        <v>4.3000000000000043</v>
      </c>
      <c r="AK286" s="15">
        <f>(Table50[[#This Row],[REORDER POINT]]*Table50[[#This Row],[COST PRICE]])+Table50[[#This Row],[ORDER COST]]</f>
        <v>66.650000000000006</v>
      </c>
      <c r="AL286" s="15">
        <f t="shared" si="14"/>
        <v>100</v>
      </c>
      <c r="AM286" s="15">
        <f>IFERROR((Table50[[#This Row],[REORDER POINT]]+Table50[[#This Row],[ORDER QTY]])/(Table50[[#This Row],[USAGE / DAY]]*Table50[[#This Row],[DEMAND %]]),Table50[[#This Row],[REORDER POINT]]/Table50[[#This Row],[USAGE / DAY]])</f>
        <v>0.11923076923076922</v>
      </c>
    </row>
    <row r="287" spans="1:39" x14ac:dyDescent="0.25">
      <c r="A287" t="s">
        <v>324</v>
      </c>
      <c r="B287" t="s">
        <v>375</v>
      </c>
      <c r="C287" t="s">
        <v>386</v>
      </c>
      <c r="D287" t="s">
        <v>387</v>
      </c>
      <c r="E287">
        <v>1.62</v>
      </c>
      <c r="F287">
        <v>226.8</v>
      </c>
      <c r="G287">
        <v>0</v>
      </c>
      <c r="H287">
        <v>0</v>
      </c>
      <c r="I287">
        <v>0</v>
      </c>
      <c r="J287">
        <v>0</v>
      </c>
      <c r="K287">
        <f>Table50[[#This Row],[OpeningQty]]+Table50[[#This Row],[PurchasesQty]]-Table50[[#This Row],[ClosingQty]]</f>
        <v>1.62</v>
      </c>
      <c r="L287">
        <v>226.8</v>
      </c>
      <c r="M287" s="14">
        <f>Table50[[#This Row],[Usage]]/$L$1</f>
        <v>3.4446370282077498E-4</v>
      </c>
      <c r="N287" s="15">
        <f>IFERROR(Table50[[#This Row],[Opening]]/Table50[[#This Row],[OpeningQty]],0)</f>
        <v>140</v>
      </c>
      <c r="O287" s="15">
        <f>IFERROR(Table50[[#This Row],[Purchases]]/Table50[[#This Row],[PurchasesQty]],0)</f>
        <v>0</v>
      </c>
      <c r="P287" s="15">
        <f>IFERROR(Table50[[#This Row],[Closing]]/Table50[[#This Row],[ClosingQty]],0)</f>
        <v>0</v>
      </c>
      <c r="Q287" s="15">
        <f>IFERROR(AVERAGEIF(Table50[[#This Row],[OPENING COST PRICE]:[CLOSING COST PRICE]],"&gt;0"),0)</f>
        <v>140</v>
      </c>
      <c r="R287" s="15">
        <f>IFERROR(Table50[[#This Row],[COST PRICE]]-IFERROR(Table50[[#This Row],[Usage]]/Table50[[#This Row],[UsageQty]],Table50[[#This Row],[COST PRICE]]),0)</f>
        <v>0</v>
      </c>
      <c r="S287" s="16">
        <f>IFERROR(Table50[[#This Row],[COST PRICE CHANGE]]/Table50[[#This Row],[OPENING COST PRICE]],0)</f>
        <v>0</v>
      </c>
      <c r="T287" s="15">
        <f>Table50[[#This Row],[ClosingQty]]-(Table50[[#This Row],[USAGE / DAY]]*(IF(Table50[[#This Row],[ccnt]]="BEV",Table50[[#This Row],[DELIVERY DAY]],Table50[[#This Row],[DELIVERY DAY]])))</f>
        <v>-0.6</v>
      </c>
      <c r="U287" s="15">
        <f>ROUNDUP(Table50[[#This Row],[UsageQty]]/Table50[[#This Row],[DATA POINT]],2)</f>
        <v>0.12</v>
      </c>
      <c r="V28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287" s="15">
        <f>IFERROR(Table50[[#This Row],[ORDER QTY]]*Table50[[#This Row],[COST PRICE]],0)</f>
        <v>280</v>
      </c>
      <c r="X287" s="15">
        <f>IFERROR(VLOOKUP(C287,[1]!Table49[[#All],[name]:[USAGE / DAY]],19,FALSE),1)</f>
        <v>-0.09</v>
      </c>
      <c r="Y287" s="4">
        <f>IFERROR((Table50[[#This Row],[USAGE / DAY]]-Table50[[#This Row],[USAGE / DAY 2]])/Table50[[#This Row],[USAGE / DAY 2]],0)</f>
        <v>-2.3333333333333335</v>
      </c>
      <c r="Z287" s="15">
        <f t="shared" si="12"/>
        <v>14</v>
      </c>
      <c r="AA287" s="15">
        <f t="shared" si="13"/>
        <v>9.311854181734148</v>
      </c>
      <c r="AB287" s="15">
        <f>IFERROR(IF(Table50[[#This Row],[ccnt]]="BEV",$AB$2,IF(Table50[[#This Row],[ccnt]]="FOOD",$AC$2,"ENTER # FROM LAST COUNT")),"ENTER # FROM LAST COUNT")</f>
        <v>5</v>
      </c>
      <c r="AC287" s="15">
        <f>(Table50[[#This Row],[OpeningQty]]+Table50[[#This Row],[ClosingQty]])/2</f>
        <v>0.81</v>
      </c>
      <c r="AD287" s="15">
        <f>IFERROR(Table50[[#This Row],[UsageQty]]/Table50[[#This Row],[AVE INVENTORY]],0)</f>
        <v>2</v>
      </c>
      <c r="AE287" s="15">
        <f>IFERROR(Table50[[#This Row],[DATA POINT]]/Table50[[#This Row],[Inventory Turnover Rate]],0)</f>
        <v>7</v>
      </c>
      <c r="AF287" s="15">
        <f>Table50[[#This Row],[ClosingQty]]/Table50[[#This Row],[USAGE / DAY]]</f>
        <v>0</v>
      </c>
      <c r="AG287" s="15">
        <f>Table50[[#This Row],[USAGE / DAY]]*7</f>
        <v>0.84</v>
      </c>
      <c r="AH287" s="15">
        <f>Table50[[#This Row],[USAGE / DAY]]*3</f>
        <v>0.36</v>
      </c>
      <c r="AI287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1.2</v>
      </c>
      <c r="AJ287" s="15">
        <f>IFERROR(Table50[[#This Row],[ORDER QTY2]]*Table50[[#This Row],[COST PRICE]],0)</f>
        <v>168</v>
      </c>
      <c r="AK287" s="15">
        <f>(Table50[[#This Row],[REORDER POINT]]*Table50[[#This Row],[COST PRICE]])+Table50[[#This Row],[ORDER COST]]</f>
        <v>196</v>
      </c>
      <c r="AL287" s="15">
        <f t="shared" si="14"/>
        <v>100</v>
      </c>
      <c r="AM287" s="15">
        <f>IFERROR((Table50[[#This Row],[REORDER POINT]]+Table50[[#This Row],[ORDER QTY]])/(Table50[[#This Row],[USAGE / DAY]]*Table50[[#This Row],[DEMAND %]]),Table50[[#This Row],[REORDER POINT]]/Table50[[#This Row],[USAGE / DAY]])</f>
        <v>0.11666666666666665</v>
      </c>
    </row>
    <row r="288" spans="1:39" x14ac:dyDescent="0.25">
      <c r="A288" t="s">
        <v>324</v>
      </c>
      <c r="B288" t="s">
        <v>375</v>
      </c>
      <c r="C288" t="s">
        <v>388</v>
      </c>
      <c r="D288" t="s">
        <v>387</v>
      </c>
      <c r="E288">
        <v>1.08</v>
      </c>
      <c r="F288">
        <v>216</v>
      </c>
      <c r="G288">
        <v>0</v>
      </c>
      <c r="H288">
        <v>0</v>
      </c>
      <c r="I288">
        <v>0.72</v>
      </c>
      <c r="J288">
        <v>144</v>
      </c>
      <c r="K288">
        <f>Table50[[#This Row],[OpeningQty]]+Table50[[#This Row],[PurchasesQty]]-Table50[[#This Row],[ClosingQty]]</f>
        <v>0.3600000000000001</v>
      </c>
      <c r="L288">
        <v>72</v>
      </c>
      <c r="M288" s="14">
        <f>Table50[[#This Row],[Usage]]/$L$1</f>
        <v>1.0935355645103967E-4</v>
      </c>
      <c r="N288" s="15">
        <f>IFERROR(Table50[[#This Row],[Opening]]/Table50[[#This Row],[OpeningQty]],0)</f>
        <v>200</v>
      </c>
      <c r="O288" s="15">
        <f>IFERROR(Table50[[#This Row],[Purchases]]/Table50[[#This Row],[PurchasesQty]],0)</f>
        <v>0</v>
      </c>
      <c r="P288" s="15">
        <f>IFERROR(Table50[[#This Row],[Closing]]/Table50[[#This Row],[ClosingQty]],0)</f>
        <v>200</v>
      </c>
      <c r="Q288" s="15">
        <f>IFERROR(AVERAGEIF(Table50[[#This Row],[OPENING COST PRICE]:[CLOSING COST PRICE]],"&gt;0"),0)</f>
        <v>200</v>
      </c>
      <c r="R288" s="15">
        <f>IFERROR(Table50[[#This Row],[COST PRICE]]-IFERROR(Table50[[#This Row],[Usage]]/Table50[[#This Row],[UsageQty]],Table50[[#This Row],[COST PRICE]]),0)</f>
        <v>5.6843418860808015E-14</v>
      </c>
      <c r="S288" s="16">
        <f>IFERROR(Table50[[#This Row],[COST PRICE CHANGE]]/Table50[[#This Row],[OPENING COST PRICE]],0)</f>
        <v>2.8421709430404008E-16</v>
      </c>
      <c r="T288" s="15">
        <f>Table50[[#This Row],[ClosingQty]]-(Table50[[#This Row],[USAGE / DAY]]*(IF(Table50[[#This Row],[ccnt]]="BEV",Table50[[#This Row],[DELIVERY DAY]],Table50[[#This Row],[DELIVERY DAY]])))</f>
        <v>0.56999999999999995</v>
      </c>
      <c r="U288" s="15">
        <f>ROUNDUP(Table50[[#This Row],[UsageQty]]/Table50[[#This Row],[DATA POINT]],2)</f>
        <v>0.03</v>
      </c>
      <c r="V28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88" s="15">
        <f>IFERROR(Table50[[#This Row],[ORDER QTY]]*Table50[[#This Row],[COST PRICE]],0)</f>
        <v>0</v>
      </c>
      <c r="X288" s="15">
        <f>IFERROR(VLOOKUP(C288,[1]!Table49[[#All],[name]:[USAGE / DAY]],19,FALSE),1)</f>
        <v>0.09</v>
      </c>
      <c r="Y288" s="4">
        <f>IFERROR((Table50[[#This Row],[USAGE / DAY]]-Table50[[#This Row],[USAGE / DAY 2]])/Table50[[#This Row],[USAGE / DAY 2]],0)</f>
        <v>-0.66666666666666663</v>
      </c>
      <c r="Z288" s="15">
        <f t="shared" si="12"/>
        <v>14</v>
      </c>
      <c r="AA288" s="15">
        <f t="shared" si="13"/>
        <v>9.311854181734148</v>
      </c>
      <c r="AB288" s="15">
        <f>IFERROR(IF(Table50[[#This Row],[ccnt]]="BEV",$AB$2,IF(Table50[[#This Row],[ccnt]]="FOOD",$AC$2,"ENTER # FROM LAST COUNT")),"ENTER # FROM LAST COUNT")</f>
        <v>5</v>
      </c>
      <c r="AC288" s="15">
        <f>(Table50[[#This Row],[OpeningQty]]+Table50[[#This Row],[ClosingQty]])/2</f>
        <v>0.9</v>
      </c>
      <c r="AD288" s="15">
        <f>IFERROR(Table50[[#This Row],[UsageQty]]/Table50[[#This Row],[AVE INVENTORY]],0)</f>
        <v>0.40000000000000008</v>
      </c>
      <c r="AE288" s="15">
        <f>IFERROR(Table50[[#This Row],[DATA POINT]]/Table50[[#This Row],[Inventory Turnover Rate]],0)</f>
        <v>34.999999999999993</v>
      </c>
      <c r="AF288" s="15">
        <f>Table50[[#This Row],[ClosingQty]]/Table50[[#This Row],[USAGE / DAY]]</f>
        <v>24</v>
      </c>
      <c r="AG288" s="15">
        <f>Table50[[#This Row],[USAGE / DAY]]*7</f>
        <v>0.21</v>
      </c>
      <c r="AH288" s="15">
        <f>Table50[[#This Row],[USAGE / DAY]]*3</f>
        <v>0.09</v>
      </c>
      <c r="AI28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88" s="15">
        <f>IFERROR(Table50[[#This Row],[ORDER QTY2]]*Table50[[#This Row],[COST PRICE]],0)</f>
        <v>0</v>
      </c>
      <c r="AK288" s="15">
        <f>(Table50[[#This Row],[REORDER POINT]]*Table50[[#This Row],[COST PRICE]])+Table50[[#This Row],[ORDER COST]]</f>
        <v>113.99999999999999</v>
      </c>
      <c r="AL288" s="15">
        <f t="shared" si="14"/>
        <v>100</v>
      </c>
      <c r="AM288" s="15">
        <f>IFERROR((Table50[[#This Row],[REORDER POINT]]+Table50[[#This Row],[ORDER QTY]])/(Table50[[#This Row],[USAGE / DAY]]*Table50[[#This Row],[DEMAND %]]),Table50[[#This Row],[REORDER POINT]]/Table50[[#This Row],[USAGE / DAY]])</f>
        <v>19</v>
      </c>
    </row>
    <row r="289" spans="1:39" x14ac:dyDescent="0.25">
      <c r="A289" t="s">
        <v>324</v>
      </c>
      <c r="B289" t="s">
        <v>375</v>
      </c>
      <c r="C289" t="s">
        <v>389</v>
      </c>
      <c r="D289" t="s">
        <v>76</v>
      </c>
      <c r="E289">
        <v>2.2000000000000002</v>
      </c>
      <c r="F289">
        <v>383.81</v>
      </c>
      <c r="G289">
        <v>0</v>
      </c>
      <c r="H289">
        <v>0</v>
      </c>
      <c r="I289">
        <v>1.7</v>
      </c>
      <c r="J289">
        <v>296.58</v>
      </c>
      <c r="K289">
        <f>Table50[[#This Row],[OpeningQty]]+Table50[[#This Row],[PurchasesQty]]-Table50[[#This Row],[ClosingQty]]</f>
        <v>0.50000000000000022</v>
      </c>
      <c r="L289">
        <v>87.23</v>
      </c>
      <c r="M289" s="14">
        <f>Table50[[#This Row],[Usage]]/$L$1</f>
        <v>1.3248487123922488E-4</v>
      </c>
      <c r="N289" s="15">
        <f>IFERROR(Table50[[#This Row],[Opening]]/Table50[[#This Row],[OpeningQty]],0)</f>
        <v>174.45909090909089</v>
      </c>
      <c r="O289" s="15">
        <f>IFERROR(Table50[[#This Row],[Purchases]]/Table50[[#This Row],[PurchasesQty]],0)</f>
        <v>0</v>
      </c>
      <c r="P289" s="15">
        <f>IFERROR(Table50[[#This Row],[Closing]]/Table50[[#This Row],[ClosingQty]],0)</f>
        <v>174.45882352941177</v>
      </c>
      <c r="Q289" s="15">
        <f>IFERROR(AVERAGEIF(Table50[[#This Row],[OPENING COST PRICE]:[CLOSING COST PRICE]],"&gt;0"),0)</f>
        <v>174.45895721925132</v>
      </c>
      <c r="R289" s="15">
        <f>IFERROR(Table50[[#This Row],[COST PRICE]]-IFERROR(Table50[[#This Row],[Usage]]/Table50[[#This Row],[UsageQty]],Table50[[#This Row],[COST PRICE]]),0)</f>
        <v>-1.0427807486053098E-3</v>
      </c>
      <c r="S289" s="16">
        <f>IFERROR(Table50[[#This Row],[COST PRICE CHANGE]]/Table50[[#This Row],[OPENING COST PRICE]],0)</f>
        <v>-5.9772221852783456E-6</v>
      </c>
      <c r="T289" s="15">
        <f>Table50[[#This Row],[ClosingQty]]-(Table50[[#This Row],[USAGE / DAY]]*(IF(Table50[[#This Row],[ccnt]]="BEV",Table50[[#This Row],[DELIVERY DAY]],Table50[[#This Row],[DELIVERY DAY]])))</f>
        <v>1.5</v>
      </c>
      <c r="U289" s="15">
        <f>ROUNDUP(Table50[[#This Row],[UsageQty]]/Table50[[#This Row],[DATA POINT]],2)</f>
        <v>0.04</v>
      </c>
      <c r="V28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89" s="15">
        <f>IFERROR(Table50[[#This Row],[ORDER QTY]]*Table50[[#This Row],[COST PRICE]],0)</f>
        <v>0</v>
      </c>
      <c r="X289" s="15">
        <f>IFERROR(VLOOKUP(C289,[1]!Table49[[#All],[name]:[USAGE / DAY]],19,FALSE),1)</f>
        <v>0.01</v>
      </c>
      <c r="Y289" s="4">
        <f>IFERROR((Table50[[#This Row],[USAGE / DAY]]-Table50[[#This Row],[USAGE / DAY 2]])/Table50[[#This Row],[USAGE / DAY 2]],0)</f>
        <v>3</v>
      </c>
      <c r="Z289" s="15">
        <f t="shared" si="12"/>
        <v>14</v>
      </c>
      <c r="AA289" s="15">
        <f t="shared" si="13"/>
        <v>9.311854181734148</v>
      </c>
      <c r="AB289" s="15">
        <f>IFERROR(IF(Table50[[#This Row],[ccnt]]="BEV",$AB$2,IF(Table50[[#This Row],[ccnt]]="FOOD",$AC$2,"ENTER # FROM LAST COUNT")),"ENTER # FROM LAST COUNT")</f>
        <v>5</v>
      </c>
      <c r="AC289" s="15">
        <f>(Table50[[#This Row],[OpeningQty]]+Table50[[#This Row],[ClosingQty]])/2</f>
        <v>1.9500000000000002</v>
      </c>
      <c r="AD289" s="15">
        <f>IFERROR(Table50[[#This Row],[UsageQty]]/Table50[[#This Row],[AVE INVENTORY]],0)</f>
        <v>0.2564102564102565</v>
      </c>
      <c r="AE289" s="15">
        <f>IFERROR(Table50[[#This Row],[DATA POINT]]/Table50[[#This Row],[Inventory Turnover Rate]],0)</f>
        <v>54.59999999999998</v>
      </c>
      <c r="AF289" s="15">
        <f>Table50[[#This Row],[ClosingQty]]/Table50[[#This Row],[USAGE / DAY]]</f>
        <v>42.5</v>
      </c>
      <c r="AG289" s="15">
        <f>Table50[[#This Row],[USAGE / DAY]]*7</f>
        <v>0.28000000000000003</v>
      </c>
      <c r="AH289" s="15">
        <f>Table50[[#This Row],[USAGE / DAY]]*3</f>
        <v>0.12</v>
      </c>
      <c r="AI28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89" s="15">
        <f>IFERROR(Table50[[#This Row],[ORDER QTY2]]*Table50[[#This Row],[COST PRICE]],0)</f>
        <v>0</v>
      </c>
      <c r="AK289" s="15">
        <f>(Table50[[#This Row],[REORDER POINT]]*Table50[[#This Row],[COST PRICE]])+Table50[[#This Row],[ORDER COST]]</f>
        <v>261.688435828877</v>
      </c>
      <c r="AL289" s="15">
        <f t="shared" si="14"/>
        <v>100</v>
      </c>
      <c r="AM289" s="15">
        <f>IFERROR((Table50[[#This Row],[REORDER POINT]]+Table50[[#This Row],[ORDER QTY]])/(Table50[[#This Row],[USAGE / DAY]]*Table50[[#This Row],[DEMAND %]]),Table50[[#This Row],[REORDER POINT]]/Table50[[#This Row],[USAGE / DAY]])</f>
        <v>37.5</v>
      </c>
    </row>
    <row r="290" spans="1:39" x14ac:dyDescent="0.25">
      <c r="A290" t="s">
        <v>324</v>
      </c>
      <c r="B290" t="s">
        <v>375</v>
      </c>
      <c r="C290" t="s">
        <v>390</v>
      </c>
      <c r="D290" t="s">
        <v>95</v>
      </c>
      <c r="E290">
        <v>1</v>
      </c>
      <c r="F290">
        <v>100</v>
      </c>
      <c r="G290">
        <v>0</v>
      </c>
      <c r="H290">
        <v>0</v>
      </c>
      <c r="I290">
        <v>0.95</v>
      </c>
      <c r="J290">
        <v>95</v>
      </c>
      <c r="K290">
        <f>Table50[[#This Row],[OpeningQty]]+Table50[[#This Row],[PurchasesQty]]-Table50[[#This Row],[ClosingQty]]</f>
        <v>5.0000000000000044E-2</v>
      </c>
      <c r="L290">
        <v>5</v>
      </c>
      <c r="M290" s="14">
        <f>Table50[[#This Row],[Usage]]/$L$1</f>
        <v>7.5939969757666438E-6</v>
      </c>
      <c r="N290" s="15">
        <f>IFERROR(Table50[[#This Row],[Opening]]/Table50[[#This Row],[OpeningQty]],0)</f>
        <v>100</v>
      </c>
      <c r="O290" s="15">
        <f>IFERROR(Table50[[#This Row],[Purchases]]/Table50[[#This Row],[PurchasesQty]],0)</f>
        <v>0</v>
      </c>
      <c r="P290" s="15">
        <f>IFERROR(Table50[[#This Row],[Closing]]/Table50[[#This Row],[ClosingQty]],0)</f>
        <v>100</v>
      </c>
      <c r="Q290" s="15">
        <f>IFERROR(AVERAGEIF(Table50[[#This Row],[OPENING COST PRICE]:[CLOSING COST PRICE]],"&gt;0"),0)</f>
        <v>100</v>
      </c>
      <c r="R290" s="15">
        <f>IFERROR(Table50[[#This Row],[COST PRICE]]-IFERROR(Table50[[#This Row],[Usage]]/Table50[[#This Row],[UsageQty]],Table50[[#This Row],[COST PRICE]]),0)</f>
        <v>8.5265128291212022E-14</v>
      </c>
      <c r="S290" s="16">
        <f>IFERROR(Table50[[#This Row],[COST PRICE CHANGE]]/Table50[[#This Row],[OPENING COST PRICE]],0)</f>
        <v>8.5265128291212019E-16</v>
      </c>
      <c r="T290" s="15">
        <f>Table50[[#This Row],[ClosingQty]]-(Table50[[#This Row],[USAGE / DAY]]*(IF(Table50[[#This Row],[ccnt]]="BEV",Table50[[#This Row],[DELIVERY DAY]],Table50[[#This Row],[DELIVERY DAY]])))</f>
        <v>0.89999999999999991</v>
      </c>
      <c r="U290" s="15">
        <f>ROUNDUP(Table50[[#This Row],[UsageQty]]/Table50[[#This Row],[DATA POINT]],2)</f>
        <v>0.01</v>
      </c>
      <c r="V29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90" s="15">
        <f>IFERROR(Table50[[#This Row],[ORDER QTY]]*Table50[[#This Row],[COST PRICE]],0)</f>
        <v>0</v>
      </c>
      <c r="X290" s="15">
        <f>IFERROR(VLOOKUP(C290,[1]!Table49[[#All],[name]:[USAGE / DAY]],19,FALSE),1)</f>
        <v>0.01</v>
      </c>
      <c r="Y290" s="4">
        <f>IFERROR((Table50[[#This Row],[USAGE / DAY]]-Table50[[#This Row],[USAGE / DAY 2]])/Table50[[#This Row],[USAGE / DAY 2]],0)</f>
        <v>0</v>
      </c>
      <c r="Z290" s="15">
        <f t="shared" si="12"/>
        <v>14</v>
      </c>
      <c r="AA290" s="15">
        <f t="shared" si="13"/>
        <v>9.311854181734148</v>
      </c>
      <c r="AB290" s="15">
        <f>IFERROR(IF(Table50[[#This Row],[ccnt]]="BEV",$AB$2,IF(Table50[[#This Row],[ccnt]]="FOOD",$AC$2,"ENTER # FROM LAST COUNT")),"ENTER # FROM LAST COUNT")</f>
        <v>5</v>
      </c>
      <c r="AC290" s="15">
        <f>(Table50[[#This Row],[OpeningQty]]+Table50[[#This Row],[ClosingQty]])/2</f>
        <v>0.97499999999999998</v>
      </c>
      <c r="AD290" s="15">
        <f>IFERROR(Table50[[#This Row],[UsageQty]]/Table50[[#This Row],[AVE INVENTORY]],0)</f>
        <v>5.1282051282051329E-2</v>
      </c>
      <c r="AE290" s="15">
        <f>IFERROR(Table50[[#This Row],[DATA POINT]]/Table50[[#This Row],[Inventory Turnover Rate]],0)</f>
        <v>272.99999999999977</v>
      </c>
      <c r="AF290" s="15">
        <f>Table50[[#This Row],[ClosingQty]]/Table50[[#This Row],[USAGE / DAY]]</f>
        <v>95</v>
      </c>
      <c r="AG290" s="15">
        <f>Table50[[#This Row],[USAGE / DAY]]*7</f>
        <v>7.0000000000000007E-2</v>
      </c>
      <c r="AH290" s="15">
        <f>Table50[[#This Row],[USAGE / DAY]]*3</f>
        <v>0.03</v>
      </c>
      <c r="AI29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90" s="15">
        <f>IFERROR(Table50[[#This Row],[ORDER QTY2]]*Table50[[#This Row],[COST PRICE]],0)</f>
        <v>0</v>
      </c>
      <c r="AK290" s="15">
        <f>(Table50[[#This Row],[REORDER POINT]]*Table50[[#This Row],[COST PRICE]])+Table50[[#This Row],[ORDER COST]]</f>
        <v>89.999999999999986</v>
      </c>
      <c r="AL290" s="15">
        <f t="shared" si="14"/>
        <v>100</v>
      </c>
      <c r="AM290" s="15">
        <f>IFERROR((Table50[[#This Row],[REORDER POINT]]+Table50[[#This Row],[ORDER QTY]])/(Table50[[#This Row],[USAGE / DAY]]*Table50[[#This Row],[DEMAND %]]),Table50[[#This Row],[REORDER POINT]]/Table50[[#This Row],[USAGE / DAY]])</f>
        <v>89.999999999999986</v>
      </c>
    </row>
    <row r="291" spans="1:39" x14ac:dyDescent="0.25">
      <c r="A291" t="s">
        <v>324</v>
      </c>
      <c r="B291" t="s">
        <v>391</v>
      </c>
      <c r="C291" t="s">
        <v>392</v>
      </c>
      <c r="D291" t="s">
        <v>126</v>
      </c>
      <c r="E291">
        <v>2.0099999999999998</v>
      </c>
      <c r="F291">
        <v>219.09</v>
      </c>
      <c r="G291">
        <v>0</v>
      </c>
      <c r="H291">
        <v>0</v>
      </c>
      <c r="I291">
        <v>1.56</v>
      </c>
      <c r="J291">
        <v>170.04</v>
      </c>
      <c r="K291">
        <f>Table50[[#This Row],[OpeningQty]]+Table50[[#This Row],[PurchasesQty]]-Table50[[#This Row],[ClosingQty]]</f>
        <v>0.44999999999999973</v>
      </c>
      <c r="L291">
        <v>49.05</v>
      </c>
      <c r="M291" s="14">
        <f>Table50[[#This Row],[Usage]]/$L$1</f>
        <v>7.4497110332270774E-5</v>
      </c>
      <c r="N291" s="15">
        <f>IFERROR(Table50[[#This Row],[Opening]]/Table50[[#This Row],[OpeningQty]],0)</f>
        <v>109.00000000000001</v>
      </c>
      <c r="O291" s="15">
        <f>IFERROR(Table50[[#This Row],[Purchases]]/Table50[[#This Row],[PurchasesQty]],0)</f>
        <v>0</v>
      </c>
      <c r="P291" s="15">
        <f>IFERROR(Table50[[#This Row],[Closing]]/Table50[[#This Row],[ClosingQty]],0)</f>
        <v>108.99999999999999</v>
      </c>
      <c r="Q291" s="15">
        <f>IFERROR(AVERAGEIF(Table50[[#This Row],[OPENING COST PRICE]:[CLOSING COST PRICE]],"&gt;0"),0)</f>
        <v>109</v>
      </c>
      <c r="R291" s="15">
        <f>IFERROR(Table50[[#This Row],[COST PRICE]]-IFERROR(Table50[[#This Row],[Usage]]/Table50[[#This Row],[UsageQty]],Table50[[#This Row],[COST PRICE]]),0)</f>
        <v>-5.6843418860808015E-14</v>
      </c>
      <c r="S291" s="16">
        <f>IFERROR(Table50[[#This Row],[COST PRICE CHANGE]]/Table50[[#This Row],[OPENING COST PRICE]],0)</f>
        <v>-5.2149925560374319E-16</v>
      </c>
      <c r="T291" s="15">
        <f>Table50[[#This Row],[ClosingQty]]-(Table50[[#This Row],[USAGE / DAY]]*(IF(Table50[[#This Row],[ccnt]]="BEV",Table50[[#This Row],[DELIVERY DAY]],Table50[[#This Row],[DELIVERY DAY]])))</f>
        <v>1.36</v>
      </c>
      <c r="U291" s="15">
        <f>ROUNDUP(Table50[[#This Row],[UsageQty]]/Table50[[#This Row],[DATA POINT]],2)</f>
        <v>0.04</v>
      </c>
      <c r="V29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91" s="15">
        <f>IFERROR(Table50[[#This Row],[ORDER QTY]]*Table50[[#This Row],[COST PRICE]],0)</f>
        <v>0</v>
      </c>
      <c r="X291" s="15">
        <f>IFERROR(VLOOKUP(C291,[1]!Table49[[#All],[name]:[USAGE / DAY]],19,FALSE),1)</f>
        <v>0.02</v>
      </c>
      <c r="Y291" s="4">
        <f>IFERROR((Table50[[#This Row],[USAGE / DAY]]-Table50[[#This Row],[USAGE / DAY 2]])/Table50[[#This Row],[USAGE / DAY 2]],0)</f>
        <v>1</v>
      </c>
      <c r="Z291" s="15">
        <f t="shared" si="12"/>
        <v>14</v>
      </c>
      <c r="AA291" s="15">
        <f t="shared" si="13"/>
        <v>9.311854181734148</v>
      </c>
      <c r="AB291" s="15">
        <f>IFERROR(IF(Table50[[#This Row],[ccnt]]="BEV",$AB$2,IF(Table50[[#This Row],[ccnt]]="FOOD",$AC$2,"ENTER # FROM LAST COUNT")),"ENTER # FROM LAST COUNT")</f>
        <v>5</v>
      </c>
      <c r="AC291" s="15">
        <f>(Table50[[#This Row],[OpeningQty]]+Table50[[#This Row],[ClosingQty]])/2</f>
        <v>1.7849999999999999</v>
      </c>
      <c r="AD291" s="15">
        <f>IFERROR(Table50[[#This Row],[UsageQty]]/Table50[[#This Row],[AVE INVENTORY]],0)</f>
        <v>0.25210084033613434</v>
      </c>
      <c r="AE291" s="15">
        <f>IFERROR(Table50[[#This Row],[DATA POINT]]/Table50[[#This Row],[Inventory Turnover Rate]],0)</f>
        <v>55.53333333333336</v>
      </c>
      <c r="AF291" s="15">
        <f>Table50[[#This Row],[ClosingQty]]/Table50[[#This Row],[USAGE / DAY]]</f>
        <v>39</v>
      </c>
      <c r="AG291" s="15">
        <f>Table50[[#This Row],[USAGE / DAY]]*7</f>
        <v>0.28000000000000003</v>
      </c>
      <c r="AH291" s="15">
        <f>Table50[[#This Row],[USAGE / DAY]]*3</f>
        <v>0.12</v>
      </c>
      <c r="AI29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91" s="15">
        <f>IFERROR(Table50[[#This Row],[ORDER QTY2]]*Table50[[#This Row],[COST PRICE]],0)</f>
        <v>0</v>
      </c>
      <c r="AK291" s="15">
        <f>(Table50[[#This Row],[REORDER POINT]]*Table50[[#This Row],[COST PRICE]])+Table50[[#This Row],[ORDER COST]]</f>
        <v>148.24</v>
      </c>
      <c r="AL291" s="15">
        <f t="shared" si="14"/>
        <v>100</v>
      </c>
      <c r="AM291" s="15">
        <f>IFERROR((Table50[[#This Row],[REORDER POINT]]+Table50[[#This Row],[ORDER QTY]])/(Table50[[#This Row],[USAGE / DAY]]*Table50[[#This Row],[DEMAND %]]),Table50[[#This Row],[REORDER POINT]]/Table50[[#This Row],[USAGE / DAY]])</f>
        <v>34</v>
      </c>
    </row>
    <row r="292" spans="1:39" x14ac:dyDescent="0.25">
      <c r="A292" t="s">
        <v>324</v>
      </c>
      <c r="B292" t="s">
        <v>391</v>
      </c>
      <c r="C292" t="s">
        <v>393</v>
      </c>
      <c r="D292" t="s">
        <v>53</v>
      </c>
      <c r="E292">
        <v>13</v>
      </c>
      <c r="F292">
        <v>598</v>
      </c>
      <c r="G292">
        <v>55</v>
      </c>
      <c r="H292">
        <v>2530</v>
      </c>
      <c r="I292">
        <v>26</v>
      </c>
      <c r="J292">
        <v>1196</v>
      </c>
      <c r="K292">
        <f>Table50[[#This Row],[OpeningQty]]+Table50[[#This Row],[PurchasesQty]]-Table50[[#This Row],[ClosingQty]]</f>
        <v>42</v>
      </c>
      <c r="L292">
        <v>1932</v>
      </c>
      <c r="M292" s="14">
        <f>Table50[[#This Row],[Usage]]/$L$1</f>
        <v>2.9343204314362312E-3</v>
      </c>
      <c r="N292" s="15">
        <f>IFERROR(Table50[[#This Row],[Opening]]/Table50[[#This Row],[OpeningQty]],0)</f>
        <v>46</v>
      </c>
      <c r="O292" s="15">
        <f>IFERROR(Table50[[#This Row],[Purchases]]/Table50[[#This Row],[PurchasesQty]],0)</f>
        <v>46</v>
      </c>
      <c r="P292" s="15">
        <f>IFERROR(Table50[[#This Row],[Closing]]/Table50[[#This Row],[ClosingQty]],0)</f>
        <v>46</v>
      </c>
      <c r="Q292" s="15">
        <f>IFERROR(AVERAGEIF(Table50[[#This Row],[OPENING COST PRICE]:[CLOSING COST PRICE]],"&gt;0"),0)</f>
        <v>46</v>
      </c>
      <c r="R292" s="15">
        <f>IFERROR(Table50[[#This Row],[COST PRICE]]-IFERROR(Table50[[#This Row],[Usage]]/Table50[[#This Row],[UsageQty]],Table50[[#This Row],[COST PRICE]]),0)</f>
        <v>0</v>
      </c>
      <c r="S292" s="16">
        <f>IFERROR(Table50[[#This Row],[COST PRICE CHANGE]]/Table50[[#This Row],[OPENING COST PRICE]],0)</f>
        <v>0</v>
      </c>
      <c r="T292" s="15">
        <f>Table50[[#This Row],[ClosingQty]]-(Table50[[#This Row],[USAGE / DAY]]*(IF(Table50[[#This Row],[ccnt]]="BEV",Table50[[#This Row],[DELIVERY DAY]],Table50[[#This Row],[DELIVERY DAY]])))</f>
        <v>11</v>
      </c>
      <c r="U292" s="15">
        <f>ROUNDUP(Table50[[#This Row],[UsageQty]]/Table50[[#This Row],[DATA POINT]],2)</f>
        <v>3</v>
      </c>
      <c r="V29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17</v>
      </c>
      <c r="W292" s="15">
        <f>IFERROR(Table50[[#This Row],[ORDER QTY]]*Table50[[#This Row],[COST PRICE]],0)</f>
        <v>782</v>
      </c>
      <c r="X292" s="15">
        <f>IFERROR(VLOOKUP(C292,[1]!Table49[[#All],[name]:[USAGE / DAY]],19,FALSE),1)</f>
        <v>3.2699999999999996</v>
      </c>
      <c r="Y292" s="4">
        <f>IFERROR((Table50[[#This Row],[USAGE / DAY]]-Table50[[#This Row],[USAGE / DAY 2]])/Table50[[#This Row],[USAGE / DAY 2]],0)</f>
        <v>-8.2568807339449421E-2</v>
      </c>
      <c r="Z292" s="15">
        <f t="shared" si="12"/>
        <v>14</v>
      </c>
      <c r="AA292" s="15">
        <f t="shared" si="13"/>
        <v>9.311854181734148</v>
      </c>
      <c r="AB292" s="15">
        <f>IFERROR(IF(Table50[[#This Row],[ccnt]]="BEV",$AB$2,IF(Table50[[#This Row],[ccnt]]="FOOD",$AC$2,"ENTER # FROM LAST COUNT")),"ENTER # FROM LAST COUNT")</f>
        <v>5</v>
      </c>
      <c r="AC292" s="15">
        <f>(Table50[[#This Row],[OpeningQty]]+Table50[[#This Row],[ClosingQty]])/2</f>
        <v>19.5</v>
      </c>
      <c r="AD292" s="15">
        <f>IFERROR(Table50[[#This Row],[UsageQty]]/Table50[[#This Row],[AVE INVENTORY]],0)</f>
        <v>2.1538461538461537</v>
      </c>
      <c r="AE292" s="15">
        <f>IFERROR(Table50[[#This Row],[DATA POINT]]/Table50[[#This Row],[Inventory Turnover Rate]],0)</f>
        <v>6.5</v>
      </c>
      <c r="AF292" s="15">
        <f>Table50[[#This Row],[ClosingQty]]/Table50[[#This Row],[USAGE / DAY]]</f>
        <v>8.6666666666666661</v>
      </c>
      <c r="AG292" s="15">
        <f>Table50[[#This Row],[USAGE / DAY]]*7</f>
        <v>21</v>
      </c>
      <c r="AH292" s="15">
        <f>Table50[[#This Row],[USAGE / DAY]]*3</f>
        <v>9</v>
      </c>
      <c r="AI292" s="15">
        <f>IF(Table50[[#This Row],[FORECASTED DEMAND]]+Table50[[#This Row],[SAFETY STOCK]]-Table50[[#This Row],[ClosingQty]]&gt;0,Table50[[#This Row],[FORECASTED DEMAND]]+Table50[[#This Row],[SAFETY STOCK]]-Table50[[#This Row],[ClosingQty]],"NO ORDER")</f>
        <v>4</v>
      </c>
      <c r="AJ292" s="15">
        <f>IFERROR(Table50[[#This Row],[ORDER QTY2]]*Table50[[#This Row],[COST PRICE]],0)</f>
        <v>184</v>
      </c>
      <c r="AK292" s="15">
        <f>(Table50[[#This Row],[REORDER POINT]]*Table50[[#This Row],[COST PRICE]])+Table50[[#This Row],[ORDER COST]]</f>
        <v>1288</v>
      </c>
      <c r="AL292" s="15">
        <f t="shared" si="14"/>
        <v>100</v>
      </c>
      <c r="AM292" s="15">
        <f>IFERROR((Table50[[#This Row],[REORDER POINT]]+Table50[[#This Row],[ORDER QTY]])/(Table50[[#This Row],[USAGE / DAY]]*Table50[[#This Row],[DEMAND %]]),Table50[[#This Row],[REORDER POINT]]/Table50[[#This Row],[USAGE / DAY]])</f>
        <v>9.3333333333333338E-2</v>
      </c>
    </row>
    <row r="293" spans="1:39" x14ac:dyDescent="0.25">
      <c r="A293" t="s">
        <v>324</v>
      </c>
      <c r="B293" t="s">
        <v>391</v>
      </c>
      <c r="C293" t="s">
        <v>394</v>
      </c>
      <c r="D293" t="s">
        <v>126</v>
      </c>
      <c r="E293">
        <v>5.48</v>
      </c>
      <c r="F293">
        <v>400.04</v>
      </c>
      <c r="G293">
        <v>10</v>
      </c>
      <c r="H293">
        <v>730</v>
      </c>
      <c r="I293">
        <v>11.27</v>
      </c>
      <c r="J293">
        <v>822.71</v>
      </c>
      <c r="K293">
        <f>Table50[[#This Row],[OpeningQty]]+Table50[[#This Row],[PurchasesQty]]-Table50[[#This Row],[ClosingQty]]</f>
        <v>4.2100000000000009</v>
      </c>
      <c r="L293">
        <v>307.33</v>
      </c>
      <c r="M293" s="14">
        <f>Table50[[#This Row],[Usage]]/$L$1</f>
        <v>4.6677261811247251E-4</v>
      </c>
      <c r="N293" s="15">
        <f>IFERROR(Table50[[#This Row],[Opening]]/Table50[[#This Row],[OpeningQty]],0)</f>
        <v>73</v>
      </c>
      <c r="O293" s="15">
        <f>IFERROR(Table50[[#This Row],[Purchases]]/Table50[[#This Row],[PurchasesQty]],0)</f>
        <v>73</v>
      </c>
      <c r="P293" s="15">
        <f>IFERROR(Table50[[#This Row],[Closing]]/Table50[[#This Row],[ClosingQty]],0)</f>
        <v>73</v>
      </c>
      <c r="Q293" s="15">
        <f>IFERROR(AVERAGEIF(Table50[[#This Row],[OPENING COST PRICE]:[CLOSING COST PRICE]],"&gt;0"),0)</f>
        <v>73</v>
      </c>
      <c r="R293" s="15">
        <f>IFERROR(Table50[[#This Row],[COST PRICE]]-IFERROR(Table50[[#This Row],[Usage]]/Table50[[#This Row],[UsageQty]],Table50[[#This Row],[COST PRICE]]),0)</f>
        <v>1.4210854715202004E-14</v>
      </c>
      <c r="S293" s="16">
        <f>IFERROR(Table50[[#This Row],[COST PRICE CHANGE]]/Table50[[#This Row],[OPENING COST PRICE]],0)</f>
        <v>1.9466924267400004E-16</v>
      </c>
      <c r="T293" s="15">
        <f>Table50[[#This Row],[ClosingQty]]-(Table50[[#This Row],[USAGE / DAY]]*(IF(Table50[[#This Row],[ccnt]]="BEV",Table50[[#This Row],[DELIVERY DAY]],Table50[[#This Row],[DELIVERY DAY]])))</f>
        <v>9.7199999999999989</v>
      </c>
      <c r="U293" s="15">
        <f>ROUNDUP(Table50[[#This Row],[UsageQty]]/Table50[[#This Row],[DATA POINT]],2)</f>
        <v>0.31</v>
      </c>
      <c r="V29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93" s="15">
        <f>IFERROR(Table50[[#This Row],[ORDER QTY]]*Table50[[#This Row],[COST PRICE]],0)</f>
        <v>0</v>
      </c>
      <c r="X293" s="15">
        <f>IFERROR(VLOOKUP(C293,[1]!Table49[[#All],[name]:[USAGE / DAY]],19,FALSE),1)</f>
        <v>0.36</v>
      </c>
      <c r="Y293" s="4">
        <f>IFERROR((Table50[[#This Row],[USAGE / DAY]]-Table50[[#This Row],[USAGE / DAY 2]])/Table50[[#This Row],[USAGE / DAY 2]],0)</f>
        <v>-0.13888888888888887</v>
      </c>
      <c r="Z293" s="15">
        <f t="shared" si="12"/>
        <v>14</v>
      </c>
      <c r="AA293" s="15">
        <f t="shared" si="13"/>
        <v>9.311854181734148</v>
      </c>
      <c r="AB293" s="15">
        <f>IFERROR(IF(Table50[[#This Row],[ccnt]]="BEV",$AB$2,IF(Table50[[#This Row],[ccnt]]="FOOD",$AC$2,"ENTER # FROM LAST COUNT")),"ENTER # FROM LAST COUNT")</f>
        <v>5</v>
      </c>
      <c r="AC293" s="15">
        <f>(Table50[[#This Row],[OpeningQty]]+Table50[[#This Row],[ClosingQty]])/2</f>
        <v>8.375</v>
      </c>
      <c r="AD293" s="15">
        <f>IFERROR(Table50[[#This Row],[UsageQty]]/Table50[[#This Row],[AVE INVENTORY]],0)</f>
        <v>0.50268656716417925</v>
      </c>
      <c r="AE293" s="15">
        <f>IFERROR(Table50[[#This Row],[DATA POINT]]/Table50[[#This Row],[Inventory Turnover Rate]],0)</f>
        <v>27.850356294536809</v>
      </c>
      <c r="AF293" s="15">
        <f>Table50[[#This Row],[ClosingQty]]/Table50[[#This Row],[USAGE / DAY]]</f>
        <v>36.354838709677416</v>
      </c>
      <c r="AG293" s="15">
        <f>Table50[[#This Row],[USAGE / DAY]]*7</f>
        <v>2.17</v>
      </c>
      <c r="AH293" s="15">
        <f>Table50[[#This Row],[USAGE / DAY]]*3</f>
        <v>0.92999999999999994</v>
      </c>
      <c r="AI29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93" s="15">
        <f>IFERROR(Table50[[#This Row],[ORDER QTY2]]*Table50[[#This Row],[COST PRICE]],0)</f>
        <v>0</v>
      </c>
      <c r="AK293" s="15">
        <f>(Table50[[#This Row],[REORDER POINT]]*Table50[[#This Row],[COST PRICE]])+Table50[[#This Row],[ORDER COST]]</f>
        <v>709.56</v>
      </c>
      <c r="AL293" s="15">
        <f t="shared" si="14"/>
        <v>100</v>
      </c>
      <c r="AM293" s="15">
        <f>IFERROR((Table50[[#This Row],[REORDER POINT]]+Table50[[#This Row],[ORDER QTY]])/(Table50[[#This Row],[USAGE / DAY]]*Table50[[#This Row],[DEMAND %]]),Table50[[#This Row],[REORDER POINT]]/Table50[[#This Row],[USAGE / DAY]])</f>
        <v>31.354838709677416</v>
      </c>
    </row>
    <row r="294" spans="1:39" x14ac:dyDescent="0.25">
      <c r="A294" t="s">
        <v>324</v>
      </c>
      <c r="B294" t="s">
        <v>391</v>
      </c>
      <c r="C294" t="s">
        <v>395</v>
      </c>
      <c r="D294" t="s">
        <v>126</v>
      </c>
      <c r="E294">
        <v>0.04</v>
      </c>
      <c r="F294">
        <v>0.6</v>
      </c>
      <c r="G294">
        <v>20</v>
      </c>
      <c r="H294">
        <v>319.97000000000003</v>
      </c>
      <c r="I294">
        <v>0.06</v>
      </c>
      <c r="J294">
        <v>0.96</v>
      </c>
      <c r="K294">
        <f>Table50[[#This Row],[OpeningQty]]+Table50[[#This Row],[PurchasesQty]]-Table50[[#This Row],[ClosingQty]]</f>
        <v>19.98</v>
      </c>
      <c r="L294">
        <v>319.61</v>
      </c>
      <c r="M294" s="14">
        <f>Table50[[#This Row],[Usage]]/$L$1</f>
        <v>4.8542347468495542E-4</v>
      </c>
      <c r="N294" s="15">
        <f>IFERROR(Table50[[#This Row],[Opening]]/Table50[[#This Row],[OpeningQty]],0)</f>
        <v>15</v>
      </c>
      <c r="O294" s="15">
        <f>IFERROR(Table50[[#This Row],[Purchases]]/Table50[[#This Row],[PurchasesQty]],0)</f>
        <v>15.998500000000002</v>
      </c>
      <c r="P294" s="15">
        <f>IFERROR(Table50[[#This Row],[Closing]]/Table50[[#This Row],[ClosingQty]],0)</f>
        <v>16</v>
      </c>
      <c r="Q294" s="15">
        <f>IFERROR(AVERAGEIF(Table50[[#This Row],[OPENING COST PRICE]:[CLOSING COST PRICE]],"&gt;0"),0)</f>
        <v>15.666166666666667</v>
      </c>
      <c r="R294" s="15">
        <f>IFERROR(Table50[[#This Row],[COST PRICE]]-IFERROR(Table50[[#This Row],[Usage]]/Table50[[#This Row],[UsageQty]],Table50[[#This Row],[COST PRICE]]),0)</f>
        <v>-0.33032982982982872</v>
      </c>
      <c r="S294" s="16">
        <f>IFERROR(Table50[[#This Row],[COST PRICE CHANGE]]/Table50[[#This Row],[OPENING COST PRICE]],0)</f>
        <v>-2.2021988655321914E-2</v>
      </c>
      <c r="T294" s="15">
        <f>Table50[[#This Row],[ClosingQty]]-(Table50[[#This Row],[USAGE / DAY]]*(IF(Table50[[#This Row],[ccnt]]="BEV",Table50[[#This Row],[DELIVERY DAY]],Table50[[#This Row],[DELIVERY DAY]])))</f>
        <v>-7.09</v>
      </c>
      <c r="U294" s="15">
        <f>ROUNDUP(Table50[[#This Row],[UsageQty]]/Table50[[#This Row],[DATA POINT]],2)</f>
        <v>1.43</v>
      </c>
      <c r="V29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21</v>
      </c>
      <c r="W294" s="15">
        <f>IFERROR(Table50[[#This Row],[ORDER QTY]]*Table50[[#This Row],[COST PRICE]],0)</f>
        <v>328.98950000000002</v>
      </c>
      <c r="X294" s="15">
        <f>IFERROR(VLOOKUP(C294,[1]!Table49[[#All],[name]:[USAGE / DAY]],19,FALSE),1)</f>
        <v>1.34</v>
      </c>
      <c r="Y294" s="4">
        <f>IFERROR((Table50[[#This Row],[USAGE / DAY]]-Table50[[#This Row],[USAGE / DAY 2]])/Table50[[#This Row],[USAGE / DAY 2]],0)</f>
        <v>6.7164179104477501E-2</v>
      </c>
      <c r="Z294" s="15">
        <f t="shared" si="12"/>
        <v>14</v>
      </c>
      <c r="AA294" s="15">
        <f t="shared" si="13"/>
        <v>9.311854181734148</v>
      </c>
      <c r="AB294" s="15">
        <f>IFERROR(IF(Table50[[#This Row],[ccnt]]="BEV",$AB$2,IF(Table50[[#This Row],[ccnt]]="FOOD",$AC$2,"ENTER # FROM LAST COUNT")),"ENTER # FROM LAST COUNT")</f>
        <v>5</v>
      </c>
      <c r="AC294" s="15">
        <f>(Table50[[#This Row],[OpeningQty]]+Table50[[#This Row],[ClosingQty]])/2</f>
        <v>0.05</v>
      </c>
      <c r="AD294" s="15">
        <f>IFERROR(Table50[[#This Row],[UsageQty]]/Table50[[#This Row],[AVE INVENTORY]],0)</f>
        <v>399.59999999999997</v>
      </c>
      <c r="AE294" s="15">
        <f>IFERROR(Table50[[#This Row],[DATA POINT]]/Table50[[#This Row],[Inventory Turnover Rate]],0)</f>
        <v>3.5035035035035036E-2</v>
      </c>
      <c r="AF294" s="15">
        <f>Table50[[#This Row],[ClosingQty]]/Table50[[#This Row],[USAGE / DAY]]</f>
        <v>4.195804195804196E-2</v>
      </c>
      <c r="AG294" s="15">
        <f>Table50[[#This Row],[USAGE / DAY]]*7</f>
        <v>10.01</v>
      </c>
      <c r="AH294" s="15">
        <f>Table50[[#This Row],[USAGE / DAY]]*3</f>
        <v>4.29</v>
      </c>
      <c r="AI294" s="15">
        <f>IF(Table50[[#This Row],[FORECASTED DEMAND]]+Table50[[#This Row],[SAFETY STOCK]]-Table50[[#This Row],[ClosingQty]]&gt;0,Table50[[#This Row],[FORECASTED DEMAND]]+Table50[[#This Row],[SAFETY STOCK]]-Table50[[#This Row],[ClosingQty]],"NO ORDER")</f>
        <v>14.24</v>
      </c>
      <c r="AJ294" s="15">
        <f>IFERROR(Table50[[#This Row],[ORDER QTY2]]*Table50[[#This Row],[COST PRICE]],0)</f>
        <v>223.08621333333335</v>
      </c>
      <c r="AK294" s="15">
        <f>(Table50[[#This Row],[REORDER POINT]]*Table50[[#This Row],[COST PRICE]])+Table50[[#This Row],[ORDER COST]]</f>
        <v>217.91637833333334</v>
      </c>
      <c r="AL294" s="15">
        <f t="shared" si="14"/>
        <v>100</v>
      </c>
      <c r="AM294" s="15">
        <f>IFERROR((Table50[[#This Row],[REORDER POINT]]+Table50[[#This Row],[ORDER QTY]])/(Table50[[#This Row],[USAGE / DAY]]*Table50[[#This Row],[DEMAND %]]),Table50[[#This Row],[REORDER POINT]]/Table50[[#This Row],[USAGE / DAY]])</f>
        <v>9.7272727272727275E-2</v>
      </c>
    </row>
    <row r="295" spans="1:39" x14ac:dyDescent="0.25">
      <c r="A295" t="s">
        <v>324</v>
      </c>
      <c r="B295" t="s">
        <v>391</v>
      </c>
      <c r="C295" t="s">
        <v>396</v>
      </c>
      <c r="D295" t="s">
        <v>138</v>
      </c>
      <c r="E295">
        <v>1.33</v>
      </c>
      <c r="F295">
        <v>55.79</v>
      </c>
      <c r="G295">
        <v>7</v>
      </c>
      <c r="H295">
        <v>278.64999999999998</v>
      </c>
      <c r="I295">
        <v>4.38</v>
      </c>
      <c r="J295">
        <v>161.84</v>
      </c>
      <c r="K295">
        <f>Table50[[#This Row],[OpeningQty]]+Table50[[#This Row],[PurchasesQty]]-Table50[[#This Row],[ClosingQty]]</f>
        <v>3.95</v>
      </c>
      <c r="L295">
        <v>172.6</v>
      </c>
      <c r="M295" s="14">
        <f>Table50[[#This Row],[Usage]]/$L$1</f>
        <v>2.6214477560346455E-4</v>
      </c>
      <c r="N295" s="15">
        <f>IFERROR(Table50[[#This Row],[Opening]]/Table50[[#This Row],[OpeningQty]],0)</f>
        <v>41.94736842105263</v>
      </c>
      <c r="O295" s="15">
        <f>IFERROR(Table50[[#This Row],[Purchases]]/Table50[[#This Row],[PurchasesQty]],0)</f>
        <v>39.807142857142857</v>
      </c>
      <c r="P295" s="15">
        <f>IFERROR(Table50[[#This Row],[Closing]]/Table50[[#This Row],[ClosingQty]],0)</f>
        <v>36.949771689497716</v>
      </c>
      <c r="Q295" s="15">
        <f>IFERROR(AVERAGEIF(Table50[[#This Row],[OPENING COST PRICE]:[CLOSING COST PRICE]],"&gt;0"),0)</f>
        <v>39.568094322564399</v>
      </c>
      <c r="R295" s="15">
        <f>IFERROR(Table50[[#This Row],[COST PRICE]]-IFERROR(Table50[[#This Row],[Usage]]/Table50[[#This Row],[UsageQty]],Table50[[#This Row],[COST PRICE]]),0)</f>
        <v>-4.1281082090811694</v>
      </c>
      <c r="S295" s="16">
        <f>IFERROR(Table50[[#This Row],[COST PRICE CHANGE]]/Table50[[#This Row],[OPENING COST PRICE]],0)</f>
        <v>-9.8411613516364141E-2</v>
      </c>
      <c r="T295" s="15">
        <f>Table50[[#This Row],[ClosingQty]]-(Table50[[#This Row],[USAGE / DAY]]*(IF(Table50[[#This Row],[ccnt]]="BEV",Table50[[#This Row],[DELIVERY DAY]],Table50[[#This Row],[DELIVERY DAY]])))</f>
        <v>2.9299999999999997</v>
      </c>
      <c r="U295" s="15">
        <f>ROUNDUP(Table50[[#This Row],[UsageQty]]/Table50[[#This Row],[DATA POINT]],2)</f>
        <v>0.29000000000000004</v>
      </c>
      <c r="V29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95" s="15">
        <f>IFERROR(Table50[[#This Row],[ORDER QTY]]*Table50[[#This Row],[COST PRICE]],0)</f>
        <v>0</v>
      </c>
      <c r="X295" s="15">
        <f>IFERROR(VLOOKUP(C295,[1]!Table49[[#All],[name]:[USAGE / DAY]],19,FALSE),1)</f>
        <v>0.23</v>
      </c>
      <c r="Y295" s="4">
        <f>IFERROR((Table50[[#This Row],[USAGE / DAY]]-Table50[[#This Row],[USAGE / DAY 2]])/Table50[[#This Row],[USAGE / DAY 2]],0)</f>
        <v>0.26086956521739141</v>
      </c>
      <c r="Z295" s="15">
        <f t="shared" si="12"/>
        <v>14</v>
      </c>
      <c r="AA295" s="15">
        <f t="shared" si="13"/>
        <v>9.311854181734148</v>
      </c>
      <c r="AB295" s="15">
        <f>IFERROR(IF(Table50[[#This Row],[ccnt]]="BEV",$AB$2,IF(Table50[[#This Row],[ccnt]]="FOOD",$AC$2,"ENTER # FROM LAST COUNT")),"ENTER # FROM LAST COUNT")</f>
        <v>5</v>
      </c>
      <c r="AC295" s="15">
        <f>(Table50[[#This Row],[OpeningQty]]+Table50[[#This Row],[ClosingQty]])/2</f>
        <v>2.855</v>
      </c>
      <c r="AD295" s="15">
        <f>IFERROR(Table50[[#This Row],[UsageQty]]/Table50[[#This Row],[AVE INVENTORY]],0)</f>
        <v>1.3835376532399299</v>
      </c>
      <c r="AE295" s="15">
        <f>IFERROR(Table50[[#This Row],[DATA POINT]]/Table50[[#This Row],[Inventory Turnover Rate]],0)</f>
        <v>10.118987341772153</v>
      </c>
      <c r="AF295" s="15">
        <f>Table50[[#This Row],[ClosingQty]]/Table50[[#This Row],[USAGE / DAY]]</f>
        <v>15.103448275862068</v>
      </c>
      <c r="AG295" s="15">
        <f>Table50[[#This Row],[USAGE / DAY]]*7</f>
        <v>2.0300000000000002</v>
      </c>
      <c r="AH295" s="15">
        <f>Table50[[#This Row],[USAGE / DAY]]*3</f>
        <v>0.87000000000000011</v>
      </c>
      <c r="AI29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95" s="15">
        <f>IFERROR(Table50[[#This Row],[ORDER QTY2]]*Table50[[#This Row],[COST PRICE]],0)</f>
        <v>0</v>
      </c>
      <c r="AK295" s="15">
        <f>(Table50[[#This Row],[REORDER POINT]]*Table50[[#This Row],[COST PRICE]])+Table50[[#This Row],[ORDER COST]]</f>
        <v>115.93451636511368</v>
      </c>
      <c r="AL295" s="15">
        <f t="shared" si="14"/>
        <v>100</v>
      </c>
      <c r="AM295" s="15">
        <f>IFERROR((Table50[[#This Row],[REORDER POINT]]+Table50[[#This Row],[ORDER QTY]])/(Table50[[#This Row],[USAGE / DAY]]*Table50[[#This Row],[DEMAND %]]),Table50[[#This Row],[REORDER POINT]]/Table50[[#This Row],[USAGE / DAY]])</f>
        <v>10.103448275862068</v>
      </c>
    </row>
    <row r="296" spans="1:39" x14ac:dyDescent="0.25">
      <c r="A296" t="s">
        <v>324</v>
      </c>
      <c r="B296" t="s">
        <v>391</v>
      </c>
      <c r="C296" t="s">
        <v>397</v>
      </c>
      <c r="D296" t="s">
        <v>53</v>
      </c>
      <c r="E296">
        <v>9</v>
      </c>
      <c r="F296">
        <v>191.25</v>
      </c>
      <c r="G296">
        <v>72</v>
      </c>
      <c r="H296">
        <v>1530</v>
      </c>
      <c r="I296">
        <v>36</v>
      </c>
      <c r="J296">
        <v>765</v>
      </c>
      <c r="K296">
        <f>Table50[[#This Row],[OpeningQty]]+Table50[[#This Row],[PurchasesQty]]-Table50[[#This Row],[ClosingQty]]</f>
        <v>45</v>
      </c>
      <c r="L296">
        <v>956.25</v>
      </c>
      <c r="M296" s="14">
        <f>Table50[[#This Row],[Usage]]/$L$1</f>
        <v>1.4523519216153706E-3</v>
      </c>
      <c r="N296" s="15">
        <f>IFERROR(Table50[[#This Row],[Opening]]/Table50[[#This Row],[OpeningQty]],0)</f>
        <v>21.25</v>
      </c>
      <c r="O296" s="15">
        <f>IFERROR(Table50[[#This Row],[Purchases]]/Table50[[#This Row],[PurchasesQty]],0)</f>
        <v>21.25</v>
      </c>
      <c r="P296" s="15">
        <f>IFERROR(Table50[[#This Row],[Closing]]/Table50[[#This Row],[ClosingQty]],0)</f>
        <v>21.25</v>
      </c>
      <c r="Q296" s="15">
        <f>IFERROR(AVERAGEIF(Table50[[#This Row],[OPENING COST PRICE]:[CLOSING COST PRICE]],"&gt;0"),0)</f>
        <v>21.25</v>
      </c>
      <c r="R296" s="15">
        <f>IFERROR(Table50[[#This Row],[COST PRICE]]-IFERROR(Table50[[#This Row],[Usage]]/Table50[[#This Row],[UsageQty]],Table50[[#This Row],[COST PRICE]]),0)</f>
        <v>0</v>
      </c>
      <c r="S296" s="16">
        <f>IFERROR(Table50[[#This Row],[COST PRICE CHANGE]]/Table50[[#This Row],[OPENING COST PRICE]],0)</f>
        <v>0</v>
      </c>
      <c r="T296" s="15">
        <f>Table50[[#This Row],[ClosingQty]]-(Table50[[#This Row],[USAGE / DAY]]*(IF(Table50[[#This Row],[ccnt]]="BEV",Table50[[#This Row],[DELIVERY DAY]],Table50[[#This Row],[DELIVERY DAY]])))</f>
        <v>19.900000000000002</v>
      </c>
      <c r="U296" s="15">
        <f>ROUNDUP(Table50[[#This Row],[UsageQty]]/Table50[[#This Row],[DATA POINT]],2)</f>
        <v>3.2199999999999998</v>
      </c>
      <c r="V29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11</v>
      </c>
      <c r="W296" s="15">
        <f>IFERROR(Table50[[#This Row],[ORDER QTY]]*Table50[[#This Row],[COST PRICE]],0)</f>
        <v>233.75</v>
      </c>
      <c r="X296" s="15">
        <f>IFERROR(VLOOKUP(C296,[1]!Table49[[#All],[name]:[USAGE / DAY]],19,FALSE),1)</f>
        <v>3.1399999999999997</v>
      </c>
      <c r="Y296" s="4">
        <f>IFERROR((Table50[[#This Row],[USAGE / DAY]]-Table50[[#This Row],[USAGE / DAY 2]])/Table50[[#This Row],[USAGE / DAY 2]],0)</f>
        <v>2.5477707006369452E-2</v>
      </c>
      <c r="Z296" s="15">
        <f t="shared" si="12"/>
        <v>14</v>
      </c>
      <c r="AA296" s="15">
        <f t="shared" si="13"/>
        <v>9.311854181734148</v>
      </c>
      <c r="AB296" s="15">
        <f>IFERROR(IF(Table50[[#This Row],[ccnt]]="BEV",$AB$2,IF(Table50[[#This Row],[ccnt]]="FOOD",$AC$2,"ENTER # FROM LAST COUNT")),"ENTER # FROM LAST COUNT")</f>
        <v>5</v>
      </c>
      <c r="AC296" s="15">
        <f>(Table50[[#This Row],[OpeningQty]]+Table50[[#This Row],[ClosingQty]])/2</f>
        <v>22.5</v>
      </c>
      <c r="AD296" s="15">
        <f>IFERROR(Table50[[#This Row],[UsageQty]]/Table50[[#This Row],[AVE INVENTORY]],0)</f>
        <v>2</v>
      </c>
      <c r="AE296" s="15">
        <f>IFERROR(Table50[[#This Row],[DATA POINT]]/Table50[[#This Row],[Inventory Turnover Rate]],0)</f>
        <v>7</v>
      </c>
      <c r="AF296" s="15">
        <f>Table50[[#This Row],[ClosingQty]]/Table50[[#This Row],[USAGE / DAY]]</f>
        <v>11.180124223602485</v>
      </c>
      <c r="AG296" s="15">
        <f>Table50[[#This Row],[USAGE / DAY]]*7</f>
        <v>22.54</v>
      </c>
      <c r="AH296" s="15">
        <f>Table50[[#This Row],[USAGE / DAY]]*3</f>
        <v>9.66</v>
      </c>
      <c r="AI29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96" s="15">
        <f>IFERROR(Table50[[#This Row],[ORDER QTY2]]*Table50[[#This Row],[COST PRICE]],0)</f>
        <v>0</v>
      </c>
      <c r="AK296" s="15">
        <f>(Table50[[#This Row],[REORDER POINT]]*Table50[[#This Row],[COST PRICE]])+Table50[[#This Row],[ORDER COST]]</f>
        <v>656.625</v>
      </c>
      <c r="AL296" s="15">
        <f t="shared" si="14"/>
        <v>100</v>
      </c>
      <c r="AM296" s="15">
        <f>IFERROR((Table50[[#This Row],[REORDER POINT]]+Table50[[#This Row],[ORDER QTY]])/(Table50[[#This Row],[USAGE / DAY]]*Table50[[#This Row],[DEMAND %]]),Table50[[#This Row],[REORDER POINT]]/Table50[[#This Row],[USAGE / DAY]])</f>
        <v>9.5962732919254667E-2</v>
      </c>
    </row>
    <row r="297" spans="1:39" x14ac:dyDescent="0.25">
      <c r="A297" t="s">
        <v>324</v>
      </c>
      <c r="B297" t="s">
        <v>391</v>
      </c>
      <c r="C297" t="s">
        <v>398</v>
      </c>
      <c r="D297" t="s">
        <v>126</v>
      </c>
      <c r="E297">
        <v>2.1800000000000002</v>
      </c>
      <c r="F297">
        <v>383.68</v>
      </c>
      <c r="G297">
        <v>2</v>
      </c>
      <c r="H297">
        <v>352</v>
      </c>
      <c r="I297">
        <v>8</v>
      </c>
      <c r="J297">
        <v>1408</v>
      </c>
      <c r="K297">
        <f>Table50[[#This Row],[OpeningQty]]+Table50[[#This Row],[PurchasesQty]]-Table50[[#This Row],[ClosingQty]]</f>
        <v>-3.8200000000000003</v>
      </c>
      <c r="L297">
        <v>-672.32</v>
      </c>
      <c r="M297" s="14">
        <f>Table50[[#This Row],[Usage]]/$L$1</f>
        <v>-1.0211192093494861E-3</v>
      </c>
      <c r="N297" s="15">
        <f>IFERROR(Table50[[#This Row],[Opening]]/Table50[[#This Row],[OpeningQty]],0)</f>
        <v>176</v>
      </c>
      <c r="O297" s="15">
        <f>IFERROR(Table50[[#This Row],[Purchases]]/Table50[[#This Row],[PurchasesQty]],0)</f>
        <v>176</v>
      </c>
      <c r="P297" s="15">
        <f>IFERROR(Table50[[#This Row],[Closing]]/Table50[[#This Row],[ClosingQty]],0)</f>
        <v>176</v>
      </c>
      <c r="Q297" s="15">
        <f>IFERROR(AVERAGEIF(Table50[[#This Row],[OPENING COST PRICE]:[CLOSING COST PRICE]],"&gt;0"),0)</f>
        <v>176</v>
      </c>
      <c r="R297" s="15">
        <f>IFERROR(Table50[[#This Row],[COST PRICE]]-IFERROR(Table50[[#This Row],[Usage]]/Table50[[#This Row],[UsageQty]],Table50[[#This Row],[COST PRICE]]),0)</f>
        <v>0</v>
      </c>
      <c r="S297" s="16">
        <f>IFERROR(Table50[[#This Row],[COST PRICE CHANGE]]/Table50[[#This Row],[OPENING COST PRICE]],0)</f>
        <v>0</v>
      </c>
      <c r="T297" s="15">
        <f>Table50[[#This Row],[ClosingQty]]-(Table50[[#This Row],[USAGE / DAY]]*(IF(Table50[[#This Row],[ccnt]]="BEV",Table50[[#This Row],[DELIVERY DAY]],Table50[[#This Row],[DELIVERY DAY]])))</f>
        <v>9.4</v>
      </c>
      <c r="U297" s="15">
        <f>ROUNDUP(Table50[[#This Row],[UsageQty]]/Table50[[#This Row],[DATA POINT]],2)</f>
        <v>-0.28000000000000003</v>
      </c>
      <c r="V29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97" s="15">
        <f>IFERROR(Table50[[#This Row],[ORDER QTY]]*Table50[[#This Row],[COST PRICE]],0)</f>
        <v>0</v>
      </c>
      <c r="X297" s="15">
        <f>IFERROR(VLOOKUP(C297,[1]!Table49[[#All],[name]:[USAGE / DAY]],19,FALSE),1)</f>
        <v>0.22</v>
      </c>
      <c r="Y297" s="4">
        <f>IFERROR((Table50[[#This Row],[USAGE / DAY]]-Table50[[#This Row],[USAGE / DAY 2]])/Table50[[#This Row],[USAGE / DAY 2]],0)</f>
        <v>-2.2727272727272729</v>
      </c>
      <c r="Z297" s="15">
        <f t="shared" si="12"/>
        <v>14</v>
      </c>
      <c r="AA297" s="15">
        <f t="shared" si="13"/>
        <v>9.311854181734148</v>
      </c>
      <c r="AB297" s="15">
        <f>IFERROR(IF(Table50[[#This Row],[ccnt]]="BEV",$AB$2,IF(Table50[[#This Row],[ccnt]]="FOOD",$AC$2,"ENTER # FROM LAST COUNT")),"ENTER # FROM LAST COUNT")</f>
        <v>5</v>
      </c>
      <c r="AC297" s="15">
        <f>(Table50[[#This Row],[OpeningQty]]+Table50[[#This Row],[ClosingQty]])/2</f>
        <v>5.09</v>
      </c>
      <c r="AD297" s="15">
        <f>IFERROR(Table50[[#This Row],[UsageQty]]/Table50[[#This Row],[AVE INVENTORY]],0)</f>
        <v>-0.75049115913555997</v>
      </c>
      <c r="AE297" s="15">
        <f>IFERROR(Table50[[#This Row],[DATA POINT]]/Table50[[#This Row],[Inventory Turnover Rate]],0)</f>
        <v>-18.654450261780102</v>
      </c>
      <c r="AF297" s="15">
        <f>Table50[[#This Row],[ClosingQty]]/Table50[[#This Row],[USAGE / DAY]]</f>
        <v>-28.571428571428569</v>
      </c>
      <c r="AG297" s="15">
        <f>Table50[[#This Row],[USAGE / DAY]]*7</f>
        <v>-1.9600000000000002</v>
      </c>
      <c r="AH297" s="15">
        <f>Table50[[#This Row],[USAGE / DAY]]*3</f>
        <v>-0.84000000000000008</v>
      </c>
      <c r="AI29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97" s="15">
        <f>IFERROR(Table50[[#This Row],[ORDER QTY2]]*Table50[[#This Row],[COST PRICE]],0)</f>
        <v>0</v>
      </c>
      <c r="AK297" s="15">
        <f>(Table50[[#This Row],[REORDER POINT]]*Table50[[#This Row],[COST PRICE]])+Table50[[#This Row],[ORDER COST]]</f>
        <v>1654.4</v>
      </c>
      <c r="AL297" s="15">
        <f t="shared" si="14"/>
        <v>100</v>
      </c>
      <c r="AM297" s="15">
        <f>IFERROR((Table50[[#This Row],[REORDER POINT]]+Table50[[#This Row],[ORDER QTY]])/(Table50[[#This Row],[USAGE / DAY]]*Table50[[#This Row],[DEMAND %]]),Table50[[#This Row],[REORDER POINT]]/Table50[[#This Row],[USAGE / DAY]])</f>
        <v>-33.571428571428569</v>
      </c>
    </row>
    <row r="298" spans="1:39" x14ac:dyDescent="0.25">
      <c r="A298" t="s">
        <v>324</v>
      </c>
      <c r="B298" t="s">
        <v>391</v>
      </c>
      <c r="C298" t="s">
        <v>399</v>
      </c>
      <c r="D298" t="s">
        <v>126</v>
      </c>
      <c r="E298">
        <v>0.55000000000000004</v>
      </c>
      <c r="F298">
        <v>25.63</v>
      </c>
      <c r="G298">
        <v>0</v>
      </c>
      <c r="H298">
        <v>0</v>
      </c>
      <c r="I298">
        <v>0.11</v>
      </c>
      <c r="J298">
        <v>5.13</v>
      </c>
      <c r="K298">
        <f>Table50[[#This Row],[OpeningQty]]+Table50[[#This Row],[PurchasesQty]]-Table50[[#This Row],[ClosingQty]]</f>
        <v>0.44000000000000006</v>
      </c>
      <c r="L298">
        <v>20.5</v>
      </c>
      <c r="M298" s="14">
        <f>Table50[[#This Row],[Usage]]/$L$1</f>
        <v>3.1135387600643238E-5</v>
      </c>
      <c r="N298" s="15">
        <f>IFERROR(Table50[[#This Row],[Opening]]/Table50[[#This Row],[OpeningQty]],0)</f>
        <v>46.599999999999994</v>
      </c>
      <c r="O298" s="15">
        <f>IFERROR(Table50[[#This Row],[Purchases]]/Table50[[#This Row],[PurchasesQty]],0)</f>
        <v>0</v>
      </c>
      <c r="P298" s="15">
        <f>IFERROR(Table50[[#This Row],[Closing]]/Table50[[#This Row],[ClosingQty]],0)</f>
        <v>46.636363636363633</v>
      </c>
      <c r="Q298" s="15">
        <f>IFERROR(AVERAGEIF(Table50[[#This Row],[OPENING COST PRICE]:[CLOSING COST PRICE]],"&gt;0"),0)</f>
        <v>46.61818181818181</v>
      </c>
      <c r="R298" s="15">
        <f>IFERROR(Table50[[#This Row],[COST PRICE]]-IFERROR(Table50[[#This Row],[Usage]]/Table50[[#This Row],[UsageQty]],Table50[[#This Row],[COST PRICE]]),0)</f>
        <v>2.7272727272723785E-2</v>
      </c>
      <c r="S298" s="16">
        <f>IFERROR(Table50[[#This Row],[COST PRICE CHANGE]]/Table50[[#This Row],[OPENING COST PRICE]],0)</f>
        <v>5.8525165821295686E-4</v>
      </c>
      <c r="T298" s="15">
        <f>Table50[[#This Row],[ClosingQty]]-(Table50[[#This Row],[USAGE / DAY]]*(IF(Table50[[#This Row],[ccnt]]="BEV",Table50[[#This Row],[DELIVERY DAY]],Table50[[#This Row],[DELIVERY DAY]])))</f>
        <v>-9.0000000000000011E-2</v>
      </c>
      <c r="U298" s="15">
        <f>ROUNDUP(Table50[[#This Row],[UsageQty]]/Table50[[#This Row],[DATA POINT]],2)</f>
        <v>0.04</v>
      </c>
      <c r="V29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298" s="15">
        <f>IFERROR(Table50[[#This Row],[ORDER QTY]]*Table50[[#This Row],[COST PRICE]],0)</f>
        <v>46.61818181818181</v>
      </c>
      <c r="X298" s="15">
        <f>IFERROR(VLOOKUP(C298,[1]!Table49[[#All],[name]:[USAGE / DAY]],19,FALSE),1)</f>
        <v>6.9999999999999993E-2</v>
      </c>
      <c r="Y298" s="4">
        <f>IFERROR((Table50[[#This Row],[USAGE / DAY]]-Table50[[#This Row],[USAGE / DAY 2]])/Table50[[#This Row],[USAGE / DAY 2]],0)</f>
        <v>-0.42857142857142849</v>
      </c>
      <c r="Z298" s="15">
        <f t="shared" si="12"/>
        <v>14</v>
      </c>
      <c r="AA298" s="15">
        <f t="shared" si="13"/>
        <v>9.311854181734148</v>
      </c>
      <c r="AB298" s="15">
        <f>IFERROR(IF(Table50[[#This Row],[ccnt]]="BEV",$AB$2,IF(Table50[[#This Row],[ccnt]]="FOOD",$AC$2,"ENTER # FROM LAST COUNT")),"ENTER # FROM LAST COUNT")</f>
        <v>5</v>
      </c>
      <c r="AC298" s="15">
        <f>(Table50[[#This Row],[OpeningQty]]+Table50[[#This Row],[ClosingQty]])/2</f>
        <v>0.33</v>
      </c>
      <c r="AD298" s="15">
        <f>IFERROR(Table50[[#This Row],[UsageQty]]/Table50[[#This Row],[AVE INVENTORY]],0)</f>
        <v>1.3333333333333335</v>
      </c>
      <c r="AE298" s="15">
        <f>IFERROR(Table50[[#This Row],[DATA POINT]]/Table50[[#This Row],[Inventory Turnover Rate]],0)</f>
        <v>10.499999999999998</v>
      </c>
      <c r="AF298" s="15">
        <f>Table50[[#This Row],[ClosingQty]]/Table50[[#This Row],[USAGE / DAY]]</f>
        <v>2.75</v>
      </c>
      <c r="AG298" s="15">
        <f>Table50[[#This Row],[USAGE / DAY]]*7</f>
        <v>0.28000000000000003</v>
      </c>
      <c r="AH298" s="15">
        <f>Table50[[#This Row],[USAGE / DAY]]*3</f>
        <v>0.12</v>
      </c>
      <c r="AI298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0.29000000000000004</v>
      </c>
      <c r="AJ298" s="15">
        <f>IFERROR(Table50[[#This Row],[ORDER QTY2]]*Table50[[#This Row],[COST PRICE]],0)</f>
        <v>13.519272727272726</v>
      </c>
      <c r="AK298" s="15">
        <f>(Table50[[#This Row],[REORDER POINT]]*Table50[[#This Row],[COST PRICE]])+Table50[[#This Row],[ORDER COST]]</f>
        <v>42.42254545454545</v>
      </c>
      <c r="AL298" s="15">
        <f t="shared" si="14"/>
        <v>100</v>
      </c>
      <c r="AM298" s="15">
        <f>IFERROR((Table50[[#This Row],[REORDER POINT]]+Table50[[#This Row],[ORDER QTY]])/(Table50[[#This Row],[USAGE / DAY]]*Table50[[#This Row],[DEMAND %]]),Table50[[#This Row],[REORDER POINT]]/Table50[[#This Row],[USAGE / DAY]])</f>
        <v>0.22750000000000001</v>
      </c>
    </row>
    <row r="299" spans="1:39" x14ac:dyDescent="0.25">
      <c r="A299" t="s">
        <v>324</v>
      </c>
      <c r="B299" t="s">
        <v>391</v>
      </c>
      <c r="C299" t="s">
        <v>400</v>
      </c>
      <c r="D299" t="s">
        <v>126</v>
      </c>
      <c r="E299">
        <v>3</v>
      </c>
      <c r="F299">
        <v>702</v>
      </c>
      <c r="G299">
        <v>0</v>
      </c>
      <c r="H299">
        <v>0</v>
      </c>
      <c r="I299">
        <v>1.66</v>
      </c>
      <c r="J299">
        <v>388.44</v>
      </c>
      <c r="K299">
        <f>Table50[[#This Row],[OpeningQty]]+Table50[[#This Row],[PurchasesQty]]-Table50[[#This Row],[ClosingQty]]</f>
        <v>1.34</v>
      </c>
      <c r="L299">
        <v>313.56</v>
      </c>
      <c r="M299" s="14">
        <f>Table50[[#This Row],[Usage]]/$L$1</f>
        <v>4.7623473834427777E-4</v>
      </c>
      <c r="N299" s="15">
        <f>IFERROR(Table50[[#This Row],[Opening]]/Table50[[#This Row],[OpeningQty]],0)</f>
        <v>234</v>
      </c>
      <c r="O299" s="15">
        <f>IFERROR(Table50[[#This Row],[Purchases]]/Table50[[#This Row],[PurchasesQty]],0)</f>
        <v>0</v>
      </c>
      <c r="P299" s="15">
        <f>IFERROR(Table50[[#This Row],[Closing]]/Table50[[#This Row],[ClosingQty]],0)</f>
        <v>234</v>
      </c>
      <c r="Q299" s="15">
        <f>IFERROR(AVERAGEIF(Table50[[#This Row],[OPENING COST PRICE]:[CLOSING COST PRICE]],"&gt;0"),0)</f>
        <v>234</v>
      </c>
      <c r="R299" s="15">
        <f>IFERROR(Table50[[#This Row],[COST PRICE]]-IFERROR(Table50[[#This Row],[Usage]]/Table50[[#This Row],[UsageQty]],Table50[[#This Row],[COST PRICE]]),0)</f>
        <v>0</v>
      </c>
      <c r="S299" s="16">
        <f>IFERROR(Table50[[#This Row],[COST PRICE CHANGE]]/Table50[[#This Row],[OPENING COST PRICE]],0)</f>
        <v>0</v>
      </c>
      <c r="T299" s="15">
        <f>Table50[[#This Row],[ClosingQty]]-(Table50[[#This Row],[USAGE / DAY]]*(IF(Table50[[#This Row],[ccnt]]="BEV",Table50[[#This Row],[DELIVERY DAY]],Table50[[#This Row],[DELIVERY DAY]])))</f>
        <v>1.1599999999999999</v>
      </c>
      <c r="U299" s="15">
        <f>ROUNDUP(Table50[[#This Row],[UsageQty]]/Table50[[#This Row],[DATA POINT]],2)</f>
        <v>9.9999999999999992E-2</v>
      </c>
      <c r="V29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299" s="15">
        <f>IFERROR(Table50[[#This Row],[ORDER QTY]]*Table50[[#This Row],[COST PRICE]],0)</f>
        <v>0</v>
      </c>
      <c r="X299" s="15">
        <f>IFERROR(VLOOKUP(C299,[1]!Table49[[#All],[name]:[USAGE / DAY]],19,FALSE),1)</f>
        <v>6.9999999999999993E-2</v>
      </c>
      <c r="Y299" s="4">
        <f>IFERROR((Table50[[#This Row],[USAGE / DAY]]-Table50[[#This Row],[USAGE / DAY 2]])/Table50[[#This Row],[USAGE / DAY 2]],0)</f>
        <v>0.4285714285714286</v>
      </c>
      <c r="Z299" s="15">
        <f t="shared" si="12"/>
        <v>14</v>
      </c>
      <c r="AA299" s="15">
        <f t="shared" si="13"/>
        <v>9.311854181734148</v>
      </c>
      <c r="AB299" s="15">
        <f>IFERROR(IF(Table50[[#This Row],[ccnt]]="BEV",$AB$2,IF(Table50[[#This Row],[ccnt]]="FOOD",$AC$2,"ENTER # FROM LAST COUNT")),"ENTER # FROM LAST COUNT")</f>
        <v>5</v>
      </c>
      <c r="AC299" s="15">
        <f>(Table50[[#This Row],[OpeningQty]]+Table50[[#This Row],[ClosingQty]])/2</f>
        <v>2.33</v>
      </c>
      <c r="AD299" s="15">
        <f>IFERROR(Table50[[#This Row],[UsageQty]]/Table50[[#This Row],[AVE INVENTORY]],0)</f>
        <v>0.57510729613733902</v>
      </c>
      <c r="AE299" s="15">
        <f>IFERROR(Table50[[#This Row],[DATA POINT]]/Table50[[#This Row],[Inventory Turnover Rate]],0)</f>
        <v>24.343283582089555</v>
      </c>
      <c r="AF299" s="15">
        <f>Table50[[#This Row],[ClosingQty]]/Table50[[#This Row],[USAGE / DAY]]</f>
        <v>16.600000000000001</v>
      </c>
      <c r="AG299" s="15">
        <f>Table50[[#This Row],[USAGE / DAY]]*7</f>
        <v>0.7</v>
      </c>
      <c r="AH299" s="15">
        <f>Table50[[#This Row],[USAGE / DAY]]*3</f>
        <v>0.3</v>
      </c>
      <c r="AI29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299" s="15">
        <f>IFERROR(Table50[[#This Row],[ORDER QTY2]]*Table50[[#This Row],[COST PRICE]],0)</f>
        <v>0</v>
      </c>
      <c r="AK299" s="15">
        <f>(Table50[[#This Row],[REORDER POINT]]*Table50[[#This Row],[COST PRICE]])+Table50[[#This Row],[ORDER COST]]</f>
        <v>271.44</v>
      </c>
      <c r="AL299" s="15">
        <f t="shared" si="14"/>
        <v>100</v>
      </c>
      <c r="AM299" s="15">
        <f>IFERROR((Table50[[#This Row],[REORDER POINT]]+Table50[[#This Row],[ORDER QTY]])/(Table50[[#This Row],[USAGE / DAY]]*Table50[[#This Row],[DEMAND %]]),Table50[[#This Row],[REORDER POINT]]/Table50[[#This Row],[USAGE / DAY]])</f>
        <v>11.6</v>
      </c>
    </row>
    <row r="300" spans="1:39" x14ac:dyDescent="0.25">
      <c r="A300" t="s">
        <v>324</v>
      </c>
      <c r="B300" t="s">
        <v>391</v>
      </c>
      <c r="C300" t="s">
        <v>401</v>
      </c>
      <c r="D300" t="s">
        <v>126</v>
      </c>
      <c r="E300">
        <v>2.2000000000000002</v>
      </c>
      <c r="F300">
        <v>12.43</v>
      </c>
      <c r="G300">
        <v>0</v>
      </c>
      <c r="H300">
        <v>0</v>
      </c>
      <c r="I300">
        <v>4.68</v>
      </c>
      <c r="J300">
        <v>26.44</v>
      </c>
      <c r="K300">
        <f>Table50[[#This Row],[OpeningQty]]+Table50[[#This Row],[PurchasesQty]]-Table50[[#This Row],[ClosingQty]]</f>
        <v>-2.4799999999999995</v>
      </c>
      <c r="L300">
        <v>-14.01</v>
      </c>
      <c r="M300" s="14">
        <f>Table50[[#This Row],[Usage]]/$L$1</f>
        <v>-2.1278379526098135E-5</v>
      </c>
      <c r="N300" s="15">
        <f>IFERROR(Table50[[#This Row],[Opening]]/Table50[[#This Row],[OpeningQty]],0)</f>
        <v>5.6499999999999995</v>
      </c>
      <c r="O300" s="15">
        <f>IFERROR(Table50[[#This Row],[Purchases]]/Table50[[#This Row],[PurchasesQty]],0)</f>
        <v>0</v>
      </c>
      <c r="P300" s="15">
        <f>IFERROR(Table50[[#This Row],[Closing]]/Table50[[#This Row],[ClosingQty]],0)</f>
        <v>5.6495726495726499</v>
      </c>
      <c r="Q300" s="15">
        <f>IFERROR(AVERAGEIF(Table50[[#This Row],[OPENING COST PRICE]:[CLOSING COST PRICE]],"&gt;0"),0)</f>
        <v>5.6497863247863247</v>
      </c>
      <c r="R300" s="15">
        <f>IFERROR(Table50[[#This Row],[COST PRICE]]-IFERROR(Table50[[#This Row],[Usage]]/Table50[[#This Row],[UsageQty]],Table50[[#This Row],[COST PRICE]]),0)</f>
        <v>5.9277639922683534E-4</v>
      </c>
      <c r="S300" s="16">
        <f>IFERROR(Table50[[#This Row],[COST PRICE CHANGE]]/Table50[[#This Row],[OPENING COST PRICE]],0)</f>
        <v>1.0491617685430716E-4</v>
      </c>
      <c r="T300" s="15">
        <f>Table50[[#This Row],[ClosingQty]]-(Table50[[#This Row],[USAGE / DAY]]*(IF(Table50[[#This Row],[ccnt]]="BEV",Table50[[#This Row],[DELIVERY DAY]],Table50[[#This Row],[DELIVERY DAY]])))</f>
        <v>5.58</v>
      </c>
      <c r="U300" s="15">
        <f>ROUNDUP(Table50[[#This Row],[UsageQty]]/Table50[[#This Row],[DATA POINT]],2)</f>
        <v>-0.18000000000000002</v>
      </c>
      <c r="V30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00" s="15">
        <f>IFERROR(Table50[[#This Row],[ORDER QTY]]*Table50[[#This Row],[COST PRICE]],0)</f>
        <v>0</v>
      </c>
      <c r="X300" s="15">
        <f>IFERROR(VLOOKUP(C300,[1]!Table49[[#All],[name]:[USAGE / DAY]],19,FALSE),1)</f>
        <v>0.04</v>
      </c>
      <c r="Y300" s="4">
        <f>IFERROR((Table50[[#This Row],[USAGE / DAY]]-Table50[[#This Row],[USAGE / DAY 2]])/Table50[[#This Row],[USAGE / DAY 2]],0)</f>
        <v>-5.5000000000000009</v>
      </c>
      <c r="Z300" s="15">
        <f t="shared" si="12"/>
        <v>14</v>
      </c>
      <c r="AA300" s="15">
        <f t="shared" si="13"/>
        <v>9.311854181734148</v>
      </c>
      <c r="AB300" s="15">
        <f>IFERROR(IF(Table50[[#This Row],[ccnt]]="BEV",$AB$2,IF(Table50[[#This Row],[ccnt]]="FOOD",$AC$2,"ENTER # FROM LAST COUNT")),"ENTER # FROM LAST COUNT")</f>
        <v>5</v>
      </c>
      <c r="AC300" s="15">
        <f>(Table50[[#This Row],[OpeningQty]]+Table50[[#This Row],[ClosingQty]])/2</f>
        <v>3.44</v>
      </c>
      <c r="AD300" s="15">
        <f>IFERROR(Table50[[#This Row],[UsageQty]]/Table50[[#This Row],[AVE INVENTORY]],0)</f>
        <v>-0.72093023255813937</v>
      </c>
      <c r="AE300" s="15">
        <f>IFERROR(Table50[[#This Row],[DATA POINT]]/Table50[[#This Row],[Inventory Turnover Rate]],0)</f>
        <v>-19.419354838709683</v>
      </c>
      <c r="AF300" s="15">
        <f>Table50[[#This Row],[ClosingQty]]/Table50[[#This Row],[USAGE / DAY]]</f>
        <v>-25.999999999999996</v>
      </c>
      <c r="AG300" s="15">
        <f>Table50[[#This Row],[USAGE / DAY]]*7</f>
        <v>-1.2600000000000002</v>
      </c>
      <c r="AH300" s="15">
        <f>Table50[[#This Row],[USAGE / DAY]]*3</f>
        <v>-0.54</v>
      </c>
      <c r="AI30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00" s="15">
        <f>IFERROR(Table50[[#This Row],[ORDER QTY2]]*Table50[[#This Row],[COST PRICE]],0)</f>
        <v>0</v>
      </c>
      <c r="AK300" s="15">
        <f>(Table50[[#This Row],[REORDER POINT]]*Table50[[#This Row],[COST PRICE]])+Table50[[#This Row],[ORDER COST]]</f>
        <v>31.525807692307691</v>
      </c>
      <c r="AL300" s="15">
        <f t="shared" si="14"/>
        <v>100</v>
      </c>
      <c r="AM300" s="15">
        <f>IFERROR((Table50[[#This Row],[REORDER POINT]]+Table50[[#This Row],[ORDER QTY]])/(Table50[[#This Row],[USAGE / DAY]]*Table50[[#This Row],[DEMAND %]]),Table50[[#This Row],[REORDER POINT]]/Table50[[#This Row],[USAGE / DAY]])</f>
        <v>-30.999999999999996</v>
      </c>
    </row>
    <row r="301" spans="1:39" x14ac:dyDescent="0.25">
      <c r="A301" t="s">
        <v>324</v>
      </c>
      <c r="B301" t="s">
        <v>391</v>
      </c>
      <c r="C301" t="s">
        <v>402</v>
      </c>
      <c r="D301" t="s">
        <v>126</v>
      </c>
      <c r="E301">
        <v>4</v>
      </c>
      <c r="F301">
        <v>28.52</v>
      </c>
      <c r="G301">
        <v>0</v>
      </c>
      <c r="H301">
        <v>0</v>
      </c>
      <c r="I301">
        <v>0.19</v>
      </c>
      <c r="J301">
        <v>1.35</v>
      </c>
      <c r="K301">
        <f>Table50[[#This Row],[OpeningQty]]+Table50[[#This Row],[PurchasesQty]]-Table50[[#This Row],[ClosingQty]]</f>
        <v>3.81</v>
      </c>
      <c r="L301">
        <v>27.17</v>
      </c>
      <c r="M301" s="14">
        <f>Table50[[#This Row],[Usage]]/$L$1</f>
        <v>4.1265779566315945E-5</v>
      </c>
      <c r="N301" s="15">
        <f>IFERROR(Table50[[#This Row],[Opening]]/Table50[[#This Row],[OpeningQty]],0)</f>
        <v>7.13</v>
      </c>
      <c r="O301" s="15">
        <f>IFERROR(Table50[[#This Row],[Purchases]]/Table50[[#This Row],[PurchasesQty]],0)</f>
        <v>0</v>
      </c>
      <c r="P301" s="15">
        <f>IFERROR(Table50[[#This Row],[Closing]]/Table50[[#This Row],[ClosingQty]],0)</f>
        <v>7.1052631578947372</v>
      </c>
      <c r="Q301" s="15">
        <f>IFERROR(AVERAGEIF(Table50[[#This Row],[OPENING COST PRICE]:[CLOSING COST PRICE]],"&gt;0"),0)</f>
        <v>7.1176315789473685</v>
      </c>
      <c r="R301" s="15">
        <f>IFERROR(Table50[[#This Row],[COST PRICE]]-IFERROR(Table50[[#This Row],[Usage]]/Table50[[#This Row],[UsageQty]],Table50[[#This Row],[COST PRICE]]),0)</f>
        <v>-1.3602016853156762E-2</v>
      </c>
      <c r="S301" s="16">
        <f>IFERROR(Table50[[#This Row],[COST PRICE CHANGE]]/Table50[[#This Row],[OPENING COST PRICE]],0)</f>
        <v>-1.9077162486895881E-3</v>
      </c>
      <c r="T301" s="15">
        <f>Table50[[#This Row],[ClosingQty]]-(Table50[[#This Row],[USAGE / DAY]]*(IF(Table50[[#This Row],[ccnt]]="BEV",Table50[[#This Row],[DELIVERY DAY]],Table50[[#This Row],[DELIVERY DAY]])))</f>
        <v>-1.2100000000000002</v>
      </c>
      <c r="U301" s="15">
        <f>ROUNDUP(Table50[[#This Row],[UsageQty]]/Table50[[#This Row],[DATA POINT]],2)</f>
        <v>0.28000000000000003</v>
      </c>
      <c r="V30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301" s="15">
        <f>IFERROR(Table50[[#This Row],[ORDER QTY]]*Table50[[#This Row],[COST PRICE]],0)</f>
        <v>28.470526315789474</v>
      </c>
      <c r="X301" s="15">
        <f>IFERROR(VLOOKUP(C301,[1]!Table49[[#All],[name]:[USAGE / DAY]],19,FALSE),1)</f>
        <v>0.01</v>
      </c>
      <c r="Y301" s="4">
        <f>IFERROR((Table50[[#This Row],[USAGE / DAY]]-Table50[[#This Row],[USAGE / DAY 2]])/Table50[[#This Row],[USAGE / DAY 2]],0)</f>
        <v>27</v>
      </c>
      <c r="Z301" s="15">
        <f t="shared" si="12"/>
        <v>14</v>
      </c>
      <c r="AA301" s="15">
        <f t="shared" si="13"/>
        <v>9.311854181734148</v>
      </c>
      <c r="AB301" s="15">
        <f>IFERROR(IF(Table50[[#This Row],[ccnt]]="BEV",$AB$2,IF(Table50[[#This Row],[ccnt]]="FOOD",$AC$2,"ENTER # FROM LAST COUNT")),"ENTER # FROM LAST COUNT")</f>
        <v>5</v>
      </c>
      <c r="AC301" s="15">
        <f>(Table50[[#This Row],[OpeningQty]]+Table50[[#This Row],[ClosingQty]])/2</f>
        <v>2.0950000000000002</v>
      </c>
      <c r="AD301" s="15">
        <f>IFERROR(Table50[[#This Row],[UsageQty]]/Table50[[#This Row],[AVE INVENTORY]],0)</f>
        <v>1.8186157517899759</v>
      </c>
      <c r="AE301" s="15">
        <f>IFERROR(Table50[[#This Row],[DATA POINT]]/Table50[[#This Row],[Inventory Turnover Rate]],0)</f>
        <v>7.6981627296587938</v>
      </c>
      <c r="AF301" s="15">
        <f>Table50[[#This Row],[ClosingQty]]/Table50[[#This Row],[USAGE / DAY]]</f>
        <v>0.67857142857142849</v>
      </c>
      <c r="AG301" s="15">
        <f>Table50[[#This Row],[USAGE / DAY]]*7</f>
        <v>1.9600000000000002</v>
      </c>
      <c r="AH301" s="15">
        <f>Table50[[#This Row],[USAGE / DAY]]*3</f>
        <v>0.84000000000000008</v>
      </c>
      <c r="AI301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2.6100000000000003</v>
      </c>
      <c r="AJ301" s="15">
        <f>IFERROR(Table50[[#This Row],[ORDER QTY2]]*Table50[[#This Row],[COST PRICE]],0)</f>
        <v>18.577018421052635</v>
      </c>
      <c r="AK301" s="15">
        <f>(Table50[[#This Row],[REORDER POINT]]*Table50[[#This Row],[COST PRICE]])+Table50[[#This Row],[ORDER COST]]</f>
        <v>19.858192105263157</v>
      </c>
      <c r="AL301" s="15">
        <f t="shared" si="14"/>
        <v>100</v>
      </c>
      <c r="AM301" s="15">
        <f>IFERROR((Table50[[#This Row],[REORDER POINT]]+Table50[[#This Row],[ORDER QTY]])/(Table50[[#This Row],[USAGE / DAY]]*Table50[[#This Row],[DEMAND %]]),Table50[[#This Row],[REORDER POINT]]/Table50[[#This Row],[USAGE / DAY]])</f>
        <v>9.964285714285713E-2</v>
      </c>
    </row>
    <row r="302" spans="1:39" x14ac:dyDescent="0.25">
      <c r="A302" t="s">
        <v>324</v>
      </c>
      <c r="B302" t="s">
        <v>391</v>
      </c>
      <c r="C302" t="s">
        <v>403</v>
      </c>
      <c r="D302" t="s">
        <v>126</v>
      </c>
      <c r="E302">
        <v>12.87</v>
      </c>
      <c r="F302">
        <v>939.51</v>
      </c>
      <c r="G302">
        <v>0</v>
      </c>
      <c r="H302">
        <v>0</v>
      </c>
      <c r="I302">
        <v>9.85</v>
      </c>
      <c r="J302">
        <v>719.05</v>
      </c>
      <c r="K302">
        <f>Table50[[#This Row],[OpeningQty]]+Table50[[#This Row],[PurchasesQty]]-Table50[[#This Row],[ClosingQty]]</f>
        <v>3.0199999999999996</v>
      </c>
      <c r="L302">
        <v>220.46</v>
      </c>
      <c r="M302" s="14">
        <f>Table50[[#This Row],[Usage]]/$L$1</f>
        <v>3.3483451465550289E-4</v>
      </c>
      <c r="N302" s="15">
        <f>IFERROR(Table50[[#This Row],[Opening]]/Table50[[#This Row],[OpeningQty]],0)</f>
        <v>73</v>
      </c>
      <c r="O302" s="15">
        <f>IFERROR(Table50[[#This Row],[Purchases]]/Table50[[#This Row],[PurchasesQty]],0)</f>
        <v>0</v>
      </c>
      <c r="P302" s="15">
        <f>IFERROR(Table50[[#This Row],[Closing]]/Table50[[#This Row],[ClosingQty]],0)</f>
        <v>73</v>
      </c>
      <c r="Q302" s="15">
        <f>IFERROR(AVERAGEIF(Table50[[#This Row],[OPENING COST PRICE]:[CLOSING COST PRICE]],"&gt;0"),0)</f>
        <v>73</v>
      </c>
      <c r="R302" s="15">
        <f>IFERROR(Table50[[#This Row],[COST PRICE]]-IFERROR(Table50[[#This Row],[Usage]]/Table50[[#This Row],[UsageQty]],Table50[[#This Row],[COST PRICE]]),0)</f>
        <v>-1.4210854715202004E-14</v>
      </c>
      <c r="S302" s="16">
        <f>IFERROR(Table50[[#This Row],[COST PRICE CHANGE]]/Table50[[#This Row],[OPENING COST PRICE]],0)</f>
        <v>-1.9466924267400004E-16</v>
      </c>
      <c r="T302" s="15">
        <f>Table50[[#This Row],[ClosingQty]]-(Table50[[#This Row],[USAGE / DAY]]*(IF(Table50[[#This Row],[ccnt]]="BEV",Table50[[#This Row],[DELIVERY DAY]],Table50[[#This Row],[DELIVERY DAY]])))</f>
        <v>8.75</v>
      </c>
      <c r="U302" s="15">
        <f>ROUNDUP(Table50[[#This Row],[UsageQty]]/Table50[[#This Row],[DATA POINT]],2)</f>
        <v>0.22</v>
      </c>
      <c r="V30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02" s="15">
        <f>IFERROR(Table50[[#This Row],[ORDER QTY]]*Table50[[#This Row],[COST PRICE]],0)</f>
        <v>0</v>
      </c>
      <c r="X302" s="15">
        <f>IFERROR(VLOOKUP(C302,[1]!Table49[[#All],[name]:[USAGE / DAY]],19,FALSE),1)</f>
        <v>0.48</v>
      </c>
      <c r="Y302" s="4">
        <f>IFERROR((Table50[[#This Row],[USAGE / DAY]]-Table50[[#This Row],[USAGE / DAY 2]])/Table50[[#This Row],[USAGE / DAY 2]],0)</f>
        <v>-0.54166666666666674</v>
      </c>
      <c r="Z302" s="15">
        <f t="shared" si="12"/>
        <v>14</v>
      </c>
      <c r="AA302" s="15">
        <f t="shared" si="13"/>
        <v>9.311854181734148</v>
      </c>
      <c r="AB302" s="15">
        <f>IFERROR(IF(Table50[[#This Row],[ccnt]]="BEV",$AB$2,IF(Table50[[#This Row],[ccnt]]="FOOD",$AC$2,"ENTER # FROM LAST COUNT")),"ENTER # FROM LAST COUNT")</f>
        <v>5</v>
      </c>
      <c r="AC302" s="15">
        <f>(Table50[[#This Row],[OpeningQty]]+Table50[[#This Row],[ClosingQty]])/2</f>
        <v>11.36</v>
      </c>
      <c r="AD302" s="15">
        <f>IFERROR(Table50[[#This Row],[UsageQty]]/Table50[[#This Row],[AVE INVENTORY]],0)</f>
        <v>0.26584507042253519</v>
      </c>
      <c r="AE302" s="15">
        <f>IFERROR(Table50[[#This Row],[DATA POINT]]/Table50[[#This Row],[Inventory Turnover Rate]],0)</f>
        <v>52.662251655629142</v>
      </c>
      <c r="AF302" s="15">
        <f>Table50[[#This Row],[ClosingQty]]/Table50[[#This Row],[USAGE / DAY]]</f>
        <v>44.772727272727273</v>
      </c>
      <c r="AG302" s="15">
        <f>Table50[[#This Row],[USAGE / DAY]]*7</f>
        <v>1.54</v>
      </c>
      <c r="AH302" s="15">
        <f>Table50[[#This Row],[USAGE / DAY]]*3</f>
        <v>0.66</v>
      </c>
      <c r="AI30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02" s="15">
        <f>IFERROR(Table50[[#This Row],[ORDER QTY2]]*Table50[[#This Row],[COST PRICE]],0)</f>
        <v>0</v>
      </c>
      <c r="AK302" s="15">
        <f>(Table50[[#This Row],[REORDER POINT]]*Table50[[#This Row],[COST PRICE]])+Table50[[#This Row],[ORDER COST]]</f>
        <v>638.75</v>
      </c>
      <c r="AL302" s="15">
        <f t="shared" si="14"/>
        <v>100</v>
      </c>
      <c r="AM302" s="15">
        <f>IFERROR((Table50[[#This Row],[REORDER POINT]]+Table50[[#This Row],[ORDER QTY]])/(Table50[[#This Row],[USAGE / DAY]]*Table50[[#This Row],[DEMAND %]]),Table50[[#This Row],[REORDER POINT]]/Table50[[#This Row],[USAGE / DAY]])</f>
        <v>39.772727272727273</v>
      </c>
    </row>
    <row r="303" spans="1:39" x14ac:dyDescent="0.25">
      <c r="A303" t="s">
        <v>324</v>
      </c>
      <c r="B303" t="s">
        <v>391</v>
      </c>
      <c r="C303" t="s">
        <v>404</v>
      </c>
      <c r="D303" t="s">
        <v>126</v>
      </c>
      <c r="E303">
        <v>0</v>
      </c>
      <c r="F303">
        <v>0</v>
      </c>
      <c r="G303">
        <v>5</v>
      </c>
      <c r="H303">
        <v>116.51</v>
      </c>
      <c r="I303">
        <v>0</v>
      </c>
      <c r="J303">
        <v>0</v>
      </c>
      <c r="K303">
        <f>Table50[[#This Row],[OpeningQty]]+Table50[[#This Row],[PurchasesQty]]-Table50[[#This Row],[ClosingQty]]</f>
        <v>5</v>
      </c>
      <c r="L303">
        <v>116.51</v>
      </c>
      <c r="M303" s="14">
        <f>Table50[[#This Row],[Usage]]/$L$1</f>
        <v>1.7695531752931435E-4</v>
      </c>
      <c r="N303" s="15">
        <f>IFERROR(Table50[[#This Row],[Opening]]/Table50[[#This Row],[OpeningQty]],0)</f>
        <v>0</v>
      </c>
      <c r="O303" s="15">
        <f>IFERROR(Table50[[#This Row],[Purchases]]/Table50[[#This Row],[PurchasesQty]],0)</f>
        <v>23.302</v>
      </c>
      <c r="P303" s="15">
        <f>IFERROR(Table50[[#This Row],[Closing]]/Table50[[#This Row],[ClosingQty]],0)</f>
        <v>0</v>
      </c>
      <c r="Q303" s="15">
        <f>IFERROR(AVERAGEIF(Table50[[#This Row],[OPENING COST PRICE]:[CLOSING COST PRICE]],"&gt;0"),0)</f>
        <v>23.302</v>
      </c>
      <c r="R303" s="15">
        <f>IFERROR(Table50[[#This Row],[COST PRICE]]-IFERROR(Table50[[#This Row],[Usage]]/Table50[[#This Row],[UsageQty]],Table50[[#This Row],[COST PRICE]]),0)</f>
        <v>0</v>
      </c>
      <c r="S303" s="16">
        <f>IFERROR(Table50[[#This Row],[COST PRICE CHANGE]]/Table50[[#This Row],[OPENING COST PRICE]],0)</f>
        <v>0</v>
      </c>
      <c r="T303" s="15">
        <f>Table50[[#This Row],[ClosingQty]]-(Table50[[#This Row],[USAGE / DAY]]*(IF(Table50[[#This Row],[ccnt]]="BEV",Table50[[#This Row],[DELIVERY DAY]],Table50[[#This Row],[DELIVERY DAY]])))</f>
        <v>-1.7999999999999998</v>
      </c>
      <c r="U303" s="15">
        <f>ROUNDUP(Table50[[#This Row],[UsageQty]]/Table50[[#This Row],[DATA POINT]],2)</f>
        <v>0.36</v>
      </c>
      <c r="V30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6</v>
      </c>
      <c r="W303" s="15">
        <f>IFERROR(Table50[[#This Row],[ORDER QTY]]*Table50[[#This Row],[COST PRICE]],0)</f>
        <v>139.81200000000001</v>
      </c>
      <c r="X303" s="15">
        <f>IFERROR(VLOOKUP(C303,[1]!Table49[[#All],[name]:[USAGE / DAY]],19,FALSE),1)</f>
        <v>0.34</v>
      </c>
      <c r="Y303" s="4">
        <f>IFERROR((Table50[[#This Row],[USAGE / DAY]]-Table50[[#This Row],[USAGE / DAY 2]])/Table50[[#This Row],[USAGE / DAY 2]],0)</f>
        <v>5.8823529411764594E-2</v>
      </c>
      <c r="Z303" s="15">
        <f t="shared" si="12"/>
        <v>14</v>
      </c>
      <c r="AA303" s="15">
        <f t="shared" si="13"/>
        <v>9.311854181734148</v>
      </c>
      <c r="AB303" s="15">
        <f>IFERROR(IF(Table50[[#This Row],[ccnt]]="BEV",$AB$2,IF(Table50[[#This Row],[ccnt]]="FOOD",$AC$2,"ENTER # FROM LAST COUNT")),"ENTER # FROM LAST COUNT")</f>
        <v>5</v>
      </c>
      <c r="AC303" s="15">
        <f>(Table50[[#This Row],[OpeningQty]]+Table50[[#This Row],[ClosingQty]])/2</f>
        <v>0</v>
      </c>
      <c r="AD303" s="15">
        <f>IFERROR(Table50[[#This Row],[UsageQty]]/Table50[[#This Row],[AVE INVENTORY]],0)</f>
        <v>0</v>
      </c>
      <c r="AE303" s="15">
        <f>IFERROR(Table50[[#This Row],[DATA POINT]]/Table50[[#This Row],[Inventory Turnover Rate]],0)</f>
        <v>0</v>
      </c>
      <c r="AF303" s="15">
        <f>Table50[[#This Row],[ClosingQty]]/Table50[[#This Row],[USAGE / DAY]]</f>
        <v>0</v>
      </c>
      <c r="AG303" s="15">
        <f>Table50[[#This Row],[USAGE / DAY]]*7</f>
        <v>2.52</v>
      </c>
      <c r="AH303" s="15">
        <f>Table50[[#This Row],[USAGE / DAY]]*3</f>
        <v>1.08</v>
      </c>
      <c r="AI303" s="15">
        <f>IF(Table50[[#This Row],[FORECASTED DEMAND]]+Table50[[#This Row],[SAFETY STOCK]]-Table50[[#This Row],[ClosingQty]]&gt;0,Table50[[#This Row],[FORECASTED DEMAND]]+Table50[[#This Row],[SAFETY STOCK]]-Table50[[#This Row],[ClosingQty]],"NO ORDER")</f>
        <v>3.6</v>
      </c>
      <c r="AJ303" s="15">
        <f>IFERROR(Table50[[#This Row],[ORDER QTY2]]*Table50[[#This Row],[COST PRICE]],0)</f>
        <v>83.887200000000007</v>
      </c>
      <c r="AK303" s="15">
        <f>(Table50[[#This Row],[REORDER POINT]]*Table50[[#This Row],[COST PRICE]])+Table50[[#This Row],[ORDER COST]]</f>
        <v>97.868400000000008</v>
      </c>
      <c r="AL303" s="15">
        <f t="shared" si="14"/>
        <v>100</v>
      </c>
      <c r="AM303" s="15">
        <f>IFERROR((Table50[[#This Row],[REORDER POINT]]+Table50[[#This Row],[ORDER QTY]])/(Table50[[#This Row],[USAGE / DAY]]*Table50[[#This Row],[DEMAND %]]),Table50[[#This Row],[REORDER POINT]]/Table50[[#This Row],[USAGE / DAY]])</f>
        <v>0.11666666666666667</v>
      </c>
    </row>
    <row r="304" spans="1:39" x14ac:dyDescent="0.25">
      <c r="A304" t="s">
        <v>324</v>
      </c>
      <c r="B304" t="s">
        <v>405</v>
      </c>
      <c r="C304" t="s">
        <v>406</v>
      </c>
      <c r="D304" t="s">
        <v>126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>Table50[[#This Row],[OpeningQty]]+Table50[[#This Row],[PurchasesQty]]-Table50[[#This Row],[ClosingQty]]</f>
        <v>0</v>
      </c>
      <c r="L304">
        <v>0</v>
      </c>
      <c r="M304" s="14">
        <f>Table50[[#This Row],[Usage]]/$L$1</f>
        <v>0</v>
      </c>
      <c r="N304" s="15">
        <f>IFERROR(Table50[[#This Row],[Opening]]/Table50[[#This Row],[OpeningQty]],0)</f>
        <v>0</v>
      </c>
      <c r="O304" s="15">
        <f>IFERROR(Table50[[#This Row],[Purchases]]/Table50[[#This Row],[PurchasesQty]],0)</f>
        <v>0</v>
      </c>
      <c r="P304" s="15">
        <f>IFERROR(Table50[[#This Row],[Closing]]/Table50[[#This Row],[ClosingQty]],0)</f>
        <v>0</v>
      </c>
      <c r="Q304" s="15">
        <f>IFERROR(AVERAGEIF(Table50[[#This Row],[OPENING COST PRICE]:[CLOSING COST PRICE]],"&gt;0"),0)</f>
        <v>0</v>
      </c>
      <c r="R304" s="15">
        <f>IFERROR(Table50[[#This Row],[COST PRICE]]-IFERROR(Table50[[#This Row],[Usage]]/Table50[[#This Row],[UsageQty]],Table50[[#This Row],[COST PRICE]]),0)</f>
        <v>0</v>
      </c>
      <c r="S304" s="16">
        <f>IFERROR(Table50[[#This Row],[COST PRICE CHANGE]]/Table50[[#This Row],[OPENING COST PRICE]],0)</f>
        <v>0</v>
      </c>
      <c r="T304" s="15">
        <f>Table50[[#This Row],[ClosingQty]]-(Table50[[#This Row],[USAGE / DAY]]*(IF(Table50[[#This Row],[ccnt]]="BEV",Table50[[#This Row],[DELIVERY DAY]],Table50[[#This Row],[DELIVERY DAY]])))</f>
        <v>0</v>
      </c>
      <c r="U304" s="15">
        <f>ROUNDUP(Table50[[#This Row],[UsageQty]]/Table50[[#This Row],[DATA POINT]],2)</f>
        <v>0</v>
      </c>
      <c r="V30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04" s="15">
        <f>IFERROR(Table50[[#This Row],[ORDER QTY]]*Table50[[#This Row],[COST PRICE]],0)</f>
        <v>0</v>
      </c>
      <c r="X304" s="15">
        <f>IFERROR(VLOOKUP(C304,[1]!Table49[[#All],[name]:[USAGE / DAY]],19,FALSE),1)</f>
        <v>0</v>
      </c>
      <c r="Y304" s="4">
        <f>IFERROR((Table50[[#This Row],[USAGE / DAY]]-Table50[[#This Row],[USAGE / DAY 2]])/Table50[[#This Row],[USAGE / DAY 2]],0)</f>
        <v>0</v>
      </c>
      <c r="Z304" s="15">
        <f t="shared" si="12"/>
        <v>14</v>
      </c>
      <c r="AA304" s="15">
        <f t="shared" si="13"/>
        <v>9.311854181734148</v>
      </c>
      <c r="AB304" s="15">
        <f>IFERROR(IF(Table50[[#This Row],[ccnt]]="BEV",$AB$2,IF(Table50[[#This Row],[ccnt]]="FOOD",$AC$2,"ENTER # FROM LAST COUNT")),"ENTER # FROM LAST COUNT")</f>
        <v>5</v>
      </c>
      <c r="AC304" s="15">
        <f>(Table50[[#This Row],[OpeningQty]]+Table50[[#This Row],[ClosingQty]])/2</f>
        <v>0</v>
      </c>
      <c r="AD304" s="15">
        <f>IFERROR(Table50[[#This Row],[UsageQty]]/Table50[[#This Row],[AVE INVENTORY]],0)</f>
        <v>0</v>
      </c>
      <c r="AE304" s="15">
        <f>IFERROR(Table50[[#This Row],[DATA POINT]]/Table50[[#This Row],[Inventory Turnover Rate]],0)</f>
        <v>0</v>
      </c>
      <c r="AF304" s="15" t="e">
        <f>Table50[[#This Row],[ClosingQty]]/Table50[[#This Row],[USAGE / DAY]]</f>
        <v>#DIV/0!</v>
      </c>
      <c r="AG304" s="15">
        <f>Table50[[#This Row],[USAGE / DAY]]*7</f>
        <v>0</v>
      </c>
      <c r="AH304" s="15">
        <f>Table50[[#This Row],[USAGE / DAY]]*3</f>
        <v>0</v>
      </c>
      <c r="AI30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04" s="15">
        <f>IFERROR(Table50[[#This Row],[ORDER QTY2]]*Table50[[#This Row],[COST PRICE]],0)</f>
        <v>0</v>
      </c>
      <c r="AK304" s="15">
        <f>(Table50[[#This Row],[REORDER POINT]]*Table50[[#This Row],[COST PRICE]])+Table50[[#This Row],[ORDER COST]]</f>
        <v>0</v>
      </c>
      <c r="AL304" s="15">
        <f t="shared" si="14"/>
        <v>100</v>
      </c>
      <c r="AM304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05" spans="1:39" x14ac:dyDescent="0.25">
      <c r="A305" t="s">
        <v>324</v>
      </c>
      <c r="B305" t="s">
        <v>405</v>
      </c>
      <c r="C305" t="s">
        <v>407</v>
      </c>
      <c r="D305" t="s">
        <v>53</v>
      </c>
      <c r="E305">
        <v>0</v>
      </c>
      <c r="F305">
        <v>0</v>
      </c>
      <c r="G305">
        <v>0</v>
      </c>
      <c r="H305">
        <v>0</v>
      </c>
      <c r="I305">
        <v>61</v>
      </c>
      <c r="J305">
        <v>597.79999999999995</v>
      </c>
      <c r="K305">
        <f>Table50[[#This Row],[OpeningQty]]+Table50[[#This Row],[PurchasesQty]]-Table50[[#This Row],[ClosingQty]]</f>
        <v>-61</v>
      </c>
      <c r="L305">
        <v>-597.79999999999995</v>
      </c>
      <c r="M305" s="14">
        <f>Table50[[#This Row],[Usage]]/$L$1</f>
        <v>-9.0793827842265988E-4</v>
      </c>
      <c r="N305" s="15">
        <f>IFERROR(Table50[[#This Row],[Opening]]/Table50[[#This Row],[OpeningQty]],0)</f>
        <v>0</v>
      </c>
      <c r="O305" s="15">
        <f>IFERROR(Table50[[#This Row],[Purchases]]/Table50[[#This Row],[PurchasesQty]],0)</f>
        <v>0</v>
      </c>
      <c r="P305" s="15">
        <f>IFERROR(Table50[[#This Row],[Closing]]/Table50[[#This Row],[ClosingQty]],0)</f>
        <v>9.7999999999999989</v>
      </c>
      <c r="Q305" s="15">
        <f>IFERROR(AVERAGEIF(Table50[[#This Row],[OPENING COST PRICE]:[CLOSING COST PRICE]],"&gt;0"),0)</f>
        <v>9.7999999999999989</v>
      </c>
      <c r="R305" s="15">
        <f>IFERROR(Table50[[#This Row],[COST PRICE]]-IFERROR(Table50[[#This Row],[Usage]]/Table50[[#This Row],[UsageQty]],Table50[[#This Row],[COST PRICE]]),0)</f>
        <v>0</v>
      </c>
      <c r="S305" s="16">
        <f>IFERROR(Table50[[#This Row],[COST PRICE CHANGE]]/Table50[[#This Row],[OPENING COST PRICE]],0)</f>
        <v>0</v>
      </c>
      <c r="T305" s="15">
        <f>Table50[[#This Row],[ClosingQty]]-(Table50[[#This Row],[USAGE / DAY]]*(IF(Table50[[#This Row],[ccnt]]="BEV",Table50[[#This Row],[DELIVERY DAY]],Table50[[#This Row],[DELIVERY DAY]])))</f>
        <v>82.8</v>
      </c>
      <c r="U305" s="15">
        <f>ROUNDUP(Table50[[#This Row],[UsageQty]]/Table50[[#This Row],[DATA POINT]],2)</f>
        <v>-4.3599999999999994</v>
      </c>
      <c r="V30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05" s="15">
        <f>IFERROR(Table50[[#This Row],[ORDER QTY]]*Table50[[#This Row],[COST PRICE]],0)</f>
        <v>0</v>
      </c>
      <c r="X305" s="15">
        <f>IFERROR(VLOOKUP(C305,[1]!Table49[[#All],[name]:[USAGE / DAY]],19,FALSE),1)</f>
        <v>-3.34</v>
      </c>
      <c r="Y305" s="4">
        <f>IFERROR((Table50[[#This Row],[USAGE / DAY]]-Table50[[#This Row],[USAGE / DAY 2]])/Table50[[#This Row],[USAGE / DAY 2]],0)</f>
        <v>0.30538922155688614</v>
      </c>
      <c r="Z305" s="15">
        <f t="shared" si="12"/>
        <v>14</v>
      </c>
      <c r="AA305" s="15">
        <f t="shared" si="13"/>
        <v>9.311854181734148</v>
      </c>
      <c r="AB305" s="15">
        <f>IFERROR(IF(Table50[[#This Row],[ccnt]]="BEV",$AB$2,IF(Table50[[#This Row],[ccnt]]="FOOD",$AC$2,"ENTER # FROM LAST COUNT")),"ENTER # FROM LAST COUNT")</f>
        <v>5</v>
      </c>
      <c r="AC305" s="15">
        <f>(Table50[[#This Row],[OpeningQty]]+Table50[[#This Row],[ClosingQty]])/2</f>
        <v>30.5</v>
      </c>
      <c r="AD305" s="15">
        <f>IFERROR(Table50[[#This Row],[UsageQty]]/Table50[[#This Row],[AVE INVENTORY]],0)</f>
        <v>-2</v>
      </c>
      <c r="AE305" s="15">
        <f>IFERROR(Table50[[#This Row],[DATA POINT]]/Table50[[#This Row],[Inventory Turnover Rate]],0)</f>
        <v>-7</v>
      </c>
      <c r="AF305" s="15">
        <f>Table50[[#This Row],[ClosingQty]]/Table50[[#This Row],[USAGE / DAY]]</f>
        <v>-13.990825688073397</v>
      </c>
      <c r="AG305" s="15">
        <f>Table50[[#This Row],[USAGE / DAY]]*7</f>
        <v>-30.519999999999996</v>
      </c>
      <c r="AH305" s="15">
        <f>Table50[[#This Row],[USAGE / DAY]]*3</f>
        <v>-13.079999999999998</v>
      </c>
      <c r="AI30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05" s="15">
        <f>IFERROR(Table50[[#This Row],[ORDER QTY2]]*Table50[[#This Row],[COST PRICE]],0)</f>
        <v>0</v>
      </c>
      <c r="AK305" s="15">
        <f>(Table50[[#This Row],[REORDER POINT]]*Table50[[#This Row],[COST PRICE]])+Table50[[#This Row],[ORDER COST]]</f>
        <v>811.43999999999983</v>
      </c>
      <c r="AL305" s="15">
        <f t="shared" si="14"/>
        <v>100</v>
      </c>
      <c r="AM305" s="15">
        <f>IFERROR((Table50[[#This Row],[REORDER POINT]]+Table50[[#This Row],[ORDER QTY]])/(Table50[[#This Row],[USAGE / DAY]]*Table50[[#This Row],[DEMAND %]]),Table50[[#This Row],[REORDER POINT]]/Table50[[#This Row],[USAGE / DAY]])</f>
        <v>-18.990825688073397</v>
      </c>
    </row>
    <row r="306" spans="1:39" x14ac:dyDescent="0.25">
      <c r="A306" t="s">
        <v>324</v>
      </c>
      <c r="B306" t="s">
        <v>405</v>
      </c>
      <c r="C306" t="s">
        <v>408</v>
      </c>
      <c r="D306" t="s">
        <v>53</v>
      </c>
      <c r="E306">
        <v>75</v>
      </c>
      <c r="F306">
        <v>1687.5</v>
      </c>
      <c r="G306">
        <v>0</v>
      </c>
      <c r="H306">
        <v>0</v>
      </c>
      <c r="I306">
        <v>75</v>
      </c>
      <c r="J306">
        <v>1410</v>
      </c>
      <c r="K306">
        <f>Table50[[#This Row],[OpeningQty]]+Table50[[#This Row],[PurchasesQty]]-Table50[[#This Row],[ClosingQty]]</f>
        <v>0</v>
      </c>
      <c r="L306">
        <v>277.5</v>
      </c>
      <c r="M306" s="14">
        <f>Table50[[#This Row],[Usage]]/$L$1</f>
        <v>4.2146683215504876E-4</v>
      </c>
      <c r="N306" s="15">
        <f>IFERROR(Table50[[#This Row],[Opening]]/Table50[[#This Row],[OpeningQty]],0)</f>
        <v>22.5</v>
      </c>
      <c r="O306" s="15">
        <f>IFERROR(Table50[[#This Row],[Purchases]]/Table50[[#This Row],[PurchasesQty]],0)</f>
        <v>0</v>
      </c>
      <c r="P306" s="15">
        <f>IFERROR(Table50[[#This Row],[Closing]]/Table50[[#This Row],[ClosingQty]],0)</f>
        <v>18.8</v>
      </c>
      <c r="Q306" s="15">
        <f>IFERROR(AVERAGEIF(Table50[[#This Row],[OPENING COST PRICE]:[CLOSING COST PRICE]],"&gt;0"),0)</f>
        <v>20.65</v>
      </c>
      <c r="R306" s="15">
        <f>IFERROR(Table50[[#This Row],[COST PRICE]]-IFERROR(Table50[[#This Row],[Usage]]/Table50[[#This Row],[UsageQty]],Table50[[#This Row],[COST PRICE]]),0)</f>
        <v>0</v>
      </c>
      <c r="S306" s="16">
        <f>IFERROR(Table50[[#This Row],[COST PRICE CHANGE]]/Table50[[#This Row],[OPENING COST PRICE]],0)</f>
        <v>0</v>
      </c>
      <c r="T306" s="15">
        <f>Table50[[#This Row],[ClosingQty]]-(Table50[[#This Row],[USAGE / DAY]]*(IF(Table50[[#This Row],[ccnt]]="BEV",Table50[[#This Row],[DELIVERY DAY]],Table50[[#This Row],[DELIVERY DAY]])))</f>
        <v>75</v>
      </c>
      <c r="U306" s="15">
        <f>ROUNDUP(Table50[[#This Row],[UsageQty]]/Table50[[#This Row],[DATA POINT]],2)</f>
        <v>0</v>
      </c>
      <c r="V30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06" s="15">
        <f>IFERROR(Table50[[#This Row],[ORDER QTY]]*Table50[[#This Row],[COST PRICE]],0)</f>
        <v>0</v>
      </c>
      <c r="X306" s="15">
        <f>IFERROR(VLOOKUP(C306,[1]!Table49[[#All],[name]:[USAGE / DAY]],19,FALSE),1)</f>
        <v>6.9999999999999993E-2</v>
      </c>
      <c r="Y306" s="4">
        <f>IFERROR((Table50[[#This Row],[USAGE / DAY]]-Table50[[#This Row],[USAGE / DAY 2]])/Table50[[#This Row],[USAGE / DAY 2]],0)</f>
        <v>-1</v>
      </c>
      <c r="Z306" s="15">
        <f t="shared" si="12"/>
        <v>14</v>
      </c>
      <c r="AA306" s="15">
        <f t="shared" si="13"/>
        <v>9.311854181734148</v>
      </c>
      <c r="AB306" s="15">
        <f>IFERROR(IF(Table50[[#This Row],[ccnt]]="BEV",$AB$2,IF(Table50[[#This Row],[ccnt]]="FOOD",$AC$2,"ENTER # FROM LAST COUNT")),"ENTER # FROM LAST COUNT")</f>
        <v>5</v>
      </c>
      <c r="AC306" s="15">
        <f>(Table50[[#This Row],[OpeningQty]]+Table50[[#This Row],[ClosingQty]])/2</f>
        <v>75</v>
      </c>
      <c r="AD306" s="15">
        <f>IFERROR(Table50[[#This Row],[UsageQty]]/Table50[[#This Row],[AVE INVENTORY]],0)</f>
        <v>0</v>
      </c>
      <c r="AE306" s="15">
        <f>IFERROR(Table50[[#This Row],[DATA POINT]]/Table50[[#This Row],[Inventory Turnover Rate]],0)</f>
        <v>0</v>
      </c>
      <c r="AF306" s="15" t="e">
        <f>Table50[[#This Row],[ClosingQty]]/Table50[[#This Row],[USAGE / DAY]]</f>
        <v>#DIV/0!</v>
      </c>
      <c r="AG306" s="15">
        <f>Table50[[#This Row],[USAGE / DAY]]*7</f>
        <v>0</v>
      </c>
      <c r="AH306" s="15">
        <f>Table50[[#This Row],[USAGE / DAY]]*3</f>
        <v>0</v>
      </c>
      <c r="AI30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06" s="15">
        <f>IFERROR(Table50[[#This Row],[ORDER QTY2]]*Table50[[#This Row],[COST PRICE]],0)</f>
        <v>0</v>
      </c>
      <c r="AK306" s="15">
        <f>(Table50[[#This Row],[REORDER POINT]]*Table50[[#This Row],[COST PRICE]])+Table50[[#This Row],[ORDER COST]]</f>
        <v>1548.75</v>
      </c>
      <c r="AL306" s="15">
        <f t="shared" si="14"/>
        <v>100</v>
      </c>
      <c r="AM306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07" spans="1:39" x14ac:dyDescent="0.25">
      <c r="A307" t="s">
        <v>324</v>
      </c>
      <c r="B307" t="s">
        <v>405</v>
      </c>
      <c r="C307" t="s">
        <v>409</v>
      </c>
      <c r="D307" t="s">
        <v>126</v>
      </c>
      <c r="E307">
        <v>130</v>
      </c>
      <c r="F307">
        <v>12220</v>
      </c>
      <c r="G307">
        <v>80</v>
      </c>
      <c r="H307">
        <v>8540</v>
      </c>
      <c r="I307">
        <v>120</v>
      </c>
      <c r="J307">
        <v>11760</v>
      </c>
      <c r="K307">
        <f>Table50[[#This Row],[OpeningQty]]+Table50[[#This Row],[PurchasesQty]]-Table50[[#This Row],[ClosingQty]]</f>
        <v>90</v>
      </c>
      <c r="L307">
        <v>9000</v>
      </c>
      <c r="M307" s="14">
        <f>Table50[[#This Row],[Usage]]/$L$1</f>
        <v>1.3669194556379959E-2</v>
      </c>
      <c r="N307" s="15">
        <f>IFERROR(Table50[[#This Row],[Opening]]/Table50[[#This Row],[OpeningQty]],0)</f>
        <v>94</v>
      </c>
      <c r="O307" s="15">
        <f>IFERROR(Table50[[#This Row],[Purchases]]/Table50[[#This Row],[PurchasesQty]],0)</f>
        <v>106.75</v>
      </c>
      <c r="P307" s="15">
        <f>IFERROR(Table50[[#This Row],[Closing]]/Table50[[#This Row],[ClosingQty]],0)</f>
        <v>98</v>
      </c>
      <c r="Q307" s="15">
        <f>IFERROR(AVERAGEIF(Table50[[#This Row],[OPENING COST PRICE]:[CLOSING COST PRICE]],"&gt;0"),0)</f>
        <v>99.583333333333329</v>
      </c>
      <c r="R307" s="15">
        <f>IFERROR(Table50[[#This Row],[COST PRICE]]-IFERROR(Table50[[#This Row],[Usage]]/Table50[[#This Row],[UsageQty]],Table50[[#This Row],[COST PRICE]]),0)</f>
        <v>-0.4166666666666714</v>
      </c>
      <c r="S307" s="16">
        <f>IFERROR(Table50[[#This Row],[COST PRICE CHANGE]]/Table50[[#This Row],[OPENING COST PRICE]],0)</f>
        <v>-4.4326241134752279E-3</v>
      </c>
      <c r="T307" s="15">
        <f>Table50[[#This Row],[ClosingQty]]-(Table50[[#This Row],[USAGE / DAY]]*(IF(Table50[[#This Row],[ccnt]]="BEV",Table50[[#This Row],[DELIVERY DAY]],Table50[[#This Row],[DELIVERY DAY]])))</f>
        <v>87.85</v>
      </c>
      <c r="U307" s="15">
        <f>ROUNDUP(Table50[[#This Row],[UsageQty]]/Table50[[#This Row],[DATA POINT]],2)</f>
        <v>6.43</v>
      </c>
      <c r="V30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07" s="15">
        <f>IFERROR(Table50[[#This Row],[ORDER QTY]]*Table50[[#This Row],[COST PRICE]],0)</f>
        <v>0</v>
      </c>
      <c r="X307" s="15">
        <f>IFERROR(VLOOKUP(C307,[1]!Table49[[#All],[name]:[USAGE / DAY]],19,FALSE),1)</f>
        <v>2</v>
      </c>
      <c r="Y307" s="4">
        <f>IFERROR((Table50[[#This Row],[USAGE / DAY]]-Table50[[#This Row],[USAGE / DAY 2]])/Table50[[#This Row],[USAGE / DAY 2]],0)</f>
        <v>2.2149999999999999</v>
      </c>
      <c r="Z307" s="15">
        <f t="shared" si="12"/>
        <v>14</v>
      </c>
      <c r="AA307" s="15">
        <f t="shared" si="13"/>
        <v>9.311854181734148</v>
      </c>
      <c r="AB307" s="15">
        <f>IFERROR(IF(Table50[[#This Row],[ccnt]]="BEV",$AB$2,IF(Table50[[#This Row],[ccnt]]="FOOD",$AC$2,"ENTER # FROM LAST COUNT")),"ENTER # FROM LAST COUNT")</f>
        <v>5</v>
      </c>
      <c r="AC307" s="15">
        <f>(Table50[[#This Row],[OpeningQty]]+Table50[[#This Row],[ClosingQty]])/2</f>
        <v>125</v>
      </c>
      <c r="AD307" s="15">
        <f>IFERROR(Table50[[#This Row],[UsageQty]]/Table50[[#This Row],[AVE INVENTORY]],0)</f>
        <v>0.72</v>
      </c>
      <c r="AE307" s="15">
        <f>IFERROR(Table50[[#This Row],[DATA POINT]]/Table50[[#This Row],[Inventory Turnover Rate]],0)</f>
        <v>19.444444444444446</v>
      </c>
      <c r="AF307" s="15">
        <f>Table50[[#This Row],[ClosingQty]]/Table50[[#This Row],[USAGE / DAY]]</f>
        <v>18.662519440124417</v>
      </c>
      <c r="AG307" s="15">
        <f>Table50[[#This Row],[USAGE / DAY]]*7</f>
        <v>45.01</v>
      </c>
      <c r="AH307" s="15">
        <f>Table50[[#This Row],[USAGE / DAY]]*3</f>
        <v>19.29</v>
      </c>
      <c r="AI30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07" s="15">
        <f>IFERROR(Table50[[#This Row],[ORDER QTY2]]*Table50[[#This Row],[COST PRICE]],0)</f>
        <v>0</v>
      </c>
      <c r="AK307" s="15">
        <f>(Table50[[#This Row],[REORDER POINT]]*Table50[[#This Row],[COST PRICE]])+Table50[[#This Row],[ORDER COST]]</f>
        <v>8748.3958333333321</v>
      </c>
      <c r="AL307" s="15">
        <f t="shared" si="14"/>
        <v>100</v>
      </c>
      <c r="AM307" s="15">
        <f>IFERROR((Table50[[#This Row],[REORDER POINT]]+Table50[[#This Row],[ORDER QTY]])/(Table50[[#This Row],[USAGE / DAY]]*Table50[[#This Row],[DEMAND %]]),Table50[[#This Row],[REORDER POINT]]/Table50[[#This Row],[USAGE / DAY]])</f>
        <v>13.662519440124417</v>
      </c>
    </row>
    <row r="308" spans="1:39" x14ac:dyDescent="0.25">
      <c r="A308" t="s">
        <v>324</v>
      </c>
      <c r="B308" t="s">
        <v>410</v>
      </c>
      <c r="C308" t="s">
        <v>411</v>
      </c>
      <c r="D308" t="s">
        <v>53</v>
      </c>
      <c r="E308">
        <v>53</v>
      </c>
      <c r="F308">
        <v>506.68</v>
      </c>
      <c r="G308">
        <v>0</v>
      </c>
      <c r="H308">
        <v>0</v>
      </c>
      <c r="I308">
        <v>1</v>
      </c>
      <c r="J308">
        <v>9.6</v>
      </c>
      <c r="K308">
        <f>Table50[[#This Row],[OpeningQty]]+Table50[[#This Row],[PurchasesQty]]-Table50[[#This Row],[ClosingQty]]</f>
        <v>52</v>
      </c>
      <c r="L308">
        <v>497.08</v>
      </c>
      <c r="M308" s="14">
        <f>Table50[[#This Row],[Usage]]/$L$1</f>
        <v>7.5496480334281664E-4</v>
      </c>
      <c r="N308" s="15">
        <f>IFERROR(Table50[[#This Row],[Opening]]/Table50[[#This Row],[OpeningQty]],0)</f>
        <v>9.56</v>
      </c>
      <c r="O308" s="15">
        <f>IFERROR(Table50[[#This Row],[Purchases]]/Table50[[#This Row],[PurchasesQty]],0)</f>
        <v>0</v>
      </c>
      <c r="P308" s="15">
        <f>IFERROR(Table50[[#This Row],[Closing]]/Table50[[#This Row],[ClosingQty]],0)</f>
        <v>9.6</v>
      </c>
      <c r="Q308" s="15">
        <f>IFERROR(AVERAGEIF(Table50[[#This Row],[OPENING COST PRICE]:[CLOSING COST PRICE]],"&gt;0"),0)</f>
        <v>9.58</v>
      </c>
      <c r="R308" s="15">
        <f>IFERROR(Table50[[#This Row],[COST PRICE]]-IFERROR(Table50[[#This Row],[Usage]]/Table50[[#This Row],[UsageQty]],Table50[[#This Row],[COST PRICE]]),0)</f>
        <v>2.0769230769230873E-2</v>
      </c>
      <c r="S308" s="16">
        <f>IFERROR(Table50[[#This Row],[COST PRICE CHANGE]]/Table50[[#This Row],[OPENING COST PRICE]],0)</f>
        <v>2.1725136787898404E-3</v>
      </c>
      <c r="T308" s="15">
        <f>Table50[[#This Row],[ClosingQty]]-(Table50[[#This Row],[USAGE / DAY]]*(IF(Table50[[#This Row],[ccnt]]="BEV",Table50[[#This Row],[DELIVERY DAY]],Table50[[#This Row],[DELIVERY DAY]])))</f>
        <v>-17.599999999999998</v>
      </c>
      <c r="U308" s="15">
        <f>ROUNDUP(Table50[[#This Row],[UsageQty]]/Table50[[#This Row],[DATA POINT]],2)</f>
        <v>3.7199999999999998</v>
      </c>
      <c r="V30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53</v>
      </c>
      <c r="W308" s="15">
        <f>IFERROR(Table50[[#This Row],[ORDER QTY]]*Table50[[#This Row],[COST PRICE]],0)</f>
        <v>507.74</v>
      </c>
      <c r="X308" s="15">
        <f>IFERROR(VLOOKUP(C308,[1]!Table49[[#All],[name]:[USAGE / DAY]],19,FALSE),1)</f>
        <v>4.2</v>
      </c>
      <c r="Y308" s="4">
        <f>IFERROR((Table50[[#This Row],[USAGE / DAY]]-Table50[[#This Row],[USAGE / DAY 2]])/Table50[[#This Row],[USAGE / DAY 2]],0)</f>
        <v>-0.11428571428571438</v>
      </c>
      <c r="Z308" s="15">
        <f t="shared" si="12"/>
        <v>14</v>
      </c>
      <c r="AA308" s="15">
        <f t="shared" si="13"/>
        <v>9.311854181734148</v>
      </c>
      <c r="AB308" s="15">
        <f>IFERROR(IF(Table50[[#This Row],[ccnt]]="BEV",$AB$2,IF(Table50[[#This Row],[ccnt]]="FOOD",$AC$2,"ENTER # FROM LAST COUNT")),"ENTER # FROM LAST COUNT")</f>
        <v>5</v>
      </c>
      <c r="AC308" s="15">
        <f>(Table50[[#This Row],[OpeningQty]]+Table50[[#This Row],[ClosingQty]])/2</f>
        <v>27</v>
      </c>
      <c r="AD308" s="15">
        <f>IFERROR(Table50[[#This Row],[UsageQty]]/Table50[[#This Row],[AVE INVENTORY]],0)</f>
        <v>1.9259259259259258</v>
      </c>
      <c r="AE308" s="15">
        <f>IFERROR(Table50[[#This Row],[DATA POINT]]/Table50[[#This Row],[Inventory Turnover Rate]],0)</f>
        <v>7.2692307692307701</v>
      </c>
      <c r="AF308" s="15">
        <f>Table50[[#This Row],[ClosingQty]]/Table50[[#This Row],[USAGE / DAY]]</f>
        <v>0.26881720430107531</v>
      </c>
      <c r="AG308" s="15">
        <f>Table50[[#This Row],[USAGE / DAY]]*7</f>
        <v>26.04</v>
      </c>
      <c r="AH308" s="15">
        <f>Table50[[#This Row],[USAGE / DAY]]*3</f>
        <v>11.16</v>
      </c>
      <c r="AI308" s="15">
        <f>IF(Table50[[#This Row],[FORECASTED DEMAND]]+Table50[[#This Row],[SAFETY STOCK]]-Table50[[#This Row],[ClosingQty]]&gt;0,Table50[[#This Row],[FORECASTED DEMAND]]+Table50[[#This Row],[SAFETY STOCK]]-Table50[[#This Row],[ClosingQty]],"NO ORDER")</f>
        <v>36.200000000000003</v>
      </c>
      <c r="AJ308" s="15">
        <f>IFERROR(Table50[[#This Row],[ORDER QTY2]]*Table50[[#This Row],[COST PRICE]],0)</f>
        <v>346.79600000000005</v>
      </c>
      <c r="AK308" s="15">
        <f>(Table50[[#This Row],[REORDER POINT]]*Table50[[#This Row],[COST PRICE]])+Table50[[#This Row],[ORDER COST]]</f>
        <v>339.13200000000006</v>
      </c>
      <c r="AL308" s="15">
        <f t="shared" si="14"/>
        <v>100</v>
      </c>
      <c r="AM308" s="15">
        <f>IFERROR((Table50[[#This Row],[REORDER POINT]]+Table50[[#This Row],[ORDER QTY]])/(Table50[[#This Row],[USAGE / DAY]]*Table50[[#This Row],[DEMAND %]]),Table50[[#This Row],[REORDER POINT]]/Table50[[#This Row],[USAGE / DAY]])</f>
        <v>9.5161290322580666E-2</v>
      </c>
    </row>
    <row r="309" spans="1:39" x14ac:dyDescent="0.25">
      <c r="A309" t="s">
        <v>324</v>
      </c>
      <c r="B309" t="s">
        <v>410</v>
      </c>
      <c r="C309" t="s">
        <v>412</v>
      </c>
      <c r="D309" t="s">
        <v>53</v>
      </c>
      <c r="E309">
        <v>68</v>
      </c>
      <c r="F309">
        <v>1530</v>
      </c>
      <c r="G309">
        <v>0</v>
      </c>
      <c r="H309">
        <v>0</v>
      </c>
      <c r="I309">
        <v>66</v>
      </c>
      <c r="J309">
        <v>1425.6</v>
      </c>
      <c r="K309">
        <f>Table50[[#This Row],[OpeningQty]]+Table50[[#This Row],[PurchasesQty]]-Table50[[#This Row],[ClosingQty]]</f>
        <v>2</v>
      </c>
      <c r="L309">
        <v>104.4</v>
      </c>
      <c r="M309" s="14">
        <f>Table50[[#This Row],[Usage]]/$L$1</f>
        <v>1.5856265685400752E-4</v>
      </c>
      <c r="N309" s="15">
        <f>IFERROR(Table50[[#This Row],[Opening]]/Table50[[#This Row],[OpeningQty]],0)</f>
        <v>22.5</v>
      </c>
      <c r="O309" s="15">
        <f>IFERROR(Table50[[#This Row],[Purchases]]/Table50[[#This Row],[PurchasesQty]],0)</f>
        <v>0</v>
      </c>
      <c r="P309" s="15">
        <f>IFERROR(Table50[[#This Row],[Closing]]/Table50[[#This Row],[ClosingQty]],0)</f>
        <v>21.599999999999998</v>
      </c>
      <c r="Q309" s="15">
        <f>IFERROR(AVERAGEIF(Table50[[#This Row],[OPENING COST PRICE]:[CLOSING COST PRICE]],"&gt;0"),0)</f>
        <v>22.049999999999997</v>
      </c>
      <c r="R309" s="15">
        <f>IFERROR(Table50[[#This Row],[COST PRICE]]-IFERROR(Table50[[#This Row],[Usage]]/Table50[[#This Row],[UsageQty]],Table50[[#This Row],[COST PRICE]]),0)</f>
        <v>-30.150000000000006</v>
      </c>
      <c r="S309" s="16">
        <f>IFERROR(Table50[[#This Row],[COST PRICE CHANGE]]/Table50[[#This Row],[OPENING COST PRICE]],0)</f>
        <v>-1.3400000000000003</v>
      </c>
      <c r="T309" s="15">
        <f>Table50[[#This Row],[ClosingQty]]-(Table50[[#This Row],[USAGE / DAY]]*(IF(Table50[[#This Row],[ccnt]]="BEV",Table50[[#This Row],[DELIVERY DAY]],Table50[[#This Row],[DELIVERY DAY]])))</f>
        <v>65.25</v>
      </c>
      <c r="U309" s="15">
        <f>ROUNDUP(Table50[[#This Row],[UsageQty]]/Table50[[#This Row],[DATA POINT]],2)</f>
        <v>0.15000000000000002</v>
      </c>
      <c r="V30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09" s="15">
        <f>IFERROR(Table50[[#This Row],[ORDER QTY]]*Table50[[#This Row],[COST PRICE]],0)</f>
        <v>0</v>
      </c>
      <c r="X309" s="15">
        <f>IFERROR(VLOOKUP(C309,[1]!Table49[[#All],[name]:[USAGE / DAY]],19,FALSE),1)</f>
        <v>4.1399999999999997</v>
      </c>
      <c r="Y309" s="4">
        <f>IFERROR((Table50[[#This Row],[USAGE / DAY]]-Table50[[#This Row],[USAGE / DAY 2]])/Table50[[#This Row],[USAGE / DAY 2]],0)</f>
        <v>-0.96376811594202905</v>
      </c>
      <c r="Z309" s="15">
        <f t="shared" si="12"/>
        <v>14</v>
      </c>
      <c r="AA309" s="15">
        <f t="shared" si="13"/>
        <v>9.311854181734148</v>
      </c>
      <c r="AB309" s="15">
        <f>IFERROR(IF(Table50[[#This Row],[ccnt]]="BEV",$AB$2,IF(Table50[[#This Row],[ccnt]]="FOOD",$AC$2,"ENTER # FROM LAST COUNT")),"ENTER # FROM LAST COUNT")</f>
        <v>5</v>
      </c>
      <c r="AC309" s="15">
        <f>(Table50[[#This Row],[OpeningQty]]+Table50[[#This Row],[ClosingQty]])/2</f>
        <v>67</v>
      </c>
      <c r="AD309" s="15">
        <f>IFERROR(Table50[[#This Row],[UsageQty]]/Table50[[#This Row],[AVE INVENTORY]],0)</f>
        <v>2.9850746268656716E-2</v>
      </c>
      <c r="AE309" s="15">
        <f>IFERROR(Table50[[#This Row],[DATA POINT]]/Table50[[#This Row],[Inventory Turnover Rate]],0)</f>
        <v>469</v>
      </c>
      <c r="AF309" s="15">
        <f>Table50[[#This Row],[ClosingQty]]/Table50[[#This Row],[USAGE / DAY]]</f>
        <v>439.99999999999994</v>
      </c>
      <c r="AG309" s="15">
        <f>Table50[[#This Row],[USAGE / DAY]]*7</f>
        <v>1.0500000000000003</v>
      </c>
      <c r="AH309" s="15">
        <f>Table50[[#This Row],[USAGE / DAY]]*3</f>
        <v>0.45000000000000007</v>
      </c>
      <c r="AI30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09" s="15">
        <f>IFERROR(Table50[[#This Row],[ORDER QTY2]]*Table50[[#This Row],[COST PRICE]],0)</f>
        <v>0</v>
      </c>
      <c r="AK309" s="15">
        <f>(Table50[[#This Row],[REORDER POINT]]*Table50[[#This Row],[COST PRICE]])+Table50[[#This Row],[ORDER COST]]</f>
        <v>1438.7624999999998</v>
      </c>
      <c r="AL309" s="15">
        <f t="shared" si="14"/>
        <v>100</v>
      </c>
      <c r="AM309" s="15">
        <f>IFERROR((Table50[[#This Row],[REORDER POINT]]+Table50[[#This Row],[ORDER QTY]])/(Table50[[#This Row],[USAGE / DAY]]*Table50[[#This Row],[DEMAND %]]),Table50[[#This Row],[REORDER POINT]]/Table50[[#This Row],[USAGE / DAY]])</f>
        <v>434.99999999999994</v>
      </c>
    </row>
    <row r="310" spans="1:39" x14ac:dyDescent="0.25">
      <c r="A310" t="s">
        <v>324</v>
      </c>
      <c r="B310" t="s">
        <v>410</v>
      </c>
      <c r="C310" t="s">
        <v>413</v>
      </c>
      <c r="D310" t="s">
        <v>53</v>
      </c>
      <c r="E310">
        <v>10</v>
      </c>
      <c r="F310">
        <v>60.4</v>
      </c>
      <c r="G310">
        <v>0</v>
      </c>
      <c r="H310">
        <v>0</v>
      </c>
      <c r="I310">
        <v>10</v>
      </c>
      <c r="J310">
        <v>60.4</v>
      </c>
      <c r="K310">
        <f>Table50[[#This Row],[OpeningQty]]+Table50[[#This Row],[PurchasesQty]]-Table50[[#This Row],[ClosingQty]]</f>
        <v>0</v>
      </c>
      <c r="L310">
        <v>0</v>
      </c>
      <c r="M310" s="14">
        <f>Table50[[#This Row],[Usage]]/$L$1</f>
        <v>0</v>
      </c>
      <c r="N310" s="15">
        <f>IFERROR(Table50[[#This Row],[Opening]]/Table50[[#This Row],[OpeningQty]],0)</f>
        <v>6.04</v>
      </c>
      <c r="O310" s="15">
        <f>IFERROR(Table50[[#This Row],[Purchases]]/Table50[[#This Row],[PurchasesQty]],0)</f>
        <v>0</v>
      </c>
      <c r="P310" s="15">
        <f>IFERROR(Table50[[#This Row],[Closing]]/Table50[[#This Row],[ClosingQty]],0)</f>
        <v>6.04</v>
      </c>
      <c r="Q310" s="15">
        <f>IFERROR(AVERAGEIF(Table50[[#This Row],[OPENING COST PRICE]:[CLOSING COST PRICE]],"&gt;0"),0)</f>
        <v>6.04</v>
      </c>
      <c r="R310" s="15">
        <f>IFERROR(Table50[[#This Row],[COST PRICE]]-IFERROR(Table50[[#This Row],[Usage]]/Table50[[#This Row],[UsageQty]],Table50[[#This Row],[COST PRICE]]),0)</f>
        <v>0</v>
      </c>
      <c r="S310" s="16">
        <f>IFERROR(Table50[[#This Row],[COST PRICE CHANGE]]/Table50[[#This Row],[OPENING COST PRICE]],0)</f>
        <v>0</v>
      </c>
      <c r="T310" s="15">
        <f>Table50[[#This Row],[ClosingQty]]-(Table50[[#This Row],[USAGE / DAY]]*(IF(Table50[[#This Row],[ccnt]]="BEV",Table50[[#This Row],[DELIVERY DAY]],Table50[[#This Row],[DELIVERY DAY]])))</f>
        <v>10</v>
      </c>
      <c r="U310" s="15">
        <f>ROUNDUP(Table50[[#This Row],[UsageQty]]/Table50[[#This Row],[DATA POINT]],2)</f>
        <v>0</v>
      </c>
      <c r="V31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10" s="15">
        <f>IFERROR(Table50[[#This Row],[ORDER QTY]]*Table50[[#This Row],[COST PRICE]],0)</f>
        <v>0</v>
      </c>
      <c r="X310" s="15">
        <f>IFERROR(VLOOKUP(C310,[1]!Table49[[#All],[name]:[USAGE / DAY]],19,FALSE),1)</f>
        <v>0</v>
      </c>
      <c r="Y310" s="4">
        <f>IFERROR((Table50[[#This Row],[USAGE / DAY]]-Table50[[#This Row],[USAGE / DAY 2]])/Table50[[#This Row],[USAGE / DAY 2]],0)</f>
        <v>0</v>
      </c>
      <c r="Z310" s="15">
        <f t="shared" si="12"/>
        <v>14</v>
      </c>
      <c r="AA310" s="15">
        <f t="shared" si="13"/>
        <v>9.311854181734148</v>
      </c>
      <c r="AB310" s="15">
        <f>IFERROR(IF(Table50[[#This Row],[ccnt]]="BEV",$AB$2,IF(Table50[[#This Row],[ccnt]]="FOOD",$AC$2,"ENTER # FROM LAST COUNT")),"ENTER # FROM LAST COUNT")</f>
        <v>5</v>
      </c>
      <c r="AC310" s="15">
        <f>(Table50[[#This Row],[OpeningQty]]+Table50[[#This Row],[ClosingQty]])/2</f>
        <v>10</v>
      </c>
      <c r="AD310" s="15">
        <f>IFERROR(Table50[[#This Row],[UsageQty]]/Table50[[#This Row],[AVE INVENTORY]],0)</f>
        <v>0</v>
      </c>
      <c r="AE310" s="15">
        <f>IFERROR(Table50[[#This Row],[DATA POINT]]/Table50[[#This Row],[Inventory Turnover Rate]],0)</f>
        <v>0</v>
      </c>
      <c r="AF310" s="15" t="e">
        <f>Table50[[#This Row],[ClosingQty]]/Table50[[#This Row],[USAGE / DAY]]</f>
        <v>#DIV/0!</v>
      </c>
      <c r="AG310" s="15">
        <f>Table50[[#This Row],[USAGE / DAY]]*7</f>
        <v>0</v>
      </c>
      <c r="AH310" s="15">
        <f>Table50[[#This Row],[USAGE / DAY]]*3</f>
        <v>0</v>
      </c>
      <c r="AI31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10" s="15">
        <f>IFERROR(Table50[[#This Row],[ORDER QTY2]]*Table50[[#This Row],[COST PRICE]],0)</f>
        <v>0</v>
      </c>
      <c r="AK310" s="15">
        <f>(Table50[[#This Row],[REORDER POINT]]*Table50[[#This Row],[COST PRICE]])+Table50[[#This Row],[ORDER COST]]</f>
        <v>60.4</v>
      </c>
      <c r="AL310" s="15">
        <f t="shared" si="14"/>
        <v>100</v>
      </c>
      <c r="AM310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11" spans="1:39" x14ac:dyDescent="0.25">
      <c r="A311" t="s">
        <v>324</v>
      </c>
      <c r="B311" t="s">
        <v>410</v>
      </c>
      <c r="C311" t="s">
        <v>414</v>
      </c>
      <c r="D311" t="s">
        <v>126</v>
      </c>
      <c r="E311">
        <v>110</v>
      </c>
      <c r="F311">
        <v>11880</v>
      </c>
      <c r="G311">
        <v>290</v>
      </c>
      <c r="H311">
        <v>31320</v>
      </c>
      <c r="I311">
        <v>160</v>
      </c>
      <c r="J311">
        <v>17280</v>
      </c>
      <c r="K311">
        <f>Table50[[#This Row],[OpeningQty]]+Table50[[#This Row],[PurchasesQty]]-Table50[[#This Row],[ClosingQty]]</f>
        <v>240</v>
      </c>
      <c r="L311">
        <v>25920</v>
      </c>
      <c r="M311" s="14">
        <f>Table50[[#This Row],[Usage]]/$L$1</f>
        <v>3.9367280322374285E-2</v>
      </c>
      <c r="N311" s="15">
        <f>IFERROR(Table50[[#This Row],[Opening]]/Table50[[#This Row],[OpeningQty]],0)</f>
        <v>108</v>
      </c>
      <c r="O311" s="15">
        <f>IFERROR(Table50[[#This Row],[Purchases]]/Table50[[#This Row],[PurchasesQty]],0)</f>
        <v>108</v>
      </c>
      <c r="P311" s="15">
        <f>IFERROR(Table50[[#This Row],[Closing]]/Table50[[#This Row],[ClosingQty]],0)</f>
        <v>108</v>
      </c>
      <c r="Q311" s="15">
        <f>IFERROR(AVERAGEIF(Table50[[#This Row],[OPENING COST PRICE]:[CLOSING COST PRICE]],"&gt;0"),0)</f>
        <v>108</v>
      </c>
      <c r="R311" s="15">
        <f>IFERROR(Table50[[#This Row],[COST PRICE]]-IFERROR(Table50[[#This Row],[Usage]]/Table50[[#This Row],[UsageQty]],Table50[[#This Row],[COST PRICE]]),0)</f>
        <v>0</v>
      </c>
      <c r="S311" s="16">
        <f>IFERROR(Table50[[#This Row],[COST PRICE CHANGE]]/Table50[[#This Row],[OPENING COST PRICE]],0)</f>
        <v>0</v>
      </c>
      <c r="T311" s="15">
        <f>Table50[[#This Row],[ClosingQty]]-(Table50[[#This Row],[USAGE / DAY]]*(IF(Table50[[#This Row],[ccnt]]="BEV",Table50[[#This Row],[DELIVERY DAY]],Table50[[#This Row],[DELIVERY DAY]])))</f>
        <v>74.249999999999986</v>
      </c>
      <c r="U311" s="15">
        <f>ROUNDUP(Table50[[#This Row],[UsageQty]]/Table50[[#This Row],[DATA POINT]],2)</f>
        <v>17.150000000000002</v>
      </c>
      <c r="V31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86</v>
      </c>
      <c r="W311" s="15">
        <f>IFERROR(Table50[[#This Row],[ORDER QTY]]*Table50[[#This Row],[COST PRICE]],0)</f>
        <v>9288</v>
      </c>
      <c r="X311" s="15">
        <f>IFERROR(VLOOKUP(C311,[1]!Table49[[#All],[name]:[USAGE / DAY]],19,FALSE),1)</f>
        <v>18</v>
      </c>
      <c r="Y311" s="4">
        <f>IFERROR((Table50[[#This Row],[USAGE / DAY]]-Table50[[#This Row],[USAGE / DAY 2]])/Table50[[#This Row],[USAGE / DAY 2]],0)</f>
        <v>-4.7222222222222103E-2</v>
      </c>
      <c r="Z311" s="15">
        <f t="shared" si="12"/>
        <v>14</v>
      </c>
      <c r="AA311" s="15">
        <f t="shared" si="13"/>
        <v>9.311854181734148</v>
      </c>
      <c r="AB311" s="15">
        <f>IFERROR(IF(Table50[[#This Row],[ccnt]]="BEV",$AB$2,IF(Table50[[#This Row],[ccnt]]="FOOD",$AC$2,"ENTER # FROM LAST COUNT")),"ENTER # FROM LAST COUNT")</f>
        <v>5</v>
      </c>
      <c r="AC311" s="15">
        <f>(Table50[[#This Row],[OpeningQty]]+Table50[[#This Row],[ClosingQty]])/2</f>
        <v>135</v>
      </c>
      <c r="AD311" s="15">
        <f>IFERROR(Table50[[#This Row],[UsageQty]]/Table50[[#This Row],[AVE INVENTORY]],0)</f>
        <v>1.7777777777777777</v>
      </c>
      <c r="AE311" s="15">
        <f>IFERROR(Table50[[#This Row],[DATA POINT]]/Table50[[#This Row],[Inventory Turnover Rate]],0)</f>
        <v>7.875</v>
      </c>
      <c r="AF311" s="15">
        <f>Table50[[#This Row],[ClosingQty]]/Table50[[#This Row],[USAGE / DAY]]</f>
        <v>9.3294460641399404</v>
      </c>
      <c r="AG311" s="15">
        <f>Table50[[#This Row],[USAGE / DAY]]*7</f>
        <v>120.05000000000001</v>
      </c>
      <c r="AH311" s="15">
        <f>Table50[[#This Row],[USAGE / DAY]]*3</f>
        <v>51.45</v>
      </c>
      <c r="AI311" s="15">
        <f>IF(Table50[[#This Row],[FORECASTED DEMAND]]+Table50[[#This Row],[SAFETY STOCK]]-Table50[[#This Row],[ClosingQty]]&gt;0,Table50[[#This Row],[FORECASTED DEMAND]]+Table50[[#This Row],[SAFETY STOCK]]-Table50[[#This Row],[ClosingQty]],"NO ORDER")</f>
        <v>11.5</v>
      </c>
      <c r="AJ311" s="15">
        <f>IFERROR(Table50[[#This Row],[ORDER QTY2]]*Table50[[#This Row],[COST PRICE]],0)</f>
        <v>1242</v>
      </c>
      <c r="AK311" s="15">
        <f>(Table50[[#This Row],[REORDER POINT]]*Table50[[#This Row],[COST PRICE]])+Table50[[#This Row],[ORDER COST]]</f>
        <v>17307</v>
      </c>
      <c r="AL311" s="15">
        <f t="shared" si="14"/>
        <v>100</v>
      </c>
      <c r="AM311" s="15">
        <f>IFERROR((Table50[[#This Row],[REORDER POINT]]+Table50[[#This Row],[ORDER QTY]])/(Table50[[#This Row],[USAGE / DAY]]*Table50[[#This Row],[DEMAND %]]),Table50[[#This Row],[REORDER POINT]]/Table50[[#This Row],[USAGE / DAY]])</f>
        <v>9.3440233236151596E-2</v>
      </c>
    </row>
    <row r="312" spans="1:39" x14ac:dyDescent="0.25">
      <c r="A312" t="s">
        <v>324</v>
      </c>
      <c r="B312" t="s">
        <v>410</v>
      </c>
      <c r="C312" t="s">
        <v>415</v>
      </c>
      <c r="D312" t="s">
        <v>379</v>
      </c>
      <c r="E312">
        <v>12</v>
      </c>
      <c r="F312">
        <v>177.96</v>
      </c>
      <c r="G312">
        <v>0</v>
      </c>
      <c r="H312">
        <v>0</v>
      </c>
      <c r="I312">
        <v>12</v>
      </c>
      <c r="J312">
        <v>177.96</v>
      </c>
      <c r="K312">
        <f>Table50[[#This Row],[OpeningQty]]+Table50[[#This Row],[PurchasesQty]]-Table50[[#This Row],[ClosingQty]]</f>
        <v>0</v>
      </c>
      <c r="L312">
        <v>0</v>
      </c>
      <c r="M312" s="14">
        <f>Table50[[#This Row],[Usage]]/$L$1</f>
        <v>0</v>
      </c>
      <c r="N312" s="15">
        <f>IFERROR(Table50[[#This Row],[Opening]]/Table50[[#This Row],[OpeningQty]],0)</f>
        <v>14.83</v>
      </c>
      <c r="O312" s="15">
        <f>IFERROR(Table50[[#This Row],[Purchases]]/Table50[[#This Row],[PurchasesQty]],0)</f>
        <v>0</v>
      </c>
      <c r="P312" s="15">
        <f>IFERROR(Table50[[#This Row],[Closing]]/Table50[[#This Row],[ClosingQty]],0)</f>
        <v>14.83</v>
      </c>
      <c r="Q312" s="15">
        <f>IFERROR(AVERAGEIF(Table50[[#This Row],[OPENING COST PRICE]:[CLOSING COST PRICE]],"&gt;0"),0)</f>
        <v>14.83</v>
      </c>
      <c r="R312" s="15">
        <f>IFERROR(Table50[[#This Row],[COST PRICE]]-IFERROR(Table50[[#This Row],[Usage]]/Table50[[#This Row],[UsageQty]],Table50[[#This Row],[COST PRICE]]),0)</f>
        <v>0</v>
      </c>
      <c r="S312" s="16">
        <f>IFERROR(Table50[[#This Row],[COST PRICE CHANGE]]/Table50[[#This Row],[OPENING COST PRICE]],0)</f>
        <v>0</v>
      </c>
      <c r="T312" s="15">
        <f>Table50[[#This Row],[ClosingQty]]-(Table50[[#This Row],[USAGE / DAY]]*(IF(Table50[[#This Row],[ccnt]]="BEV",Table50[[#This Row],[DELIVERY DAY]],Table50[[#This Row],[DELIVERY DAY]])))</f>
        <v>12</v>
      </c>
      <c r="U312" s="15">
        <f>ROUNDUP(Table50[[#This Row],[UsageQty]]/Table50[[#This Row],[DATA POINT]],2)</f>
        <v>0</v>
      </c>
      <c r="V31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12" s="15">
        <f>IFERROR(Table50[[#This Row],[ORDER QTY]]*Table50[[#This Row],[COST PRICE]],0)</f>
        <v>0</v>
      </c>
      <c r="X312" s="15">
        <f>IFERROR(VLOOKUP(C312,[1]!Table49[[#All],[name]:[USAGE / DAY]],19,FALSE),1)</f>
        <v>0</v>
      </c>
      <c r="Y312" s="4">
        <f>IFERROR((Table50[[#This Row],[USAGE / DAY]]-Table50[[#This Row],[USAGE / DAY 2]])/Table50[[#This Row],[USAGE / DAY 2]],0)</f>
        <v>0</v>
      </c>
      <c r="Z312" s="15">
        <f t="shared" si="12"/>
        <v>14</v>
      </c>
      <c r="AA312" s="15">
        <f t="shared" si="13"/>
        <v>9.311854181734148</v>
      </c>
      <c r="AB312" s="15">
        <f>IFERROR(IF(Table50[[#This Row],[ccnt]]="BEV",$AB$2,IF(Table50[[#This Row],[ccnt]]="FOOD",$AC$2,"ENTER # FROM LAST COUNT")),"ENTER # FROM LAST COUNT")</f>
        <v>5</v>
      </c>
      <c r="AC312" s="15">
        <f>(Table50[[#This Row],[OpeningQty]]+Table50[[#This Row],[ClosingQty]])/2</f>
        <v>12</v>
      </c>
      <c r="AD312" s="15">
        <f>IFERROR(Table50[[#This Row],[UsageQty]]/Table50[[#This Row],[AVE INVENTORY]],0)</f>
        <v>0</v>
      </c>
      <c r="AE312" s="15">
        <f>IFERROR(Table50[[#This Row],[DATA POINT]]/Table50[[#This Row],[Inventory Turnover Rate]],0)</f>
        <v>0</v>
      </c>
      <c r="AF312" s="15" t="e">
        <f>Table50[[#This Row],[ClosingQty]]/Table50[[#This Row],[USAGE / DAY]]</f>
        <v>#DIV/0!</v>
      </c>
      <c r="AG312" s="15">
        <f>Table50[[#This Row],[USAGE / DAY]]*7</f>
        <v>0</v>
      </c>
      <c r="AH312" s="15">
        <f>Table50[[#This Row],[USAGE / DAY]]*3</f>
        <v>0</v>
      </c>
      <c r="AI31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12" s="15">
        <f>IFERROR(Table50[[#This Row],[ORDER QTY2]]*Table50[[#This Row],[COST PRICE]],0)</f>
        <v>0</v>
      </c>
      <c r="AK312" s="15">
        <f>(Table50[[#This Row],[REORDER POINT]]*Table50[[#This Row],[COST PRICE]])+Table50[[#This Row],[ORDER COST]]</f>
        <v>177.96</v>
      </c>
      <c r="AL312" s="15">
        <f t="shared" si="14"/>
        <v>100</v>
      </c>
      <c r="AM312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13" spans="1:39" x14ac:dyDescent="0.25">
      <c r="A313" t="s">
        <v>324</v>
      </c>
      <c r="B313" t="s">
        <v>416</v>
      </c>
      <c r="C313" t="s">
        <v>417</v>
      </c>
      <c r="D313" t="s">
        <v>53</v>
      </c>
      <c r="E313">
        <v>8</v>
      </c>
      <c r="F313">
        <v>428.72</v>
      </c>
      <c r="G313">
        <v>0</v>
      </c>
      <c r="H313">
        <v>0</v>
      </c>
      <c r="I313">
        <v>8</v>
      </c>
      <c r="J313">
        <v>364.56</v>
      </c>
      <c r="K313">
        <f>Table50[[#This Row],[OpeningQty]]+Table50[[#This Row],[PurchasesQty]]-Table50[[#This Row],[ClosingQty]]</f>
        <v>0</v>
      </c>
      <c r="L313">
        <v>64.16</v>
      </c>
      <c r="M313" s="14">
        <f>Table50[[#This Row],[Usage]]/$L$1</f>
        <v>9.7446169193037566E-5</v>
      </c>
      <c r="N313" s="15">
        <f>IFERROR(Table50[[#This Row],[Opening]]/Table50[[#This Row],[OpeningQty]],0)</f>
        <v>53.59</v>
      </c>
      <c r="O313" s="15">
        <f>IFERROR(Table50[[#This Row],[Purchases]]/Table50[[#This Row],[PurchasesQty]],0)</f>
        <v>0</v>
      </c>
      <c r="P313" s="15">
        <f>IFERROR(Table50[[#This Row],[Closing]]/Table50[[#This Row],[ClosingQty]],0)</f>
        <v>45.57</v>
      </c>
      <c r="Q313" s="15">
        <f>IFERROR(AVERAGEIF(Table50[[#This Row],[OPENING COST PRICE]:[CLOSING COST PRICE]],"&gt;0"),0)</f>
        <v>49.58</v>
      </c>
      <c r="R313" s="15">
        <f>IFERROR(Table50[[#This Row],[COST PRICE]]-IFERROR(Table50[[#This Row],[Usage]]/Table50[[#This Row],[UsageQty]],Table50[[#This Row],[COST PRICE]]),0)</f>
        <v>0</v>
      </c>
      <c r="S313" s="16">
        <f>IFERROR(Table50[[#This Row],[COST PRICE CHANGE]]/Table50[[#This Row],[OPENING COST PRICE]],0)</f>
        <v>0</v>
      </c>
      <c r="T313" s="15">
        <f>Table50[[#This Row],[ClosingQty]]-(Table50[[#This Row],[USAGE / DAY]]*(IF(Table50[[#This Row],[ccnt]]="BEV",Table50[[#This Row],[DELIVERY DAY]],Table50[[#This Row],[DELIVERY DAY]])))</f>
        <v>8</v>
      </c>
      <c r="U313" s="15">
        <f>ROUNDUP(Table50[[#This Row],[UsageQty]]/Table50[[#This Row],[DATA POINT]],2)</f>
        <v>0</v>
      </c>
      <c r="V31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13" s="15">
        <f>IFERROR(Table50[[#This Row],[ORDER QTY]]*Table50[[#This Row],[COST PRICE]],0)</f>
        <v>0</v>
      </c>
      <c r="X313" s="15">
        <f>IFERROR(VLOOKUP(C313,[1]!Table49[[#All],[name]:[USAGE / DAY]],19,FALSE),1)</f>
        <v>-0.2</v>
      </c>
      <c r="Y313" s="4">
        <f>IFERROR((Table50[[#This Row],[USAGE / DAY]]-Table50[[#This Row],[USAGE / DAY 2]])/Table50[[#This Row],[USAGE / DAY 2]],0)</f>
        <v>-1</v>
      </c>
      <c r="Z313" s="15">
        <f t="shared" si="12"/>
        <v>14</v>
      </c>
      <c r="AA313" s="15">
        <f t="shared" si="13"/>
        <v>9.311854181734148</v>
      </c>
      <c r="AB313" s="15">
        <f>IFERROR(IF(Table50[[#This Row],[ccnt]]="BEV",$AB$2,IF(Table50[[#This Row],[ccnt]]="FOOD",$AC$2,"ENTER # FROM LAST COUNT")),"ENTER # FROM LAST COUNT")</f>
        <v>5</v>
      </c>
      <c r="AC313" s="15">
        <f>(Table50[[#This Row],[OpeningQty]]+Table50[[#This Row],[ClosingQty]])/2</f>
        <v>8</v>
      </c>
      <c r="AD313" s="15">
        <f>IFERROR(Table50[[#This Row],[UsageQty]]/Table50[[#This Row],[AVE INVENTORY]],0)</f>
        <v>0</v>
      </c>
      <c r="AE313" s="15">
        <f>IFERROR(Table50[[#This Row],[DATA POINT]]/Table50[[#This Row],[Inventory Turnover Rate]],0)</f>
        <v>0</v>
      </c>
      <c r="AF313" s="15" t="e">
        <f>Table50[[#This Row],[ClosingQty]]/Table50[[#This Row],[USAGE / DAY]]</f>
        <v>#DIV/0!</v>
      </c>
      <c r="AG313" s="15">
        <f>Table50[[#This Row],[USAGE / DAY]]*7</f>
        <v>0</v>
      </c>
      <c r="AH313" s="15">
        <f>Table50[[#This Row],[USAGE / DAY]]*3</f>
        <v>0</v>
      </c>
      <c r="AI31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13" s="15">
        <f>IFERROR(Table50[[#This Row],[ORDER QTY2]]*Table50[[#This Row],[COST PRICE]],0)</f>
        <v>0</v>
      </c>
      <c r="AK313" s="15">
        <f>(Table50[[#This Row],[REORDER POINT]]*Table50[[#This Row],[COST PRICE]])+Table50[[#This Row],[ORDER COST]]</f>
        <v>396.64</v>
      </c>
      <c r="AL313" s="15">
        <f t="shared" si="14"/>
        <v>100</v>
      </c>
      <c r="AM313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14" spans="1:39" x14ac:dyDescent="0.25">
      <c r="A314" t="s">
        <v>324</v>
      </c>
      <c r="B314" t="s">
        <v>416</v>
      </c>
      <c r="C314" t="s">
        <v>418</v>
      </c>
      <c r="D314" t="s">
        <v>53</v>
      </c>
      <c r="E314">
        <v>3</v>
      </c>
      <c r="F314">
        <v>241.14</v>
      </c>
      <c r="G314">
        <v>0</v>
      </c>
      <c r="H314">
        <v>0</v>
      </c>
      <c r="I314">
        <v>0</v>
      </c>
      <c r="J314">
        <v>0</v>
      </c>
      <c r="K314">
        <f>Table50[[#This Row],[OpeningQty]]+Table50[[#This Row],[PurchasesQty]]-Table50[[#This Row],[ClosingQty]]</f>
        <v>3</v>
      </c>
      <c r="L314">
        <v>241.14</v>
      </c>
      <c r="M314" s="14">
        <f>Table50[[#This Row],[Usage]]/$L$1</f>
        <v>3.6624328614727366E-4</v>
      </c>
      <c r="N314" s="15">
        <f>IFERROR(Table50[[#This Row],[Opening]]/Table50[[#This Row],[OpeningQty]],0)</f>
        <v>80.38</v>
      </c>
      <c r="O314" s="15">
        <f>IFERROR(Table50[[#This Row],[Purchases]]/Table50[[#This Row],[PurchasesQty]],0)</f>
        <v>0</v>
      </c>
      <c r="P314" s="15">
        <f>IFERROR(Table50[[#This Row],[Closing]]/Table50[[#This Row],[ClosingQty]],0)</f>
        <v>0</v>
      </c>
      <c r="Q314" s="15">
        <f>IFERROR(AVERAGEIF(Table50[[#This Row],[OPENING COST PRICE]:[CLOSING COST PRICE]],"&gt;0"),0)</f>
        <v>80.38</v>
      </c>
      <c r="R314" s="15">
        <f>IFERROR(Table50[[#This Row],[COST PRICE]]-IFERROR(Table50[[#This Row],[Usage]]/Table50[[#This Row],[UsageQty]],Table50[[#This Row],[COST PRICE]]),0)</f>
        <v>0</v>
      </c>
      <c r="S314" s="16">
        <f>IFERROR(Table50[[#This Row],[COST PRICE CHANGE]]/Table50[[#This Row],[OPENING COST PRICE]],0)</f>
        <v>0</v>
      </c>
      <c r="T314" s="15">
        <f>Table50[[#This Row],[ClosingQty]]-(Table50[[#This Row],[USAGE / DAY]]*(IF(Table50[[#This Row],[ccnt]]="BEV",Table50[[#This Row],[DELIVERY DAY]],Table50[[#This Row],[DELIVERY DAY]])))</f>
        <v>-1.1000000000000001</v>
      </c>
      <c r="U314" s="15">
        <f>ROUNDUP(Table50[[#This Row],[UsageQty]]/Table50[[#This Row],[DATA POINT]],2)</f>
        <v>0.22</v>
      </c>
      <c r="V31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314" s="15">
        <f>IFERROR(Table50[[#This Row],[ORDER QTY]]*Table50[[#This Row],[COST PRICE]],0)</f>
        <v>321.52</v>
      </c>
      <c r="X314" s="15">
        <f>IFERROR(VLOOKUP(C314,[1]!Table49[[#All],[name]:[USAGE / DAY]],19,FALSE),1)</f>
        <v>0.14000000000000001</v>
      </c>
      <c r="Y314" s="4">
        <f>IFERROR((Table50[[#This Row],[USAGE / DAY]]-Table50[[#This Row],[USAGE / DAY 2]])/Table50[[#This Row],[USAGE / DAY 2]],0)</f>
        <v>0.57142857142857129</v>
      </c>
      <c r="Z314" s="15">
        <f t="shared" si="12"/>
        <v>14</v>
      </c>
      <c r="AA314" s="15">
        <f t="shared" si="13"/>
        <v>9.311854181734148</v>
      </c>
      <c r="AB314" s="15">
        <f>IFERROR(IF(Table50[[#This Row],[ccnt]]="BEV",$AB$2,IF(Table50[[#This Row],[ccnt]]="FOOD",$AC$2,"ENTER # FROM LAST COUNT")),"ENTER # FROM LAST COUNT")</f>
        <v>5</v>
      </c>
      <c r="AC314" s="15">
        <f>(Table50[[#This Row],[OpeningQty]]+Table50[[#This Row],[ClosingQty]])/2</f>
        <v>1.5</v>
      </c>
      <c r="AD314" s="15">
        <f>IFERROR(Table50[[#This Row],[UsageQty]]/Table50[[#This Row],[AVE INVENTORY]],0)</f>
        <v>2</v>
      </c>
      <c r="AE314" s="15">
        <f>IFERROR(Table50[[#This Row],[DATA POINT]]/Table50[[#This Row],[Inventory Turnover Rate]],0)</f>
        <v>7</v>
      </c>
      <c r="AF314" s="15">
        <f>Table50[[#This Row],[ClosingQty]]/Table50[[#This Row],[USAGE / DAY]]</f>
        <v>0</v>
      </c>
      <c r="AG314" s="15">
        <f>Table50[[#This Row],[USAGE / DAY]]*7</f>
        <v>1.54</v>
      </c>
      <c r="AH314" s="15">
        <f>Table50[[#This Row],[USAGE / DAY]]*3</f>
        <v>0.66</v>
      </c>
      <c r="AI314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2.2000000000000002</v>
      </c>
      <c r="AJ314" s="15">
        <f>IFERROR(Table50[[#This Row],[ORDER QTY2]]*Table50[[#This Row],[COST PRICE]],0)</f>
        <v>176.83600000000001</v>
      </c>
      <c r="AK314" s="15">
        <f>(Table50[[#This Row],[REORDER POINT]]*Table50[[#This Row],[COST PRICE]])+Table50[[#This Row],[ORDER COST]]</f>
        <v>233.10199999999998</v>
      </c>
      <c r="AL314" s="15">
        <f t="shared" si="14"/>
        <v>100</v>
      </c>
      <c r="AM314" s="15">
        <f>IFERROR((Table50[[#This Row],[REORDER POINT]]+Table50[[#This Row],[ORDER QTY]])/(Table50[[#This Row],[USAGE / DAY]]*Table50[[#This Row],[DEMAND %]]),Table50[[#This Row],[REORDER POINT]]/Table50[[#This Row],[USAGE / DAY]])</f>
        <v>0.13181818181818181</v>
      </c>
    </row>
    <row r="315" spans="1:39" x14ac:dyDescent="0.25">
      <c r="A315" t="s">
        <v>324</v>
      </c>
      <c r="B315" t="s">
        <v>416</v>
      </c>
      <c r="C315" t="s">
        <v>419</v>
      </c>
      <c r="D315" t="s">
        <v>126</v>
      </c>
      <c r="E315">
        <v>6.75</v>
      </c>
      <c r="F315">
        <v>1485</v>
      </c>
      <c r="G315">
        <v>30</v>
      </c>
      <c r="H315">
        <v>6600</v>
      </c>
      <c r="I315">
        <v>15.5</v>
      </c>
      <c r="J315">
        <v>3410</v>
      </c>
      <c r="K315">
        <f>Table50[[#This Row],[OpeningQty]]+Table50[[#This Row],[PurchasesQty]]-Table50[[#This Row],[ClosingQty]]</f>
        <v>21.25</v>
      </c>
      <c r="L315">
        <v>4675</v>
      </c>
      <c r="M315" s="14">
        <f>Table50[[#This Row],[Usage]]/$L$1</f>
        <v>7.1003871723418124E-3</v>
      </c>
      <c r="N315" s="15">
        <f>IFERROR(Table50[[#This Row],[Opening]]/Table50[[#This Row],[OpeningQty]],0)</f>
        <v>220</v>
      </c>
      <c r="O315" s="15">
        <f>IFERROR(Table50[[#This Row],[Purchases]]/Table50[[#This Row],[PurchasesQty]],0)</f>
        <v>220</v>
      </c>
      <c r="P315" s="15">
        <f>IFERROR(Table50[[#This Row],[Closing]]/Table50[[#This Row],[ClosingQty]],0)</f>
        <v>220</v>
      </c>
      <c r="Q315" s="15">
        <f>IFERROR(AVERAGEIF(Table50[[#This Row],[OPENING COST PRICE]:[CLOSING COST PRICE]],"&gt;0"),0)</f>
        <v>220</v>
      </c>
      <c r="R315" s="15">
        <f>IFERROR(Table50[[#This Row],[COST PRICE]]-IFERROR(Table50[[#This Row],[Usage]]/Table50[[#This Row],[UsageQty]],Table50[[#This Row],[COST PRICE]]),0)</f>
        <v>0</v>
      </c>
      <c r="S315" s="16">
        <f>IFERROR(Table50[[#This Row],[COST PRICE CHANGE]]/Table50[[#This Row],[OPENING COST PRICE]],0)</f>
        <v>0</v>
      </c>
      <c r="T315" s="15">
        <f>Table50[[#This Row],[ClosingQty]]-(Table50[[#This Row],[USAGE / DAY]]*(IF(Table50[[#This Row],[ccnt]]="BEV",Table50[[#This Row],[DELIVERY DAY]],Table50[[#This Row],[DELIVERY DAY]])))</f>
        <v>7.9</v>
      </c>
      <c r="U315" s="15">
        <f>ROUNDUP(Table50[[#This Row],[UsageQty]]/Table50[[#This Row],[DATA POINT]],2)</f>
        <v>1.52</v>
      </c>
      <c r="V31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7</v>
      </c>
      <c r="W315" s="15">
        <f>IFERROR(Table50[[#This Row],[ORDER QTY]]*Table50[[#This Row],[COST PRICE]],0)</f>
        <v>1540</v>
      </c>
      <c r="X315" s="15">
        <f>IFERROR(VLOOKUP(C315,[1]!Table49[[#All],[name]:[USAGE / DAY]],19,FALSE),1)</f>
        <v>1.87</v>
      </c>
      <c r="Y315" s="4">
        <f>IFERROR((Table50[[#This Row],[USAGE / DAY]]-Table50[[#This Row],[USAGE / DAY 2]])/Table50[[#This Row],[USAGE / DAY 2]],0)</f>
        <v>-0.18716577540106955</v>
      </c>
      <c r="Z315" s="15">
        <f t="shared" si="12"/>
        <v>14</v>
      </c>
      <c r="AA315" s="15">
        <f t="shared" si="13"/>
        <v>9.311854181734148</v>
      </c>
      <c r="AB315" s="15">
        <f>IFERROR(IF(Table50[[#This Row],[ccnt]]="BEV",$AB$2,IF(Table50[[#This Row],[ccnt]]="FOOD",$AC$2,"ENTER # FROM LAST COUNT")),"ENTER # FROM LAST COUNT")</f>
        <v>5</v>
      </c>
      <c r="AC315" s="15">
        <f>(Table50[[#This Row],[OpeningQty]]+Table50[[#This Row],[ClosingQty]])/2</f>
        <v>11.125</v>
      </c>
      <c r="AD315" s="15">
        <f>IFERROR(Table50[[#This Row],[UsageQty]]/Table50[[#This Row],[AVE INVENTORY]],0)</f>
        <v>1.9101123595505618</v>
      </c>
      <c r="AE315" s="15">
        <f>IFERROR(Table50[[#This Row],[DATA POINT]]/Table50[[#This Row],[Inventory Turnover Rate]],0)</f>
        <v>7.3294117647058821</v>
      </c>
      <c r="AF315" s="15">
        <f>Table50[[#This Row],[ClosingQty]]/Table50[[#This Row],[USAGE / DAY]]</f>
        <v>10.197368421052632</v>
      </c>
      <c r="AG315" s="15">
        <f>Table50[[#This Row],[USAGE / DAY]]*7</f>
        <v>10.64</v>
      </c>
      <c r="AH315" s="15">
        <f>Table50[[#This Row],[USAGE / DAY]]*3</f>
        <v>4.5600000000000005</v>
      </c>
      <c r="AI31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15" s="15">
        <f>IFERROR(Table50[[#This Row],[ORDER QTY2]]*Table50[[#This Row],[COST PRICE]],0)</f>
        <v>0</v>
      </c>
      <c r="AK315" s="15">
        <f>(Table50[[#This Row],[REORDER POINT]]*Table50[[#This Row],[COST PRICE]])+Table50[[#This Row],[ORDER COST]]</f>
        <v>3278</v>
      </c>
      <c r="AL315" s="15">
        <f t="shared" si="14"/>
        <v>100</v>
      </c>
      <c r="AM315" s="15">
        <f>IFERROR((Table50[[#This Row],[REORDER POINT]]+Table50[[#This Row],[ORDER QTY]])/(Table50[[#This Row],[USAGE / DAY]]*Table50[[#This Row],[DEMAND %]]),Table50[[#This Row],[REORDER POINT]]/Table50[[#This Row],[USAGE / DAY]])</f>
        <v>9.8026315789473684E-2</v>
      </c>
    </row>
    <row r="316" spans="1:39" x14ac:dyDescent="0.25">
      <c r="A316" t="s">
        <v>324</v>
      </c>
      <c r="B316" t="s">
        <v>420</v>
      </c>
      <c r="C316" t="s">
        <v>421</v>
      </c>
      <c r="D316" t="s">
        <v>126</v>
      </c>
      <c r="E316">
        <v>34.9</v>
      </c>
      <c r="F316">
        <v>3455.1</v>
      </c>
      <c r="G316">
        <v>95</v>
      </c>
      <c r="H316">
        <v>9900</v>
      </c>
      <c r="I316">
        <v>40</v>
      </c>
      <c r="J316">
        <v>4400</v>
      </c>
      <c r="K316">
        <f>Table50[[#This Row],[OpeningQty]]+Table50[[#This Row],[PurchasesQty]]-Table50[[#This Row],[ClosingQty]]</f>
        <v>89.9</v>
      </c>
      <c r="L316">
        <v>8955.1</v>
      </c>
      <c r="M316" s="14">
        <f>Table50[[#This Row],[Usage]]/$L$1</f>
        <v>1.3601000463537575E-2</v>
      </c>
      <c r="N316" s="15">
        <f>IFERROR(Table50[[#This Row],[Opening]]/Table50[[#This Row],[OpeningQty]],0)</f>
        <v>99</v>
      </c>
      <c r="O316" s="15">
        <f>IFERROR(Table50[[#This Row],[Purchases]]/Table50[[#This Row],[PurchasesQty]],0)</f>
        <v>104.21052631578948</v>
      </c>
      <c r="P316" s="15">
        <f>IFERROR(Table50[[#This Row],[Closing]]/Table50[[#This Row],[ClosingQty]],0)</f>
        <v>110</v>
      </c>
      <c r="Q316" s="15">
        <f>IFERROR(AVERAGEIF(Table50[[#This Row],[OPENING COST PRICE]:[CLOSING COST PRICE]],"&gt;0"),0)</f>
        <v>104.40350877192982</v>
      </c>
      <c r="R316" s="15">
        <f>IFERROR(Table50[[#This Row],[COST PRICE]]-IFERROR(Table50[[#This Row],[Usage]]/Table50[[#This Row],[UsageQty]],Table50[[#This Row],[COST PRICE]]),0)</f>
        <v>4.7917178931756581</v>
      </c>
      <c r="S316" s="16">
        <f>IFERROR(Table50[[#This Row],[COST PRICE CHANGE]]/Table50[[#This Row],[OPENING COST PRICE]],0)</f>
        <v>4.8401190840158162E-2</v>
      </c>
      <c r="T316" s="15">
        <f>Table50[[#This Row],[ClosingQty]]-(Table50[[#This Row],[USAGE / DAY]]*(IF(Table50[[#This Row],[ccnt]]="BEV",Table50[[#This Row],[DELIVERY DAY]],Table50[[#This Row],[DELIVERY DAY]])))</f>
        <v>7.8500000000000014</v>
      </c>
      <c r="U316" s="15">
        <f>ROUNDUP(Table50[[#This Row],[UsageQty]]/Table50[[#This Row],[DATA POINT]],2)</f>
        <v>6.43</v>
      </c>
      <c r="V31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53</v>
      </c>
      <c r="W316" s="15">
        <f>IFERROR(Table50[[#This Row],[ORDER QTY]]*Table50[[#This Row],[COST PRICE]],0)</f>
        <v>5533.3859649122805</v>
      </c>
      <c r="X316" s="15">
        <f>IFERROR(VLOOKUP(C316,[1]!Table49[[#All],[name]:[USAGE / DAY]],19,FALSE),1)</f>
        <v>5.91</v>
      </c>
      <c r="Y316" s="4">
        <f>IFERROR((Table50[[#This Row],[USAGE / DAY]]-Table50[[#This Row],[USAGE / DAY 2]])/Table50[[#This Row],[USAGE / DAY 2]],0)</f>
        <v>8.7986463620981309E-2</v>
      </c>
      <c r="Z316" s="15">
        <f t="shared" si="12"/>
        <v>14</v>
      </c>
      <c r="AA316" s="15">
        <f t="shared" si="13"/>
        <v>9.311854181734148</v>
      </c>
      <c r="AB316" s="15">
        <f>IFERROR(IF(Table50[[#This Row],[ccnt]]="BEV",$AB$2,IF(Table50[[#This Row],[ccnt]]="FOOD",$AC$2,"ENTER # FROM LAST COUNT")),"ENTER # FROM LAST COUNT")</f>
        <v>5</v>
      </c>
      <c r="AC316" s="15">
        <f>(Table50[[#This Row],[OpeningQty]]+Table50[[#This Row],[ClosingQty]])/2</f>
        <v>37.450000000000003</v>
      </c>
      <c r="AD316" s="15">
        <f>IFERROR(Table50[[#This Row],[UsageQty]]/Table50[[#This Row],[AVE INVENTORY]],0)</f>
        <v>2.4005340453938584</v>
      </c>
      <c r="AE316" s="15">
        <f>IFERROR(Table50[[#This Row],[DATA POINT]]/Table50[[#This Row],[Inventory Turnover Rate]],0)</f>
        <v>5.8320355951056735</v>
      </c>
      <c r="AF316" s="15">
        <f>Table50[[#This Row],[ClosingQty]]/Table50[[#This Row],[USAGE / DAY]]</f>
        <v>6.2208398133748055</v>
      </c>
      <c r="AG316" s="15">
        <f>Table50[[#This Row],[USAGE / DAY]]*7</f>
        <v>45.01</v>
      </c>
      <c r="AH316" s="15">
        <f>Table50[[#This Row],[USAGE / DAY]]*3</f>
        <v>19.29</v>
      </c>
      <c r="AI316" s="15">
        <f>IF(Table50[[#This Row],[FORECASTED DEMAND]]+Table50[[#This Row],[SAFETY STOCK]]-Table50[[#This Row],[ClosingQty]]&gt;0,Table50[[#This Row],[FORECASTED DEMAND]]+Table50[[#This Row],[SAFETY STOCK]]-Table50[[#This Row],[ClosingQty]],"NO ORDER")</f>
        <v>24.299999999999997</v>
      </c>
      <c r="AJ316" s="15">
        <f>IFERROR(Table50[[#This Row],[ORDER QTY2]]*Table50[[#This Row],[COST PRICE]],0)</f>
        <v>2537.0052631578942</v>
      </c>
      <c r="AK316" s="15">
        <f>(Table50[[#This Row],[REORDER POINT]]*Table50[[#This Row],[COST PRICE]])+Table50[[#This Row],[ORDER COST]]</f>
        <v>6352.9535087719296</v>
      </c>
      <c r="AL316" s="15">
        <f t="shared" si="14"/>
        <v>100</v>
      </c>
      <c r="AM316" s="15">
        <f>IFERROR((Table50[[#This Row],[REORDER POINT]]+Table50[[#This Row],[ORDER QTY]])/(Table50[[#This Row],[USAGE / DAY]]*Table50[[#This Row],[DEMAND %]]),Table50[[#This Row],[REORDER POINT]]/Table50[[#This Row],[USAGE / DAY]])</f>
        <v>9.4634525660964239E-2</v>
      </c>
    </row>
    <row r="317" spans="1:39" x14ac:dyDescent="0.25">
      <c r="A317" t="s">
        <v>324</v>
      </c>
      <c r="B317" t="s">
        <v>420</v>
      </c>
      <c r="C317" t="s">
        <v>422</v>
      </c>
      <c r="D317" t="s">
        <v>53</v>
      </c>
      <c r="E317">
        <v>52</v>
      </c>
      <c r="F317">
        <v>102.96</v>
      </c>
      <c r="G317">
        <v>0</v>
      </c>
      <c r="H317">
        <v>0</v>
      </c>
      <c r="I317">
        <v>0</v>
      </c>
      <c r="J317">
        <v>0</v>
      </c>
      <c r="K317">
        <f>Table50[[#This Row],[OpeningQty]]+Table50[[#This Row],[PurchasesQty]]-Table50[[#This Row],[ClosingQty]]</f>
        <v>52</v>
      </c>
      <c r="L317">
        <v>102.96</v>
      </c>
      <c r="M317" s="14">
        <f>Table50[[#This Row],[Usage]]/$L$1</f>
        <v>1.5637558572498671E-4</v>
      </c>
      <c r="N317" s="15">
        <f>IFERROR(Table50[[#This Row],[Opening]]/Table50[[#This Row],[OpeningQty]],0)</f>
        <v>1.98</v>
      </c>
      <c r="O317" s="15">
        <f>IFERROR(Table50[[#This Row],[Purchases]]/Table50[[#This Row],[PurchasesQty]],0)</f>
        <v>0</v>
      </c>
      <c r="P317" s="15">
        <f>IFERROR(Table50[[#This Row],[Closing]]/Table50[[#This Row],[ClosingQty]],0)</f>
        <v>0</v>
      </c>
      <c r="Q317" s="15">
        <f>IFERROR(AVERAGEIF(Table50[[#This Row],[OPENING COST PRICE]:[CLOSING COST PRICE]],"&gt;0"),0)</f>
        <v>1.98</v>
      </c>
      <c r="R317" s="15">
        <f>IFERROR(Table50[[#This Row],[COST PRICE]]-IFERROR(Table50[[#This Row],[Usage]]/Table50[[#This Row],[UsageQty]],Table50[[#This Row],[COST PRICE]]),0)</f>
        <v>0</v>
      </c>
      <c r="S317" s="16">
        <f>IFERROR(Table50[[#This Row],[COST PRICE CHANGE]]/Table50[[#This Row],[OPENING COST PRICE]],0)</f>
        <v>0</v>
      </c>
      <c r="T317" s="15">
        <f>Table50[[#This Row],[ClosingQty]]-(Table50[[#This Row],[USAGE / DAY]]*(IF(Table50[[#This Row],[ccnt]]="BEV",Table50[[#This Row],[DELIVERY DAY]],Table50[[#This Row],[DELIVERY DAY]])))</f>
        <v>-18.599999999999998</v>
      </c>
      <c r="U317" s="15">
        <f>ROUNDUP(Table50[[#This Row],[UsageQty]]/Table50[[#This Row],[DATA POINT]],2)</f>
        <v>3.7199999999999998</v>
      </c>
      <c r="V31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54</v>
      </c>
      <c r="W317" s="15">
        <f>IFERROR(Table50[[#This Row],[ORDER QTY]]*Table50[[#This Row],[COST PRICE]],0)</f>
        <v>106.92</v>
      </c>
      <c r="X317" s="15">
        <f>IFERROR(VLOOKUP(C317,[1]!Table49[[#All],[name]:[USAGE / DAY]],19,FALSE),1)</f>
        <v>-1.54</v>
      </c>
      <c r="Y317" s="4">
        <f>IFERROR((Table50[[#This Row],[USAGE / DAY]]-Table50[[#This Row],[USAGE / DAY 2]])/Table50[[#This Row],[USAGE / DAY 2]],0)</f>
        <v>-3.4155844155844153</v>
      </c>
      <c r="Z317" s="15">
        <f t="shared" si="12"/>
        <v>14</v>
      </c>
      <c r="AA317" s="15">
        <f t="shared" si="13"/>
        <v>9.311854181734148</v>
      </c>
      <c r="AB317" s="15">
        <f>IFERROR(IF(Table50[[#This Row],[ccnt]]="BEV",$AB$2,IF(Table50[[#This Row],[ccnt]]="FOOD",$AC$2,"ENTER # FROM LAST COUNT")),"ENTER # FROM LAST COUNT")</f>
        <v>5</v>
      </c>
      <c r="AC317" s="15">
        <f>(Table50[[#This Row],[OpeningQty]]+Table50[[#This Row],[ClosingQty]])/2</f>
        <v>26</v>
      </c>
      <c r="AD317" s="15">
        <f>IFERROR(Table50[[#This Row],[UsageQty]]/Table50[[#This Row],[AVE INVENTORY]],0)</f>
        <v>2</v>
      </c>
      <c r="AE317" s="15">
        <f>IFERROR(Table50[[#This Row],[DATA POINT]]/Table50[[#This Row],[Inventory Turnover Rate]],0)</f>
        <v>7</v>
      </c>
      <c r="AF317" s="15">
        <f>Table50[[#This Row],[ClosingQty]]/Table50[[#This Row],[USAGE / DAY]]</f>
        <v>0</v>
      </c>
      <c r="AG317" s="15">
        <f>Table50[[#This Row],[USAGE / DAY]]*7</f>
        <v>26.04</v>
      </c>
      <c r="AH317" s="15">
        <f>Table50[[#This Row],[USAGE / DAY]]*3</f>
        <v>11.16</v>
      </c>
      <c r="AI317" s="15">
        <f>IF(Table50[[#This Row],[FORECASTED DEMAND]]+Table50[[#This Row],[SAFETY STOCK]]-Table50[[#This Row],[ClosingQty]]&gt;0,Table50[[#This Row],[FORECASTED DEMAND]]+Table50[[#This Row],[SAFETY STOCK]]-Table50[[#This Row],[ClosingQty]],"NO ORDER")</f>
        <v>37.200000000000003</v>
      </c>
      <c r="AJ317" s="15">
        <f>IFERROR(Table50[[#This Row],[ORDER QTY2]]*Table50[[#This Row],[COST PRICE]],0)</f>
        <v>73.656000000000006</v>
      </c>
      <c r="AK317" s="15">
        <f>(Table50[[#This Row],[REORDER POINT]]*Table50[[#This Row],[COST PRICE]])+Table50[[#This Row],[ORDER COST]]</f>
        <v>70.092000000000013</v>
      </c>
      <c r="AL317" s="15">
        <f t="shared" si="14"/>
        <v>100</v>
      </c>
      <c r="AM317" s="15">
        <f>IFERROR((Table50[[#This Row],[REORDER POINT]]+Table50[[#This Row],[ORDER QTY]])/(Table50[[#This Row],[USAGE / DAY]]*Table50[[#This Row],[DEMAND %]]),Table50[[#This Row],[REORDER POINT]]/Table50[[#This Row],[USAGE / DAY]])</f>
        <v>9.5161290322580666E-2</v>
      </c>
    </row>
    <row r="318" spans="1:39" x14ac:dyDescent="0.25">
      <c r="A318" t="s">
        <v>324</v>
      </c>
      <c r="B318" t="s">
        <v>423</v>
      </c>
      <c r="C318" t="s">
        <v>424</v>
      </c>
      <c r="D318" t="s">
        <v>53</v>
      </c>
      <c r="E318">
        <v>52</v>
      </c>
      <c r="F318">
        <v>2633.8</v>
      </c>
      <c r="G318">
        <v>0</v>
      </c>
      <c r="H318">
        <v>0</v>
      </c>
      <c r="I318">
        <v>42</v>
      </c>
      <c r="J318">
        <v>2127.3000000000002</v>
      </c>
      <c r="K318">
        <f>Table50[[#This Row],[OpeningQty]]+Table50[[#This Row],[PurchasesQty]]-Table50[[#This Row],[ClosingQty]]</f>
        <v>10</v>
      </c>
      <c r="L318">
        <v>506.5</v>
      </c>
      <c r="M318" s="14">
        <f>Table50[[#This Row],[Usage]]/$L$1</f>
        <v>7.6927189364516099E-4</v>
      </c>
      <c r="N318" s="15">
        <f>IFERROR(Table50[[#This Row],[Opening]]/Table50[[#This Row],[OpeningQty]],0)</f>
        <v>50.650000000000006</v>
      </c>
      <c r="O318" s="15">
        <f>IFERROR(Table50[[#This Row],[Purchases]]/Table50[[#This Row],[PurchasesQty]],0)</f>
        <v>0</v>
      </c>
      <c r="P318" s="15">
        <f>IFERROR(Table50[[#This Row],[Closing]]/Table50[[#This Row],[ClosingQty]],0)</f>
        <v>50.650000000000006</v>
      </c>
      <c r="Q318" s="15">
        <f>IFERROR(AVERAGEIF(Table50[[#This Row],[OPENING COST PRICE]:[CLOSING COST PRICE]],"&gt;0"),0)</f>
        <v>50.650000000000006</v>
      </c>
      <c r="R318" s="15">
        <f>IFERROR(Table50[[#This Row],[COST PRICE]]-IFERROR(Table50[[#This Row],[Usage]]/Table50[[#This Row],[UsageQty]],Table50[[#This Row],[COST PRICE]]),0)</f>
        <v>7.1054273576010019E-15</v>
      </c>
      <c r="S318" s="16">
        <f>IFERROR(Table50[[#This Row],[COST PRICE CHANGE]]/Table50[[#This Row],[OPENING COST PRICE]],0)</f>
        <v>1.4028484417770978E-16</v>
      </c>
      <c r="T318" s="15">
        <f>Table50[[#This Row],[ClosingQty]]-(Table50[[#This Row],[USAGE / DAY]]*(IF(Table50[[#This Row],[ccnt]]="BEV",Table50[[#This Row],[DELIVERY DAY]],Table50[[#This Row],[DELIVERY DAY]])))</f>
        <v>38.4</v>
      </c>
      <c r="U318" s="15">
        <f>ROUNDUP(Table50[[#This Row],[UsageQty]]/Table50[[#This Row],[DATA POINT]],2)</f>
        <v>0.72</v>
      </c>
      <c r="V31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18" s="15">
        <f>IFERROR(Table50[[#This Row],[ORDER QTY]]*Table50[[#This Row],[COST PRICE]],0)</f>
        <v>0</v>
      </c>
      <c r="X318" s="15">
        <f>IFERROR(VLOOKUP(C318,[1]!Table49[[#All],[name]:[USAGE / DAY]],19,FALSE),1)</f>
        <v>0.8</v>
      </c>
      <c r="Y318" s="4">
        <f>IFERROR((Table50[[#This Row],[USAGE / DAY]]-Table50[[#This Row],[USAGE / DAY 2]])/Table50[[#This Row],[USAGE / DAY 2]],0)</f>
        <v>-0.10000000000000009</v>
      </c>
      <c r="Z318" s="15">
        <f t="shared" si="12"/>
        <v>14</v>
      </c>
      <c r="AA318" s="15">
        <f t="shared" si="13"/>
        <v>9.311854181734148</v>
      </c>
      <c r="AB318" s="15">
        <f>IFERROR(IF(Table50[[#This Row],[ccnt]]="BEV",$AB$2,IF(Table50[[#This Row],[ccnt]]="FOOD",$AC$2,"ENTER # FROM LAST COUNT")),"ENTER # FROM LAST COUNT")</f>
        <v>5</v>
      </c>
      <c r="AC318" s="15">
        <f>(Table50[[#This Row],[OpeningQty]]+Table50[[#This Row],[ClosingQty]])/2</f>
        <v>47</v>
      </c>
      <c r="AD318" s="15">
        <f>IFERROR(Table50[[#This Row],[UsageQty]]/Table50[[#This Row],[AVE INVENTORY]],0)</f>
        <v>0.21276595744680851</v>
      </c>
      <c r="AE318" s="15">
        <f>IFERROR(Table50[[#This Row],[DATA POINT]]/Table50[[#This Row],[Inventory Turnover Rate]],0)</f>
        <v>65.8</v>
      </c>
      <c r="AF318" s="15">
        <f>Table50[[#This Row],[ClosingQty]]/Table50[[#This Row],[USAGE / DAY]]</f>
        <v>58.333333333333336</v>
      </c>
      <c r="AG318" s="15">
        <f>Table50[[#This Row],[USAGE / DAY]]*7</f>
        <v>5.04</v>
      </c>
      <c r="AH318" s="15">
        <f>Table50[[#This Row],[USAGE / DAY]]*3</f>
        <v>2.16</v>
      </c>
      <c r="AI31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18" s="15">
        <f>IFERROR(Table50[[#This Row],[ORDER QTY2]]*Table50[[#This Row],[COST PRICE]],0)</f>
        <v>0</v>
      </c>
      <c r="AK318" s="15">
        <f>(Table50[[#This Row],[REORDER POINT]]*Table50[[#This Row],[COST PRICE]])+Table50[[#This Row],[ORDER COST]]</f>
        <v>1944.96</v>
      </c>
      <c r="AL318" s="15">
        <f t="shared" si="14"/>
        <v>100</v>
      </c>
      <c r="AM318" s="15">
        <f>IFERROR((Table50[[#This Row],[REORDER POINT]]+Table50[[#This Row],[ORDER QTY]])/(Table50[[#This Row],[USAGE / DAY]]*Table50[[#This Row],[DEMAND %]]),Table50[[#This Row],[REORDER POINT]]/Table50[[#This Row],[USAGE / DAY]])</f>
        <v>53.333333333333336</v>
      </c>
    </row>
    <row r="319" spans="1:39" x14ac:dyDescent="0.25">
      <c r="A319" t="s">
        <v>324</v>
      </c>
      <c r="B319" t="s">
        <v>423</v>
      </c>
      <c r="C319" t="s">
        <v>425</v>
      </c>
      <c r="D319" t="s">
        <v>76</v>
      </c>
      <c r="E319">
        <v>118</v>
      </c>
      <c r="F319">
        <v>3304</v>
      </c>
      <c r="G319">
        <v>140</v>
      </c>
      <c r="H319">
        <v>7280</v>
      </c>
      <c r="I319">
        <v>143</v>
      </c>
      <c r="J319">
        <v>4004</v>
      </c>
      <c r="K319">
        <f>Table50[[#This Row],[OpeningQty]]+Table50[[#This Row],[PurchasesQty]]-Table50[[#This Row],[ClosingQty]]</f>
        <v>115</v>
      </c>
      <c r="L319">
        <v>6580</v>
      </c>
      <c r="M319" s="14">
        <f>Table50[[#This Row],[Usage]]/$L$1</f>
        <v>9.9937000201089036E-3</v>
      </c>
      <c r="N319" s="15">
        <f>IFERROR(Table50[[#This Row],[Opening]]/Table50[[#This Row],[OpeningQty]],0)</f>
        <v>28</v>
      </c>
      <c r="O319" s="15">
        <f>IFERROR(Table50[[#This Row],[Purchases]]/Table50[[#This Row],[PurchasesQty]],0)</f>
        <v>52</v>
      </c>
      <c r="P319" s="15">
        <f>IFERROR(Table50[[#This Row],[Closing]]/Table50[[#This Row],[ClosingQty]],0)</f>
        <v>28</v>
      </c>
      <c r="Q319" s="15">
        <f>IFERROR(AVERAGEIF(Table50[[#This Row],[OPENING COST PRICE]:[CLOSING COST PRICE]],"&gt;0"),0)</f>
        <v>36</v>
      </c>
      <c r="R319" s="15">
        <f>IFERROR(Table50[[#This Row],[COST PRICE]]-IFERROR(Table50[[#This Row],[Usage]]/Table50[[#This Row],[UsageQty]],Table50[[#This Row],[COST PRICE]]),0)</f>
        <v>-21.217391304347828</v>
      </c>
      <c r="S319" s="16">
        <f>IFERROR(Table50[[#This Row],[COST PRICE CHANGE]]/Table50[[#This Row],[OPENING COST PRICE]],0)</f>
        <v>-0.7577639751552796</v>
      </c>
      <c r="T319" s="15">
        <f>Table50[[#This Row],[ClosingQty]]-(Table50[[#This Row],[USAGE / DAY]]*(IF(Table50[[#This Row],[ccnt]]="BEV",Table50[[#This Row],[DELIVERY DAY]],Table50[[#This Row],[DELIVERY DAY]])))</f>
        <v>101.9</v>
      </c>
      <c r="U319" s="15">
        <f>ROUNDUP(Table50[[#This Row],[UsageQty]]/Table50[[#This Row],[DATA POINT]],2)</f>
        <v>8.2200000000000006</v>
      </c>
      <c r="V31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19" s="15">
        <f>IFERROR(Table50[[#This Row],[ORDER QTY]]*Table50[[#This Row],[COST PRICE]],0)</f>
        <v>0</v>
      </c>
      <c r="X319" s="15">
        <f>IFERROR(VLOOKUP(C319,[1]!Table49[[#All],[name]:[USAGE / DAY]],19,FALSE),1)</f>
        <v>18</v>
      </c>
      <c r="Y319" s="4">
        <f>IFERROR((Table50[[#This Row],[USAGE / DAY]]-Table50[[#This Row],[USAGE / DAY 2]])/Table50[[#This Row],[USAGE / DAY 2]],0)</f>
        <v>-0.54333333333333333</v>
      </c>
      <c r="Z319" s="15">
        <f t="shared" si="12"/>
        <v>14</v>
      </c>
      <c r="AA319" s="15">
        <f t="shared" si="13"/>
        <v>9.311854181734148</v>
      </c>
      <c r="AB319" s="15">
        <f>IFERROR(IF(Table50[[#This Row],[ccnt]]="BEV",$AB$2,IF(Table50[[#This Row],[ccnt]]="FOOD",$AC$2,"ENTER # FROM LAST COUNT")),"ENTER # FROM LAST COUNT")</f>
        <v>5</v>
      </c>
      <c r="AC319" s="15">
        <f>(Table50[[#This Row],[OpeningQty]]+Table50[[#This Row],[ClosingQty]])/2</f>
        <v>130.5</v>
      </c>
      <c r="AD319" s="15">
        <f>IFERROR(Table50[[#This Row],[UsageQty]]/Table50[[#This Row],[AVE INVENTORY]],0)</f>
        <v>0.88122605363984674</v>
      </c>
      <c r="AE319" s="15">
        <f>IFERROR(Table50[[#This Row],[DATA POINT]]/Table50[[#This Row],[Inventory Turnover Rate]],0)</f>
        <v>15.88695652173913</v>
      </c>
      <c r="AF319" s="15">
        <f>Table50[[#This Row],[ClosingQty]]/Table50[[#This Row],[USAGE / DAY]]</f>
        <v>17.396593673965935</v>
      </c>
      <c r="AG319" s="15">
        <f>Table50[[#This Row],[USAGE / DAY]]*7</f>
        <v>57.540000000000006</v>
      </c>
      <c r="AH319" s="15">
        <f>Table50[[#This Row],[USAGE / DAY]]*3</f>
        <v>24.660000000000004</v>
      </c>
      <c r="AI31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19" s="15">
        <f>IFERROR(Table50[[#This Row],[ORDER QTY2]]*Table50[[#This Row],[COST PRICE]],0)</f>
        <v>0</v>
      </c>
      <c r="AK319" s="15">
        <f>(Table50[[#This Row],[REORDER POINT]]*Table50[[#This Row],[COST PRICE]])+Table50[[#This Row],[ORDER COST]]</f>
        <v>3668.4</v>
      </c>
      <c r="AL319" s="15">
        <f t="shared" si="14"/>
        <v>100</v>
      </c>
      <c r="AM319" s="15">
        <f>IFERROR((Table50[[#This Row],[REORDER POINT]]+Table50[[#This Row],[ORDER QTY]])/(Table50[[#This Row],[USAGE / DAY]]*Table50[[#This Row],[DEMAND %]]),Table50[[#This Row],[REORDER POINT]]/Table50[[#This Row],[USAGE / DAY]])</f>
        <v>12.396593673965937</v>
      </c>
    </row>
    <row r="320" spans="1:39" x14ac:dyDescent="0.25">
      <c r="A320" t="s">
        <v>324</v>
      </c>
      <c r="B320" t="s">
        <v>423</v>
      </c>
      <c r="C320" t="s">
        <v>426</v>
      </c>
      <c r="D320" t="s">
        <v>76</v>
      </c>
      <c r="E320">
        <v>8.1</v>
      </c>
      <c r="F320">
        <v>729</v>
      </c>
      <c r="G320">
        <v>0</v>
      </c>
      <c r="H320">
        <v>0</v>
      </c>
      <c r="I320">
        <v>6.2</v>
      </c>
      <c r="J320">
        <v>558</v>
      </c>
      <c r="K320">
        <f>Table50[[#This Row],[OpeningQty]]+Table50[[#This Row],[PurchasesQty]]-Table50[[#This Row],[ClosingQty]]</f>
        <v>1.8999999999999995</v>
      </c>
      <c r="L320">
        <v>171</v>
      </c>
      <c r="M320" s="14">
        <f>Table50[[#This Row],[Usage]]/$L$1</f>
        <v>2.5971469657121924E-4</v>
      </c>
      <c r="N320" s="15">
        <f>IFERROR(Table50[[#This Row],[Opening]]/Table50[[#This Row],[OpeningQty]],0)</f>
        <v>90</v>
      </c>
      <c r="O320" s="15">
        <f>IFERROR(Table50[[#This Row],[Purchases]]/Table50[[#This Row],[PurchasesQty]],0)</f>
        <v>0</v>
      </c>
      <c r="P320" s="15">
        <f>IFERROR(Table50[[#This Row],[Closing]]/Table50[[#This Row],[ClosingQty]],0)</f>
        <v>90</v>
      </c>
      <c r="Q320" s="15">
        <f>IFERROR(AVERAGEIF(Table50[[#This Row],[OPENING COST PRICE]:[CLOSING COST PRICE]],"&gt;0"),0)</f>
        <v>90</v>
      </c>
      <c r="R320" s="15">
        <f>IFERROR(Table50[[#This Row],[COST PRICE]]-IFERROR(Table50[[#This Row],[Usage]]/Table50[[#This Row],[UsageQty]],Table50[[#This Row],[COST PRICE]]),0)</f>
        <v>-2.8421709430404007E-14</v>
      </c>
      <c r="S320" s="16">
        <f>IFERROR(Table50[[#This Row],[COST PRICE CHANGE]]/Table50[[#This Row],[OPENING COST PRICE]],0)</f>
        <v>-3.1579677144893343E-16</v>
      </c>
      <c r="T320" s="15">
        <f>Table50[[#This Row],[ClosingQty]]-(Table50[[#This Row],[USAGE / DAY]]*(IF(Table50[[#This Row],[ccnt]]="BEV",Table50[[#This Row],[DELIVERY DAY]],Table50[[#This Row],[DELIVERY DAY]])))</f>
        <v>5.5</v>
      </c>
      <c r="U320" s="15">
        <f>ROUNDUP(Table50[[#This Row],[UsageQty]]/Table50[[#This Row],[DATA POINT]],2)</f>
        <v>0.14000000000000001</v>
      </c>
      <c r="V32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20" s="15">
        <f>IFERROR(Table50[[#This Row],[ORDER QTY]]*Table50[[#This Row],[COST PRICE]],0)</f>
        <v>0</v>
      </c>
      <c r="X320" s="15">
        <f>IFERROR(VLOOKUP(C320,[1]!Table49[[#All],[name]:[USAGE / DAY]],19,FALSE),1)</f>
        <v>0.12</v>
      </c>
      <c r="Y320" s="4">
        <f>IFERROR((Table50[[#This Row],[USAGE / DAY]]-Table50[[#This Row],[USAGE / DAY 2]])/Table50[[#This Row],[USAGE / DAY 2]],0)</f>
        <v>0.16666666666666682</v>
      </c>
      <c r="Z320" s="15">
        <f t="shared" si="12"/>
        <v>14</v>
      </c>
      <c r="AA320" s="15">
        <f t="shared" si="13"/>
        <v>9.311854181734148</v>
      </c>
      <c r="AB320" s="15">
        <f>IFERROR(IF(Table50[[#This Row],[ccnt]]="BEV",$AB$2,IF(Table50[[#This Row],[ccnt]]="FOOD",$AC$2,"ENTER # FROM LAST COUNT")),"ENTER # FROM LAST COUNT")</f>
        <v>5</v>
      </c>
      <c r="AC320" s="15">
        <f>(Table50[[#This Row],[OpeningQty]]+Table50[[#This Row],[ClosingQty]])/2</f>
        <v>7.15</v>
      </c>
      <c r="AD320" s="15">
        <f>IFERROR(Table50[[#This Row],[UsageQty]]/Table50[[#This Row],[AVE INVENTORY]],0)</f>
        <v>0.26573426573426567</v>
      </c>
      <c r="AE320" s="15">
        <f>IFERROR(Table50[[#This Row],[DATA POINT]]/Table50[[#This Row],[Inventory Turnover Rate]],0)</f>
        <v>52.684210526315802</v>
      </c>
      <c r="AF320" s="15">
        <f>Table50[[#This Row],[ClosingQty]]/Table50[[#This Row],[USAGE / DAY]]</f>
        <v>44.285714285714285</v>
      </c>
      <c r="AG320" s="15">
        <f>Table50[[#This Row],[USAGE / DAY]]*7</f>
        <v>0.98000000000000009</v>
      </c>
      <c r="AH320" s="15">
        <f>Table50[[#This Row],[USAGE / DAY]]*3</f>
        <v>0.42000000000000004</v>
      </c>
      <c r="AI32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20" s="15">
        <f>IFERROR(Table50[[#This Row],[ORDER QTY2]]*Table50[[#This Row],[COST PRICE]],0)</f>
        <v>0</v>
      </c>
      <c r="AK320" s="15">
        <f>(Table50[[#This Row],[REORDER POINT]]*Table50[[#This Row],[COST PRICE]])+Table50[[#This Row],[ORDER COST]]</f>
        <v>495</v>
      </c>
      <c r="AL320" s="15">
        <f t="shared" si="14"/>
        <v>100</v>
      </c>
      <c r="AM320" s="15">
        <f>IFERROR((Table50[[#This Row],[REORDER POINT]]+Table50[[#This Row],[ORDER QTY]])/(Table50[[#This Row],[USAGE / DAY]]*Table50[[#This Row],[DEMAND %]]),Table50[[#This Row],[REORDER POINT]]/Table50[[#This Row],[USAGE / DAY]])</f>
        <v>39.285714285714285</v>
      </c>
    </row>
    <row r="321" spans="1:39" x14ac:dyDescent="0.25">
      <c r="A321" t="s">
        <v>324</v>
      </c>
      <c r="B321" t="s">
        <v>423</v>
      </c>
      <c r="C321" t="s">
        <v>427</v>
      </c>
      <c r="D321" t="s">
        <v>346</v>
      </c>
      <c r="E321">
        <v>1.1000000000000001</v>
      </c>
      <c r="F321">
        <v>281.60000000000002</v>
      </c>
      <c r="G321">
        <v>5</v>
      </c>
      <c r="H321">
        <v>1280</v>
      </c>
      <c r="I321">
        <v>6.25</v>
      </c>
      <c r="J321">
        <v>1600</v>
      </c>
      <c r="K321">
        <f>Table50[[#This Row],[OpeningQty]]+Table50[[#This Row],[PurchasesQty]]-Table50[[#This Row],[ClosingQty]]</f>
        <v>-0.15000000000000036</v>
      </c>
      <c r="L321">
        <v>-38.4</v>
      </c>
      <c r="M321" s="14">
        <f>Table50[[#This Row],[Usage]]/$L$1</f>
        <v>-5.8321896773887821E-5</v>
      </c>
      <c r="N321" s="15">
        <f>IFERROR(Table50[[#This Row],[Opening]]/Table50[[#This Row],[OpeningQty]],0)</f>
        <v>256</v>
      </c>
      <c r="O321" s="15">
        <f>IFERROR(Table50[[#This Row],[Purchases]]/Table50[[#This Row],[PurchasesQty]],0)</f>
        <v>256</v>
      </c>
      <c r="P321" s="15">
        <f>IFERROR(Table50[[#This Row],[Closing]]/Table50[[#This Row],[ClosingQty]],0)</f>
        <v>256</v>
      </c>
      <c r="Q321" s="15">
        <f>IFERROR(AVERAGEIF(Table50[[#This Row],[OPENING COST PRICE]:[CLOSING COST PRICE]],"&gt;0"),0)</f>
        <v>256</v>
      </c>
      <c r="R321" s="15">
        <f>IFERROR(Table50[[#This Row],[COST PRICE]]-IFERROR(Table50[[#This Row],[Usage]]/Table50[[#This Row],[UsageQty]],Table50[[#This Row],[COST PRICE]]),0)</f>
        <v>6.2527760746888816E-13</v>
      </c>
      <c r="S321" s="16">
        <f>IFERROR(Table50[[#This Row],[COST PRICE CHANGE]]/Table50[[#This Row],[OPENING COST PRICE]],0)</f>
        <v>2.4424906541753444E-15</v>
      </c>
      <c r="T321" s="15">
        <f>Table50[[#This Row],[ClosingQty]]-(Table50[[#This Row],[USAGE / DAY]]*(IF(Table50[[#This Row],[ccnt]]="BEV",Table50[[#This Row],[DELIVERY DAY]],Table50[[#This Row],[DELIVERY DAY]])))</f>
        <v>6.35</v>
      </c>
      <c r="U321" s="15">
        <f>ROUNDUP(Table50[[#This Row],[UsageQty]]/Table50[[#This Row],[DATA POINT]],2)</f>
        <v>-0.02</v>
      </c>
      <c r="V32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21" s="15">
        <f>IFERROR(Table50[[#This Row],[ORDER QTY]]*Table50[[#This Row],[COST PRICE]],0)</f>
        <v>0</v>
      </c>
      <c r="X321" s="15">
        <f>IFERROR(VLOOKUP(C321,[1]!Table49[[#All],[name]:[USAGE / DAY]],19,FALSE),1)</f>
        <v>0.16</v>
      </c>
      <c r="Y321" s="4">
        <f>IFERROR((Table50[[#This Row],[USAGE / DAY]]-Table50[[#This Row],[USAGE / DAY 2]])/Table50[[#This Row],[USAGE / DAY 2]],0)</f>
        <v>-1.125</v>
      </c>
      <c r="Z321" s="15">
        <f t="shared" si="12"/>
        <v>14</v>
      </c>
      <c r="AA321" s="15">
        <f t="shared" si="13"/>
        <v>9.311854181734148</v>
      </c>
      <c r="AB321" s="15">
        <f>IFERROR(IF(Table50[[#This Row],[ccnt]]="BEV",$AB$2,IF(Table50[[#This Row],[ccnt]]="FOOD",$AC$2,"ENTER # FROM LAST COUNT")),"ENTER # FROM LAST COUNT")</f>
        <v>5</v>
      </c>
      <c r="AC321" s="15">
        <f>(Table50[[#This Row],[OpeningQty]]+Table50[[#This Row],[ClosingQty]])/2</f>
        <v>3.6749999999999998</v>
      </c>
      <c r="AD321" s="15">
        <f>IFERROR(Table50[[#This Row],[UsageQty]]/Table50[[#This Row],[AVE INVENTORY]],0)</f>
        <v>-4.0816326530612346E-2</v>
      </c>
      <c r="AE321" s="15">
        <f>IFERROR(Table50[[#This Row],[DATA POINT]]/Table50[[#This Row],[Inventory Turnover Rate]],0)</f>
        <v>-342.99999999999915</v>
      </c>
      <c r="AF321" s="15">
        <f>Table50[[#This Row],[ClosingQty]]/Table50[[#This Row],[USAGE / DAY]]</f>
        <v>-312.5</v>
      </c>
      <c r="AG321" s="15">
        <f>Table50[[#This Row],[USAGE / DAY]]*7</f>
        <v>-0.14000000000000001</v>
      </c>
      <c r="AH321" s="15">
        <f>Table50[[#This Row],[USAGE / DAY]]*3</f>
        <v>-0.06</v>
      </c>
      <c r="AI32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21" s="15">
        <f>IFERROR(Table50[[#This Row],[ORDER QTY2]]*Table50[[#This Row],[COST PRICE]],0)</f>
        <v>0</v>
      </c>
      <c r="AK321" s="15">
        <f>(Table50[[#This Row],[REORDER POINT]]*Table50[[#This Row],[COST PRICE]])+Table50[[#This Row],[ORDER COST]]</f>
        <v>1625.6</v>
      </c>
      <c r="AL321" s="15">
        <f t="shared" si="14"/>
        <v>100</v>
      </c>
      <c r="AM321" s="15">
        <f>IFERROR((Table50[[#This Row],[REORDER POINT]]+Table50[[#This Row],[ORDER QTY]])/(Table50[[#This Row],[USAGE / DAY]]*Table50[[#This Row],[DEMAND %]]),Table50[[#This Row],[REORDER POINT]]/Table50[[#This Row],[USAGE / DAY]])</f>
        <v>-317.5</v>
      </c>
    </row>
    <row r="322" spans="1:39" x14ac:dyDescent="0.25">
      <c r="A322" t="s">
        <v>324</v>
      </c>
      <c r="B322" t="s">
        <v>428</v>
      </c>
      <c r="C322" t="s">
        <v>429</v>
      </c>
      <c r="D322" t="s">
        <v>53</v>
      </c>
      <c r="E322">
        <v>106</v>
      </c>
      <c r="F322">
        <v>1155.4000000000001</v>
      </c>
      <c r="G322">
        <v>160</v>
      </c>
      <c r="H322">
        <v>2180</v>
      </c>
      <c r="I322">
        <v>118</v>
      </c>
      <c r="J322">
        <v>1286.2</v>
      </c>
      <c r="K322">
        <f>Table50[[#This Row],[OpeningQty]]+Table50[[#This Row],[PurchasesQty]]-Table50[[#This Row],[ClosingQty]]</f>
        <v>148</v>
      </c>
      <c r="L322">
        <v>2049.1999999999998</v>
      </c>
      <c r="M322" s="14">
        <f>Table50[[#This Row],[Usage]]/$L$1</f>
        <v>3.1123237205482011E-3</v>
      </c>
      <c r="N322" s="15">
        <f>IFERROR(Table50[[#This Row],[Opening]]/Table50[[#This Row],[OpeningQty]],0)</f>
        <v>10.9</v>
      </c>
      <c r="O322" s="15">
        <f>IFERROR(Table50[[#This Row],[Purchases]]/Table50[[#This Row],[PurchasesQty]],0)</f>
        <v>13.625</v>
      </c>
      <c r="P322" s="15">
        <f>IFERROR(Table50[[#This Row],[Closing]]/Table50[[#This Row],[ClosingQty]],0)</f>
        <v>10.9</v>
      </c>
      <c r="Q322" s="15">
        <f>IFERROR(AVERAGEIF(Table50[[#This Row],[OPENING COST PRICE]:[CLOSING COST PRICE]],"&gt;0"),0)</f>
        <v>11.808333333333332</v>
      </c>
      <c r="R322" s="15">
        <f>IFERROR(Table50[[#This Row],[COST PRICE]]-IFERROR(Table50[[#This Row],[Usage]]/Table50[[#This Row],[UsageQty]],Table50[[#This Row],[COST PRICE]]),0)</f>
        <v>-2.0376126126126124</v>
      </c>
      <c r="S322" s="16">
        <f>IFERROR(Table50[[#This Row],[COST PRICE CHANGE]]/Table50[[#This Row],[OPENING COST PRICE]],0)</f>
        <v>-0.18693693693693691</v>
      </c>
      <c r="T322" s="15">
        <f>Table50[[#This Row],[ClosingQty]]-(Table50[[#This Row],[USAGE / DAY]]*(IF(Table50[[#This Row],[ccnt]]="BEV",Table50[[#This Row],[DELIVERY DAY]],Table50[[#This Row],[DELIVERY DAY]])))</f>
        <v>65.099999999999994</v>
      </c>
      <c r="U322" s="15">
        <f>ROUNDUP(Table50[[#This Row],[UsageQty]]/Table50[[#This Row],[DATA POINT]],2)</f>
        <v>10.58</v>
      </c>
      <c r="V32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34</v>
      </c>
      <c r="W322" s="15">
        <f>IFERROR(Table50[[#This Row],[ORDER QTY]]*Table50[[#This Row],[COST PRICE]],0)</f>
        <v>401.48333333333329</v>
      </c>
      <c r="X322" s="15">
        <f>IFERROR(VLOOKUP(C322,[1]!Table49[[#All],[name]:[USAGE / DAY]],19,FALSE),1)</f>
        <v>12.34</v>
      </c>
      <c r="Y322" s="4">
        <f>IFERROR((Table50[[#This Row],[USAGE / DAY]]-Table50[[#This Row],[USAGE / DAY 2]])/Table50[[#This Row],[USAGE / DAY 2]],0)</f>
        <v>-0.14262560777957858</v>
      </c>
      <c r="Z322" s="15">
        <f t="shared" si="12"/>
        <v>14</v>
      </c>
      <c r="AA322" s="15">
        <f t="shared" si="13"/>
        <v>9.311854181734148</v>
      </c>
      <c r="AB322" s="15">
        <f>IFERROR(IF(Table50[[#This Row],[ccnt]]="BEV",$AB$2,IF(Table50[[#This Row],[ccnt]]="FOOD",$AC$2,"ENTER # FROM LAST COUNT")),"ENTER # FROM LAST COUNT")</f>
        <v>5</v>
      </c>
      <c r="AC322" s="15">
        <f>(Table50[[#This Row],[OpeningQty]]+Table50[[#This Row],[ClosingQty]])/2</f>
        <v>112</v>
      </c>
      <c r="AD322" s="15">
        <f>IFERROR(Table50[[#This Row],[UsageQty]]/Table50[[#This Row],[AVE INVENTORY]],0)</f>
        <v>1.3214285714285714</v>
      </c>
      <c r="AE322" s="15">
        <f>IFERROR(Table50[[#This Row],[DATA POINT]]/Table50[[#This Row],[Inventory Turnover Rate]],0)</f>
        <v>10.594594594594595</v>
      </c>
      <c r="AF322" s="15">
        <f>Table50[[#This Row],[ClosingQty]]/Table50[[#This Row],[USAGE / DAY]]</f>
        <v>11.1531190926276</v>
      </c>
      <c r="AG322" s="15">
        <f>Table50[[#This Row],[USAGE / DAY]]*7</f>
        <v>74.06</v>
      </c>
      <c r="AH322" s="15">
        <f>Table50[[#This Row],[USAGE / DAY]]*3</f>
        <v>31.740000000000002</v>
      </c>
      <c r="AI32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22" s="15">
        <f>IFERROR(Table50[[#This Row],[ORDER QTY2]]*Table50[[#This Row],[COST PRICE]],0)</f>
        <v>0</v>
      </c>
      <c r="AK322" s="15">
        <f>(Table50[[#This Row],[REORDER POINT]]*Table50[[#This Row],[COST PRICE]])+Table50[[#This Row],[ORDER COST]]</f>
        <v>1170.2058333333332</v>
      </c>
      <c r="AL322" s="15">
        <f t="shared" si="14"/>
        <v>100</v>
      </c>
      <c r="AM322" s="15">
        <f>IFERROR((Table50[[#This Row],[REORDER POINT]]+Table50[[#This Row],[ORDER QTY]])/(Table50[[#This Row],[USAGE / DAY]]*Table50[[#This Row],[DEMAND %]]),Table50[[#This Row],[REORDER POINT]]/Table50[[#This Row],[USAGE / DAY]])</f>
        <v>9.3667296786389409E-2</v>
      </c>
    </row>
    <row r="323" spans="1:39" x14ac:dyDescent="0.25">
      <c r="A323" t="s">
        <v>324</v>
      </c>
      <c r="B323" t="s">
        <v>430</v>
      </c>
      <c r="C323" t="s">
        <v>431</v>
      </c>
      <c r="D323" t="s">
        <v>126</v>
      </c>
      <c r="E323">
        <v>0</v>
      </c>
      <c r="F323">
        <v>0</v>
      </c>
      <c r="G323">
        <v>12</v>
      </c>
      <c r="H323">
        <v>2280</v>
      </c>
      <c r="I323">
        <v>8</v>
      </c>
      <c r="J323">
        <v>1520</v>
      </c>
      <c r="K323">
        <f>Table50[[#This Row],[OpeningQty]]+Table50[[#This Row],[PurchasesQty]]-Table50[[#This Row],[ClosingQty]]</f>
        <v>4</v>
      </c>
      <c r="L323">
        <v>760</v>
      </c>
      <c r="M323" s="14">
        <f>Table50[[#This Row],[Usage]]/$L$1</f>
        <v>1.15428754031653E-3</v>
      </c>
      <c r="N323" s="15">
        <f>IFERROR(Table50[[#This Row],[Opening]]/Table50[[#This Row],[OpeningQty]],0)</f>
        <v>0</v>
      </c>
      <c r="O323" s="15">
        <f>IFERROR(Table50[[#This Row],[Purchases]]/Table50[[#This Row],[PurchasesQty]],0)</f>
        <v>190</v>
      </c>
      <c r="P323" s="15">
        <f>IFERROR(Table50[[#This Row],[Closing]]/Table50[[#This Row],[ClosingQty]],0)</f>
        <v>190</v>
      </c>
      <c r="Q323" s="15">
        <f>IFERROR(AVERAGEIF(Table50[[#This Row],[OPENING COST PRICE]:[CLOSING COST PRICE]],"&gt;0"),0)</f>
        <v>190</v>
      </c>
      <c r="R323" s="15">
        <f>IFERROR(Table50[[#This Row],[COST PRICE]]-IFERROR(Table50[[#This Row],[Usage]]/Table50[[#This Row],[UsageQty]],Table50[[#This Row],[COST PRICE]]),0)</f>
        <v>0</v>
      </c>
      <c r="S323" s="16">
        <f>IFERROR(Table50[[#This Row],[COST PRICE CHANGE]]/Table50[[#This Row],[OPENING COST PRICE]],0)</f>
        <v>0</v>
      </c>
      <c r="T323" s="15">
        <f>Table50[[#This Row],[ClosingQty]]-(Table50[[#This Row],[USAGE / DAY]]*(IF(Table50[[#This Row],[ccnt]]="BEV",Table50[[#This Row],[DELIVERY DAY]],Table50[[#This Row],[DELIVERY DAY]])))</f>
        <v>6.55</v>
      </c>
      <c r="U323" s="15">
        <f>ROUNDUP(Table50[[#This Row],[UsageQty]]/Table50[[#This Row],[DATA POINT]],2)</f>
        <v>0.29000000000000004</v>
      </c>
      <c r="V32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23" s="15">
        <f>IFERROR(Table50[[#This Row],[ORDER QTY]]*Table50[[#This Row],[COST PRICE]],0)</f>
        <v>0</v>
      </c>
      <c r="X323" s="15">
        <f>IFERROR(VLOOKUP(C323,[1]!Table49[[#All],[name]:[USAGE / DAY]],19,FALSE),1)</f>
        <v>0.67</v>
      </c>
      <c r="Y323" s="4">
        <f>IFERROR((Table50[[#This Row],[USAGE / DAY]]-Table50[[#This Row],[USAGE / DAY 2]])/Table50[[#This Row],[USAGE / DAY 2]],0)</f>
        <v>-0.56716417910447758</v>
      </c>
      <c r="Z323" s="15">
        <f t="shared" si="12"/>
        <v>14</v>
      </c>
      <c r="AA323" s="15">
        <f t="shared" si="13"/>
        <v>9.311854181734148</v>
      </c>
      <c r="AB323" s="15">
        <f>IFERROR(IF(Table50[[#This Row],[ccnt]]="BEV",$AB$2,IF(Table50[[#This Row],[ccnt]]="FOOD",$AC$2,"ENTER # FROM LAST COUNT")),"ENTER # FROM LAST COUNT")</f>
        <v>5</v>
      </c>
      <c r="AC323" s="15">
        <f>(Table50[[#This Row],[OpeningQty]]+Table50[[#This Row],[ClosingQty]])/2</f>
        <v>4</v>
      </c>
      <c r="AD323" s="15">
        <f>IFERROR(Table50[[#This Row],[UsageQty]]/Table50[[#This Row],[AVE INVENTORY]],0)</f>
        <v>1</v>
      </c>
      <c r="AE323" s="15">
        <f>IFERROR(Table50[[#This Row],[DATA POINT]]/Table50[[#This Row],[Inventory Turnover Rate]],0)</f>
        <v>14</v>
      </c>
      <c r="AF323" s="15">
        <f>Table50[[#This Row],[ClosingQty]]/Table50[[#This Row],[USAGE / DAY]]</f>
        <v>27.586206896551722</v>
      </c>
      <c r="AG323" s="15">
        <f>Table50[[#This Row],[USAGE / DAY]]*7</f>
        <v>2.0300000000000002</v>
      </c>
      <c r="AH323" s="15">
        <f>Table50[[#This Row],[USAGE / DAY]]*3</f>
        <v>0.87000000000000011</v>
      </c>
      <c r="AI32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23" s="15">
        <f>IFERROR(Table50[[#This Row],[ORDER QTY2]]*Table50[[#This Row],[COST PRICE]],0)</f>
        <v>0</v>
      </c>
      <c r="AK323" s="15">
        <f>(Table50[[#This Row],[REORDER POINT]]*Table50[[#This Row],[COST PRICE]])+Table50[[#This Row],[ORDER COST]]</f>
        <v>1244.5</v>
      </c>
      <c r="AL323" s="15">
        <f t="shared" si="14"/>
        <v>100</v>
      </c>
      <c r="AM323" s="15">
        <f>IFERROR((Table50[[#This Row],[REORDER POINT]]+Table50[[#This Row],[ORDER QTY]])/(Table50[[#This Row],[USAGE / DAY]]*Table50[[#This Row],[DEMAND %]]),Table50[[#This Row],[REORDER POINT]]/Table50[[#This Row],[USAGE / DAY]])</f>
        <v>22.586206896551722</v>
      </c>
    </row>
    <row r="324" spans="1:39" x14ac:dyDescent="0.25">
      <c r="A324" t="s">
        <v>324</v>
      </c>
      <c r="B324" t="s">
        <v>430</v>
      </c>
      <c r="C324" t="s">
        <v>432</v>
      </c>
      <c r="D324" t="s">
        <v>53</v>
      </c>
      <c r="E324">
        <v>0</v>
      </c>
      <c r="F324">
        <v>0</v>
      </c>
      <c r="G324">
        <v>0</v>
      </c>
      <c r="H324">
        <v>0</v>
      </c>
      <c r="I324">
        <v>15</v>
      </c>
      <c r="J324">
        <v>330</v>
      </c>
      <c r="K324">
        <f>Table50[[#This Row],[OpeningQty]]+Table50[[#This Row],[PurchasesQty]]-Table50[[#This Row],[ClosingQty]]</f>
        <v>-15</v>
      </c>
      <c r="L324">
        <v>-330</v>
      </c>
      <c r="M324" s="14">
        <f>Table50[[#This Row],[Usage]]/$L$1</f>
        <v>-5.0120380040059853E-4</v>
      </c>
      <c r="N324" s="15">
        <f>IFERROR(Table50[[#This Row],[Opening]]/Table50[[#This Row],[OpeningQty]],0)</f>
        <v>0</v>
      </c>
      <c r="O324" s="15">
        <f>IFERROR(Table50[[#This Row],[Purchases]]/Table50[[#This Row],[PurchasesQty]],0)</f>
        <v>0</v>
      </c>
      <c r="P324" s="15">
        <f>IFERROR(Table50[[#This Row],[Closing]]/Table50[[#This Row],[ClosingQty]],0)</f>
        <v>22</v>
      </c>
      <c r="Q324" s="15">
        <f>IFERROR(AVERAGEIF(Table50[[#This Row],[OPENING COST PRICE]:[CLOSING COST PRICE]],"&gt;0"),0)</f>
        <v>22</v>
      </c>
      <c r="R324" s="15">
        <f>IFERROR(Table50[[#This Row],[COST PRICE]]-IFERROR(Table50[[#This Row],[Usage]]/Table50[[#This Row],[UsageQty]],Table50[[#This Row],[COST PRICE]]),0)</f>
        <v>0</v>
      </c>
      <c r="S324" s="16">
        <f>IFERROR(Table50[[#This Row],[COST PRICE CHANGE]]/Table50[[#This Row],[OPENING COST PRICE]],0)</f>
        <v>0</v>
      </c>
      <c r="T324" s="15">
        <f>Table50[[#This Row],[ClosingQty]]-(Table50[[#This Row],[USAGE / DAY]]*(IF(Table50[[#This Row],[ccnt]]="BEV",Table50[[#This Row],[DELIVERY DAY]],Table50[[#This Row],[DELIVERY DAY]])))</f>
        <v>20.399999999999999</v>
      </c>
      <c r="U324" s="15">
        <f>ROUNDUP(Table50[[#This Row],[UsageQty]]/Table50[[#This Row],[DATA POINT]],2)</f>
        <v>-1.08</v>
      </c>
      <c r="V32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24" s="15">
        <f>IFERROR(Table50[[#This Row],[ORDER QTY]]*Table50[[#This Row],[COST PRICE]],0)</f>
        <v>0</v>
      </c>
      <c r="X324" s="15">
        <f>IFERROR(VLOOKUP(C324,[1]!Table49[[#All],[name]:[USAGE / DAY]],19,FALSE),1)</f>
        <v>1</v>
      </c>
      <c r="Y324" s="4">
        <f>IFERROR((Table50[[#This Row],[USAGE / DAY]]-Table50[[#This Row],[USAGE / DAY 2]])/Table50[[#This Row],[USAGE / DAY 2]],0)</f>
        <v>-2.08</v>
      </c>
      <c r="Z324" s="15">
        <f t="shared" ref="Z324:Z387" si="15">_xlfn.DAYS($V$2,$V$1)</f>
        <v>14</v>
      </c>
      <c r="AA324" s="15">
        <f t="shared" ref="AA324:AA387" si="16">($R$2*$R$1)+$R$2</f>
        <v>9.311854181734148</v>
      </c>
      <c r="AB324" s="15">
        <f>IFERROR(IF(Table50[[#This Row],[ccnt]]="BEV",$AB$2,IF(Table50[[#This Row],[ccnt]]="FOOD",$AC$2,"ENTER # FROM LAST COUNT")),"ENTER # FROM LAST COUNT")</f>
        <v>5</v>
      </c>
      <c r="AC324" s="15">
        <f>(Table50[[#This Row],[OpeningQty]]+Table50[[#This Row],[ClosingQty]])/2</f>
        <v>7.5</v>
      </c>
      <c r="AD324" s="15">
        <f>IFERROR(Table50[[#This Row],[UsageQty]]/Table50[[#This Row],[AVE INVENTORY]],0)</f>
        <v>-2</v>
      </c>
      <c r="AE324" s="15">
        <f>IFERROR(Table50[[#This Row],[DATA POINT]]/Table50[[#This Row],[Inventory Turnover Rate]],0)</f>
        <v>-7</v>
      </c>
      <c r="AF324" s="15">
        <f>Table50[[#This Row],[ClosingQty]]/Table50[[#This Row],[USAGE / DAY]]</f>
        <v>-13.888888888888888</v>
      </c>
      <c r="AG324" s="15">
        <f>Table50[[#This Row],[USAGE / DAY]]*7</f>
        <v>-7.5600000000000005</v>
      </c>
      <c r="AH324" s="15">
        <f>Table50[[#This Row],[USAGE / DAY]]*3</f>
        <v>-3.24</v>
      </c>
      <c r="AI32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24" s="15">
        <f>IFERROR(Table50[[#This Row],[ORDER QTY2]]*Table50[[#This Row],[COST PRICE]],0)</f>
        <v>0</v>
      </c>
      <c r="AK324" s="15">
        <f>(Table50[[#This Row],[REORDER POINT]]*Table50[[#This Row],[COST PRICE]])+Table50[[#This Row],[ORDER COST]]</f>
        <v>448.79999999999995</v>
      </c>
      <c r="AL324" s="15">
        <f t="shared" ref="AL324:AL387" si="17">$AL$2</f>
        <v>100</v>
      </c>
      <c r="AM324" s="15">
        <f>IFERROR((Table50[[#This Row],[REORDER POINT]]+Table50[[#This Row],[ORDER QTY]])/(Table50[[#This Row],[USAGE / DAY]]*Table50[[#This Row],[DEMAND %]]),Table50[[#This Row],[REORDER POINT]]/Table50[[#This Row],[USAGE / DAY]])</f>
        <v>-18.888888888888886</v>
      </c>
    </row>
    <row r="325" spans="1:39" x14ac:dyDescent="0.25">
      <c r="A325" t="s">
        <v>324</v>
      </c>
      <c r="B325" t="s">
        <v>430</v>
      </c>
      <c r="C325" t="s">
        <v>433</v>
      </c>
      <c r="D325" t="s">
        <v>53</v>
      </c>
      <c r="E325">
        <v>214</v>
      </c>
      <c r="F325">
        <v>624.88</v>
      </c>
      <c r="G325">
        <v>0</v>
      </c>
      <c r="H325">
        <v>0</v>
      </c>
      <c r="I325">
        <v>51</v>
      </c>
      <c r="J325">
        <v>145.86000000000001</v>
      </c>
      <c r="K325">
        <f>Table50[[#This Row],[OpeningQty]]+Table50[[#This Row],[PurchasesQty]]-Table50[[#This Row],[ClosingQty]]</f>
        <v>163</v>
      </c>
      <c r="L325">
        <v>479.02</v>
      </c>
      <c r="M325" s="14">
        <f>Table50[[#This Row],[Usage]]/$L$1</f>
        <v>7.2753528626634751E-4</v>
      </c>
      <c r="N325" s="15">
        <f>IFERROR(Table50[[#This Row],[Opening]]/Table50[[#This Row],[OpeningQty]],0)</f>
        <v>2.92</v>
      </c>
      <c r="O325" s="15">
        <f>IFERROR(Table50[[#This Row],[Purchases]]/Table50[[#This Row],[PurchasesQty]],0)</f>
        <v>0</v>
      </c>
      <c r="P325" s="15">
        <f>IFERROR(Table50[[#This Row],[Closing]]/Table50[[#This Row],[ClosingQty]],0)</f>
        <v>2.8600000000000003</v>
      </c>
      <c r="Q325" s="15">
        <f>IFERROR(AVERAGEIF(Table50[[#This Row],[OPENING COST PRICE]:[CLOSING COST PRICE]],"&gt;0"),0)</f>
        <v>2.89</v>
      </c>
      <c r="R325" s="15">
        <f>IFERROR(Table50[[#This Row],[COST PRICE]]-IFERROR(Table50[[#This Row],[Usage]]/Table50[[#This Row],[UsageQty]],Table50[[#This Row],[COST PRICE]]),0)</f>
        <v>-4.8773006134969155E-2</v>
      </c>
      <c r="S325" s="16">
        <f>IFERROR(Table50[[#This Row],[COST PRICE CHANGE]]/Table50[[#This Row],[OPENING COST PRICE]],0)</f>
        <v>-1.6703084292797658E-2</v>
      </c>
      <c r="T325" s="15">
        <f>Table50[[#This Row],[ClosingQty]]-(Table50[[#This Row],[USAGE / DAY]]*(IF(Table50[[#This Row],[ccnt]]="BEV",Table50[[#This Row],[DELIVERY DAY]],Table50[[#This Row],[DELIVERY DAY]])))</f>
        <v>-7.25</v>
      </c>
      <c r="U325" s="15">
        <f>ROUNDUP(Table50[[#This Row],[UsageQty]]/Table50[[#This Row],[DATA POINT]],2)</f>
        <v>11.65</v>
      </c>
      <c r="V32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116</v>
      </c>
      <c r="W325" s="15">
        <f>IFERROR(Table50[[#This Row],[ORDER QTY]]*Table50[[#This Row],[COST PRICE]],0)</f>
        <v>335.24</v>
      </c>
      <c r="X325" s="15">
        <f>IFERROR(VLOOKUP(C325,[1]!Table49[[#All],[name]:[USAGE / DAY]],19,FALSE),1)</f>
        <v>-28.8</v>
      </c>
      <c r="Y325" s="4">
        <f>IFERROR((Table50[[#This Row],[USAGE / DAY]]-Table50[[#This Row],[USAGE / DAY 2]])/Table50[[#This Row],[USAGE / DAY 2]],0)</f>
        <v>-1.4045138888888891</v>
      </c>
      <c r="Z325" s="15">
        <f t="shared" si="15"/>
        <v>14</v>
      </c>
      <c r="AA325" s="15">
        <f t="shared" si="16"/>
        <v>9.311854181734148</v>
      </c>
      <c r="AB325" s="15">
        <f>IFERROR(IF(Table50[[#This Row],[ccnt]]="BEV",$AB$2,IF(Table50[[#This Row],[ccnt]]="FOOD",$AC$2,"ENTER # FROM LAST COUNT")),"ENTER # FROM LAST COUNT")</f>
        <v>5</v>
      </c>
      <c r="AC325" s="15">
        <f>(Table50[[#This Row],[OpeningQty]]+Table50[[#This Row],[ClosingQty]])/2</f>
        <v>132.5</v>
      </c>
      <c r="AD325" s="15">
        <f>IFERROR(Table50[[#This Row],[UsageQty]]/Table50[[#This Row],[AVE INVENTORY]],0)</f>
        <v>1.230188679245283</v>
      </c>
      <c r="AE325" s="15">
        <f>IFERROR(Table50[[#This Row],[DATA POINT]]/Table50[[#This Row],[Inventory Turnover Rate]],0)</f>
        <v>11.38036809815951</v>
      </c>
      <c r="AF325" s="15">
        <f>Table50[[#This Row],[ClosingQty]]/Table50[[#This Row],[USAGE / DAY]]</f>
        <v>4.377682403433476</v>
      </c>
      <c r="AG325" s="15">
        <f>Table50[[#This Row],[USAGE / DAY]]*7</f>
        <v>81.55</v>
      </c>
      <c r="AH325" s="15">
        <f>Table50[[#This Row],[USAGE / DAY]]*3</f>
        <v>34.950000000000003</v>
      </c>
      <c r="AI325" s="15">
        <f>IF(Table50[[#This Row],[FORECASTED DEMAND]]+Table50[[#This Row],[SAFETY STOCK]]-Table50[[#This Row],[ClosingQty]]&gt;0,Table50[[#This Row],[FORECASTED DEMAND]]+Table50[[#This Row],[SAFETY STOCK]]-Table50[[#This Row],[ClosingQty]],"NO ORDER")</f>
        <v>65.5</v>
      </c>
      <c r="AJ325" s="15">
        <f>IFERROR(Table50[[#This Row],[ORDER QTY2]]*Table50[[#This Row],[COST PRICE]],0)</f>
        <v>189.29500000000002</v>
      </c>
      <c r="AK325" s="15">
        <f>(Table50[[#This Row],[REORDER POINT]]*Table50[[#This Row],[COST PRICE]])+Table50[[#This Row],[ORDER COST]]</f>
        <v>314.28750000000002</v>
      </c>
      <c r="AL325" s="15">
        <f t="shared" si="17"/>
        <v>100</v>
      </c>
      <c r="AM325" s="15">
        <f>IFERROR((Table50[[#This Row],[REORDER POINT]]+Table50[[#This Row],[ORDER QTY]])/(Table50[[#This Row],[USAGE / DAY]]*Table50[[#This Row],[DEMAND %]]),Table50[[#This Row],[REORDER POINT]]/Table50[[#This Row],[USAGE / DAY]])</f>
        <v>9.334763948497854E-2</v>
      </c>
    </row>
    <row r="326" spans="1:39" x14ac:dyDescent="0.25">
      <c r="A326" t="s">
        <v>324</v>
      </c>
      <c r="B326" t="s">
        <v>430</v>
      </c>
      <c r="C326" t="s">
        <v>434</v>
      </c>
      <c r="D326" t="s">
        <v>126</v>
      </c>
      <c r="E326">
        <v>100</v>
      </c>
      <c r="F326">
        <v>14000</v>
      </c>
      <c r="G326">
        <v>300</v>
      </c>
      <c r="H326">
        <v>42000</v>
      </c>
      <c r="I326">
        <v>152</v>
      </c>
      <c r="J326">
        <v>21280</v>
      </c>
      <c r="K326">
        <f>Table50[[#This Row],[OpeningQty]]+Table50[[#This Row],[PurchasesQty]]-Table50[[#This Row],[ClosingQty]]</f>
        <v>248</v>
      </c>
      <c r="L326">
        <v>34720</v>
      </c>
      <c r="M326" s="14">
        <f>Table50[[#This Row],[Usage]]/$L$1</f>
        <v>5.2732714999723575E-2</v>
      </c>
      <c r="N326" s="15">
        <f>IFERROR(Table50[[#This Row],[Opening]]/Table50[[#This Row],[OpeningQty]],0)</f>
        <v>140</v>
      </c>
      <c r="O326" s="15">
        <f>IFERROR(Table50[[#This Row],[Purchases]]/Table50[[#This Row],[PurchasesQty]],0)</f>
        <v>140</v>
      </c>
      <c r="P326" s="15">
        <f>IFERROR(Table50[[#This Row],[Closing]]/Table50[[#This Row],[ClosingQty]],0)</f>
        <v>140</v>
      </c>
      <c r="Q326" s="15">
        <f>IFERROR(AVERAGEIF(Table50[[#This Row],[OPENING COST PRICE]:[CLOSING COST PRICE]],"&gt;0"),0)</f>
        <v>140</v>
      </c>
      <c r="R326" s="15">
        <f>IFERROR(Table50[[#This Row],[COST PRICE]]-IFERROR(Table50[[#This Row],[Usage]]/Table50[[#This Row],[UsageQty]],Table50[[#This Row],[COST PRICE]]),0)</f>
        <v>0</v>
      </c>
      <c r="S326" s="16">
        <f>IFERROR(Table50[[#This Row],[COST PRICE CHANGE]]/Table50[[#This Row],[OPENING COST PRICE]],0)</f>
        <v>0</v>
      </c>
      <c r="T326" s="15">
        <f>Table50[[#This Row],[ClosingQty]]-(Table50[[#This Row],[USAGE / DAY]]*(IF(Table50[[#This Row],[ccnt]]="BEV",Table50[[#This Row],[DELIVERY DAY]],Table50[[#This Row],[DELIVERY DAY]])))</f>
        <v>63.399999999999991</v>
      </c>
      <c r="U326" s="15">
        <f>ROUNDUP(Table50[[#This Row],[UsageQty]]/Table50[[#This Row],[DATA POINT]],2)</f>
        <v>17.720000000000002</v>
      </c>
      <c r="V32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102</v>
      </c>
      <c r="W326" s="15">
        <f>IFERROR(Table50[[#This Row],[ORDER QTY]]*Table50[[#This Row],[COST PRICE]],0)</f>
        <v>14280</v>
      </c>
      <c r="X326" s="15">
        <f>IFERROR(VLOOKUP(C326,[1]!Table49[[#All],[name]:[USAGE / DAY]],19,FALSE),1)</f>
        <v>19.87</v>
      </c>
      <c r="Y326" s="4">
        <f>IFERROR((Table50[[#This Row],[USAGE / DAY]]-Table50[[#This Row],[USAGE / DAY 2]])/Table50[[#This Row],[USAGE / DAY 2]],0)</f>
        <v>-0.10820332159033712</v>
      </c>
      <c r="Z326" s="15">
        <f t="shared" si="15"/>
        <v>14</v>
      </c>
      <c r="AA326" s="15">
        <f t="shared" si="16"/>
        <v>9.311854181734148</v>
      </c>
      <c r="AB326" s="15">
        <f>IFERROR(IF(Table50[[#This Row],[ccnt]]="BEV",$AB$2,IF(Table50[[#This Row],[ccnt]]="FOOD",$AC$2,"ENTER # FROM LAST COUNT")),"ENTER # FROM LAST COUNT")</f>
        <v>5</v>
      </c>
      <c r="AC326" s="15">
        <f>(Table50[[#This Row],[OpeningQty]]+Table50[[#This Row],[ClosingQty]])/2</f>
        <v>126</v>
      </c>
      <c r="AD326" s="15">
        <f>IFERROR(Table50[[#This Row],[UsageQty]]/Table50[[#This Row],[AVE INVENTORY]],0)</f>
        <v>1.9682539682539681</v>
      </c>
      <c r="AE326" s="15">
        <f>IFERROR(Table50[[#This Row],[DATA POINT]]/Table50[[#This Row],[Inventory Turnover Rate]],0)</f>
        <v>7.112903225806452</v>
      </c>
      <c r="AF326" s="15">
        <f>Table50[[#This Row],[ClosingQty]]/Table50[[#This Row],[USAGE / DAY]]</f>
        <v>8.5778781038374703</v>
      </c>
      <c r="AG326" s="15">
        <f>Table50[[#This Row],[USAGE / DAY]]*7</f>
        <v>124.04000000000002</v>
      </c>
      <c r="AH326" s="15">
        <f>Table50[[#This Row],[USAGE / DAY]]*3</f>
        <v>53.160000000000011</v>
      </c>
      <c r="AI326" s="15">
        <f>IF(Table50[[#This Row],[FORECASTED DEMAND]]+Table50[[#This Row],[SAFETY STOCK]]-Table50[[#This Row],[ClosingQty]]&gt;0,Table50[[#This Row],[FORECASTED DEMAND]]+Table50[[#This Row],[SAFETY STOCK]]-Table50[[#This Row],[ClosingQty]],"NO ORDER")</f>
        <v>25.200000000000045</v>
      </c>
      <c r="AJ326" s="15">
        <f>IFERROR(Table50[[#This Row],[ORDER QTY2]]*Table50[[#This Row],[COST PRICE]],0)</f>
        <v>3528.0000000000064</v>
      </c>
      <c r="AK326" s="15">
        <f>(Table50[[#This Row],[REORDER POINT]]*Table50[[#This Row],[COST PRICE]])+Table50[[#This Row],[ORDER COST]]</f>
        <v>23156</v>
      </c>
      <c r="AL326" s="15">
        <f t="shared" si="17"/>
        <v>100</v>
      </c>
      <c r="AM326" s="15">
        <f>IFERROR((Table50[[#This Row],[REORDER POINT]]+Table50[[#This Row],[ORDER QTY]])/(Table50[[#This Row],[USAGE / DAY]]*Table50[[#This Row],[DEMAND %]]),Table50[[#This Row],[REORDER POINT]]/Table50[[#This Row],[USAGE / DAY]])</f>
        <v>9.3340857787810358E-2</v>
      </c>
    </row>
    <row r="327" spans="1:39" x14ac:dyDescent="0.25">
      <c r="A327" t="s">
        <v>324</v>
      </c>
      <c r="B327" t="s">
        <v>430</v>
      </c>
      <c r="C327" t="s">
        <v>435</v>
      </c>
      <c r="D327" t="s">
        <v>126</v>
      </c>
      <c r="E327">
        <v>10</v>
      </c>
      <c r="F327">
        <v>2062.5</v>
      </c>
      <c r="G327">
        <v>2</v>
      </c>
      <c r="H327">
        <v>330</v>
      </c>
      <c r="I327">
        <v>2</v>
      </c>
      <c r="J327">
        <v>330</v>
      </c>
      <c r="K327">
        <f>Table50[[#This Row],[OpeningQty]]+Table50[[#This Row],[PurchasesQty]]-Table50[[#This Row],[ClosingQty]]</f>
        <v>10</v>
      </c>
      <c r="L327">
        <v>2062.5</v>
      </c>
      <c r="M327" s="14">
        <f>Table50[[#This Row],[Usage]]/$L$1</f>
        <v>3.1325237525037406E-3</v>
      </c>
      <c r="N327" s="15">
        <f>IFERROR(Table50[[#This Row],[Opening]]/Table50[[#This Row],[OpeningQty]],0)</f>
        <v>206.25</v>
      </c>
      <c r="O327" s="15">
        <f>IFERROR(Table50[[#This Row],[Purchases]]/Table50[[#This Row],[PurchasesQty]],0)</f>
        <v>165</v>
      </c>
      <c r="P327" s="15">
        <f>IFERROR(Table50[[#This Row],[Closing]]/Table50[[#This Row],[ClosingQty]],0)</f>
        <v>165</v>
      </c>
      <c r="Q327" s="15">
        <f>IFERROR(AVERAGEIF(Table50[[#This Row],[OPENING COST PRICE]:[CLOSING COST PRICE]],"&gt;0"),0)</f>
        <v>178.75</v>
      </c>
      <c r="R327" s="15">
        <f>IFERROR(Table50[[#This Row],[COST PRICE]]-IFERROR(Table50[[#This Row],[Usage]]/Table50[[#This Row],[UsageQty]],Table50[[#This Row],[COST PRICE]]),0)</f>
        <v>-27.5</v>
      </c>
      <c r="S327" s="16">
        <f>IFERROR(Table50[[#This Row],[COST PRICE CHANGE]]/Table50[[#This Row],[OPENING COST PRICE]],0)</f>
        <v>-0.13333333333333333</v>
      </c>
      <c r="T327" s="15">
        <f>Table50[[#This Row],[ClosingQty]]-(Table50[[#This Row],[USAGE / DAY]]*(IF(Table50[[#This Row],[ccnt]]="BEV",Table50[[#This Row],[DELIVERY DAY]],Table50[[#This Row],[DELIVERY DAY]])))</f>
        <v>-1.5999999999999996</v>
      </c>
      <c r="U327" s="15">
        <f>ROUNDUP(Table50[[#This Row],[UsageQty]]/Table50[[#This Row],[DATA POINT]],2)</f>
        <v>0.72</v>
      </c>
      <c r="V32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9</v>
      </c>
      <c r="W327" s="15">
        <f>IFERROR(Table50[[#This Row],[ORDER QTY]]*Table50[[#This Row],[COST PRICE]],0)</f>
        <v>1608.75</v>
      </c>
      <c r="X327" s="15">
        <f>IFERROR(VLOOKUP(C327,[1]!Table49[[#All],[name]:[USAGE / DAY]],19,FALSE),1)</f>
        <v>0.51</v>
      </c>
      <c r="Y327" s="4">
        <f>IFERROR((Table50[[#This Row],[USAGE / DAY]]-Table50[[#This Row],[USAGE / DAY 2]])/Table50[[#This Row],[USAGE / DAY 2]],0)</f>
        <v>0.41176470588235287</v>
      </c>
      <c r="Z327" s="15">
        <f t="shared" si="15"/>
        <v>14</v>
      </c>
      <c r="AA327" s="15">
        <f t="shared" si="16"/>
        <v>9.311854181734148</v>
      </c>
      <c r="AB327" s="15">
        <f>IFERROR(IF(Table50[[#This Row],[ccnt]]="BEV",$AB$2,IF(Table50[[#This Row],[ccnt]]="FOOD",$AC$2,"ENTER # FROM LAST COUNT")),"ENTER # FROM LAST COUNT")</f>
        <v>5</v>
      </c>
      <c r="AC327" s="15">
        <f>(Table50[[#This Row],[OpeningQty]]+Table50[[#This Row],[ClosingQty]])/2</f>
        <v>6</v>
      </c>
      <c r="AD327" s="15">
        <f>IFERROR(Table50[[#This Row],[UsageQty]]/Table50[[#This Row],[AVE INVENTORY]],0)</f>
        <v>1.6666666666666667</v>
      </c>
      <c r="AE327" s="15">
        <f>IFERROR(Table50[[#This Row],[DATA POINT]]/Table50[[#This Row],[Inventory Turnover Rate]],0)</f>
        <v>8.4</v>
      </c>
      <c r="AF327" s="15">
        <f>Table50[[#This Row],[ClosingQty]]/Table50[[#This Row],[USAGE / DAY]]</f>
        <v>2.7777777777777777</v>
      </c>
      <c r="AG327" s="15">
        <f>Table50[[#This Row],[USAGE / DAY]]*7</f>
        <v>5.04</v>
      </c>
      <c r="AH327" s="15">
        <f>Table50[[#This Row],[USAGE / DAY]]*3</f>
        <v>2.16</v>
      </c>
      <c r="AI327" s="15">
        <f>IF(Table50[[#This Row],[FORECASTED DEMAND]]+Table50[[#This Row],[SAFETY STOCK]]-Table50[[#This Row],[ClosingQty]]&gt;0,Table50[[#This Row],[FORECASTED DEMAND]]+Table50[[#This Row],[SAFETY STOCK]]-Table50[[#This Row],[ClosingQty]],"NO ORDER")</f>
        <v>5.2</v>
      </c>
      <c r="AJ327" s="15">
        <f>IFERROR(Table50[[#This Row],[ORDER QTY2]]*Table50[[#This Row],[COST PRICE]],0)</f>
        <v>929.5</v>
      </c>
      <c r="AK327" s="15">
        <f>(Table50[[#This Row],[REORDER POINT]]*Table50[[#This Row],[COST PRICE]])+Table50[[#This Row],[ORDER COST]]</f>
        <v>1322.75</v>
      </c>
      <c r="AL327" s="15">
        <f t="shared" si="17"/>
        <v>100</v>
      </c>
      <c r="AM327" s="15">
        <f>IFERROR((Table50[[#This Row],[REORDER POINT]]+Table50[[#This Row],[ORDER QTY]])/(Table50[[#This Row],[USAGE / DAY]]*Table50[[#This Row],[DEMAND %]]),Table50[[#This Row],[REORDER POINT]]/Table50[[#This Row],[USAGE / DAY]])</f>
        <v>0.10277777777777779</v>
      </c>
    </row>
    <row r="328" spans="1:39" x14ac:dyDescent="0.25">
      <c r="A328" t="s">
        <v>324</v>
      </c>
      <c r="B328" t="s">
        <v>430</v>
      </c>
      <c r="C328" t="s">
        <v>436</v>
      </c>
      <c r="D328" t="s">
        <v>53</v>
      </c>
      <c r="E328">
        <v>24</v>
      </c>
      <c r="F328">
        <v>194.16</v>
      </c>
      <c r="G328">
        <v>0</v>
      </c>
      <c r="H328">
        <v>0</v>
      </c>
      <c r="I328">
        <v>39</v>
      </c>
      <c r="J328">
        <v>273.77999999999997</v>
      </c>
      <c r="K328">
        <f>Table50[[#This Row],[OpeningQty]]+Table50[[#This Row],[PurchasesQty]]-Table50[[#This Row],[ClosingQty]]</f>
        <v>-15</v>
      </c>
      <c r="L328">
        <v>-79.62</v>
      </c>
      <c r="M328" s="14">
        <f>Table50[[#This Row],[Usage]]/$L$1</f>
        <v>-1.2092680784210804E-4</v>
      </c>
      <c r="N328" s="15">
        <f>IFERROR(Table50[[#This Row],[Opening]]/Table50[[#This Row],[OpeningQty]],0)</f>
        <v>8.09</v>
      </c>
      <c r="O328" s="15">
        <f>IFERROR(Table50[[#This Row],[Purchases]]/Table50[[#This Row],[PurchasesQty]],0)</f>
        <v>0</v>
      </c>
      <c r="P328" s="15">
        <f>IFERROR(Table50[[#This Row],[Closing]]/Table50[[#This Row],[ClosingQty]],0)</f>
        <v>7.02</v>
      </c>
      <c r="Q328" s="15">
        <f>IFERROR(AVERAGEIF(Table50[[#This Row],[OPENING COST PRICE]:[CLOSING COST PRICE]],"&gt;0"),0)</f>
        <v>7.5549999999999997</v>
      </c>
      <c r="R328" s="15">
        <f>IFERROR(Table50[[#This Row],[COST PRICE]]-IFERROR(Table50[[#This Row],[Usage]]/Table50[[#This Row],[UsageQty]],Table50[[#This Row],[COST PRICE]]),0)</f>
        <v>2.246999999999999</v>
      </c>
      <c r="S328" s="16">
        <f>IFERROR(Table50[[#This Row],[COST PRICE CHANGE]]/Table50[[#This Row],[OPENING COST PRICE]],0)</f>
        <v>0.27775030902348569</v>
      </c>
      <c r="T328" s="15">
        <f>Table50[[#This Row],[ClosingQty]]-(Table50[[#This Row],[USAGE / DAY]]*(IF(Table50[[#This Row],[ccnt]]="BEV",Table50[[#This Row],[DELIVERY DAY]],Table50[[#This Row],[DELIVERY DAY]])))</f>
        <v>44.4</v>
      </c>
      <c r="U328" s="15">
        <f>ROUNDUP(Table50[[#This Row],[UsageQty]]/Table50[[#This Row],[DATA POINT]],2)</f>
        <v>-1.08</v>
      </c>
      <c r="V32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28" s="15">
        <f>IFERROR(Table50[[#This Row],[ORDER QTY]]*Table50[[#This Row],[COST PRICE]],0)</f>
        <v>0</v>
      </c>
      <c r="X328" s="15">
        <f>IFERROR(VLOOKUP(C328,[1]!Table49[[#All],[name]:[USAGE / DAY]],19,FALSE),1)</f>
        <v>-0.2</v>
      </c>
      <c r="Y328" s="4">
        <f>IFERROR((Table50[[#This Row],[USAGE / DAY]]-Table50[[#This Row],[USAGE / DAY 2]])/Table50[[#This Row],[USAGE / DAY 2]],0)</f>
        <v>4.4000000000000004</v>
      </c>
      <c r="Z328" s="15">
        <f t="shared" si="15"/>
        <v>14</v>
      </c>
      <c r="AA328" s="15">
        <f t="shared" si="16"/>
        <v>9.311854181734148</v>
      </c>
      <c r="AB328" s="15">
        <f>IFERROR(IF(Table50[[#This Row],[ccnt]]="BEV",$AB$2,IF(Table50[[#This Row],[ccnt]]="FOOD",$AC$2,"ENTER # FROM LAST COUNT")),"ENTER # FROM LAST COUNT")</f>
        <v>5</v>
      </c>
      <c r="AC328" s="15">
        <f>(Table50[[#This Row],[OpeningQty]]+Table50[[#This Row],[ClosingQty]])/2</f>
        <v>31.5</v>
      </c>
      <c r="AD328" s="15">
        <f>IFERROR(Table50[[#This Row],[UsageQty]]/Table50[[#This Row],[AVE INVENTORY]],0)</f>
        <v>-0.47619047619047616</v>
      </c>
      <c r="AE328" s="15">
        <f>IFERROR(Table50[[#This Row],[DATA POINT]]/Table50[[#This Row],[Inventory Turnover Rate]],0)</f>
        <v>-29.400000000000002</v>
      </c>
      <c r="AF328" s="15">
        <f>Table50[[#This Row],[ClosingQty]]/Table50[[#This Row],[USAGE / DAY]]</f>
        <v>-36.111111111111107</v>
      </c>
      <c r="AG328" s="15">
        <f>Table50[[#This Row],[USAGE / DAY]]*7</f>
        <v>-7.5600000000000005</v>
      </c>
      <c r="AH328" s="15">
        <f>Table50[[#This Row],[USAGE / DAY]]*3</f>
        <v>-3.24</v>
      </c>
      <c r="AI32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28" s="15">
        <f>IFERROR(Table50[[#This Row],[ORDER QTY2]]*Table50[[#This Row],[COST PRICE]],0)</f>
        <v>0</v>
      </c>
      <c r="AK328" s="15">
        <f>(Table50[[#This Row],[REORDER POINT]]*Table50[[#This Row],[COST PRICE]])+Table50[[#This Row],[ORDER COST]]</f>
        <v>335.44199999999995</v>
      </c>
      <c r="AL328" s="15">
        <f t="shared" si="17"/>
        <v>100</v>
      </c>
      <c r="AM328" s="15">
        <f>IFERROR((Table50[[#This Row],[REORDER POINT]]+Table50[[#This Row],[ORDER QTY]])/(Table50[[#This Row],[USAGE / DAY]]*Table50[[#This Row],[DEMAND %]]),Table50[[#This Row],[REORDER POINT]]/Table50[[#This Row],[USAGE / DAY]])</f>
        <v>-41.111111111111107</v>
      </c>
    </row>
    <row r="329" spans="1:39" x14ac:dyDescent="0.25">
      <c r="A329" t="s">
        <v>324</v>
      </c>
      <c r="B329" t="s">
        <v>430</v>
      </c>
      <c r="C329" t="s">
        <v>437</v>
      </c>
      <c r="D329" t="s">
        <v>53</v>
      </c>
      <c r="E329">
        <v>278</v>
      </c>
      <c r="F329">
        <v>820.1</v>
      </c>
      <c r="G329">
        <v>0</v>
      </c>
      <c r="H329">
        <v>0</v>
      </c>
      <c r="I329">
        <v>286</v>
      </c>
      <c r="J329">
        <v>835.12</v>
      </c>
      <c r="K329">
        <f>Table50[[#This Row],[OpeningQty]]+Table50[[#This Row],[PurchasesQty]]-Table50[[#This Row],[ClosingQty]]</f>
        <v>-8</v>
      </c>
      <c r="L329">
        <v>-15.02</v>
      </c>
      <c r="M329" s="14">
        <f>Table50[[#This Row],[Usage]]/$L$1</f>
        <v>-2.2812366915202998E-5</v>
      </c>
      <c r="N329" s="15">
        <f>IFERROR(Table50[[#This Row],[Opening]]/Table50[[#This Row],[OpeningQty]],0)</f>
        <v>2.95</v>
      </c>
      <c r="O329" s="15">
        <f>IFERROR(Table50[[#This Row],[Purchases]]/Table50[[#This Row],[PurchasesQty]],0)</f>
        <v>0</v>
      </c>
      <c r="P329" s="15">
        <f>IFERROR(Table50[[#This Row],[Closing]]/Table50[[#This Row],[ClosingQty]],0)</f>
        <v>2.92</v>
      </c>
      <c r="Q329" s="15">
        <f>IFERROR(AVERAGEIF(Table50[[#This Row],[OPENING COST PRICE]:[CLOSING COST PRICE]],"&gt;0"),0)</f>
        <v>2.9350000000000001</v>
      </c>
      <c r="R329" s="15">
        <f>IFERROR(Table50[[#This Row],[COST PRICE]]-IFERROR(Table50[[#This Row],[Usage]]/Table50[[#This Row],[UsageQty]],Table50[[#This Row],[COST PRICE]]),0)</f>
        <v>1.0575000000000001</v>
      </c>
      <c r="S329" s="16">
        <f>IFERROR(Table50[[#This Row],[COST PRICE CHANGE]]/Table50[[#This Row],[OPENING COST PRICE]],0)</f>
        <v>0.35847457627118645</v>
      </c>
      <c r="T329" s="15">
        <f>Table50[[#This Row],[ClosingQty]]-(Table50[[#This Row],[USAGE / DAY]]*(IF(Table50[[#This Row],[ccnt]]="BEV",Table50[[#This Row],[DELIVERY DAY]],Table50[[#This Row],[DELIVERY DAY]])))</f>
        <v>288.89999999999998</v>
      </c>
      <c r="U329" s="15">
        <f>ROUNDUP(Table50[[#This Row],[UsageQty]]/Table50[[#This Row],[DATA POINT]],2)</f>
        <v>-0.57999999999999996</v>
      </c>
      <c r="V32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29" s="15">
        <f>IFERROR(Table50[[#This Row],[ORDER QTY]]*Table50[[#This Row],[COST PRICE]],0)</f>
        <v>0</v>
      </c>
      <c r="X329" s="15">
        <f>IFERROR(VLOOKUP(C329,[1]!Table49[[#All],[name]:[USAGE / DAY]],19,FALSE),1)</f>
        <v>1.27</v>
      </c>
      <c r="Y329" s="4">
        <f>IFERROR((Table50[[#This Row],[USAGE / DAY]]-Table50[[#This Row],[USAGE / DAY 2]])/Table50[[#This Row],[USAGE / DAY 2]],0)</f>
        <v>-1.4566929133858268</v>
      </c>
      <c r="Z329" s="15">
        <f t="shared" si="15"/>
        <v>14</v>
      </c>
      <c r="AA329" s="15">
        <f t="shared" si="16"/>
        <v>9.311854181734148</v>
      </c>
      <c r="AB329" s="15">
        <f>IFERROR(IF(Table50[[#This Row],[ccnt]]="BEV",$AB$2,IF(Table50[[#This Row],[ccnt]]="FOOD",$AC$2,"ENTER # FROM LAST COUNT")),"ENTER # FROM LAST COUNT")</f>
        <v>5</v>
      </c>
      <c r="AC329" s="15">
        <f>(Table50[[#This Row],[OpeningQty]]+Table50[[#This Row],[ClosingQty]])/2</f>
        <v>282</v>
      </c>
      <c r="AD329" s="15">
        <f>IFERROR(Table50[[#This Row],[UsageQty]]/Table50[[#This Row],[AVE INVENTORY]],0)</f>
        <v>-2.8368794326241134E-2</v>
      </c>
      <c r="AE329" s="15">
        <f>IFERROR(Table50[[#This Row],[DATA POINT]]/Table50[[#This Row],[Inventory Turnover Rate]],0)</f>
        <v>-493.5</v>
      </c>
      <c r="AF329" s="15">
        <f>Table50[[#This Row],[ClosingQty]]/Table50[[#This Row],[USAGE / DAY]]</f>
        <v>-493.10344827586209</v>
      </c>
      <c r="AG329" s="15">
        <f>Table50[[#This Row],[USAGE / DAY]]*7</f>
        <v>-4.0599999999999996</v>
      </c>
      <c r="AH329" s="15">
        <f>Table50[[#This Row],[USAGE / DAY]]*3</f>
        <v>-1.7399999999999998</v>
      </c>
      <c r="AI32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29" s="15">
        <f>IFERROR(Table50[[#This Row],[ORDER QTY2]]*Table50[[#This Row],[COST PRICE]],0)</f>
        <v>0</v>
      </c>
      <c r="AK329" s="15">
        <f>(Table50[[#This Row],[REORDER POINT]]*Table50[[#This Row],[COST PRICE]])+Table50[[#This Row],[ORDER COST]]</f>
        <v>847.92149999999992</v>
      </c>
      <c r="AL329" s="15">
        <f t="shared" si="17"/>
        <v>100</v>
      </c>
      <c r="AM329" s="15">
        <f>IFERROR((Table50[[#This Row],[REORDER POINT]]+Table50[[#This Row],[ORDER QTY]])/(Table50[[#This Row],[USAGE / DAY]]*Table50[[#This Row],[DEMAND %]]),Table50[[#This Row],[REORDER POINT]]/Table50[[#This Row],[USAGE / DAY]])</f>
        <v>-498.10344827586209</v>
      </c>
    </row>
    <row r="330" spans="1:39" x14ac:dyDescent="0.25">
      <c r="A330" t="s">
        <v>324</v>
      </c>
      <c r="B330" t="s">
        <v>438</v>
      </c>
      <c r="C330" t="s">
        <v>439</v>
      </c>
      <c r="D330" t="s">
        <v>95</v>
      </c>
      <c r="E330">
        <v>0.95</v>
      </c>
      <c r="F330">
        <v>53.66</v>
      </c>
      <c r="G330">
        <v>0</v>
      </c>
      <c r="H330">
        <v>0</v>
      </c>
      <c r="I330">
        <v>1</v>
      </c>
      <c r="J330">
        <v>47.45</v>
      </c>
      <c r="K330">
        <f>Table50[[#This Row],[OpeningQty]]+Table50[[#This Row],[PurchasesQty]]-Table50[[#This Row],[ClosingQty]]</f>
        <v>-5.0000000000000044E-2</v>
      </c>
      <c r="L330">
        <v>6.21</v>
      </c>
      <c r="M330" s="14">
        <f>Table50[[#This Row],[Usage]]/$L$1</f>
        <v>9.4317442439021718E-6</v>
      </c>
      <c r="N330" s="15">
        <f>IFERROR(Table50[[#This Row],[Opening]]/Table50[[#This Row],[OpeningQty]],0)</f>
        <v>56.484210526315792</v>
      </c>
      <c r="O330" s="15">
        <f>IFERROR(Table50[[#This Row],[Purchases]]/Table50[[#This Row],[PurchasesQty]],0)</f>
        <v>0</v>
      </c>
      <c r="P330" s="15">
        <f>IFERROR(Table50[[#This Row],[Closing]]/Table50[[#This Row],[ClosingQty]],0)</f>
        <v>47.45</v>
      </c>
      <c r="Q330" s="15">
        <f>IFERROR(AVERAGEIF(Table50[[#This Row],[OPENING COST PRICE]:[CLOSING COST PRICE]],"&gt;0"),0)</f>
        <v>51.967105263157897</v>
      </c>
      <c r="R330" s="15">
        <f>IFERROR(Table50[[#This Row],[COST PRICE]]-IFERROR(Table50[[#This Row],[Usage]]/Table50[[#This Row],[UsageQty]],Table50[[#This Row],[COST PRICE]]),0)</f>
        <v>176.16710526315779</v>
      </c>
      <c r="S330" s="16">
        <f>IFERROR(Table50[[#This Row],[COST PRICE CHANGE]]/Table50[[#This Row],[OPENING COST PRICE]],0)</f>
        <v>3.1188734625419285</v>
      </c>
      <c r="T330" s="15">
        <f>Table50[[#This Row],[ClosingQty]]-(Table50[[#This Row],[USAGE / DAY]]*(IF(Table50[[#This Row],[ccnt]]="BEV",Table50[[#This Row],[DELIVERY DAY]],Table50[[#This Row],[DELIVERY DAY]])))</f>
        <v>1.05</v>
      </c>
      <c r="U330" s="15">
        <f>ROUNDUP(Table50[[#This Row],[UsageQty]]/Table50[[#This Row],[DATA POINT]],2)</f>
        <v>-0.01</v>
      </c>
      <c r="V33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30" s="15">
        <f>IFERROR(Table50[[#This Row],[ORDER QTY]]*Table50[[#This Row],[COST PRICE]],0)</f>
        <v>0</v>
      </c>
      <c r="X330" s="15">
        <f>IFERROR(VLOOKUP(C330,[1]!Table49[[#All],[name]:[USAGE / DAY]],19,FALSE),1)</f>
        <v>0.03</v>
      </c>
      <c r="Y330" s="4">
        <f>IFERROR((Table50[[#This Row],[USAGE / DAY]]-Table50[[#This Row],[USAGE / DAY 2]])/Table50[[#This Row],[USAGE / DAY 2]],0)</f>
        <v>-1.3333333333333335</v>
      </c>
      <c r="Z330" s="15">
        <f t="shared" si="15"/>
        <v>14</v>
      </c>
      <c r="AA330" s="15">
        <f t="shared" si="16"/>
        <v>9.311854181734148</v>
      </c>
      <c r="AB330" s="15">
        <f>IFERROR(IF(Table50[[#This Row],[ccnt]]="BEV",$AB$2,IF(Table50[[#This Row],[ccnt]]="FOOD",$AC$2,"ENTER # FROM LAST COUNT")),"ENTER # FROM LAST COUNT")</f>
        <v>5</v>
      </c>
      <c r="AC330" s="15">
        <f>(Table50[[#This Row],[OpeningQty]]+Table50[[#This Row],[ClosingQty]])/2</f>
        <v>0.97499999999999998</v>
      </c>
      <c r="AD330" s="15">
        <f>IFERROR(Table50[[#This Row],[UsageQty]]/Table50[[#This Row],[AVE INVENTORY]],0)</f>
        <v>-5.1282051282051329E-2</v>
      </c>
      <c r="AE330" s="15">
        <f>IFERROR(Table50[[#This Row],[DATA POINT]]/Table50[[#This Row],[Inventory Turnover Rate]],0)</f>
        <v>-272.99999999999977</v>
      </c>
      <c r="AF330" s="15">
        <f>Table50[[#This Row],[ClosingQty]]/Table50[[#This Row],[USAGE / DAY]]</f>
        <v>-100</v>
      </c>
      <c r="AG330" s="15">
        <f>Table50[[#This Row],[USAGE / DAY]]*7</f>
        <v>-7.0000000000000007E-2</v>
      </c>
      <c r="AH330" s="15">
        <f>Table50[[#This Row],[USAGE / DAY]]*3</f>
        <v>-0.03</v>
      </c>
      <c r="AI33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30" s="15">
        <f>IFERROR(Table50[[#This Row],[ORDER QTY2]]*Table50[[#This Row],[COST PRICE]],0)</f>
        <v>0</v>
      </c>
      <c r="AK330" s="15">
        <f>(Table50[[#This Row],[REORDER POINT]]*Table50[[#This Row],[COST PRICE]])+Table50[[#This Row],[ORDER COST]]</f>
        <v>54.565460526315796</v>
      </c>
      <c r="AL330" s="15">
        <f t="shared" si="17"/>
        <v>100</v>
      </c>
      <c r="AM330" s="15">
        <f>IFERROR((Table50[[#This Row],[REORDER POINT]]+Table50[[#This Row],[ORDER QTY]])/(Table50[[#This Row],[USAGE / DAY]]*Table50[[#This Row],[DEMAND %]]),Table50[[#This Row],[REORDER POINT]]/Table50[[#This Row],[USAGE / DAY]])</f>
        <v>-105</v>
      </c>
    </row>
    <row r="331" spans="1:39" x14ac:dyDescent="0.25">
      <c r="A331" t="s">
        <v>324</v>
      </c>
      <c r="B331" t="s">
        <v>438</v>
      </c>
      <c r="C331" t="s">
        <v>440</v>
      </c>
      <c r="D331" t="s">
        <v>126</v>
      </c>
      <c r="E331">
        <v>0.41</v>
      </c>
      <c r="F331">
        <v>8.7100000000000009</v>
      </c>
      <c r="G331">
        <v>0</v>
      </c>
      <c r="H331">
        <v>0</v>
      </c>
      <c r="I331">
        <v>0</v>
      </c>
      <c r="J331">
        <v>0</v>
      </c>
      <c r="K331">
        <f>Table50[[#This Row],[OpeningQty]]+Table50[[#This Row],[PurchasesQty]]-Table50[[#This Row],[ClosingQty]]</f>
        <v>0.41</v>
      </c>
      <c r="L331">
        <v>8.7100000000000009</v>
      </c>
      <c r="M331" s="14">
        <f>Table50[[#This Row],[Usage]]/$L$1</f>
        <v>1.3228742731785494E-5</v>
      </c>
      <c r="N331" s="15">
        <f>IFERROR(Table50[[#This Row],[Opening]]/Table50[[#This Row],[OpeningQty]],0)</f>
        <v>21.243902439024392</v>
      </c>
      <c r="O331" s="15">
        <f>IFERROR(Table50[[#This Row],[Purchases]]/Table50[[#This Row],[PurchasesQty]],0)</f>
        <v>0</v>
      </c>
      <c r="P331" s="15">
        <f>IFERROR(Table50[[#This Row],[Closing]]/Table50[[#This Row],[ClosingQty]],0)</f>
        <v>0</v>
      </c>
      <c r="Q331" s="15">
        <f>IFERROR(AVERAGEIF(Table50[[#This Row],[OPENING COST PRICE]:[CLOSING COST PRICE]],"&gt;0"),0)</f>
        <v>21.243902439024392</v>
      </c>
      <c r="R331" s="15">
        <f>IFERROR(Table50[[#This Row],[COST PRICE]]-IFERROR(Table50[[#This Row],[Usage]]/Table50[[#This Row],[UsageQty]],Table50[[#This Row],[COST PRICE]]),0)</f>
        <v>0</v>
      </c>
      <c r="S331" s="16">
        <f>IFERROR(Table50[[#This Row],[COST PRICE CHANGE]]/Table50[[#This Row],[OPENING COST PRICE]],0)</f>
        <v>0</v>
      </c>
      <c r="T331" s="15">
        <f>Table50[[#This Row],[ClosingQty]]-(Table50[[#This Row],[USAGE / DAY]]*(IF(Table50[[#This Row],[ccnt]]="BEV",Table50[[#This Row],[DELIVERY DAY]],Table50[[#This Row],[DELIVERY DAY]])))</f>
        <v>-0.15</v>
      </c>
      <c r="U331" s="15">
        <f>ROUNDUP(Table50[[#This Row],[UsageQty]]/Table50[[#This Row],[DATA POINT]],2)</f>
        <v>0.03</v>
      </c>
      <c r="V33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331" s="15">
        <f>IFERROR(Table50[[#This Row],[ORDER QTY]]*Table50[[#This Row],[COST PRICE]],0)</f>
        <v>21.243902439024392</v>
      </c>
      <c r="X331" s="15">
        <f>IFERROR(VLOOKUP(C331,[1]!Table49[[#All],[name]:[USAGE / DAY]],19,FALSE),1)</f>
        <v>1</v>
      </c>
      <c r="Y331" s="4">
        <f>IFERROR((Table50[[#This Row],[USAGE / DAY]]-Table50[[#This Row],[USAGE / DAY 2]])/Table50[[#This Row],[USAGE / DAY 2]],0)</f>
        <v>-0.97</v>
      </c>
      <c r="Z331" s="15">
        <f t="shared" si="15"/>
        <v>14</v>
      </c>
      <c r="AA331" s="15">
        <f t="shared" si="16"/>
        <v>9.311854181734148</v>
      </c>
      <c r="AB331" s="15">
        <f>IFERROR(IF(Table50[[#This Row],[ccnt]]="BEV",$AB$2,IF(Table50[[#This Row],[ccnt]]="FOOD",$AC$2,"ENTER # FROM LAST COUNT")),"ENTER # FROM LAST COUNT")</f>
        <v>5</v>
      </c>
      <c r="AC331" s="15">
        <f>(Table50[[#This Row],[OpeningQty]]+Table50[[#This Row],[ClosingQty]])/2</f>
        <v>0.20499999999999999</v>
      </c>
      <c r="AD331" s="15">
        <f>IFERROR(Table50[[#This Row],[UsageQty]]/Table50[[#This Row],[AVE INVENTORY]],0)</f>
        <v>2</v>
      </c>
      <c r="AE331" s="15">
        <f>IFERROR(Table50[[#This Row],[DATA POINT]]/Table50[[#This Row],[Inventory Turnover Rate]],0)</f>
        <v>7</v>
      </c>
      <c r="AF331" s="15">
        <f>Table50[[#This Row],[ClosingQty]]/Table50[[#This Row],[USAGE / DAY]]</f>
        <v>0</v>
      </c>
      <c r="AG331" s="15">
        <f>Table50[[#This Row],[USAGE / DAY]]*7</f>
        <v>0.21</v>
      </c>
      <c r="AH331" s="15">
        <f>Table50[[#This Row],[USAGE / DAY]]*3</f>
        <v>0.09</v>
      </c>
      <c r="AI331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0.3</v>
      </c>
      <c r="AJ331" s="15">
        <f>IFERROR(Table50[[#This Row],[ORDER QTY2]]*Table50[[#This Row],[COST PRICE]],0)</f>
        <v>6.3731707317073178</v>
      </c>
      <c r="AK331" s="15">
        <f>(Table50[[#This Row],[REORDER POINT]]*Table50[[#This Row],[COST PRICE]])+Table50[[#This Row],[ORDER COST]]</f>
        <v>18.057317073170733</v>
      </c>
      <c r="AL331" s="15">
        <f t="shared" si="17"/>
        <v>100</v>
      </c>
      <c r="AM331" s="15">
        <f>IFERROR((Table50[[#This Row],[REORDER POINT]]+Table50[[#This Row],[ORDER QTY]])/(Table50[[#This Row],[USAGE / DAY]]*Table50[[#This Row],[DEMAND %]]),Table50[[#This Row],[REORDER POINT]]/Table50[[#This Row],[USAGE / DAY]])</f>
        <v>0.28333333333333333</v>
      </c>
    </row>
    <row r="332" spans="1:39" x14ac:dyDescent="0.25">
      <c r="A332" t="s">
        <v>324</v>
      </c>
      <c r="B332" t="s">
        <v>438</v>
      </c>
      <c r="C332" t="s">
        <v>441</v>
      </c>
      <c r="D332" t="s">
        <v>53</v>
      </c>
      <c r="E332">
        <v>110</v>
      </c>
      <c r="F332">
        <v>64.900000000000006</v>
      </c>
      <c r="G332">
        <v>0</v>
      </c>
      <c r="H332">
        <v>0</v>
      </c>
      <c r="I332">
        <v>139</v>
      </c>
      <c r="J332">
        <v>82.01</v>
      </c>
      <c r="K332">
        <f>Table50[[#This Row],[OpeningQty]]+Table50[[#This Row],[PurchasesQty]]-Table50[[#This Row],[ClosingQty]]</f>
        <v>-29</v>
      </c>
      <c r="L332">
        <v>-17.11</v>
      </c>
      <c r="M332" s="14">
        <f>Table50[[#This Row],[Usage]]/$L$1</f>
        <v>-2.5986657651073456E-5</v>
      </c>
      <c r="N332" s="15">
        <f>IFERROR(Table50[[#This Row],[Opening]]/Table50[[#This Row],[OpeningQty]],0)</f>
        <v>0.59000000000000008</v>
      </c>
      <c r="O332" s="15">
        <f>IFERROR(Table50[[#This Row],[Purchases]]/Table50[[#This Row],[PurchasesQty]],0)</f>
        <v>0</v>
      </c>
      <c r="P332" s="15">
        <f>IFERROR(Table50[[#This Row],[Closing]]/Table50[[#This Row],[ClosingQty]],0)</f>
        <v>0.59000000000000008</v>
      </c>
      <c r="Q332" s="15">
        <f>IFERROR(AVERAGEIF(Table50[[#This Row],[OPENING COST PRICE]:[CLOSING COST PRICE]],"&gt;0"),0)</f>
        <v>0.59000000000000008</v>
      </c>
      <c r="R332" s="15">
        <f>IFERROR(Table50[[#This Row],[COST PRICE]]-IFERROR(Table50[[#This Row],[Usage]]/Table50[[#This Row],[UsageQty]],Table50[[#This Row],[COST PRICE]]),0)</f>
        <v>1.1102230246251565E-16</v>
      </c>
      <c r="S332" s="16">
        <f>IFERROR(Table50[[#This Row],[COST PRICE CHANGE]]/Table50[[#This Row],[OPENING COST PRICE]],0)</f>
        <v>1.8817339400426379E-16</v>
      </c>
      <c r="T332" s="15">
        <f>Table50[[#This Row],[ClosingQty]]-(Table50[[#This Row],[USAGE / DAY]]*(IF(Table50[[#This Row],[ccnt]]="BEV",Table50[[#This Row],[DELIVERY DAY]],Table50[[#This Row],[DELIVERY DAY]])))</f>
        <v>149.4</v>
      </c>
      <c r="U332" s="15">
        <f>ROUNDUP(Table50[[#This Row],[UsageQty]]/Table50[[#This Row],[DATA POINT]],2)</f>
        <v>-2.0799999999999996</v>
      </c>
      <c r="V33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32" s="15">
        <f>IFERROR(Table50[[#This Row],[ORDER QTY]]*Table50[[#This Row],[COST PRICE]],0)</f>
        <v>0</v>
      </c>
      <c r="X332" s="15">
        <f>IFERROR(VLOOKUP(C332,[1]!Table49[[#All],[name]:[USAGE / DAY]],19,FALSE),1)</f>
        <v>1.34</v>
      </c>
      <c r="Y332" s="4">
        <f>IFERROR((Table50[[#This Row],[USAGE / DAY]]-Table50[[#This Row],[USAGE / DAY 2]])/Table50[[#This Row],[USAGE / DAY 2]],0)</f>
        <v>-2.5522388059701488</v>
      </c>
      <c r="Z332" s="15">
        <f t="shared" si="15"/>
        <v>14</v>
      </c>
      <c r="AA332" s="15">
        <f t="shared" si="16"/>
        <v>9.311854181734148</v>
      </c>
      <c r="AB332" s="15">
        <f>IFERROR(IF(Table50[[#This Row],[ccnt]]="BEV",$AB$2,IF(Table50[[#This Row],[ccnt]]="FOOD",$AC$2,"ENTER # FROM LAST COUNT")),"ENTER # FROM LAST COUNT")</f>
        <v>5</v>
      </c>
      <c r="AC332" s="15">
        <f>(Table50[[#This Row],[OpeningQty]]+Table50[[#This Row],[ClosingQty]])/2</f>
        <v>124.5</v>
      </c>
      <c r="AD332" s="15">
        <f>IFERROR(Table50[[#This Row],[UsageQty]]/Table50[[#This Row],[AVE INVENTORY]],0)</f>
        <v>-0.23293172690763053</v>
      </c>
      <c r="AE332" s="15">
        <f>IFERROR(Table50[[#This Row],[DATA POINT]]/Table50[[#This Row],[Inventory Turnover Rate]],0)</f>
        <v>-60.103448275862064</v>
      </c>
      <c r="AF332" s="15">
        <f>Table50[[#This Row],[ClosingQty]]/Table50[[#This Row],[USAGE / DAY]]</f>
        <v>-66.826923076923094</v>
      </c>
      <c r="AG332" s="15">
        <f>Table50[[#This Row],[USAGE / DAY]]*7</f>
        <v>-14.559999999999997</v>
      </c>
      <c r="AH332" s="15">
        <f>Table50[[#This Row],[USAGE / DAY]]*3</f>
        <v>-6.2399999999999984</v>
      </c>
      <c r="AI33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32" s="15">
        <f>IFERROR(Table50[[#This Row],[ORDER QTY2]]*Table50[[#This Row],[COST PRICE]],0)</f>
        <v>0</v>
      </c>
      <c r="AK332" s="15">
        <f>(Table50[[#This Row],[REORDER POINT]]*Table50[[#This Row],[COST PRICE]])+Table50[[#This Row],[ORDER COST]]</f>
        <v>88.146000000000015</v>
      </c>
      <c r="AL332" s="15">
        <f t="shared" si="17"/>
        <v>100</v>
      </c>
      <c r="AM332" s="15">
        <f>IFERROR((Table50[[#This Row],[REORDER POINT]]+Table50[[#This Row],[ORDER QTY]])/(Table50[[#This Row],[USAGE / DAY]]*Table50[[#This Row],[DEMAND %]]),Table50[[#This Row],[REORDER POINT]]/Table50[[#This Row],[USAGE / DAY]])</f>
        <v>-71.826923076923094</v>
      </c>
    </row>
    <row r="333" spans="1:39" x14ac:dyDescent="0.25">
      <c r="A333" t="s">
        <v>324</v>
      </c>
      <c r="B333" t="s">
        <v>438</v>
      </c>
      <c r="C333" t="s">
        <v>442</v>
      </c>
      <c r="D333" t="s">
        <v>95</v>
      </c>
      <c r="E333">
        <v>1.66</v>
      </c>
      <c r="F333">
        <v>62.53</v>
      </c>
      <c r="G333">
        <v>0</v>
      </c>
      <c r="H333">
        <v>0</v>
      </c>
      <c r="I333">
        <v>1.86</v>
      </c>
      <c r="J333">
        <v>70.069999999999993</v>
      </c>
      <c r="K333">
        <f>Table50[[#This Row],[OpeningQty]]+Table50[[#This Row],[PurchasesQty]]-Table50[[#This Row],[ClosingQty]]</f>
        <v>-0.20000000000000018</v>
      </c>
      <c r="L333">
        <v>-7.54</v>
      </c>
      <c r="M333" s="14">
        <f>Table50[[#This Row],[Usage]]/$L$1</f>
        <v>-1.1451747439456098E-5</v>
      </c>
      <c r="N333" s="15">
        <f>IFERROR(Table50[[#This Row],[Opening]]/Table50[[#This Row],[OpeningQty]],0)</f>
        <v>37.668674698795186</v>
      </c>
      <c r="O333" s="15">
        <f>IFERROR(Table50[[#This Row],[Purchases]]/Table50[[#This Row],[PurchasesQty]],0)</f>
        <v>0</v>
      </c>
      <c r="P333" s="15">
        <f>IFERROR(Table50[[#This Row],[Closing]]/Table50[[#This Row],[ClosingQty]],0)</f>
        <v>37.672043010752681</v>
      </c>
      <c r="Q333" s="15">
        <f>IFERROR(AVERAGEIF(Table50[[#This Row],[OPENING COST PRICE]:[CLOSING COST PRICE]],"&gt;0"),0)</f>
        <v>37.670358854773937</v>
      </c>
      <c r="R333" s="15">
        <f>IFERROR(Table50[[#This Row],[COST PRICE]]-IFERROR(Table50[[#This Row],[Usage]]/Table50[[#This Row],[UsageQty]],Table50[[#This Row],[COST PRICE]]),0)</f>
        <v>-2.9641145226030119E-2</v>
      </c>
      <c r="S333" s="16">
        <f>IFERROR(Table50[[#This Row],[COST PRICE CHANGE]]/Table50[[#This Row],[OPENING COST PRICE]],0)</f>
        <v>-7.8689110947081388E-4</v>
      </c>
      <c r="T333" s="15">
        <f>Table50[[#This Row],[ClosingQty]]-(Table50[[#This Row],[USAGE / DAY]]*(IF(Table50[[#This Row],[ccnt]]="BEV",Table50[[#This Row],[DELIVERY DAY]],Table50[[#This Row],[DELIVERY DAY]])))</f>
        <v>1.9600000000000002</v>
      </c>
      <c r="U333" s="15">
        <f>ROUNDUP(Table50[[#This Row],[UsageQty]]/Table50[[#This Row],[DATA POINT]],2)</f>
        <v>-0.02</v>
      </c>
      <c r="V33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33" s="15">
        <f>IFERROR(Table50[[#This Row],[ORDER QTY]]*Table50[[#This Row],[COST PRICE]],0)</f>
        <v>0</v>
      </c>
      <c r="X333" s="15">
        <f>IFERROR(VLOOKUP(C333,[1]!Table49[[#All],[name]:[USAGE / DAY]],19,FALSE),1)</f>
        <v>0.04</v>
      </c>
      <c r="Y333" s="4">
        <f>IFERROR((Table50[[#This Row],[USAGE / DAY]]-Table50[[#This Row],[USAGE / DAY 2]])/Table50[[#This Row],[USAGE / DAY 2]],0)</f>
        <v>-1.5</v>
      </c>
      <c r="Z333" s="15">
        <f t="shared" si="15"/>
        <v>14</v>
      </c>
      <c r="AA333" s="15">
        <f t="shared" si="16"/>
        <v>9.311854181734148</v>
      </c>
      <c r="AB333" s="15">
        <f>IFERROR(IF(Table50[[#This Row],[ccnt]]="BEV",$AB$2,IF(Table50[[#This Row],[ccnt]]="FOOD",$AC$2,"ENTER # FROM LAST COUNT")),"ENTER # FROM LAST COUNT")</f>
        <v>5</v>
      </c>
      <c r="AC333" s="15">
        <f>(Table50[[#This Row],[OpeningQty]]+Table50[[#This Row],[ClosingQty]])/2</f>
        <v>1.76</v>
      </c>
      <c r="AD333" s="15">
        <f>IFERROR(Table50[[#This Row],[UsageQty]]/Table50[[#This Row],[AVE INVENTORY]],0)</f>
        <v>-0.11363636363636374</v>
      </c>
      <c r="AE333" s="15">
        <f>IFERROR(Table50[[#This Row],[DATA POINT]]/Table50[[#This Row],[Inventory Turnover Rate]],0)</f>
        <v>-123.19999999999989</v>
      </c>
      <c r="AF333" s="15">
        <f>Table50[[#This Row],[ClosingQty]]/Table50[[#This Row],[USAGE / DAY]]</f>
        <v>-93</v>
      </c>
      <c r="AG333" s="15">
        <f>Table50[[#This Row],[USAGE / DAY]]*7</f>
        <v>-0.14000000000000001</v>
      </c>
      <c r="AH333" s="15">
        <f>Table50[[#This Row],[USAGE / DAY]]*3</f>
        <v>-0.06</v>
      </c>
      <c r="AI33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33" s="15">
        <f>IFERROR(Table50[[#This Row],[ORDER QTY2]]*Table50[[#This Row],[COST PRICE]],0)</f>
        <v>0</v>
      </c>
      <c r="AK333" s="15">
        <f>(Table50[[#This Row],[REORDER POINT]]*Table50[[#This Row],[COST PRICE]])+Table50[[#This Row],[ORDER COST]]</f>
        <v>73.833903355356924</v>
      </c>
      <c r="AL333" s="15">
        <f t="shared" si="17"/>
        <v>100</v>
      </c>
      <c r="AM333" s="15">
        <f>IFERROR((Table50[[#This Row],[REORDER POINT]]+Table50[[#This Row],[ORDER QTY]])/(Table50[[#This Row],[USAGE / DAY]]*Table50[[#This Row],[DEMAND %]]),Table50[[#This Row],[REORDER POINT]]/Table50[[#This Row],[USAGE / DAY]])</f>
        <v>-98.000000000000014</v>
      </c>
    </row>
    <row r="334" spans="1:39" x14ac:dyDescent="0.25">
      <c r="A334" t="s">
        <v>324</v>
      </c>
      <c r="B334" t="s">
        <v>438</v>
      </c>
      <c r="C334" t="s">
        <v>443</v>
      </c>
      <c r="D334" t="s">
        <v>76</v>
      </c>
      <c r="E334">
        <v>4.45</v>
      </c>
      <c r="F334">
        <v>210.89</v>
      </c>
      <c r="G334">
        <v>0</v>
      </c>
      <c r="H334">
        <v>0</v>
      </c>
      <c r="I334">
        <v>6.4</v>
      </c>
      <c r="J334">
        <v>303.68</v>
      </c>
      <c r="K334">
        <f>Table50[[#This Row],[OpeningQty]]+Table50[[#This Row],[PurchasesQty]]-Table50[[#This Row],[ClosingQty]]</f>
        <v>-1.9500000000000002</v>
      </c>
      <c r="L334">
        <v>-92.79</v>
      </c>
      <c r="M334" s="14">
        <f>Table50[[#This Row],[Usage]]/$L$1</f>
        <v>-1.4092939587627738E-4</v>
      </c>
      <c r="N334" s="15">
        <f>IFERROR(Table50[[#This Row],[Opening]]/Table50[[#This Row],[OpeningQty]],0)</f>
        <v>47.391011235955048</v>
      </c>
      <c r="O334" s="15">
        <f>IFERROR(Table50[[#This Row],[Purchases]]/Table50[[#This Row],[PurchasesQty]],0)</f>
        <v>0</v>
      </c>
      <c r="P334" s="15">
        <f>IFERROR(Table50[[#This Row],[Closing]]/Table50[[#This Row],[ClosingQty]],0)</f>
        <v>47.449999999999996</v>
      </c>
      <c r="Q334" s="15">
        <f>IFERROR(AVERAGEIF(Table50[[#This Row],[OPENING COST PRICE]:[CLOSING COST PRICE]],"&gt;0"),0)</f>
        <v>47.420505617977526</v>
      </c>
      <c r="R334" s="15">
        <f>IFERROR(Table50[[#This Row],[COST PRICE]]-IFERROR(Table50[[#This Row],[Usage]]/Table50[[#This Row],[UsageQty]],Table50[[#This Row],[COST PRICE]]),0)</f>
        <v>-0.16410976663785704</v>
      </c>
      <c r="S334" s="16">
        <f>IFERROR(Table50[[#This Row],[COST PRICE CHANGE]]/Table50[[#This Row],[OPENING COST PRICE]],0)</f>
        <v>-3.4628880531958079E-3</v>
      </c>
      <c r="T334" s="15">
        <f>Table50[[#This Row],[ClosingQty]]-(Table50[[#This Row],[USAGE / DAY]]*(IF(Table50[[#This Row],[ccnt]]="BEV",Table50[[#This Row],[DELIVERY DAY]],Table50[[#This Row],[DELIVERY DAY]])))</f>
        <v>7.1000000000000005</v>
      </c>
      <c r="U334" s="15">
        <f>ROUNDUP(Table50[[#This Row],[UsageQty]]/Table50[[#This Row],[DATA POINT]],2)</f>
        <v>-0.14000000000000001</v>
      </c>
      <c r="V33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34" s="15">
        <f>IFERROR(Table50[[#This Row],[ORDER QTY]]*Table50[[#This Row],[COST PRICE]],0)</f>
        <v>0</v>
      </c>
      <c r="X334" s="15">
        <f>IFERROR(VLOOKUP(C334,[1]!Table49[[#All],[name]:[USAGE / DAY]],19,FALSE),1)</f>
        <v>-0.31</v>
      </c>
      <c r="Y334" s="4">
        <f>IFERROR((Table50[[#This Row],[USAGE / DAY]]-Table50[[#This Row],[USAGE / DAY 2]])/Table50[[#This Row],[USAGE / DAY 2]],0)</f>
        <v>-0.54838709677419351</v>
      </c>
      <c r="Z334" s="15">
        <f t="shared" si="15"/>
        <v>14</v>
      </c>
      <c r="AA334" s="15">
        <f t="shared" si="16"/>
        <v>9.311854181734148</v>
      </c>
      <c r="AB334" s="15">
        <f>IFERROR(IF(Table50[[#This Row],[ccnt]]="BEV",$AB$2,IF(Table50[[#This Row],[ccnt]]="FOOD",$AC$2,"ENTER # FROM LAST COUNT")),"ENTER # FROM LAST COUNT")</f>
        <v>5</v>
      </c>
      <c r="AC334" s="15">
        <f>(Table50[[#This Row],[OpeningQty]]+Table50[[#This Row],[ClosingQty]])/2</f>
        <v>5.4250000000000007</v>
      </c>
      <c r="AD334" s="15">
        <f>IFERROR(Table50[[#This Row],[UsageQty]]/Table50[[#This Row],[AVE INVENTORY]],0)</f>
        <v>-0.35944700460829493</v>
      </c>
      <c r="AE334" s="15">
        <f>IFERROR(Table50[[#This Row],[DATA POINT]]/Table50[[#This Row],[Inventory Turnover Rate]],0)</f>
        <v>-38.948717948717949</v>
      </c>
      <c r="AF334" s="15">
        <f>Table50[[#This Row],[ClosingQty]]/Table50[[#This Row],[USAGE / DAY]]</f>
        <v>-45.714285714285715</v>
      </c>
      <c r="AG334" s="15">
        <f>Table50[[#This Row],[USAGE / DAY]]*7</f>
        <v>-0.98000000000000009</v>
      </c>
      <c r="AH334" s="15">
        <f>Table50[[#This Row],[USAGE / DAY]]*3</f>
        <v>-0.42000000000000004</v>
      </c>
      <c r="AI33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34" s="15">
        <f>IFERROR(Table50[[#This Row],[ORDER QTY2]]*Table50[[#This Row],[COST PRICE]],0)</f>
        <v>0</v>
      </c>
      <c r="AK334" s="15">
        <f>(Table50[[#This Row],[REORDER POINT]]*Table50[[#This Row],[COST PRICE]])+Table50[[#This Row],[ORDER COST]]</f>
        <v>336.68558988764045</v>
      </c>
      <c r="AL334" s="15">
        <f t="shared" si="17"/>
        <v>100</v>
      </c>
      <c r="AM334" s="15">
        <f>IFERROR((Table50[[#This Row],[REORDER POINT]]+Table50[[#This Row],[ORDER QTY]])/(Table50[[#This Row],[USAGE / DAY]]*Table50[[#This Row],[DEMAND %]]),Table50[[#This Row],[REORDER POINT]]/Table50[[#This Row],[USAGE / DAY]])</f>
        <v>-50.714285714285715</v>
      </c>
    </row>
    <row r="335" spans="1:39" x14ac:dyDescent="0.25">
      <c r="A335" t="s">
        <v>324</v>
      </c>
      <c r="B335" t="s">
        <v>438</v>
      </c>
      <c r="C335" t="s">
        <v>444</v>
      </c>
      <c r="D335" t="s">
        <v>126</v>
      </c>
      <c r="E335">
        <v>0.33</v>
      </c>
      <c r="F335">
        <v>4.5</v>
      </c>
      <c r="G335">
        <v>0</v>
      </c>
      <c r="H335">
        <v>0</v>
      </c>
      <c r="I335">
        <v>0.22</v>
      </c>
      <c r="J335">
        <v>3</v>
      </c>
      <c r="K335">
        <f>Table50[[#This Row],[OpeningQty]]+Table50[[#This Row],[PurchasesQty]]-Table50[[#This Row],[ClosingQty]]</f>
        <v>0.11000000000000001</v>
      </c>
      <c r="L335">
        <v>1.5</v>
      </c>
      <c r="M335" s="14">
        <f>Table50[[#This Row],[Usage]]/$L$1</f>
        <v>2.2781990927299931E-6</v>
      </c>
      <c r="N335" s="15">
        <f>IFERROR(Table50[[#This Row],[Opening]]/Table50[[#This Row],[OpeningQty]],0)</f>
        <v>13.636363636363635</v>
      </c>
      <c r="O335" s="15">
        <f>IFERROR(Table50[[#This Row],[Purchases]]/Table50[[#This Row],[PurchasesQty]],0)</f>
        <v>0</v>
      </c>
      <c r="P335" s="15">
        <f>IFERROR(Table50[[#This Row],[Closing]]/Table50[[#This Row],[ClosingQty]],0)</f>
        <v>13.636363636363637</v>
      </c>
      <c r="Q335" s="15">
        <f>IFERROR(AVERAGEIF(Table50[[#This Row],[OPENING COST PRICE]:[CLOSING COST PRICE]],"&gt;0"),0)</f>
        <v>13.636363636363637</v>
      </c>
      <c r="R335" s="15">
        <f>IFERROR(Table50[[#This Row],[COST PRICE]]-IFERROR(Table50[[#This Row],[Usage]]/Table50[[#This Row],[UsageQty]],Table50[[#This Row],[COST PRICE]]),0)</f>
        <v>1.7763568394002505E-15</v>
      </c>
      <c r="S335" s="16">
        <f>IFERROR(Table50[[#This Row],[COST PRICE CHANGE]]/Table50[[#This Row],[OPENING COST PRICE]],0)</f>
        <v>1.3026616822268506E-16</v>
      </c>
      <c r="T335" s="15">
        <f>Table50[[#This Row],[ClosingQty]]-(Table50[[#This Row],[USAGE / DAY]]*(IF(Table50[[#This Row],[ccnt]]="BEV",Table50[[#This Row],[DELIVERY DAY]],Table50[[#This Row],[DELIVERY DAY]])))</f>
        <v>0.16999999999999998</v>
      </c>
      <c r="U335" s="15">
        <f>ROUNDUP(Table50[[#This Row],[UsageQty]]/Table50[[#This Row],[DATA POINT]],2)</f>
        <v>0.01</v>
      </c>
      <c r="V33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35" s="15">
        <f>IFERROR(Table50[[#This Row],[ORDER QTY]]*Table50[[#This Row],[COST PRICE]],0)</f>
        <v>0</v>
      </c>
      <c r="X335" s="15">
        <f>IFERROR(VLOOKUP(C335,[1]!Table49[[#All],[name]:[USAGE / DAY]],19,FALSE),1)</f>
        <v>0.05</v>
      </c>
      <c r="Y335" s="4">
        <f>IFERROR((Table50[[#This Row],[USAGE / DAY]]-Table50[[#This Row],[USAGE / DAY 2]])/Table50[[#This Row],[USAGE / DAY 2]],0)</f>
        <v>-0.79999999999999993</v>
      </c>
      <c r="Z335" s="15">
        <f t="shared" si="15"/>
        <v>14</v>
      </c>
      <c r="AA335" s="15">
        <f t="shared" si="16"/>
        <v>9.311854181734148</v>
      </c>
      <c r="AB335" s="15">
        <f>IFERROR(IF(Table50[[#This Row],[ccnt]]="BEV",$AB$2,IF(Table50[[#This Row],[ccnt]]="FOOD",$AC$2,"ENTER # FROM LAST COUNT")),"ENTER # FROM LAST COUNT")</f>
        <v>5</v>
      </c>
      <c r="AC335" s="15">
        <f>(Table50[[#This Row],[OpeningQty]]+Table50[[#This Row],[ClosingQty]])/2</f>
        <v>0.27500000000000002</v>
      </c>
      <c r="AD335" s="15">
        <f>IFERROR(Table50[[#This Row],[UsageQty]]/Table50[[#This Row],[AVE INVENTORY]],0)</f>
        <v>0.4</v>
      </c>
      <c r="AE335" s="15">
        <f>IFERROR(Table50[[#This Row],[DATA POINT]]/Table50[[#This Row],[Inventory Turnover Rate]],0)</f>
        <v>35</v>
      </c>
      <c r="AF335" s="15">
        <f>Table50[[#This Row],[ClosingQty]]/Table50[[#This Row],[USAGE / DAY]]</f>
        <v>22</v>
      </c>
      <c r="AG335" s="15">
        <f>Table50[[#This Row],[USAGE / DAY]]*7</f>
        <v>7.0000000000000007E-2</v>
      </c>
      <c r="AH335" s="15">
        <f>Table50[[#This Row],[USAGE / DAY]]*3</f>
        <v>0.03</v>
      </c>
      <c r="AI33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35" s="15">
        <f>IFERROR(Table50[[#This Row],[ORDER QTY2]]*Table50[[#This Row],[COST PRICE]],0)</f>
        <v>0</v>
      </c>
      <c r="AK335" s="15">
        <f>(Table50[[#This Row],[REORDER POINT]]*Table50[[#This Row],[COST PRICE]])+Table50[[#This Row],[ORDER COST]]</f>
        <v>2.3181818181818179</v>
      </c>
      <c r="AL335" s="15">
        <f t="shared" si="17"/>
        <v>100</v>
      </c>
      <c r="AM335" s="15">
        <f>IFERROR((Table50[[#This Row],[REORDER POINT]]+Table50[[#This Row],[ORDER QTY]])/(Table50[[#This Row],[USAGE / DAY]]*Table50[[#This Row],[DEMAND %]]),Table50[[#This Row],[REORDER POINT]]/Table50[[#This Row],[USAGE / DAY]])</f>
        <v>16.999999999999996</v>
      </c>
    </row>
    <row r="336" spans="1:39" x14ac:dyDescent="0.25">
      <c r="A336" t="s">
        <v>324</v>
      </c>
      <c r="B336" t="s">
        <v>438</v>
      </c>
      <c r="C336" t="s">
        <v>445</v>
      </c>
      <c r="D336" t="s">
        <v>95</v>
      </c>
      <c r="E336">
        <v>1</v>
      </c>
      <c r="F336">
        <v>44.79</v>
      </c>
      <c r="G336">
        <v>0</v>
      </c>
      <c r="H336">
        <v>0</v>
      </c>
      <c r="I336">
        <v>0.25</v>
      </c>
      <c r="J336">
        <v>11</v>
      </c>
      <c r="K336">
        <f>Table50[[#This Row],[OpeningQty]]+Table50[[#This Row],[PurchasesQty]]-Table50[[#This Row],[ClosingQty]]</f>
        <v>0.75</v>
      </c>
      <c r="L336">
        <v>33.79</v>
      </c>
      <c r="M336" s="14">
        <f>Table50[[#This Row],[Usage]]/$L$1</f>
        <v>5.1320231562230975E-5</v>
      </c>
      <c r="N336" s="15">
        <f>IFERROR(Table50[[#This Row],[Opening]]/Table50[[#This Row],[OpeningQty]],0)</f>
        <v>44.79</v>
      </c>
      <c r="O336" s="15">
        <f>IFERROR(Table50[[#This Row],[Purchases]]/Table50[[#This Row],[PurchasesQty]],0)</f>
        <v>0</v>
      </c>
      <c r="P336" s="15">
        <f>IFERROR(Table50[[#This Row],[Closing]]/Table50[[#This Row],[ClosingQty]],0)</f>
        <v>44</v>
      </c>
      <c r="Q336" s="15">
        <f>IFERROR(AVERAGEIF(Table50[[#This Row],[OPENING COST PRICE]:[CLOSING COST PRICE]],"&gt;0"),0)</f>
        <v>44.394999999999996</v>
      </c>
      <c r="R336" s="15">
        <f>IFERROR(Table50[[#This Row],[COST PRICE]]-IFERROR(Table50[[#This Row],[Usage]]/Table50[[#This Row],[UsageQty]],Table50[[#This Row],[COST PRICE]]),0)</f>
        <v>-0.65833333333333854</v>
      </c>
      <c r="S336" s="16">
        <f>IFERROR(Table50[[#This Row],[COST PRICE CHANGE]]/Table50[[#This Row],[OPENING COST PRICE]],0)</f>
        <v>-1.4698221329165853E-2</v>
      </c>
      <c r="T336" s="15">
        <f>Table50[[#This Row],[ClosingQty]]-(Table50[[#This Row],[USAGE / DAY]]*(IF(Table50[[#This Row],[ccnt]]="BEV",Table50[[#This Row],[DELIVERY DAY]],Table50[[#This Row],[DELIVERY DAY]])))</f>
        <v>-5.0000000000000044E-2</v>
      </c>
      <c r="U336" s="15">
        <f>ROUNDUP(Table50[[#This Row],[UsageQty]]/Table50[[#This Row],[DATA POINT]],2)</f>
        <v>6.0000000000000005E-2</v>
      </c>
      <c r="V33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336" s="15">
        <f>IFERROR(Table50[[#This Row],[ORDER QTY]]*Table50[[#This Row],[COST PRICE]],0)</f>
        <v>44.394999999999996</v>
      </c>
      <c r="X336" s="15">
        <f>IFERROR(VLOOKUP(C336,[1]!Table49[[#All],[name]:[USAGE / DAY]],19,FALSE),1)</f>
        <v>-6.9999999999999993E-2</v>
      </c>
      <c r="Y336" s="4">
        <f>IFERROR((Table50[[#This Row],[USAGE / DAY]]-Table50[[#This Row],[USAGE / DAY 2]])/Table50[[#This Row],[USAGE / DAY 2]],0)</f>
        <v>-1.8571428571428574</v>
      </c>
      <c r="Z336" s="15">
        <f t="shared" si="15"/>
        <v>14</v>
      </c>
      <c r="AA336" s="15">
        <f t="shared" si="16"/>
        <v>9.311854181734148</v>
      </c>
      <c r="AB336" s="15">
        <f>IFERROR(IF(Table50[[#This Row],[ccnt]]="BEV",$AB$2,IF(Table50[[#This Row],[ccnt]]="FOOD",$AC$2,"ENTER # FROM LAST COUNT")),"ENTER # FROM LAST COUNT")</f>
        <v>5</v>
      </c>
      <c r="AC336" s="15">
        <f>(Table50[[#This Row],[OpeningQty]]+Table50[[#This Row],[ClosingQty]])/2</f>
        <v>0.625</v>
      </c>
      <c r="AD336" s="15">
        <f>IFERROR(Table50[[#This Row],[UsageQty]]/Table50[[#This Row],[AVE INVENTORY]],0)</f>
        <v>1.2</v>
      </c>
      <c r="AE336" s="15">
        <f>IFERROR(Table50[[#This Row],[DATA POINT]]/Table50[[#This Row],[Inventory Turnover Rate]],0)</f>
        <v>11.666666666666668</v>
      </c>
      <c r="AF336" s="15">
        <f>Table50[[#This Row],[ClosingQty]]/Table50[[#This Row],[USAGE / DAY]]</f>
        <v>4.1666666666666661</v>
      </c>
      <c r="AG336" s="15">
        <f>Table50[[#This Row],[USAGE / DAY]]*7</f>
        <v>0.42000000000000004</v>
      </c>
      <c r="AH336" s="15">
        <f>Table50[[#This Row],[USAGE / DAY]]*3</f>
        <v>0.18000000000000002</v>
      </c>
      <c r="AI336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0.35000000000000009</v>
      </c>
      <c r="AJ336" s="15">
        <f>IFERROR(Table50[[#This Row],[ORDER QTY2]]*Table50[[#This Row],[COST PRICE]],0)</f>
        <v>15.538250000000003</v>
      </c>
      <c r="AK336" s="15">
        <f>(Table50[[#This Row],[REORDER POINT]]*Table50[[#This Row],[COST PRICE]])+Table50[[#This Row],[ORDER COST]]</f>
        <v>42.175249999999991</v>
      </c>
      <c r="AL336" s="15">
        <f t="shared" si="17"/>
        <v>100</v>
      </c>
      <c r="AM336" s="15">
        <f>IFERROR((Table50[[#This Row],[REORDER POINT]]+Table50[[#This Row],[ORDER QTY]])/(Table50[[#This Row],[USAGE / DAY]]*Table50[[#This Row],[DEMAND %]]),Table50[[#This Row],[REORDER POINT]]/Table50[[#This Row],[USAGE / DAY]])</f>
        <v>0.1583333333333333</v>
      </c>
    </row>
    <row r="337" spans="1:39" x14ac:dyDescent="0.25">
      <c r="A337" t="s">
        <v>324</v>
      </c>
      <c r="B337" t="s">
        <v>438</v>
      </c>
      <c r="C337" t="s">
        <v>446</v>
      </c>
      <c r="D337" t="s">
        <v>95</v>
      </c>
      <c r="E337">
        <v>3.7</v>
      </c>
      <c r="F337">
        <v>144</v>
      </c>
      <c r="G337">
        <v>0</v>
      </c>
      <c r="H337">
        <v>0</v>
      </c>
      <c r="I337">
        <v>3.23</v>
      </c>
      <c r="J337">
        <v>148.61000000000001</v>
      </c>
      <c r="K337">
        <f>Table50[[#This Row],[OpeningQty]]+Table50[[#This Row],[PurchasesQty]]-Table50[[#This Row],[ClosingQty]]</f>
        <v>0.4700000000000002</v>
      </c>
      <c r="L337">
        <v>-4.6100000000000003</v>
      </c>
      <c r="M337" s="14">
        <f>Table50[[#This Row],[Usage]]/$L$1</f>
        <v>-7.0016652116568464E-6</v>
      </c>
      <c r="N337" s="15">
        <f>IFERROR(Table50[[#This Row],[Opening]]/Table50[[#This Row],[OpeningQty]],0)</f>
        <v>38.918918918918919</v>
      </c>
      <c r="O337" s="15">
        <f>IFERROR(Table50[[#This Row],[Purchases]]/Table50[[#This Row],[PurchasesQty]],0)</f>
        <v>0</v>
      </c>
      <c r="P337" s="15">
        <f>IFERROR(Table50[[#This Row],[Closing]]/Table50[[#This Row],[ClosingQty]],0)</f>
        <v>46.009287925696597</v>
      </c>
      <c r="Q337" s="15">
        <f>IFERROR(AVERAGEIF(Table50[[#This Row],[OPENING COST PRICE]:[CLOSING COST PRICE]],"&gt;0"),0)</f>
        <v>42.464103422307758</v>
      </c>
      <c r="R337" s="15">
        <f>IFERROR(Table50[[#This Row],[COST PRICE]]-IFERROR(Table50[[#This Row],[Usage]]/Table50[[#This Row],[UsageQty]],Table50[[#This Row],[COST PRICE]]),0)</f>
        <v>52.272614060605626</v>
      </c>
      <c r="S337" s="16">
        <f>IFERROR(Table50[[#This Row],[COST PRICE CHANGE]]/Table50[[#This Row],[OPENING COST PRICE]],0)</f>
        <v>1.3431157779461167</v>
      </c>
      <c r="T337" s="15">
        <f>Table50[[#This Row],[ClosingQty]]-(Table50[[#This Row],[USAGE / DAY]]*(IF(Table50[[#This Row],[ccnt]]="BEV",Table50[[#This Row],[DELIVERY DAY]],Table50[[#This Row],[DELIVERY DAY]])))</f>
        <v>3.03</v>
      </c>
      <c r="U337" s="15">
        <f>ROUNDUP(Table50[[#This Row],[UsageQty]]/Table50[[#This Row],[DATA POINT]],2)</f>
        <v>0.04</v>
      </c>
      <c r="V33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37" s="15">
        <f>IFERROR(Table50[[#This Row],[ORDER QTY]]*Table50[[#This Row],[COST PRICE]],0)</f>
        <v>0</v>
      </c>
      <c r="X337" s="15">
        <f>IFERROR(VLOOKUP(C337,[1]!Table49[[#All],[name]:[USAGE / DAY]],19,FALSE),1)</f>
        <v>0.18000000000000002</v>
      </c>
      <c r="Y337" s="4">
        <f>IFERROR((Table50[[#This Row],[USAGE / DAY]]-Table50[[#This Row],[USAGE / DAY 2]])/Table50[[#This Row],[USAGE / DAY 2]],0)</f>
        <v>-0.77777777777777779</v>
      </c>
      <c r="Z337" s="15">
        <f t="shared" si="15"/>
        <v>14</v>
      </c>
      <c r="AA337" s="15">
        <f t="shared" si="16"/>
        <v>9.311854181734148</v>
      </c>
      <c r="AB337" s="15">
        <f>IFERROR(IF(Table50[[#This Row],[ccnt]]="BEV",$AB$2,IF(Table50[[#This Row],[ccnt]]="FOOD",$AC$2,"ENTER # FROM LAST COUNT")),"ENTER # FROM LAST COUNT")</f>
        <v>5</v>
      </c>
      <c r="AC337" s="15">
        <f>(Table50[[#This Row],[OpeningQty]]+Table50[[#This Row],[ClosingQty]])/2</f>
        <v>3.4649999999999999</v>
      </c>
      <c r="AD337" s="15">
        <f>IFERROR(Table50[[#This Row],[UsageQty]]/Table50[[#This Row],[AVE INVENTORY]],0)</f>
        <v>0.1356421356421357</v>
      </c>
      <c r="AE337" s="15">
        <f>IFERROR(Table50[[#This Row],[DATA POINT]]/Table50[[#This Row],[Inventory Turnover Rate]],0)</f>
        <v>103.21276595744676</v>
      </c>
      <c r="AF337" s="15">
        <f>Table50[[#This Row],[ClosingQty]]/Table50[[#This Row],[USAGE / DAY]]</f>
        <v>80.75</v>
      </c>
      <c r="AG337" s="15">
        <f>Table50[[#This Row],[USAGE / DAY]]*7</f>
        <v>0.28000000000000003</v>
      </c>
      <c r="AH337" s="15">
        <f>Table50[[#This Row],[USAGE / DAY]]*3</f>
        <v>0.12</v>
      </c>
      <c r="AI33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37" s="15">
        <f>IFERROR(Table50[[#This Row],[ORDER QTY2]]*Table50[[#This Row],[COST PRICE]],0)</f>
        <v>0</v>
      </c>
      <c r="AK337" s="15">
        <f>(Table50[[#This Row],[REORDER POINT]]*Table50[[#This Row],[COST PRICE]])+Table50[[#This Row],[ORDER COST]]</f>
        <v>128.6662333695925</v>
      </c>
      <c r="AL337" s="15">
        <f t="shared" si="17"/>
        <v>100</v>
      </c>
      <c r="AM337" s="15">
        <f>IFERROR((Table50[[#This Row],[REORDER POINT]]+Table50[[#This Row],[ORDER QTY]])/(Table50[[#This Row],[USAGE / DAY]]*Table50[[#This Row],[DEMAND %]]),Table50[[#This Row],[REORDER POINT]]/Table50[[#This Row],[USAGE / DAY]])</f>
        <v>75.75</v>
      </c>
    </row>
    <row r="338" spans="1:39" x14ac:dyDescent="0.25">
      <c r="A338" t="s">
        <v>324</v>
      </c>
      <c r="B338" t="s">
        <v>438</v>
      </c>
      <c r="C338" t="s">
        <v>447</v>
      </c>
      <c r="D338" t="s">
        <v>62</v>
      </c>
      <c r="E338">
        <v>0.34</v>
      </c>
      <c r="F338">
        <v>9.4499999999999993</v>
      </c>
      <c r="G338">
        <v>0</v>
      </c>
      <c r="H338">
        <v>0</v>
      </c>
      <c r="I338">
        <v>0.75</v>
      </c>
      <c r="J338">
        <v>20.49</v>
      </c>
      <c r="K338">
        <f>Table50[[#This Row],[OpeningQty]]+Table50[[#This Row],[PurchasesQty]]-Table50[[#This Row],[ClosingQty]]</f>
        <v>-0.41</v>
      </c>
      <c r="L338">
        <v>-11.04</v>
      </c>
      <c r="M338" s="14">
        <f>Table50[[#This Row],[Usage]]/$L$1</f>
        <v>-1.6767545322492749E-5</v>
      </c>
      <c r="N338" s="15">
        <f>IFERROR(Table50[[#This Row],[Opening]]/Table50[[#This Row],[OpeningQty]],0)</f>
        <v>27.794117647058819</v>
      </c>
      <c r="O338" s="15">
        <f>IFERROR(Table50[[#This Row],[Purchases]]/Table50[[#This Row],[PurchasesQty]],0)</f>
        <v>0</v>
      </c>
      <c r="P338" s="15">
        <f>IFERROR(Table50[[#This Row],[Closing]]/Table50[[#This Row],[ClosingQty]],0)</f>
        <v>27.319999999999997</v>
      </c>
      <c r="Q338" s="15">
        <f>IFERROR(AVERAGEIF(Table50[[#This Row],[OPENING COST PRICE]:[CLOSING COST PRICE]],"&gt;0"),0)</f>
        <v>27.55705882352941</v>
      </c>
      <c r="R338" s="15">
        <f>IFERROR(Table50[[#This Row],[COST PRICE]]-IFERROR(Table50[[#This Row],[Usage]]/Table50[[#This Row],[UsageQty]],Table50[[#This Row],[COST PRICE]]),0)</f>
        <v>0.63022955523672763</v>
      </c>
      <c r="S338" s="16">
        <f>IFERROR(Table50[[#This Row],[COST PRICE CHANGE]]/Table50[[#This Row],[OPENING COST PRICE]],0)</f>
        <v>2.2674925796876976E-2</v>
      </c>
      <c r="T338" s="15">
        <f>Table50[[#This Row],[ClosingQty]]-(Table50[[#This Row],[USAGE / DAY]]*(IF(Table50[[#This Row],[ccnt]]="BEV",Table50[[#This Row],[DELIVERY DAY]],Table50[[#This Row],[DELIVERY DAY]])))</f>
        <v>0.9</v>
      </c>
      <c r="U338" s="15">
        <f>ROUNDUP(Table50[[#This Row],[UsageQty]]/Table50[[#This Row],[DATA POINT]],2)</f>
        <v>-0.03</v>
      </c>
      <c r="V33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38" s="15">
        <f>IFERROR(Table50[[#This Row],[ORDER QTY]]*Table50[[#This Row],[COST PRICE]],0)</f>
        <v>0</v>
      </c>
      <c r="X338" s="15">
        <f>IFERROR(VLOOKUP(C338,[1]!Table49[[#All],[name]:[USAGE / DAY]],19,FALSE),1)</f>
        <v>0.16</v>
      </c>
      <c r="Y338" s="4">
        <f>IFERROR((Table50[[#This Row],[USAGE / DAY]]-Table50[[#This Row],[USAGE / DAY 2]])/Table50[[#This Row],[USAGE / DAY 2]],0)</f>
        <v>-1.1875</v>
      </c>
      <c r="Z338" s="15">
        <f t="shared" si="15"/>
        <v>14</v>
      </c>
      <c r="AA338" s="15">
        <f t="shared" si="16"/>
        <v>9.311854181734148</v>
      </c>
      <c r="AB338" s="15">
        <f>IFERROR(IF(Table50[[#This Row],[ccnt]]="BEV",$AB$2,IF(Table50[[#This Row],[ccnt]]="FOOD",$AC$2,"ENTER # FROM LAST COUNT")),"ENTER # FROM LAST COUNT")</f>
        <v>5</v>
      </c>
      <c r="AC338" s="15">
        <f>(Table50[[#This Row],[OpeningQty]]+Table50[[#This Row],[ClosingQty]])/2</f>
        <v>0.54500000000000004</v>
      </c>
      <c r="AD338" s="15">
        <f>IFERROR(Table50[[#This Row],[UsageQty]]/Table50[[#This Row],[AVE INVENTORY]],0)</f>
        <v>-0.75229357798165131</v>
      </c>
      <c r="AE338" s="15">
        <f>IFERROR(Table50[[#This Row],[DATA POINT]]/Table50[[#This Row],[Inventory Turnover Rate]],0)</f>
        <v>-18.609756097560979</v>
      </c>
      <c r="AF338" s="15">
        <f>Table50[[#This Row],[ClosingQty]]/Table50[[#This Row],[USAGE / DAY]]</f>
        <v>-25</v>
      </c>
      <c r="AG338" s="15">
        <f>Table50[[#This Row],[USAGE / DAY]]*7</f>
        <v>-0.21</v>
      </c>
      <c r="AH338" s="15">
        <f>Table50[[#This Row],[USAGE / DAY]]*3</f>
        <v>-0.09</v>
      </c>
      <c r="AI33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38" s="15">
        <f>IFERROR(Table50[[#This Row],[ORDER QTY2]]*Table50[[#This Row],[COST PRICE]],0)</f>
        <v>0</v>
      </c>
      <c r="AK338" s="15">
        <f>(Table50[[#This Row],[REORDER POINT]]*Table50[[#This Row],[COST PRICE]])+Table50[[#This Row],[ORDER COST]]</f>
        <v>24.801352941176468</v>
      </c>
      <c r="AL338" s="15">
        <f t="shared" si="17"/>
        <v>100</v>
      </c>
      <c r="AM338" s="15">
        <f>IFERROR((Table50[[#This Row],[REORDER POINT]]+Table50[[#This Row],[ORDER QTY]])/(Table50[[#This Row],[USAGE / DAY]]*Table50[[#This Row],[DEMAND %]]),Table50[[#This Row],[REORDER POINT]]/Table50[[#This Row],[USAGE / DAY]])</f>
        <v>-30.000000000000004</v>
      </c>
    </row>
    <row r="339" spans="1:39" x14ac:dyDescent="0.25">
      <c r="A339" t="s">
        <v>324</v>
      </c>
      <c r="B339" t="s">
        <v>438</v>
      </c>
      <c r="C339" t="s">
        <v>448</v>
      </c>
      <c r="D339" t="s">
        <v>76</v>
      </c>
      <c r="E339">
        <v>1.24</v>
      </c>
      <c r="F339">
        <v>33.369999999999997</v>
      </c>
      <c r="G339">
        <v>0</v>
      </c>
      <c r="H339">
        <v>0</v>
      </c>
      <c r="I339">
        <v>0.55000000000000004</v>
      </c>
      <c r="J339">
        <v>15.65</v>
      </c>
      <c r="K339">
        <f>Table50[[#This Row],[OpeningQty]]+Table50[[#This Row],[PurchasesQty]]-Table50[[#This Row],[ClosingQty]]</f>
        <v>0.69</v>
      </c>
      <c r="L339">
        <v>17.72</v>
      </c>
      <c r="M339" s="14">
        <f>Table50[[#This Row],[Usage]]/$L$1</f>
        <v>2.6913125282116984E-5</v>
      </c>
      <c r="N339" s="15">
        <f>IFERROR(Table50[[#This Row],[Opening]]/Table50[[#This Row],[OpeningQty]],0)</f>
        <v>26.911290322580644</v>
      </c>
      <c r="O339" s="15">
        <f>IFERROR(Table50[[#This Row],[Purchases]]/Table50[[#This Row],[PurchasesQty]],0)</f>
        <v>0</v>
      </c>
      <c r="P339" s="15">
        <f>IFERROR(Table50[[#This Row],[Closing]]/Table50[[#This Row],[ClosingQty]],0)</f>
        <v>28.454545454545453</v>
      </c>
      <c r="Q339" s="15">
        <f>IFERROR(AVERAGEIF(Table50[[#This Row],[OPENING COST PRICE]:[CLOSING COST PRICE]],"&gt;0"),0)</f>
        <v>27.682917888563047</v>
      </c>
      <c r="R339" s="15">
        <f>IFERROR(Table50[[#This Row],[COST PRICE]]-IFERROR(Table50[[#This Row],[Usage]]/Table50[[#This Row],[UsageQty]],Table50[[#This Row],[COST PRICE]]),0)</f>
        <v>2.0017584682731915</v>
      </c>
      <c r="S339" s="16">
        <f>IFERROR(Table50[[#This Row],[COST PRICE CHANGE]]/Table50[[#This Row],[OPENING COST PRICE]],0)</f>
        <v>7.4383593067388593E-2</v>
      </c>
      <c r="T339" s="15">
        <f>Table50[[#This Row],[ClosingQty]]-(Table50[[#This Row],[USAGE / DAY]]*(IF(Table50[[#This Row],[ccnt]]="BEV",Table50[[#This Row],[DELIVERY DAY]],Table50[[#This Row],[DELIVERY DAY]])))</f>
        <v>0.30000000000000004</v>
      </c>
      <c r="U339" s="15">
        <f>ROUNDUP(Table50[[#This Row],[UsageQty]]/Table50[[#This Row],[DATA POINT]],2)</f>
        <v>0.05</v>
      </c>
      <c r="V33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339" s="15">
        <f>IFERROR(Table50[[#This Row],[ORDER QTY]]*Table50[[#This Row],[COST PRICE]],0)</f>
        <v>27.682917888563047</v>
      </c>
      <c r="X339" s="15">
        <f>IFERROR(VLOOKUP(C339,[1]!Table49[[#All],[name]:[USAGE / DAY]],19,FALSE),1)</f>
        <v>0.01</v>
      </c>
      <c r="Y339" s="4">
        <f>IFERROR((Table50[[#This Row],[USAGE / DAY]]-Table50[[#This Row],[USAGE / DAY 2]])/Table50[[#This Row],[USAGE / DAY 2]],0)</f>
        <v>4</v>
      </c>
      <c r="Z339" s="15">
        <f t="shared" si="15"/>
        <v>14</v>
      </c>
      <c r="AA339" s="15">
        <f t="shared" si="16"/>
        <v>9.311854181734148</v>
      </c>
      <c r="AB339" s="15">
        <f>IFERROR(IF(Table50[[#This Row],[ccnt]]="BEV",$AB$2,IF(Table50[[#This Row],[ccnt]]="FOOD",$AC$2,"ENTER # FROM LAST COUNT")),"ENTER # FROM LAST COUNT")</f>
        <v>5</v>
      </c>
      <c r="AC339" s="15">
        <f>(Table50[[#This Row],[OpeningQty]]+Table50[[#This Row],[ClosingQty]])/2</f>
        <v>0.89500000000000002</v>
      </c>
      <c r="AD339" s="15">
        <f>IFERROR(Table50[[#This Row],[UsageQty]]/Table50[[#This Row],[AVE INVENTORY]],0)</f>
        <v>0.77094972067039103</v>
      </c>
      <c r="AE339" s="15">
        <f>IFERROR(Table50[[#This Row],[DATA POINT]]/Table50[[#This Row],[Inventory Turnover Rate]],0)</f>
        <v>18.159420289855074</v>
      </c>
      <c r="AF339" s="15">
        <f>Table50[[#This Row],[ClosingQty]]/Table50[[#This Row],[USAGE / DAY]]</f>
        <v>11</v>
      </c>
      <c r="AG339" s="15">
        <f>Table50[[#This Row],[USAGE / DAY]]*7</f>
        <v>0.35000000000000003</v>
      </c>
      <c r="AH339" s="15">
        <f>Table50[[#This Row],[USAGE / DAY]]*3</f>
        <v>0.15000000000000002</v>
      </c>
      <c r="AI33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39" s="15">
        <f>IFERROR(Table50[[#This Row],[ORDER QTY2]]*Table50[[#This Row],[COST PRICE]],0)</f>
        <v>0</v>
      </c>
      <c r="AK339" s="15">
        <f>(Table50[[#This Row],[REORDER POINT]]*Table50[[#This Row],[COST PRICE]])+Table50[[#This Row],[ORDER COST]]</f>
        <v>35.987793255131962</v>
      </c>
      <c r="AL339" s="15">
        <f t="shared" si="17"/>
        <v>100</v>
      </c>
      <c r="AM339" s="15">
        <f>IFERROR((Table50[[#This Row],[REORDER POINT]]+Table50[[#This Row],[ORDER QTY]])/(Table50[[#This Row],[USAGE / DAY]]*Table50[[#This Row],[DEMAND %]]),Table50[[#This Row],[REORDER POINT]]/Table50[[#This Row],[USAGE / DAY]])</f>
        <v>0.26</v>
      </c>
    </row>
    <row r="340" spans="1:39" x14ac:dyDescent="0.25">
      <c r="A340" t="s">
        <v>324</v>
      </c>
      <c r="B340" t="s">
        <v>438</v>
      </c>
      <c r="C340" t="s">
        <v>449</v>
      </c>
      <c r="D340" t="s">
        <v>126</v>
      </c>
      <c r="E340">
        <v>1.9</v>
      </c>
      <c r="F340">
        <v>122.15</v>
      </c>
      <c r="G340">
        <v>0.5</v>
      </c>
      <c r="H340">
        <v>264.75</v>
      </c>
      <c r="I340">
        <v>2.0699999999999998</v>
      </c>
      <c r="J340">
        <v>126.46</v>
      </c>
      <c r="K340">
        <f>Table50[[#This Row],[OpeningQty]]+Table50[[#This Row],[PurchasesQty]]-Table50[[#This Row],[ClosingQty]]</f>
        <v>0.33000000000000007</v>
      </c>
      <c r="L340">
        <v>260.44</v>
      </c>
      <c r="M340" s="14">
        <f>Table50[[#This Row],[Usage]]/$L$1</f>
        <v>3.9555611447373293E-4</v>
      </c>
      <c r="N340" s="15">
        <f>IFERROR(Table50[[#This Row],[Opening]]/Table50[[#This Row],[OpeningQty]],0)</f>
        <v>64.289473684210535</v>
      </c>
      <c r="O340" s="15">
        <f>IFERROR(Table50[[#This Row],[Purchases]]/Table50[[#This Row],[PurchasesQty]],0)</f>
        <v>529.5</v>
      </c>
      <c r="P340" s="15">
        <f>IFERROR(Table50[[#This Row],[Closing]]/Table50[[#This Row],[ClosingQty]],0)</f>
        <v>61.091787439613526</v>
      </c>
      <c r="Q340" s="15">
        <f>IFERROR(AVERAGEIF(Table50[[#This Row],[OPENING COST PRICE]:[CLOSING COST PRICE]],"&gt;0"),0)</f>
        <v>218.29375370794136</v>
      </c>
      <c r="R340" s="15">
        <f>IFERROR(Table50[[#This Row],[COST PRICE]]-IFERROR(Table50[[#This Row],[Usage]]/Table50[[#This Row],[UsageQty]],Table50[[#This Row],[COST PRICE]]),0)</f>
        <v>-570.91836750417963</v>
      </c>
      <c r="S340" s="16">
        <f>IFERROR(Table50[[#This Row],[COST PRICE CHANGE]]/Table50[[#This Row],[OPENING COST PRICE]],0)</f>
        <v>-8.8804330598275989</v>
      </c>
      <c r="T340" s="15">
        <f>Table50[[#This Row],[ClosingQty]]-(Table50[[#This Row],[USAGE / DAY]]*(IF(Table50[[#This Row],[ccnt]]="BEV",Table50[[#This Row],[DELIVERY DAY]],Table50[[#This Row],[DELIVERY DAY]])))</f>
        <v>1.92</v>
      </c>
      <c r="U340" s="15">
        <f>ROUNDUP(Table50[[#This Row],[UsageQty]]/Table50[[#This Row],[DATA POINT]],2)</f>
        <v>0.03</v>
      </c>
      <c r="V34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40" s="15">
        <f>IFERROR(Table50[[#This Row],[ORDER QTY]]*Table50[[#This Row],[COST PRICE]],0)</f>
        <v>0</v>
      </c>
      <c r="X340" s="15">
        <f>IFERROR(VLOOKUP(C340,[1]!Table49[[#All],[name]:[USAGE / DAY]],19,FALSE),1)</f>
        <v>0.04</v>
      </c>
      <c r="Y340" s="4">
        <f>IFERROR((Table50[[#This Row],[USAGE / DAY]]-Table50[[#This Row],[USAGE / DAY 2]])/Table50[[#This Row],[USAGE / DAY 2]],0)</f>
        <v>-0.25000000000000006</v>
      </c>
      <c r="Z340" s="15">
        <f t="shared" si="15"/>
        <v>14</v>
      </c>
      <c r="AA340" s="15">
        <f t="shared" si="16"/>
        <v>9.311854181734148</v>
      </c>
      <c r="AB340" s="15">
        <f>IFERROR(IF(Table50[[#This Row],[ccnt]]="BEV",$AB$2,IF(Table50[[#This Row],[ccnt]]="FOOD",$AC$2,"ENTER # FROM LAST COUNT")),"ENTER # FROM LAST COUNT")</f>
        <v>5</v>
      </c>
      <c r="AC340" s="15">
        <f>(Table50[[#This Row],[OpeningQty]]+Table50[[#This Row],[ClosingQty]])/2</f>
        <v>1.9849999999999999</v>
      </c>
      <c r="AD340" s="15">
        <f>IFERROR(Table50[[#This Row],[UsageQty]]/Table50[[#This Row],[AVE INVENTORY]],0)</f>
        <v>0.16624685138539047</v>
      </c>
      <c r="AE340" s="15">
        <f>IFERROR(Table50[[#This Row],[DATA POINT]]/Table50[[#This Row],[Inventory Turnover Rate]],0)</f>
        <v>84.21212121212119</v>
      </c>
      <c r="AF340" s="15">
        <f>Table50[[#This Row],[ClosingQty]]/Table50[[#This Row],[USAGE / DAY]]</f>
        <v>69</v>
      </c>
      <c r="AG340" s="15">
        <f>Table50[[#This Row],[USAGE / DAY]]*7</f>
        <v>0.21</v>
      </c>
      <c r="AH340" s="15">
        <f>Table50[[#This Row],[USAGE / DAY]]*3</f>
        <v>0.09</v>
      </c>
      <c r="AI34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40" s="15">
        <f>IFERROR(Table50[[#This Row],[ORDER QTY2]]*Table50[[#This Row],[COST PRICE]],0)</f>
        <v>0</v>
      </c>
      <c r="AK340" s="15">
        <f>(Table50[[#This Row],[REORDER POINT]]*Table50[[#This Row],[COST PRICE]])+Table50[[#This Row],[ORDER COST]]</f>
        <v>419.12400711924738</v>
      </c>
      <c r="AL340" s="15">
        <f t="shared" si="17"/>
        <v>100</v>
      </c>
      <c r="AM340" s="15">
        <f>IFERROR((Table50[[#This Row],[REORDER POINT]]+Table50[[#This Row],[ORDER QTY]])/(Table50[[#This Row],[USAGE / DAY]]*Table50[[#This Row],[DEMAND %]]),Table50[[#This Row],[REORDER POINT]]/Table50[[#This Row],[USAGE / DAY]])</f>
        <v>64</v>
      </c>
    </row>
    <row r="341" spans="1:39" x14ac:dyDescent="0.25">
      <c r="A341" t="s">
        <v>324</v>
      </c>
      <c r="B341" t="s">
        <v>438</v>
      </c>
      <c r="C341" t="s">
        <v>450</v>
      </c>
      <c r="D341" t="s">
        <v>126</v>
      </c>
      <c r="E341">
        <v>0</v>
      </c>
      <c r="F341">
        <v>0</v>
      </c>
      <c r="G341">
        <v>0</v>
      </c>
      <c r="H341">
        <v>0</v>
      </c>
      <c r="I341">
        <v>6</v>
      </c>
      <c r="J341">
        <v>145.80000000000001</v>
      </c>
      <c r="K341">
        <f>Table50[[#This Row],[OpeningQty]]+Table50[[#This Row],[PurchasesQty]]-Table50[[#This Row],[ClosingQty]]</f>
        <v>-6</v>
      </c>
      <c r="L341">
        <v>-145.80000000000001</v>
      </c>
      <c r="M341" s="14">
        <f>Table50[[#This Row],[Usage]]/$L$1</f>
        <v>-2.2144095181335534E-4</v>
      </c>
      <c r="N341" s="15">
        <f>IFERROR(Table50[[#This Row],[Opening]]/Table50[[#This Row],[OpeningQty]],0)</f>
        <v>0</v>
      </c>
      <c r="O341" s="15">
        <f>IFERROR(Table50[[#This Row],[Purchases]]/Table50[[#This Row],[PurchasesQty]],0)</f>
        <v>0</v>
      </c>
      <c r="P341" s="15">
        <f>IFERROR(Table50[[#This Row],[Closing]]/Table50[[#This Row],[ClosingQty]],0)</f>
        <v>24.3</v>
      </c>
      <c r="Q341" s="15">
        <f>IFERROR(AVERAGEIF(Table50[[#This Row],[OPENING COST PRICE]:[CLOSING COST PRICE]],"&gt;0"),0)</f>
        <v>24.3</v>
      </c>
      <c r="R341" s="15">
        <f>IFERROR(Table50[[#This Row],[COST PRICE]]-IFERROR(Table50[[#This Row],[Usage]]/Table50[[#This Row],[UsageQty]],Table50[[#This Row],[COST PRICE]]),0)</f>
        <v>0</v>
      </c>
      <c r="S341" s="16">
        <f>IFERROR(Table50[[#This Row],[COST PRICE CHANGE]]/Table50[[#This Row],[OPENING COST PRICE]],0)</f>
        <v>0</v>
      </c>
      <c r="T341" s="15">
        <f>Table50[[#This Row],[ClosingQty]]-(Table50[[#This Row],[USAGE / DAY]]*(IF(Table50[[#This Row],[ccnt]]="BEV",Table50[[#This Row],[DELIVERY DAY]],Table50[[#This Row],[DELIVERY DAY]])))</f>
        <v>8.15</v>
      </c>
      <c r="U341" s="15">
        <f>ROUNDUP(Table50[[#This Row],[UsageQty]]/Table50[[#This Row],[DATA POINT]],2)</f>
        <v>-0.43</v>
      </c>
      <c r="V34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41" s="15">
        <f>IFERROR(Table50[[#This Row],[ORDER QTY]]*Table50[[#This Row],[COST PRICE]],0)</f>
        <v>0</v>
      </c>
      <c r="X341" s="15">
        <f>IFERROR(VLOOKUP(C341,[1]!Table49[[#All],[name]:[USAGE / DAY]],19,FALSE),1)</f>
        <v>0.27</v>
      </c>
      <c r="Y341" s="4">
        <f>IFERROR((Table50[[#This Row],[USAGE / DAY]]-Table50[[#This Row],[USAGE / DAY 2]])/Table50[[#This Row],[USAGE / DAY 2]],0)</f>
        <v>-2.5925925925925921</v>
      </c>
      <c r="Z341" s="15">
        <f t="shared" si="15"/>
        <v>14</v>
      </c>
      <c r="AA341" s="15">
        <f t="shared" si="16"/>
        <v>9.311854181734148</v>
      </c>
      <c r="AB341" s="15">
        <f>IFERROR(IF(Table50[[#This Row],[ccnt]]="BEV",$AB$2,IF(Table50[[#This Row],[ccnt]]="FOOD",$AC$2,"ENTER # FROM LAST COUNT")),"ENTER # FROM LAST COUNT")</f>
        <v>5</v>
      </c>
      <c r="AC341" s="15">
        <f>(Table50[[#This Row],[OpeningQty]]+Table50[[#This Row],[ClosingQty]])/2</f>
        <v>3</v>
      </c>
      <c r="AD341" s="15">
        <f>IFERROR(Table50[[#This Row],[UsageQty]]/Table50[[#This Row],[AVE INVENTORY]],0)</f>
        <v>-2</v>
      </c>
      <c r="AE341" s="15">
        <f>IFERROR(Table50[[#This Row],[DATA POINT]]/Table50[[#This Row],[Inventory Turnover Rate]],0)</f>
        <v>-7</v>
      </c>
      <c r="AF341" s="15">
        <f>Table50[[#This Row],[ClosingQty]]/Table50[[#This Row],[USAGE / DAY]]</f>
        <v>-13.953488372093023</v>
      </c>
      <c r="AG341" s="15">
        <f>Table50[[#This Row],[USAGE / DAY]]*7</f>
        <v>-3.01</v>
      </c>
      <c r="AH341" s="15">
        <f>Table50[[#This Row],[USAGE / DAY]]*3</f>
        <v>-1.29</v>
      </c>
      <c r="AI34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41" s="15">
        <f>IFERROR(Table50[[#This Row],[ORDER QTY2]]*Table50[[#This Row],[COST PRICE]],0)</f>
        <v>0</v>
      </c>
      <c r="AK341" s="15">
        <f>(Table50[[#This Row],[REORDER POINT]]*Table50[[#This Row],[COST PRICE]])+Table50[[#This Row],[ORDER COST]]</f>
        <v>198.04500000000002</v>
      </c>
      <c r="AL341" s="15">
        <f t="shared" si="17"/>
        <v>100</v>
      </c>
      <c r="AM341" s="15">
        <f>IFERROR((Table50[[#This Row],[REORDER POINT]]+Table50[[#This Row],[ORDER QTY]])/(Table50[[#This Row],[USAGE / DAY]]*Table50[[#This Row],[DEMAND %]]),Table50[[#This Row],[REORDER POINT]]/Table50[[#This Row],[USAGE / DAY]])</f>
        <v>-18.953488372093023</v>
      </c>
    </row>
    <row r="342" spans="1:39" x14ac:dyDescent="0.25">
      <c r="A342" t="s">
        <v>324</v>
      </c>
      <c r="B342" t="s">
        <v>438</v>
      </c>
      <c r="C342" t="s">
        <v>451</v>
      </c>
      <c r="D342" t="s">
        <v>76</v>
      </c>
      <c r="E342">
        <v>14.9</v>
      </c>
      <c r="F342">
        <v>413.03</v>
      </c>
      <c r="G342">
        <v>0</v>
      </c>
      <c r="H342">
        <v>0</v>
      </c>
      <c r="I342">
        <v>3.4</v>
      </c>
      <c r="J342">
        <v>94.25</v>
      </c>
      <c r="K342">
        <f>Table50[[#This Row],[OpeningQty]]+Table50[[#This Row],[PurchasesQty]]-Table50[[#This Row],[ClosingQty]]</f>
        <v>11.5</v>
      </c>
      <c r="L342">
        <v>318.77999999999997</v>
      </c>
      <c r="M342" s="14">
        <f>Table50[[#This Row],[Usage]]/$L$1</f>
        <v>4.8416287118697808E-4</v>
      </c>
      <c r="N342" s="15">
        <f>IFERROR(Table50[[#This Row],[Opening]]/Table50[[#This Row],[OpeningQty]],0)</f>
        <v>27.720134228187916</v>
      </c>
      <c r="O342" s="15">
        <f>IFERROR(Table50[[#This Row],[Purchases]]/Table50[[#This Row],[PurchasesQty]],0)</f>
        <v>0</v>
      </c>
      <c r="P342" s="15">
        <f>IFERROR(Table50[[#This Row],[Closing]]/Table50[[#This Row],[ClosingQty]],0)</f>
        <v>27.72058823529412</v>
      </c>
      <c r="Q342" s="15">
        <f>IFERROR(AVERAGEIF(Table50[[#This Row],[OPENING COST PRICE]:[CLOSING COST PRICE]],"&gt;0"),0)</f>
        <v>27.720361231741016</v>
      </c>
      <c r="R342" s="15">
        <f>IFERROR(Table50[[#This Row],[COST PRICE]]-IFERROR(Table50[[#This Row],[Usage]]/Table50[[#This Row],[UsageQty]],Table50[[#This Row],[COST PRICE]]),0)</f>
        <v>3.6123174101732047E-4</v>
      </c>
      <c r="S342" s="16">
        <f>IFERROR(Table50[[#This Row],[COST PRICE CHANGE]]/Table50[[#This Row],[OPENING COST PRICE]],0)</f>
        <v>1.3031384986945441E-5</v>
      </c>
      <c r="T342" s="15">
        <f>Table50[[#This Row],[ClosingQty]]-(Table50[[#This Row],[USAGE / DAY]]*(IF(Table50[[#This Row],[ccnt]]="BEV",Table50[[#This Row],[DELIVERY DAY]],Table50[[#This Row],[DELIVERY DAY]])))</f>
        <v>-0.74999999999999956</v>
      </c>
      <c r="U342" s="15">
        <f>ROUNDUP(Table50[[#This Row],[UsageQty]]/Table50[[#This Row],[DATA POINT]],2)</f>
        <v>0.83</v>
      </c>
      <c r="V34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9</v>
      </c>
      <c r="W342" s="15">
        <f>IFERROR(Table50[[#This Row],[ORDER QTY]]*Table50[[#This Row],[COST PRICE]],0)</f>
        <v>249.48325108566914</v>
      </c>
      <c r="X342" s="15">
        <f>IFERROR(VLOOKUP(C342,[1]!Table49[[#All],[name]:[USAGE / DAY]],19,FALSE),1)</f>
        <v>6.0000000000000005E-2</v>
      </c>
      <c r="Y342" s="4">
        <f>IFERROR((Table50[[#This Row],[USAGE / DAY]]-Table50[[#This Row],[USAGE / DAY 2]])/Table50[[#This Row],[USAGE / DAY 2]],0)</f>
        <v>12.83333333333333</v>
      </c>
      <c r="Z342" s="15">
        <f t="shared" si="15"/>
        <v>14</v>
      </c>
      <c r="AA342" s="15">
        <f t="shared" si="16"/>
        <v>9.311854181734148</v>
      </c>
      <c r="AB342" s="15">
        <f>IFERROR(IF(Table50[[#This Row],[ccnt]]="BEV",$AB$2,IF(Table50[[#This Row],[ccnt]]="FOOD",$AC$2,"ENTER # FROM LAST COUNT")),"ENTER # FROM LAST COUNT")</f>
        <v>5</v>
      </c>
      <c r="AC342" s="15">
        <f>(Table50[[#This Row],[OpeningQty]]+Table50[[#This Row],[ClosingQty]])/2</f>
        <v>9.15</v>
      </c>
      <c r="AD342" s="15">
        <f>IFERROR(Table50[[#This Row],[UsageQty]]/Table50[[#This Row],[AVE INVENTORY]],0)</f>
        <v>1.256830601092896</v>
      </c>
      <c r="AE342" s="15">
        <f>IFERROR(Table50[[#This Row],[DATA POINT]]/Table50[[#This Row],[Inventory Turnover Rate]],0)</f>
        <v>11.13913043478261</v>
      </c>
      <c r="AF342" s="15">
        <f>Table50[[#This Row],[ClosingQty]]/Table50[[#This Row],[USAGE / DAY]]</f>
        <v>4.096385542168675</v>
      </c>
      <c r="AG342" s="15">
        <f>Table50[[#This Row],[USAGE / DAY]]*7</f>
        <v>5.81</v>
      </c>
      <c r="AH342" s="15">
        <f>Table50[[#This Row],[USAGE / DAY]]*3</f>
        <v>2.4899999999999998</v>
      </c>
      <c r="AI342" s="15">
        <f>IF(Table50[[#This Row],[FORECASTED DEMAND]]+Table50[[#This Row],[SAFETY STOCK]]-Table50[[#This Row],[ClosingQty]]&gt;0,Table50[[#This Row],[FORECASTED DEMAND]]+Table50[[#This Row],[SAFETY STOCK]]-Table50[[#This Row],[ClosingQty]],"NO ORDER")</f>
        <v>4.8999999999999986</v>
      </c>
      <c r="AJ342" s="15">
        <f>IFERROR(Table50[[#This Row],[ORDER QTY2]]*Table50[[#This Row],[COST PRICE]],0)</f>
        <v>135.82977003553094</v>
      </c>
      <c r="AK342" s="15">
        <f>(Table50[[#This Row],[REORDER POINT]]*Table50[[#This Row],[COST PRICE]])+Table50[[#This Row],[ORDER COST]]</f>
        <v>228.69298016186337</v>
      </c>
      <c r="AL342" s="15">
        <f t="shared" si="17"/>
        <v>100</v>
      </c>
      <c r="AM342" s="15">
        <f>IFERROR((Table50[[#This Row],[REORDER POINT]]+Table50[[#This Row],[ORDER QTY]])/(Table50[[#This Row],[USAGE / DAY]]*Table50[[#This Row],[DEMAND %]]),Table50[[#This Row],[REORDER POINT]]/Table50[[#This Row],[USAGE / DAY]])</f>
        <v>9.9397590361445784E-2</v>
      </c>
    </row>
    <row r="343" spans="1:39" x14ac:dyDescent="0.25">
      <c r="A343" t="s">
        <v>324</v>
      </c>
      <c r="B343" t="s">
        <v>438</v>
      </c>
      <c r="C343" t="s">
        <v>452</v>
      </c>
      <c r="D343" t="s">
        <v>126</v>
      </c>
      <c r="E343">
        <v>1.03</v>
      </c>
      <c r="F343">
        <v>28.13</v>
      </c>
      <c r="G343">
        <v>0</v>
      </c>
      <c r="H343">
        <v>0</v>
      </c>
      <c r="I343">
        <v>1.75</v>
      </c>
      <c r="J343">
        <v>60.11</v>
      </c>
      <c r="K343">
        <f>Table50[[#This Row],[OpeningQty]]+Table50[[#This Row],[PurchasesQty]]-Table50[[#This Row],[ClosingQty]]</f>
        <v>-0.72</v>
      </c>
      <c r="L343">
        <v>-31.98</v>
      </c>
      <c r="M343" s="14">
        <f>Table50[[#This Row],[Usage]]/$L$1</f>
        <v>-4.8571204657003455E-5</v>
      </c>
      <c r="N343" s="15">
        <f>IFERROR(Table50[[#This Row],[Opening]]/Table50[[#This Row],[OpeningQty]],0)</f>
        <v>27.310679611650485</v>
      </c>
      <c r="O343" s="15">
        <f>IFERROR(Table50[[#This Row],[Purchases]]/Table50[[#This Row],[PurchasesQty]],0)</f>
        <v>0</v>
      </c>
      <c r="P343" s="15">
        <f>IFERROR(Table50[[#This Row],[Closing]]/Table50[[#This Row],[ClosingQty]],0)</f>
        <v>34.348571428571425</v>
      </c>
      <c r="Q343" s="15">
        <f>IFERROR(AVERAGEIF(Table50[[#This Row],[OPENING COST PRICE]:[CLOSING COST PRICE]],"&gt;0"),0)</f>
        <v>30.829625520110955</v>
      </c>
      <c r="R343" s="15">
        <f>IFERROR(Table50[[#This Row],[COST PRICE]]-IFERROR(Table50[[#This Row],[Usage]]/Table50[[#This Row],[UsageQty]],Table50[[#This Row],[COST PRICE]]),0)</f>
        <v>-13.587041146555716</v>
      </c>
      <c r="S343" s="16">
        <f>IFERROR(Table50[[#This Row],[COST PRICE CHANGE]]/Table50[[#This Row],[OPENING COST PRICE]],0)</f>
        <v>-0.4974991959101453</v>
      </c>
      <c r="T343" s="15">
        <f>Table50[[#This Row],[ClosingQty]]-(Table50[[#This Row],[USAGE / DAY]]*(IF(Table50[[#This Row],[ccnt]]="BEV",Table50[[#This Row],[DELIVERY DAY]],Table50[[#This Row],[DELIVERY DAY]])))</f>
        <v>2.0499999999999998</v>
      </c>
      <c r="U343" s="15">
        <f>ROUNDUP(Table50[[#This Row],[UsageQty]]/Table50[[#This Row],[DATA POINT]],2)</f>
        <v>-6.0000000000000005E-2</v>
      </c>
      <c r="V34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43" s="15">
        <f>IFERROR(Table50[[#This Row],[ORDER QTY]]*Table50[[#This Row],[COST PRICE]],0)</f>
        <v>0</v>
      </c>
      <c r="X343" s="15">
        <f>IFERROR(VLOOKUP(C343,[1]!Table49[[#All],[name]:[USAGE / DAY]],19,FALSE),1)</f>
        <v>0.35000000000000003</v>
      </c>
      <c r="Y343" s="4">
        <f>IFERROR((Table50[[#This Row],[USAGE / DAY]]-Table50[[#This Row],[USAGE / DAY 2]])/Table50[[#This Row],[USAGE / DAY 2]],0)</f>
        <v>-1.1714285714285715</v>
      </c>
      <c r="Z343" s="15">
        <f t="shared" si="15"/>
        <v>14</v>
      </c>
      <c r="AA343" s="15">
        <f t="shared" si="16"/>
        <v>9.311854181734148</v>
      </c>
      <c r="AB343" s="15">
        <f>IFERROR(IF(Table50[[#This Row],[ccnt]]="BEV",$AB$2,IF(Table50[[#This Row],[ccnt]]="FOOD",$AC$2,"ENTER # FROM LAST COUNT")),"ENTER # FROM LAST COUNT")</f>
        <v>5</v>
      </c>
      <c r="AC343" s="15">
        <f>(Table50[[#This Row],[OpeningQty]]+Table50[[#This Row],[ClosingQty]])/2</f>
        <v>1.3900000000000001</v>
      </c>
      <c r="AD343" s="15">
        <f>IFERROR(Table50[[#This Row],[UsageQty]]/Table50[[#This Row],[AVE INVENTORY]],0)</f>
        <v>-0.51798561151079126</v>
      </c>
      <c r="AE343" s="15">
        <f>IFERROR(Table50[[#This Row],[DATA POINT]]/Table50[[#This Row],[Inventory Turnover Rate]],0)</f>
        <v>-27.027777777777782</v>
      </c>
      <c r="AF343" s="15">
        <f>Table50[[#This Row],[ClosingQty]]/Table50[[#This Row],[USAGE / DAY]]</f>
        <v>-29.166666666666664</v>
      </c>
      <c r="AG343" s="15">
        <f>Table50[[#This Row],[USAGE / DAY]]*7</f>
        <v>-0.42000000000000004</v>
      </c>
      <c r="AH343" s="15">
        <f>Table50[[#This Row],[USAGE / DAY]]*3</f>
        <v>-0.18000000000000002</v>
      </c>
      <c r="AI34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43" s="15">
        <f>IFERROR(Table50[[#This Row],[ORDER QTY2]]*Table50[[#This Row],[COST PRICE]],0)</f>
        <v>0</v>
      </c>
      <c r="AK343" s="15">
        <f>(Table50[[#This Row],[REORDER POINT]]*Table50[[#This Row],[COST PRICE]])+Table50[[#This Row],[ORDER COST]]</f>
        <v>63.200732316227452</v>
      </c>
      <c r="AL343" s="15">
        <f t="shared" si="17"/>
        <v>100</v>
      </c>
      <c r="AM343" s="15">
        <f>IFERROR((Table50[[#This Row],[REORDER POINT]]+Table50[[#This Row],[ORDER QTY]])/(Table50[[#This Row],[USAGE / DAY]]*Table50[[#This Row],[DEMAND %]]),Table50[[#This Row],[REORDER POINT]]/Table50[[#This Row],[USAGE / DAY]])</f>
        <v>-34.166666666666664</v>
      </c>
    </row>
    <row r="344" spans="1:39" x14ac:dyDescent="0.25">
      <c r="A344" t="s">
        <v>324</v>
      </c>
      <c r="B344" t="s">
        <v>438</v>
      </c>
      <c r="C344" t="s">
        <v>453</v>
      </c>
      <c r="D344" t="s">
        <v>454</v>
      </c>
      <c r="E344">
        <v>0.55000000000000004</v>
      </c>
      <c r="F344">
        <v>0.55000000000000004</v>
      </c>
      <c r="G344">
        <v>0</v>
      </c>
      <c r="H344">
        <v>0</v>
      </c>
      <c r="I344">
        <v>0.44</v>
      </c>
      <c r="J344">
        <v>4.05</v>
      </c>
      <c r="K344">
        <f>Table50[[#This Row],[OpeningQty]]+Table50[[#This Row],[PurchasesQty]]-Table50[[#This Row],[ClosingQty]]</f>
        <v>0.11000000000000004</v>
      </c>
      <c r="L344">
        <v>-3.5</v>
      </c>
      <c r="M344" s="14">
        <f>Table50[[#This Row],[Usage]]/$L$1</f>
        <v>-5.3157978830366503E-6</v>
      </c>
      <c r="N344" s="15">
        <f>IFERROR(Table50[[#This Row],[Opening]]/Table50[[#This Row],[OpeningQty]],0)</f>
        <v>1</v>
      </c>
      <c r="O344" s="15">
        <f>IFERROR(Table50[[#This Row],[Purchases]]/Table50[[#This Row],[PurchasesQty]],0)</f>
        <v>0</v>
      </c>
      <c r="P344" s="15">
        <f>IFERROR(Table50[[#This Row],[Closing]]/Table50[[#This Row],[ClosingQty]],0)</f>
        <v>9.2045454545454533</v>
      </c>
      <c r="Q344" s="15">
        <f>IFERROR(AVERAGEIF(Table50[[#This Row],[OPENING COST PRICE]:[CLOSING COST PRICE]],"&gt;0"),0)</f>
        <v>5.1022727272727266</v>
      </c>
      <c r="R344" s="15">
        <f>IFERROR(Table50[[#This Row],[COST PRICE]]-IFERROR(Table50[[#This Row],[Usage]]/Table50[[#This Row],[UsageQty]],Table50[[#This Row],[COST PRICE]]),0)</f>
        <v>36.920454545454533</v>
      </c>
      <c r="S344" s="16">
        <f>IFERROR(Table50[[#This Row],[COST PRICE CHANGE]]/Table50[[#This Row],[OPENING COST PRICE]],0)</f>
        <v>36.920454545454533</v>
      </c>
      <c r="T344" s="15">
        <f>Table50[[#This Row],[ClosingQty]]-(Table50[[#This Row],[USAGE / DAY]]*(IF(Table50[[#This Row],[ccnt]]="BEV",Table50[[#This Row],[DELIVERY DAY]],Table50[[#This Row],[DELIVERY DAY]])))</f>
        <v>0.39</v>
      </c>
      <c r="U344" s="15">
        <f>ROUNDUP(Table50[[#This Row],[UsageQty]]/Table50[[#This Row],[DATA POINT]],2)</f>
        <v>0.01</v>
      </c>
      <c r="V34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44" s="15">
        <f>IFERROR(Table50[[#This Row],[ORDER QTY]]*Table50[[#This Row],[COST PRICE]],0)</f>
        <v>0</v>
      </c>
      <c r="X344" s="15">
        <f>IFERROR(VLOOKUP(C344,[1]!Table49[[#All],[name]:[USAGE / DAY]],19,FALSE),1)</f>
        <v>1</v>
      </c>
      <c r="Y344" s="4">
        <f>IFERROR((Table50[[#This Row],[USAGE / DAY]]-Table50[[#This Row],[USAGE / DAY 2]])/Table50[[#This Row],[USAGE / DAY 2]],0)</f>
        <v>-0.99</v>
      </c>
      <c r="Z344" s="15">
        <f t="shared" si="15"/>
        <v>14</v>
      </c>
      <c r="AA344" s="15">
        <f t="shared" si="16"/>
        <v>9.311854181734148</v>
      </c>
      <c r="AB344" s="15">
        <f>IFERROR(IF(Table50[[#This Row],[ccnt]]="BEV",$AB$2,IF(Table50[[#This Row],[ccnt]]="FOOD",$AC$2,"ENTER # FROM LAST COUNT")),"ENTER # FROM LAST COUNT")</f>
        <v>5</v>
      </c>
      <c r="AC344" s="15">
        <f>(Table50[[#This Row],[OpeningQty]]+Table50[[#This Row],[ClosingQty]])/2</f>
        <v>0.495</v>
      </c>
      <c r="AD344" s="15">
        <f>IFERROR(Table50[[#This Row],[UsageQty]]/Table50[[#This Row],[AVE INVENTORY]],0)</f>
        <v>0.22222222222222232</v>
      </c>
      <c r="AE344" s="15">
        <f>IFERROR(Table50[[#This Row],[DATA POINT]]/Table50[[#This Row],[Inventory Turnover Rate]],0)</f>
        <v>62.999999999999972</v>
      </c>
      <c r="AF344" s="15">
        <f>Table50[[#This Row],[ClosingQty]]/Table50[[#This Row],[USAGE / DAY]]</f>
        <v>44</v>
      </c>
      <c r="AG344" s="15">
        <f>Table50[[#This Row],[USAGE / DAY]]*7</f>
        <v>7.0000000000000007E-2</v>
      </c>
      <c r="AH344" s="15">
        <f>Table50[[#This Row],[USAGE / DAY]]*3</f>
        <v>0.03</v>
      </c>
      <c r="AI34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44" s="15">
        <f>IFERROR(Table50[[#This Row],[ORDER QTY2]]*Table50[[#This Row],[COST PRICE]],0)</f>
        <v>0</v>
      </c>
      <c r="AK344" s="15">
        <f>(Table50[[#This Row],[REORDER POINT]]*Table50[[#This Row],[COST PRICE]])+Table50[[#This Row],[ORDER COST]]</f>
        <v>1.9898863636363635</v>
      </c>
      <c r="AL344" s="15">
        <f t="shared" si="17"/>
        <v>100</v>
      </c>
      <c r="AM344" s="15">
        <f>IFERROR((Table50[[#This Row],[REORDER POINT]]+Table50[[#This Row],[ORDER QTY]])/(Table50[[#This Row],[USAGE / DAY]]*Table50[[#This Row],[DEMAND %]]),Table50[[#This Row],[REORDER POINT]]/Table50[[#This Row],[USAGE / DAY]])</f>
        <v>39</v>
      </c>
    </row>
    <row r="345" spans="1:39" x14ac:dyDescent="0.25">
      <c r="A345" t="s">
        <v>324</v>
      </c>
      <c r="B345" t="s">
        <v>438</v>
      </c>
      <c r="C345" t="s">
        <v>455</v>
      </c>
      <c r="D345" t="s">
        <v>62</v>
      </c>
      <c r="E345">
        <v>0</v>
      </c>
      <c r="F345">
        <v>0</v>
      </c>
      <c r="G345">
        <v>0</v>
      </c>
      <c r="H345">
        <v>0</v>
      </c>
      <c r="I345">
        <v>3</v>
      </c>
      <c r="J345">
        <v>91.8</v>
      </c>
      <c r="K345">
        <f>Table50[[#This Row],[OpeningQty]]+Table50[[#This Row],[PurchasesQty]]-Table50[[#This Row],[ClosingQty]]</f>
        <v>-3</v>
      </c>
      <c r="L345">
        <v>-91.8</v>
      </c>
      <c r="M345" s="14">
        <f>Table50[[#This Row],[Usage]]/$L$1</f>
        <v>-1.3942578447507557E-4</v>
      </c>
      <c r="N345" s="15">
        <f>IFERROR(Table50[[#This Row],[Opening]]/Table50[[#This Row],[OpeningQty]],0)</f>
        <v>0</v>
      </c>
      <c r="O345" s="15">
        <f>IFERROR(Table50[[#This Row],[Purchases]]/Table50[[#This Row],[PurchasesQty]],0)</f>
        <v>0</v>
      </c>
      <c r="P345" s="15">
        <f>IFERROR(Table50[[#This Row],[Closing]]/Table50[[#This Row],[ClosingQty]],0)</f>
        <v>30.599999999999998</v>
      </c>
      <c r="Q345" s="15">
        <f>IFERROR(AVERAGEIF(Table50[[#This Row],[OPENING COST PRICE]:[CLOSING COST PRICE]],"&gt;0"),0)</f>
        <v>30.599999999999998</v>
      </c>
      <c r="R345" s="15">
        <f>IFERROR(Table50[[#This Row],[COST PRICE]]-IFERROR(Table50[[#This Row],[Usage]]/Table50[[#This Row],[UsageQty]],Table50[[#This Row],[COST PRICE]]),0)</f>
        <v>0</v>
      </c>
      <c r="S345" s="16">
        <f>IFERROR(Table50[[#This Row],[COST PRICE CHANGE]]/Table50[[#This Row],[OPENING COST PRICE]],0)</f>
        <v>0</v>
      </c>
      <c r="T345" s="15">
        <f>Table50[[#This Row],[ClosingQty]]-(Table50[[#This Row],[USAGE / DAY]]*(IF(Table50[[#This Row],[ccnt]]="BEV",Table50[[#This Row],[DELIVERY DAY]],Table50[[#This Row],[DELIVERY DAY]])))</f>
        <v>4.0999999999999996</v>
      </c>
      <c r="U345" s="15">
        <f>ROUNDUP(Table50[[#This Row],[UsageQty]]/Table50[[#This Row],[DATA POINT]],2)</f>
        <v>-0.22</v>
      </c>
      <c r="V34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45" s="15">
        <f>IFERROR(Table50[[#This Row],[ORDER QTY]]*Table50[[#This Row],[COST PRICE]],0)</f>
        <v>0</v>
      </c>
      <c r="X345" s="15">
        <f>IFERROR(VLOOKUP(C345,[1]!Table49[[#All],[name]:[USAGE / DAY]],19,FALSE),1)</f>
        <v>0.34</v>
      </c>
      <c r="Y345" s="4">
        <f>IFERROR((Table50[[#This Row],[USAGE / DAY]]-Table50[[#This Row],[USAGE / DAY 2]])/Table50[[#This Row],[USAGE / DAY 2]],0)</f>
        <v>-1.6470588235294119</v>
      </c>
      <c r="Z345" s="15">
        <f t="shared" si="15"/>
        <v>14</v>
      </c>
      <c r="AA345" s="15">
        <f t="shared" si="16"/>
        <v>9.311854181734148</v>
      </c>
      <c r="AB345" s="15">
        <f>IFERROR(IF(Table50[[#This Row],[ccnt]]="BEV",$AB$2,IF(Table50[[#This Row],[ccnt]]="FOOD",$AC$2,"ENTER # FROM LAST COUNT")),"ENTER # FROM LAST COUNT")</f>
        <v>5</v>
      </c>
      <c r="AC345" s="15">
        <f>(Table50[[#This Row],[OpeningQty]]+Table50[[#This Row],[ClosingQty]])/2</f>
        <v>1.5</v>
      </c>
      <c r="AD345" s="15">
        <f>IFERROR(Table50[[#This Row],[UsageQty]]/Table50[[#This Row],[AVE INVENTORY]],0)</f>
        <v>-2</v>
      </c>
      <c r="AE345" s="15">
        <f>IFERROR(Table50[[#This Row],[DATA POINT]]/Table50[[#This Row],[Inventory Turnover Rate]],0)</f>
        <v>-7</v>
      </c>
      <c r="AF345" s="15">
        <f>Table50[[#This Row],[ClosingQty]]/Table50[[#This Row],[USAGE / DAY]]</f>
        <v>-13.636363636363637</v>
      </c>
      <c r="AG345" s="15">
        <f>Table50[[#This Row],[USAGE / DAY]]*7</f>
        <v>-1.54</v>
      </c>
      <c r="AH345" s="15">
        <f>Table50[[#This Row],[USAGE / DAY]]*3</f>
        <v>-0.66</v>
      </c>
      <c r="AI34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45" s="15">
        <f>IFERROR(Table50[[#This Row],[ORDER QTY2]]*Table50[[#This Row],[COST PRICE]],0)</f>
        <v>0</v>
      </c>
      <c r="AK345" s="15">
        <f>(Table50[[#This Row],[REORDER POINT]]*Table50[[#This Row],[COST PRICE]])+Table50[[#This Row],[ORDER COST]]</f>
        <v>125.45999999999998</v>
      </c>
      <c r="AL345" s="15">
        <f t="shared" si="17"/>
        <v>100</v>
      </c>
      <c r="AM345" s="15">
        <f>IFERROR((Table50[[#This Row],[REORDER POINT]]+Table50[[#This Row],[ORDER QTY]])/(Table50[[#This Row],[USAGE / DAY]]*Table50[[#This Row],[DEMAND %]]),Table50[[#This Row],[REORDER POINT]]/Table50[[#This Row],[USAGE / DAY]])</f>
        <v>-18.636363636363633</v>
      </c>
    </row>
    <row r="346" spans="1:39" x14ac:dyDescent="0.25">
      <c r="A346" t="s">
        <v>324</v>
      </c>
      <c r="B346" t="s">
        <v>438</v>
      </c>
      <c r="C346" t="s">
        <v>456</v>
      </c>
      <c r="D346" t="s">
        <v>126</v>
      </c>
      <c r="E346">
        <v>0</v>
      </c>
      <c r="F346">
        <v>0</v>
      </c>
      <c r="G346">
        <v>0</v>
      </c>
      <c r="H346">
        <v>0</v>
      </c>
      <c r="I346">
        <v>0.3</v>
      </c>
      <c r="J346">
        <v>5.92</v>
      </c>
      <c r="K346">
        <f>Table50[[#This Row],[OpeningQty]]+Table50[[#This Row],[PurchasesQty]]-Table50[[#This Row],[ClosingQty]]</f>
        <v>-0.3</v>
      </c>
      <c r="L346">
        <v>-5.92</v>
      </c>
      <c r="M346" s="14">
        <f>Table50[[#This Row],[Usage]]/$L$1</f>
        <v>-8.9912924193077054E-6</v>
      </c>
      <c r="N346" s="15">
        <f>IFERROR(Table50[[#This Row],[Opening]]/Table50[[#This Row],[OpeningQty]],0)</f>
        <v>0</v>
      </c>
      <c r="O346" s="15">
        <f>IFERROR(Table50[[#This Row],[Purchases]]/Table50[[#This Row],[PurchasesQty]],0)</f>
        <v>0</v>
      </c>
      <c r="P346" s="15">
        <f>IFERROR(Table50[[#This Row],[Closing]]/Table50[[#This Row],[ClosingQty]],0)</f>
        <v>19.733333333333334</v>
      </c>
      <c r="Q346" s="15">
        <f>IFERROR(AVERAGEIF(Table50[[#This Row],[OPENING COST PRICE]:[CLOSING COST PRICE]],"&gt;0"),0)</f>
        <v>19.733333333333334</v>
      </c>
      <c r="R346" s="15">
        <f>IFERROR(Table50[[#This Row],[COST PRICE]]-IFERROR(Table50[[#This Row],[Usage]]/Table50[[#This Row],[UsageQty]],Table50[[#This Row],[COST PRICE]]),0)</f>
        <v>0</v>
      </c>
      <c r="S346" s="16">
        <f>IFERROR(Table50[[#This Row],[COST PRICE CHANGE]]/Table50[[#This Row],[OPENING COST PRICE]],0)</f>
        <v>0</v>
      </c>
      <c r="T346" s="15">
        <f>Table50[[#This Row],[ClosingQty]]-(Table50[[#This Row],[USAGE / DAY]]*(IF(Table50[[#This Row],[ccnt]]="BEV",Table50[[#This Row],[DELIVERY DAY]],Table50[[#This Row],[DELIVERY DAY]])))</f>
        <v>0.44999999999999996</v>
      </c>
      <c r="U346" s="15">
        <f>ROUNDUP(Table50[[#This Row],[UsageQty]]/Table50[[#This Row],[DATA POINT]],2)</f>
        <v>-0.03</v>
      </c>
      <c r="V34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46" s="15">
        <f>IFERROR(Table50[[#This Row],[ORDER QTY]]*Table50[[#This Row],[COST PRICE]],0)</f>
        <v>0</v>
      </c>
      <c r="X346" s="15">
        <f>IFERROR(VLOOKUP(C346,[1]!Table49[[#All],[name]:[USAGE / DAY]],19,FALSE),1)</f>
        <v>1</v>
      </c>
      <c r="Y346" s="4">
        <f>IFERROR((Table50[[#This Row],[USAGE / DAY]]-Table50[[#This Row],[USAGE / DAY 2]])/Table50[[#This Row],[USAGE / DAY 2]],0)</f>
        <v>-1.03</v>
      </c>
      <c r="Z346" s="15">
        <f t="shared" si="15"/>
        <v>14</v>
      </c>
      <c r="AA346" s="15">
        <f t="shared" si="16"/>
        <v>9.311854181734148</v>
      </c>
      <c r="AB346" s="15">
        <f>IFERROR(IF(Table50[[#This Row],[ccnt]]="BEV",$AB$2,IF(Table50[[#This Row],[ccnt]]="FOOD",$AC$2,"ENTER # FROM LAST COUNT")),"ENTER # FROM LAST COUNT")</f>
        <v>5</v>
      </c>
      <c r="AC346" s="15">
        <f>(Table50[[#This Row],[OpeningQty]]+Table50[[#This Row],[ClosingQty]])/2</f>
        <v>0.15</v>
      </c>
      <c r="AD346" s="15">
        <f>IFERROR(Table50[[#This Row],[UsageQty]]/Table50[[#This Row],[AVE INVENTORY]],0)</f>
        <v>-2</v>
      </c>
      <c r="AE346" s="15">
        <f>IFERROR(Table50[[#This Row],[DATA POINT]]/Table50[[#This Row],[Inventory Turnover Rate]],0)</f>
        <v>-7</v>
      </c>
      <c r="AF346" s="15">
        <f>Table50[[#This Row],[ClosingQty]]/Table50[[#This Row],[USAGE / DAY]]</f>
        <v>-10</v>
      </c>
      <c r="AG346" s="15">
        <f>Table50[[#This Row],[USAGE / DAY]]*7</f>
        <v>-0.21</v>
      </c>
      <c r="AH346" s="15">
        <f>Table50[[#This Row],[USAGE / DAY]]*3</f>
        <v>-0.09</v>
      </c>
      <c r="AI34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46" s="15">
        <f>IFERROR(Table50[[#This Row],[ORDER QTY2]]*Table50[[#This Row],[COST PRICE]],0)</f>
        <v>0</v>
      </c>
      <c r="AK346" s="15">
        <f>(Table50[[#This Row],[REORDER POINT]]*Table50[[#This Row],[COST PRICE]])+Table50[[#This Row],[ORDER COST]]</f>
        <v>8.879999999999999</v>
      </c>
      <c r="AL346" s="15">
        <f t="shared" si="17"/>
        <v>100</v>
      </c>
      <c r="AM346" s="15">
        <f>IFERROR((Table50[[#This Row],[REORDER POINT]]+Table50[[#This Row],[ORDER QTY]])/(Table50[[#This Row],[USAGE / DAY]]*Table50[[#This Row],[DEMAND %]]),Table50[[#This Row],[REORDER POINT]]/Table50[[#This Row],[USAGE / DAY]])</f>
        <v>-14.999999999999998</v>
      </c>
    </row>
    <row r="347" spans="1:39" x14ac:dyDescent="0.25">
      <c r="A347" t="s">
        <v>324</v>
      </c>
      <c r="B347" t="s">
        <v>438</v>
      </c>
      <c r="C347" t="s">
        <v>457</v>
      </c>
      <c r="D347" t="s">
        <v>126</v>
      </c>
      <c r="E347">
        <v>2</v>
      </c>
      <c r="F347">
        <v>93.14</v>
      </c>
      <c r="G347">
        <v>0</v>
      </c>
      <c r="H347">
        <v>0</v>
      </c>
      <c r="I347">
        <v>2.65</v>
      </c>
      <c r="J347">
        <v>123.41</v>
      </c>
      <c r="K347">
        <f>Table50[[#This Row],[OpeningQty]]+Table50[[#This Row],[PurchasesQty]]-Table50[[#This Row],[ClosingQty]]</f>
        <v>-0.64999999999999991</v>
      </c>
      <c r="L347">
        <v>-30.27</v>
      </c>
      <c r="M347" s="14">
        <f>Table50[[#This Row],[Usage]]/$L$1</f>
        <v>-4.5974057691291262E-5</v>
      </c>
      <c r="N347" s="15">
        <f>IFERROR(Table50[[#This Row],[Opening]]/Table50[[#This Row],[OpeningQty]],0)</f>
        <v>46.57</v>
      </c>
      <c r="O347" s="15">
        <f>IFERROR(Table50[[#This Row],[Purchases]]/Table50[[#This Row],[PurchasesQty]],0)</f>
        <v>0</v>
      </c>
      <c r="P347" s="15">
        <f>IFERROR(Table50[[#This Row],[Closing]]/Table50[[#This Row],[ClosingQty]],0)</f>
        <v>46.569811320754717</v>
      </c>
      <c r="Q347" s="15">
        <f>IFERROR(AVERAGEIF(Table50[[#This Row],[OPENING COST PRICE]:[CLOSING COST PRICE]],"&gt;0"),0)</f>
        <v>46.569905660377358</v>
      </c>
      <c r="R347" s="15">
        <f>IFERROR(Table50[[#This Row],[COST PRICE]]-IFERROR(Table50[[#This Row],[Usage]]/Table50[[#This Row],[UsageQty]],Table50[[#This Row],[COST PRICE]]),0)</f>
        <v>6.7489114658059179E-4</v>
      </c>
      <c r="S347" s="16">
        <f>IFERROR(Table50[[#This Row],[COST PRICE CHANGE]]/Table50[[#This Row],[OPENING COST PRICE]],0)</f>
        <v>1.4491972226338669E-5</v>
      </c>
      <c r="T347" s="15">
        <f>Table50[[#This Row],[ClosingQty]]-(Table50[[#This Row],[USAGE / DAY]]*(IF(Table50[[#This Row],[ccnt]]="BEV",Table50[[#This Row],[DELIVERY DAY]],Table50[[#This Row],[DELIVERY DAY]])))</f>
        <v>2.9</v>
      </c>
      <c r="U347" s="15">
        <f>ROUNDUP(Table50[[#This Row],[UsageQty]]/Table50[[#This Row],[DATA POINT]],2)</f>
        <v>-0.05</v>
      </c>
      <c r="V34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47" s="15">
        <f>IFERROR(Table50[[#This Row],[ORDER QTY]]*Table50[[#This Row],[COST PRICE]],0)</f>
        <v>0</v>
      </c>
      <c r="X347" s="15">
        <f>IFERROR(VLOOKUP(C347,[1]!Table49[[#All],[name]:[USAGE / DAY]],19,FALSE),1)</f>
        <v>-6.0000000000000005E-2</v>
      </c>
      <c r="Y347" s="4">
        <f>IFERROR((Table50[[#This Row],[USAGE / DAY]]-Table50[[#This Row],[USAGE / DAY 2]])/Table50[[#This Row],[USAGE / DAY 2]],0)</f>
        <v>-0.16666666666666669</v>
      </c>
      <c r="Z347" s="15">
        <f t="shared" si="15"/>
        <v>14</v>
      </c>
      <c r="AA347" s="15">
        <f t="shared" si="16"/>
        <v>9.311854181734148</v>
      </c>
      <c r="AB347" s="15">
        <f>IFERROR(IF(Table50[[#This Row],[ccnt]]="BEV",$AB$2,IF(Table50[[#This Row],[ccnt]]="FOOD",$AC$2,"ENTER # FROM LAST COUNT")),"ENTER # FROM LAST COUNT")</f>
        <v>5</v>
      </c>
      <c r="AC347" s="15">
        <f>(Table50[[#This Row],[OpeningQty]]+Table50[[#This Row],[ClosingQty]])/2</f>
        <v>2.3250000000000002</v>
      </c>
      <c r="AD347" s="15">
        <f>IFERROR(Table50[[#This Row],[UsageQty]]/Table50[[#This Row],[AVE INVENTORY]],0)</f>
        <v>-0.2795698924731182</v>
      </c>
      <c r="AE347" s="15">
        <f>IFERROR(Table50[[#This Row],[DATA POINT]]/Table50[[#This Row],[Inventory Turnover Rate]],0)</f>
        <v>-50.076923076923094</v>
      </c>
      <c r="AF347" s="15">
        <f>Table50[[#This Row],[ClosingQty]]/Table50[[#This Row],[USAGE / DAY]]</f>
        <v>-52.999999999999993</v>
      </c>
      <c r="AG347" s="15">
        <f>Table50[[#This Row],[USAGE / DAY]]*7</f>
        <v>-0.35000000000000003</v>
      </c>
      <c r="AH347" s="15">
        <f>Table50[[#This Row],[USAGE / DAY]]*3</f>
        <v>-0.15000000000000002</v>
      </c>
      <c r="AI34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47" s="15">
        <f>IFERROR(Table50[[#This Row],[ORDER QTY2]]*Table50[[#This Row],[COST PRICE]],0)</f>
        <v>0</v>
      </c>
      <c r="AK347" s="15">
        <f>(Table50[[#This Row],[REORDER POINT]]*Table50[[#This Row],[COST PRICE]])+Table50[[#This Row],[ORDER COST]]</f>
        <v>135.05272641509433</v>
      </c>
      <c r="AL347" s="15">
        <f t="shared" si="17"/>
        <v>100</v>
      </c>
      <c r="AM347" s="15">
        <f>IFERROR((Table50[[#This Row],[REORDER POINT]]+Table50[[#This Row],[ORDER QTY]])/(Table50[[#This Row],[USAGE / DAY]]*Table50[[#This Row],[DEMAND %]]),Table50[[#This Row],[REORDER POINT]]/Table50[[#This Row],[USAGE / DAY]])</f>
        <v>-57.999999999999993</v>
      </c>
    </row>
    <row r="348" spans="1:39" x14ac:dyDescent="0.25">
      <c r="A348" t="s">
        <v>324</v>
      </c>
      <c r="B348" t="s">
        <v>438</v>
      </c>
      <c r="C348" t="s">
        <v>458</v>
      </c>
      <c r="D348" t="s">
        <v>126</v>
      </c>
      <c r="E348">
        <v>2.2599999999999998</v>
      </c>
      <c r="F348">
        <v>34.78</v>
      </c>
      <c r="G348">
        <v>0</v>
      </c>
      <c r="H348">
        <v>0</v>
      </c>
      <c r="I348">
        <v>1.6</v>
      </c>
      <c r="J348">
        <v>24.62</v>
      </c>
      <c r="K348">
        <f>Table50[[#This Row],[OpeningQty]]+Table50[[#This Row],[PurchasesQty]]-Table50[[#This Row],[ClosingQty]]</f>
        <v>0.6599999999999997</v>
      </c>
      <c r="L348">
        <v>10.16</v>
      </c>
      <c r="M348" s="14">
        <f>Table50[[#This Row],[Usage]]/$L$1</f>
        <v>1.5431001854757821E-5</v>
      </c>
      <c r="N348" s="15">
        <f>IFERROR(Table50[[#This Row],[Opening]]/Table50[[#This Row],[OpeningQty]],0)</f>
        <v>15.389380530973453</v>
      </c>
      <c r="O348" s="15">
        <f>IFERROR(Table50[[#This Row],[Purchases]]/Table50[[#This Row],[PurchasesQty]],0)</f>
        <v>0</v>
      </c>
      <c r="P348" s="15">
        <f>IFERROR(Table50[[#This Row],[Closing]]/Table50[[#This Row],[ClosingQty]],0)</f>
        <v>15.387499999999999</v>
      </c>
      <c r="Q348" s="15">
        <f>IFERROR(AVERAGEIF(Table50[[#This Row],[OPENING COST PRICE]:[CLOSING COST PRICE]],"&gt;0"),0)</f>
        <v>15.388440265486725</v>
      </c>
      <c r="R348" s="15">
        <f>IFERROR(Table50[[#This Row],[COST PRICE]]-IFERROR(Table50[[#This Row],[Usage]]/Table50[[#This Row],[UsageQty]],Table50[[#This Row],[COST PRICE]]),0)</f>
        <v>-5.4991284526764161E-3</v>
      </c>
      <c r="S348" s="16">
        <f>IFERROR(Table50[[#This Row],[COST PRICE CHANGE]]/Table50[[#This Row],[OPENING COST PRICE]],0)</f>
        <v>-3.573326711629873E-4</v>
      </c>
      <c r="T348" s="15">
        <f>Table50[[#This Row],[ClosingQty]]-(Table50[[#This Row],[USAGE / DAY]]*(IF(Table50[[#This Row],[ccnt]]="BEV",Table50[[#This Row],[DELIVERY DAY]],Table50[[#This Row],[DELIVERY DAY]])))</f>
        <v>1.35</v>
      </c>
      <c r="U348" s="15">
        <f>ROUNDUP(Table50[[#This Row],[UsageQty]]/Table50[[#This Row],[DATA POINT]],2)</f>
        <v>0.05</v>
      </c>
      <c r="V34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48" s="15">
        <f>IFERROR(Table50[[#This Row],[ORDER QTY]]*Table50[[#This Row],[COST PRICE]],0)</f>
        <v>0</v>
      </c>
      <c r="X348" s="15">
        <f>IFERROR(VLOOKUP(C348,[1]!Table49[[#All],[name]:[USAGE / DAY]],19,FALSE),1)</f>
        <v>0.14000000000000001</v>
      </c>
      <c r="Y348" s="4">
        <f>IFERROR((Table50[[#This Row],[USAGE / DAY]]-Table50[[#This Row],[USAGE / DAY 2]])/Table50[[#This Row],[USAGE / DAY 2]],0)</f>
        <v>-0.6428571428571429</v>
      </c>
      <c r="Z348" s="15">
        <f t="shared" si="15"/>
        <v>14</v>
      </c>
      <c r="AA348" s="15">
        <f t="shared" si="16"/>
        <v>9.311854181734148</v>
      </c>
      <c r="AB348" s="15">
        <f>IFERROR(IF(Table50[[#This Row],[ccnt]]="BEV",$AB$2,IF(Table50[[#This Row],[ccnt]]="FOOD",$AC$2,"ENTER # FROM LAST COUNT")),"ENTER # FROM LAST COUNT")</f>
        <v>5</v>
      </c>
      <c r="AC348" s="15">
        <f>(Table50[[#This Row],[OpeningQty]]+Table50[[#This Row],[ClosingQty]])/2</f>
        <v>1.93</v>
      </c>
      <c r="AD348" s="15">
        <f>IFERROR(Table50[[#This Row],[UsageQty]]/Table50[[#This Row],[AVE INVENTORY]],0)</f>
        <v>0.34196891191709827</v>
      </c>
      <c r="AE348" s="15">
        <f>IFERROR(Table50[[#This Row],[DATA POINT]]/Table50[[#This Row],[Inventory Turnover Rate]],0)</f>
        <v>40.939393939393959</v>
      </c>
      <c r="AF348" s="15">
        <f>Table50[[#This Row],[ClosingQty]]/Table50[[#This Row],[USAGE / DAY]]</f>
        <v>32</v>
      </c>
      <c r="AG348" s="15">
        <f>Table50[[#This Row],[USAGE / DAY]]*7</f>
        <v>0.35000000000000003</v>
      </c>
      <c r="AH348" s="15">
        <f>Table50[[#This Row],[USAGE / DAY]]*3</f>
        <v>0.15000000000000002</v>
      </c>
      <c r="AI34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48" s="15">
        <f>IFERROR(Table50[[#This Row],[ORDER QTY2]]*Table50[[#This Row],[COST PRICE]],0)</f>
        <v>0</v>
      </c>
      <c r="AK348" s="15">
        <f>(Table50[[#This Row],[REORDER POINT]]*Table50[[#This Row],[COST PRICE]])+Table50[[#This Row],[ORDER COST]]</f>
        <v>20.774394358407079</v>
      </c>
      <c r="AL348" s="15">
        <f t="shared" si="17"/>
        <v>100</v>
      </c>
      <c r="AM348" s="15">
        <f>IFERROR((Table50[[#This Row],[REORDER POINT]]+Table50[[#This Row],[ORDER QTY]])/(Table50[[#This Row],[USAGE / DAY]]*Table50[[#This Row],[DEMAND %]]),Table50[[#This Row],[REORDER POINT]]/Table50[[#This Row],[USAGE / DAY]])</f>
        <v>27</v>
      </c>
    </row>
    <row r="349" spans="1:39" x14ac:dyDescent="0.25">
      <c r="A349" t="s">
        <v>324</v>
      </c>
      <c r="B349" t="s">
        <v>438</v>
      </c>
      <c r="C349" t="s">
        <v>459</v>
      </c>
      <c r="D349" t="s">
        <v>76</v>
      </c>
      <c r="E349">
        <v>0.7</v>
      </c>
      <c r="F349">
        <v>35.92</v>
      </c>
      <c r="G349">
        <v>0</v>
      </c>
      <c r="H349">
        <v>0</v>
      </c>
      <c r="I349">
        <v>0.54</v>
      </c>
      <c r="J349">
        <v>27.71</v>
      </c>
      <c r="K349">
        <f>Table50[[#This Row],[OpeningQty]]+Table50[[#This Row],[PurchasesQty]]-Table50[[#This Row],[ClosingQty]]</f>
        <v>0.15999999999999992</v>
      </c>
      <c r="L349">
        <v>8.2100000000000009</v>
      </c>
      <c r="M349" s="14">
        <f>Table50[[#This Row],[Usage]]/$L$1</f>
        <v>1.246934303420883E-5</v>
      </c>
      <c r="N349" s="15">
        <f>IFERROR(Table50[[#This Row],[Opening]]/Table50[[#This Row],[OpeningQty]],0)</f>
        <v>51.314285714285717</v>
      </c>
      <c r="O349" s="15">
        <f>IFERROR(Table50[[#This Row],[Purchases]]/Table50[[#This Row],[PurchasesQty]],0)</f>
        <v>0</v>
      </c>
      <c r="P349" s="15">
        <f>IFERROR(Table50[[#This Row],[Closing]]/Table50[[#This Row],[ClosingQty]],0)</f>
        <v>51.31481481481481</v>
      </c>
      <c r="Q349" s="15">
        <f>IFERROR(AVERAGEIF(Table50[[#This Row],[OPENING COST PRICE]:[CLOSING COST PRICE]],"&gt;0"),0)</f>
        <v>51.314550264550263</v>
      </c>
      <c r="R349" s="15">
        <f>IFERROR(Table50[[#This Row],[COST PRICE]]-IFERROR(Table50[[#This Row],[Usage]]/Table50[[#This Row],[UsageQty]],Table50[[#This Row],[COST PRICE]]),0)</f>
        <v>2.050264550234715E-3</v>
      </c>
      <c r="S349" s="16">
        <f>IFERROR(Table50[[#This Row],[COST PRICE CHANGE]]/Table50[[#This Row],[OPENING COST PRICE]],0)</f>
        <v>3.9955044130409253E-5</v>
      </c>
      <c r="T349" s="15">
        <f>Table50[[#This Row],[ClosingQty]]-(Table50[[#This Row],[USAGE / DAY]]*(IF(Table50[[#This Row],[ccnt]]="BEV",Table50[[#This Row],[DELIVERY DAY]],Table50[[#This Row],[DELIVERY DAY]])))</f>
        <v>0.44000000000000006</v>
      </c>
      <c r="U349" s="15">
        <f>ROUNDUP(Table50[[#This Row],[UsageQty]]/Table50[[#This Row],[DATA POINT]],2)</f>
        <v>0.02</v>
      </c>
      <c r="V34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49" s="15">
        <f>IFERROR(Table50[[#This Row],[ORDER QTY]]*Table50[[#This Row],[COST PRICE]],0)</f>
        <v>0</v>
      </c>
      <c r="X349" s="15">
        <f>IFERROR(VLOOKUP(C349,[1]!Table49[[#All],[name]:[USAGE / DAY]],19,FALSE),1)</f>
        <v>0.03</v>
      </c>
      <c r="Y349" s="4">
        <f>IFERROR((Table50[[#This Row],[USAGE / DAY]]-Table50[[#This Row],[USAGE / DAY 2]])/Table50[[#This Row],[USAGE / DAY 2]],0)</f>
        <v>-0.33333333333333331</v>
      </c>
      <c r="Z349" s="15">
        <f t="shared" si="15"/>
        <v>14</v>
      </c>
      <c r="AA349" s="15">
        <f t="shared" si="16"/>
        <v>9.311854181734148</v>
      </c>
      <c r="AB349" s="15">
        <f>IFERROR(IF(Table50[[#This Row],[ccnt]]="BEV",$AB$2,IF(Table50[[#This Row],[ccnt]]="FOOD",$AC$2,"ENTER # FROM LAST COUNT")),"ENTER # FROM LAST COUNT")</f>
        <v>5</v>
      </c>
      <c r="AC349" s="15">
        <f>(Table50[[#This Row],[OpeningQty]]+Table50[[#This Row],[ClosingQty]])/2</f>
        <v>0.62</v>
      </c>
      <c r="AD349" s="15">
        <f>IFERROR(Table50[[#This Row],[UsageQty]]/Table50[[#This Row],[AVE INVENTORY]],0)</f>
        <v>0.25806451612903214</v>
      </c>
      <c r="AE349" s="15">
        <f>IFERROR(Table50[[#This Row],[DATA POINT]]/Table50[[#This Row],[Inventory Turnover Rate]],0)</f>
        <v>54.250000000000021</v>
      </c>
      <c r="AF349" s="15">
        <f>Table50[[#This Row],[ClosingQty]]/Table50[[#This Row],[USAGE / DAY]]</f>
        <v>27</v>
      </c>
      <c r="AG349" s="15">
        <f>Table50[[#This Row],[USAGE / DAY]]*7</f>
        <v>0.14000000000000001</v>
      </c>
      <c r="AH349" s="15">
        <f>Table50[[#This Row],[USAGE / DAY]]*3</f>
        <v>0.06</v>
      </c>
      <c r="AI34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49" s="15">
        <f>IFERROR(Table50[[#This Row],[ORDER QTY2]]*Table50[[#This Row],[COST PRICE]],0)</f>
        <v>0</v>
      </c>
      <c r="AK349" s="15">
        <f>(Table50[[#This Row],[REORDER POINT]]*Table50[[#This Row],[COST PRICE]])+Table50[[#This Row],[ORDER COST]]</f>
        <v>22.57840211640212</v>
      </c>
      <c r="AL349" s="15">
        <f t="shared" si="17"/>
        <v>100</v>
      </c>
      <c r="AM349" s="15">
        <f>IFERROR((Table50[[#This Row],[REORDER POINT]]+Table50[[#This Row],[ORDER QTY]])/(Table50[[#This Row],[USAGE / DAY]]*Table50[[#This Row],[DEMAND %]]),Table50[[#This Row],[REORDER POINT]]/Table50[[#This Row],[USAGE / DAY]])</f>
        <v>22.000000000000004</v>
      </c>
    </row>
    <row r="350" spans="1:39" x14ac:dyDescent="0.25">
      <c r="A350" t="s">
        <v>324</v>
      </c>
      <c r="B350" t="s">
        <v>438</v>
      </c>
      <c r="C350" t="s">
        <v>460</v>
      </c>
      <c r="D350" t="s">
        <v>126</v>
      </c>
      <c r="E350">
        <v>9.83</v>
      </c>
      <c r="F350">
        <v>208.2</v>
      </c>
      <c r="G350">
        <v>0</v>
      </c>
      <c r="H350">
        <v>0</v>
      </c>
      <c r="I350">
        <v>8.65</v>
      </c>
      <c r="J350">
        <v>183.21</v>
      </c>
      <c r="K350">
        <f>Table50[[#This Row],[OpeningQty]]+Table50[[#This Row],[PurchasesQty]]-Table50[[#This Row],[ClosingQty]]</f>
        <v>1.1799999999999997</v>
      </c>
      <c r="L350">
        <v>24.99</v>
      </c>
      <c r="M350" s="14">
        <f>Table50[[#This Row],[Usage]]/$L$1</f>
        <v>3.7954796884881686E-5</v>
      </c>
      <c r="N350" s="15">
        <f>IFERROR(Table50[[#This Row],[Opening]]/Table50[[#This Row],[OpeningQty]],0)</f>
        <v>21.180061037639877</v>
      </c>
      <c r="O350" s="15">
        <f>IFERROR(Table50[[#This Row],[Purchases]]/Table50[[#This Row],[PurchasesQty]],0)</f>
        <v>0</v>
      </c>
      <c r="P350" s="15">
        <f>IFERROR(Table50[[#This Row],[Closing]]/Table50[[#This Row],[ClosingQty]],0)</f>
        <v>21.180346820809248</v>
      </c>
      <c r="Q350" s="15">
        <f>IFERROR(AVERAGEIF(Table50[[#This Row],[OPENING COST PRICE]:[CLOSING COST PRICE]],"&gt;0"),0)</f>
        <v>21.180203929224561</v>
      </c>
      <c r="R350" s="15">
        <f>IFERROR(Table50[[#This Row],[COST PRICE]]-IFERROR(Table50[[#This Row],[Usage]]/Table50[[#This Row],[UsageQty]],Table50[[#This Row],[COST PRICE]]),0)</f>
        <v>2.2378275296404126E-3</v>
      </c>
      <c r="S350" s="16">
        <f>IFERROR(Table50[[#This Row],[COST PRICE CHANGE]]/Table50[[#This Row],[OPENING COST PRICE]],0)</f>
        <v>1.0565727481443447E-4</v>
      </c>
      <c r="T350" s="15">
        <f>Table50[[#This Row],[ClosingQty]]-(Table50[[#This Row],[USAGE / DAY]]*(IF(Table50[[#This Row],[ccnt]]="BEV",Table50[[#This Row],[DELIVERY DAY]],Table50[[#This Row],[DELIVERY DAY]])))</f>
        <v>8.2000000000000011</v>
      </c>
      <c r="U350" s="15">
        <f>ROUNDUP(Table50[[#This Row],[UsageQty]]/Table50[[#This Row],[DATA POINT]],2)</f>
        <v>0.09</v>
      </c>
      <c r="V35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0" s="15">
        <f>IFERROR(Table50[[#This Row],[ORDER QTY]]*Table50[[#This Row],[COST PRICE]],0)</f>
        <v>0</v>
      </c>
      <c r="X350" s="15">
        <f>IFERROR(VLOOKUP(C350,[1]!Table49[[#All],[name]:[USAGE / DAY]],19,FALSE),1)</f>
        <v>-0.68</v>
      </c>
      <c r="Y350" s="4">
        <f>IFERROR((Table50[[#This Row],[USAGE / DAY]]-Table50[[#This Row],[USAGE / DAY 2]])/Table50[[#This Row],[USAGE / DAY 2]],0)</f>
        <v>-1.1323529411764706</v>
      </c>
      <c r="Z350" s="15">
        <f t="shared" si="15"/>
        <v>14</v>
      </c>
      <c r="AA350" s="15">
        <f t="shared" si="16"/>
        <v>9.311854181734148</v>
      </c>
      <c r="AB350" s="15">
        <f>IFERROR(IF(Table50[[#This Row],[ccnt]]="BEV",$AB$2,IF(Table50[[#This Row],[ccnt]]="FOOD",$AC$2,"ENTER # FROM LAST COUNT")),"ENTER # FROM LAST COUNT")</f>
        <v>5</v>
      </c>
      <c r="AC350" s="15">
        <f>(Table50[[#This Row],[OpeningQty]]+Table50[[#This Row],[ClosingQty]])/2</f>
        <v>9.24</v>
      </c>
      <c r="AD350" s="15">
        <f>IFERROR(Table50[[#This Row],[UsageQty]]/Table50[[#This Row],[AVE INVENTORY]],0)</f>
        <v>0.12770562770562768</v>
      </c>
      <c r="AE350" s="15">
        <f>IFERROR(Table50[[#This Row],[DATA POINT]]/Table50[[#This Row],[Inventory Turnover Rate]],0)</f>
        <v>109.62711864406782</v>
      </c>
      <c r="AF350" s="15">
        <f>Table50[[#This Row],[ClosingQty]]/Table50[[#This Row],[USAGE / DAY]]</f>
        <v>96.111111111111114</v>
      </c>
      <c r="AG350" s="15">
        <f>Table50[[#This Row],[USAGE / DAY]]*7</f>
        <v>0.63</v>
      </c>
      <c r="AH350" s="15">
        <f>Table50[[#This Row],[USAGE / DAY]]*3</f>
        <v>0.27</v>
      </c>
      <c r="AI35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0" s="15">
        <f>IFERROR(Table50[[#This Row],[ORDER QTY2]]*Table50[[#This Row],[COST PRICE]],0)</f>
        <v>0</v>
      </c>
      <c r="AK350" s="15">
        <f>(Table50[[#This Row],[REORDER POINT]]*Table50[[#This Row],[COST PRICE]])+Table50[[#This Row],[ORDER COST]]</f>
        <v>173.67767221964141</v>
      </c>
      <c r="AL350" s="15">
        <f t="shared" si="17"/>
        <v>100</v>
      </c>
      <c r="AM350" s="15">
        <f>IFERROR((Table50[[#This Row],[REORDER POINT]]+Table50[[#This Row],[ORDER QTY]])/(Table50[[#This Row],[USAGE / DAY]]*Table50[[#This Row],[DEMAND %]]),Table50[[#This Row],[REORDER POINT]]/Table50[[#This Row],[USAGE / DAY]])</f>
        <v>91.111111111111128</v>
      </c>
    </row>
    <row r="351" spans="1:39" x14ac:dyDescent="0.25">
      <c r="A351" t="s">
        <v>324</v>
      </c>
      <c r="B351" t="s">
        <v>438</v>
      </c>
      <c r="C351" t="s">
        <v>461</v>
      </c>
      <c r="D351" t="s">
        <v>76</v>
      </c>
      <c r="E351">
        <v>4.5</v>
      </c>
      <c r="F351">
        <v>337.1</v>
      </c>
      <c r="G351">
        <v>0</v>
      </c>
      <c r="H351">
        <v>0</v>
      </c>
      <c r="I351">
        <v>3.7</v>
      </c>
      <c r="J351">
        <v>274.06</v>
      </c>
      <c r="K351">
        <f>Table50[[#This Row],[OpeningQty]]+Table50[[#This Row],[PurchasesQty]]-Table50[[#This Row],[ClosingQty]]</f>
        <v>0.79999999999999982</v>
      </c>
      <c r="L351">
        <v>63.04</v>
      </c>
      <c r="M351" s="14">
        <f>Table50[[#This Row],[Usage]]/$L$1</f>
        <v>9.5745113870465844E-5</v>
      </c>
      <c r="N351" s="15">
        <f>IFERROR(Table50[[#This Row],[Opening]]/Table50[[#This Row],[OpeningQty]],0)</f>
        <v>74.911111111111111</v>
      </c>
      <c r="O351" s="15">
        <f>IFERROR(Table50[[#This Row],[Purchases]]/Table50[[#This Row],[PurchasesQty]],0)</f>
        <v>0</v>
      </c>
      <c r="P351" s="15">
        <f>IFERROR(Table50[[#This Row],[Closing]]/Table50[[#This Row],[ClosingQty]],0)</f>
        <v>74.070270270270271</v>
      </c>
      <c r="Q351" s="15">
        <f>IFERROR(AVERAGEIF(Table50[[#This Row],[OPENING COST PRICE]:[CLOSING COST PRICE]],"&gt;0"),0)</f>
        <v>74.490690690690684</v>
      </c>
      <c r="R351" s="15">
        <f>IFERROR(Table50[[#This Row],[COST PRICE]]-IFERROR(Table50[[#This Row],[Usage]]/Table50[[#This Row],[UsageQty]],Table50[[#This Row],[COST PRICE]]),0)</f>
        <v>-4.3093093093093273</v>
      </c>
      <c r="S351" s="16">
        <f>IFERROR(Table50[[#This Row],[COST PRICE CHANGE]]/Table50[[#This Row],[OPENING COST PRICE]],0)</f>
        <v>-5.7525635989000214E-2</v>
      </c>
      <c r="T351" s="15">
        <f>Table50[[#This Row],[ClosingQty]]-(Table50[[#This Row],[USAGE / DAY]]*(IF(Table50[[#This Row],[ccnt]]="BEV",Table50[[#This Row],[DELIVERY DAY]],Table50[[#This Row],[DELIVERY DAY]])))</f>
        <v>3.4000000000000004</v>
      </c>
      <c r="U351" s="15">
        <f>ROUNDUP(Table50[[#This Row],[UsageQty]]/Table50[[#This Row],[DATA POINT]],2)</f>
        <v>6.0000000000000005E-2</v>
      </c>
      <c r="V35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1" s="15">
        <f>IFERROR(Table50[[#This Row],[ORDER QTY]]*Table50[[#This Row],[COST PRICE]],0)</f>
        <v>0</v>
      </c>
      <c r="X351" s="15">
        <f>IFERROR(VLOOKUP(C351,[1]!Table49[[#All],[name]:[USAGE / DAY]],19,FALSE),1)</f>
        <v>0.42</v>
      </c>
      <c r="Y351" s="4">
        <f>IFERROR((Table50[[#This Row],[USAGE / DAY]]-Table50[[#This Row],[USAGE / DAY 2]])/Table50[[#This Row],[USAGE / DAY 2]],0)</f>
        <v>-0.8571428571428571</v>
      </c>
      <c r="Z351" s="15">
        <f t="shared" si="15"/>
        <v>14</v>
      </c>
      <c r="AA351" s="15">
        <f t="shared" si="16"/>
        <v>9.311854181734148</v>
      </c>
      <c r="AB351" s="15">
        <f>IFERROR(IF(Table50[[#This Row],[ccnt]]="BEV",$AB$2,IF(Table50[[#This Row],[ccnt]]="FOOD",$AC$2,"ENTER # FROM LAST COUNT")),"ENTER # FROM LAST COUNT")</f>
        <v>5</v>
      </c>
      <c r="AC351" s="15">
        <f>(Table50[[#This Row],[OpeningQty]]+Table50[[#This Row],[ClosingQty]])/2</f>
        <v>4.0999999999999996</v>
      </c>
      <c r="AD351" s="15">
        <f>IFERROR(Table50[[#This Row],[UsageQty]]/Table50[[#This Row],[AVE INVENTORY]],0)</f>
        <v>0.19512195121951217</v>
      </c>
      <c r="AE351" s="15">
        <f>IFERROR(Table50[[#This Row],[DATA POINT]]/Table50[[#This Row],[Inventory Turnover Rate]],0)</f>
        <v>71.750000000000014</v>
      </c>
      <c r="AF351" s="15">
        <f>Table50[[#This Row],[ClosingQty]]/Table50[[#This Row],[USAGE / DAY]]</f>
        <v>61.666666666666664</v>
      </c>
      <c r="AG351" s="15">
        <f>Table50[[#This Row],[USAGE / DAY]]*7</f>
        <v>0.42000000000000004</v>
      </c>
      <c r="AH351" s="15">
        <f>Table50[[#This Row],[USAGE / DAY]]*3</f>
        <v>0.18000000000000002</v>
      </c>
      <c r="AI35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1" s="15">
        <f>IFERROR(Table50[[#This Row],[ORDER QTY2]]*Table50[[#This Row],[COST PRICE]],0)</f>
        <v>0</v>
      </c>
      <c r="AK351" s="15">
        <f>(Table50[[#This Row],[REORDER POINT]]*Table50[[#This Row],[COST PRICE]])+Table50[[#This Row],[ORDER COST]]</f>
        <v>253.26834834834835</v>
      </c>
      <c r="AL351" s="15">
        <f t="shared" si="17"/>
        <v>100</v>
      </c>
      <c r="AM351" s="15">
        <f>IFERROR((Table50[[#This Row],[REORDER POINT]]+Table50[[#This Row],[ORDER QTY]])/(Table50[[#This Row],[USAGE / DAY]]*Table50[[#This Row],[DEMAND %]]),Table50[[#This Row],[REORDER POINT]]/Table50[[#This Row],[USAGE / DAY]])</f>
        <v>56.666666666666671</v>
      </c>
    </row>
    <row r="352" spans="1:39" x14ac:dyDescent="0.25">
      <c r="A352" t="s">
        <v>324</v>
      </c>
      <c r="B352" t="s">
        <v>438</v>
      </c>
      <c r="C352" t="s">
        <v>462</v>
      </c>
      <c r="D352" t="s">
        <v>126</v>
      </c>
      <c r="E352">
        <v>3.6</v>
      </c>
      <c r="F352">
        <v>87.12</v>
      </c>
      <c r="G352">
        <v>0</v>
      </c>
      <c r="H352">
        <v>0</v>
      </c>
      <c r="I352">
        <v>3</v>
      </c>
      <c r="J352">
        <v>72.599999999999994</v>
      </c>
      <c r="K352">
        <f>Table50[[#This Row],[OpeningQty]]+Table50[[#This Row],[PurchasesQty]]-Table50[[#This Row],[ClosingQty]]</f>
        <v>0.60000000000000009</v>
      </c>
      <c r="L352">
        <v>14.52</v>
      </c>
      <c r="M352" s="14">
        <f>Table50[[#This Row],[Usage]]/$L$1</f>
        <v>2.2052967217626332E-5</v>
      </c>
      <c r="N352" s="15">
        <f>IFERROR(Table50[[#This Row],[Opening]]/Table50[[#This Row],[OpeningQty]],0)</f>
        <v>24.2</v>
      </c>
      <c r="O352" s="15">
        <f>IFERROR(Table50[[#This Row],[Purchases]]/Table50[[#This Row],[PurchasesQty]],0)</f>
        <v>0</v>
      </c>
      <c r="P352" s="15">
        <f>IFERROR(Table50[[#This Row],[Closing]]/Table50[[#This Row],[ClosingQty]],0)</f>
        <v>24.2</v>
      </c>
      <c r="Q352" s="15">
        <f>IFERROR(AVERAGEIF(Table50[[#This Row],[OPENING COST PRICE]:[CLOSING COST PRICE]],"&gt;0"),0)</f>
        <v>24.2</v>
      </c>
      <c r="R352" s="15">
        <f>IFERROR(Table50[[#This Row],[COST PRICE]]-IFERROR(Table50[[#This Row],[Usage]]/Table50[[#This Row],[UsageQty]],Table50[[#This Row],[COST PRICE]]),0)</f>
        <v>3.5527136788005009E-15</v>
      </c>
      <c r="S352" s="16">
        <f>IFERROR(Table50[[#This Row],[COST PRICE CHANGE]]/Table50[[#This Row],[OPENING COST PRICE]],0)</f>
        <v>1.4680635036365707E-16</v>
      </c>
      <c r="T352" s="15">
        <f>Table50[[#This Row],[ClosingQty]]-(Table50[[#This Row],[USAGE / DAY]]*(IF(Table50[[#This Row],[ccnt]]="BEV",Table50[[#This Row],[DELIVERY DAY]],Table50[[#This Row],[DELIVERY DAY]])))</f>
        <v>2.75</v>
      </c>
      <c r="U352" s="15">
        <f>ROUNDUP(Table50[[#This Row],[UsageQty]]/Table50[[#This Row],[DATA POINT]],2)</f>
        <v>0.05</v>
      </c>
      <c r="V35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2" s="15">
        <f>IFERROR(Table50[[#This Row],[ORDER QTY]]*Table50[[#This Row],[COST PRICE]],0)</f>
        <v>0</v>
      </c>
      <c r="X352" s="15">
        <f>IFERROR(VLOOKUP(C352,[1]!Table49[[#All],[name]:[USAGE / DAY]],19,FALSE),1)</f>
        <v>0.21000000000000002</v>
      </c>
      <c r="Y352" s="4">
        <f>IFERROR((Table50[[#This Row],[USAGE / DAY]]-Table50[[#This Row],[USAGE / DAY 2]])/Table50[[#This Row],[USAGE / DAY 2]],0)</f>
        <v>-0.76190476190476197</v>
      </c>
      <c r="Z352" s="15">
        <f t="shared" si="15"/>
        <v>14</v>
      </c>
      <c r="AA352" s="15">
        <f t="shared" si="16"/>
        <v>9.311854181734148</v>
      </c>
      <c r="AB352" s="15">
        <f>IFERROR(IF(Table50[[#This Row],[ccnt]]="BEV",$AB$2,IF(Table50[[#This Row],[ccnt]]="FOOD",$AC$2,"ENTER # FROM LAST COUNT")),"ENTER # FROM LAST COUNT")</f>
        <v>5</v>
      </c>
      <c r="AC352" s="15">
        <f>(Table50[[#This Row],[OpeningQty]]+Table50[[#This Row],[ClosingQty]])/2</f>
        <v>3.3</v>
      </c>
      <c r="AD352" s="15">
        <f>IFERROR(Table50[[#This Row],[UsageQty]]/Table50[[#This Row],[AVE INVENTORY]],0)</f>
        <v>0.18181818181818185</v>
      </c>
      <c r="AE352" s="15">
        <f>IFERROR(Table50[[#This Row],[DATA POINT]]/Table50[[#This Row],[Inventory Turnover Rate]],0)</f>
        <v>76.999999999999986</v>
      </c>
      <c r="AF352" s="15">
        <f>Table50[[#This Row],[ClosingQty]]/Table50[[#This Row],[USAGE / DAY]]</f>
        <v>60</v>
      </c>
      <c r="AG352" s="15">
        <f>Table50[[#This Row],[USAGE / DAY]]*7</f>
        <v>0.35000000000000003</v>
      </c>
      <c r="AH352" s="15">
        <f>Table50[[#This Row],[USAGE / DAY]]*3</f>
        <v>0.15000000000000002</v>
      </c>
      <c r="AI35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2" s="15">
        <f>IFERROR(Table50[[#This Row],[ORDER QTY2]]*Table50[[#This Row],[COST PRICE]],0)</f>
        <v>0</v>
      </c>
      <c r="AK352" s="15">
        <f>(Table50[[#This Row],[REORDER POINT]]*Table50[[#This Row],[COST PRICE]])+Table50[[#This Row],[ORDER COST]]</f>
        <v>66.55</v>
      </c>
      <c r="AL352" s="15">
        <f t="shared" si="17"/>
        <v>100</v>
      </c>
      <c r="AM352" s="15">
        <f>IFERROR((Table50[[#This Row],[REORDER POINT]]+Table50[[#This Row],[ORDER QTY]])/(Table50[[#This Row],[USAGE / DAY]]*Table50[[#This Row],[DEMAND %]]),Table50[[#This Row],[REORDER POINT]]/Table50[[#This Row],[USAGE / DAY]])</f>
        <v>55</v>
      </c>
    </row>
    <row r="353" spans="1:39" x14ac:dyDescent="0.25">
      <c r="A353" t="s">
        <v>324</v>
      </c>
      <c r="B353" t="s">
        <v>438</v>
      </c>
      <c r="C353" t="s">
        <v>463</v>
      </c>
      <c r="D353" t="s">
        <v>76</v>
      </c>
      <c r="E353">
        <v>0.75</v>
      </c>
      <c r="F353">
        <v>53.36</v>
      </c>
      <c r="G353">
        <v>0</v>
      </c>
      <c r="H353">
        <v>0</v>
      </c>
      <c r="I353">
        <v>0.71</v>
      </c>
      <c r="J353">
        <v>50.52</v>
      </c>
      <c r="K353">
        <f>Table50[[#This Row],[OpeningQty]]+Table50[[#This Row],[PurchasesQty]]-Table50[[#This Row],[ClosingQty]]</f>
        <v>4.0000000000000036E-2</v>
      </c>
      <c r="L353">
        <v>2.84</v>
      </c>
      <c r="M353" s="14">
        <f>Table50[[#This Row],[Usage]]/$L$1</f>
        <v>4.3133902822354533E-6</v>
      </c>
      <c r="N353" s="15">
        <f>IFERROR(Table50[[#This Row],[Opening]]/Table50[[#This Row],[OpeningQty]],0)</f>
        <v>71.146666666666661</v>
      </c>
      <c r="O353" s="15">
        <f>IFERROR(Table50[[#This Row],[Purchases]]/Table50[[#This Row],[PurchasesQty]],0)</f>
        <v>0</v>
      </c>
      <c r="P353" s="15">
        <f>IFERROR(Table50[[#This Row],[Closing]]/Table50[[#This Row],[ClosingQty]],0)</f>
        <v>71.154929577464799</v>
      </c>
      <c r="Q353" s="15">
        <f>IFERROR(AVERAGEIF(Table50[[#This Row],[OPENING COST PRICE]:[CLOSING COST PRICE]],"&gt;0"),0)</f>
        <v>71.150798122065737</v>
      </c>
      <c r="R353" s="15">
        <f>IFERROR(Table50[[#This Row],[COST PRICE]]-IFERROR(Table50[[#This Row],[Usage]]/Table50[[#This Row],[UsageQty]],Table50[[#This Row],[COST PRICE]]),0)</f>
        <v>0.15079812206580812</v>
      </c>
      <c r="S353" s="16">
        <f>IFERROR(Table50[[#This Row],[COST PRICE CHANGE]]/Table50[[#This Row],[OPENING COST PRICE]],0)</f>
        <v>2.1195388221393573E-3</v>
      </c>
      <c r="T353" s="15">
        <f>Table50[[#This Row],[ClosingQty]]-(Table50[[#This Row],[USAGE / DAY]]*(IF(Table50[[#This Row],[ccnt]]="BEV",Table50[[#This Row],[DELIVERY DAY]],Table50[[#This Row],[DELIVERY DAY]])))</f>
        <v>0.65999999999999992</v>
      </c>
      <c r="U353" s="15">
        <f>ROUNDUP(Table50[[#This Row],[UsageQty]]/Table50[[#This Row],[DATA POINT]],2)</f>
        <v>0.01</v>
      </c>
      <c r="V35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3" s="15">
        <f>IFERROR(Table50[[#This Row],[ORDER QTY]]*Table50[[#This Row],[COST PRICE]],0)</f>
        <v>0</v>
      </c>
      <c r="X353" s="15">
        <f>IFERROR(VLOOKUP(C353,[1]!Table49[[#All],[name]:[USAGE / DAY]],19,FALSE),1)</f>
        <v>0.05</v>
      </c>
      <c r="Y353" s="4">
        <f>IFERROR((Table50[[#This Row],[USAGE / DAY]]-Table50[[#This Row],[USAGE / DAY 2]])/Table50[[#This Row],[USAGE / DAY 2]],0)</f>
        <v>-0.79999999999999993</v>
      </c>
      <c r="Z353" s="15">
        <f t="shared" si="15"/>
        <v>14</v>
      </c>
      <c r="AA353" s="15">
        <f t="shared" si="16"/>
        <v>9.311854181734148</v>
      </c>
      <c r="AB353" s="15">
        <f>IFERROR(IF(Table50[[#This Row],[ccnt]]="BEV",$AB$2,IF(Table50[[#This Row],[ccnt]]="FOOD",$AC$2,"ENTER # FROM LAST COUNT")),"ENTER # FROM LAST COUNT")</f>
        <v>5</v>
      </c>
      <c r="AC353" s="15">
        <f>(Table50[[#This Row],[OpeningQty]]+Table50[[#This Row],[ClosingQty]])/2</f>
        <v>0.73</v>
      </c>
      <c r="AD353" s="15">
        <f>IFERROR(Table50[[#This Row],[UsageQty]]/Table50[[#This Row],[AVE INVENTORY]],0)</f>
        <v>5.4794520547945258E-2</v>
      </c>
      <c r="AE353" s="15">
        <f>IFERROR(Table50[[#This Row],[DATA POINT]]/Table50[[#This Row],[Inventory Turnover Rate]],0)</f>
        <v>255.49999999999974</v>
      </c>
      <c r="AF353" s="15">
        <f>Table50[[#This Row],[ClosingQty]]/Table50[[#This Row],[USAGE / DAY]]</f>
        <v>71</v>
      </c>
      <c r="AG353" s="15">
        <f>Table50[[#This Row],[USAGE / DAY]]*7</f>
        <v>7.0000000000000007E-2</v>
      </c>
      <c r="AH353" s="15">
        <f>Table50[[#This Row],[USAGE / DAY]]*3</f>
        <v>0.03</v>
      </c>
      <c r="AI35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3" s="15">
        <f>IFERROR(Table50[[#This Row],[ORDER QTY2]]*Table50[[#This Row],[COST PRICE]],0)</f>
        <v>0</v>
      </c>
      <c r="AK353" s="15">
        <f>(Table50[[#This Row],[REORDER POINT]]*Table50[[#This Row],[COST PRICE]])+Table50[[#This Row],[ORDER COST]]</f>
        <v>46.959526760563378</v>
      </c>
      <c r="AL353" s="15">
        <f t="shared" si="17"/>
        <v>100</v>
      </c>
      <c r="AM353" s="15">
        <f>IFERROR((Table50[[#This Row],[REORDER POINT]]+Table50[[#This Row],[ORDER QTY]])/(Table50[[#This Row],[USAGE / DAY]]*Table50[[#This Row],[DEMAND %]]),Table50[[#This Row],[REORDER POINT]]/Table50[[#This Row],[USAGE / DAY]])</f>
        <v>65.999999999999986</v>
      </c>
    </row>
    <row r="354" spans="1:39" x14ac:dyDescent="0.25">
      <c r="A354" t="s">
        <v>324</v>
      </c>
      <c r="B354" t="s">
        <v>438</v>
      </c>
      <c r="C354" t="s">
        <v>464</v>
      </c>
      <c r="D354" t="s">
        <v>62</v>
      </c>
      <c r="E354">
        <v>0.5</v>
      </c>
      <c r="F354">
        <v>31.74</v>
      </c>
      <c r="G354">
        <v>0</v>
      </c>
      <c r="H354">
        <v>0</v>
      </c>
      <c r="I354">
        <v>0.51</v>
      </c>
      <c r="J354">
        <v>32.369999999999997</v>
      </c>
      <c r="K354">
        <f>Table50[[#This Row],[OpeningQty]]+Table50[[#This Row],[PurchasesQty]]-Table50[[#This Row],[ClosingQty]]</f>
        <v>-1.0000000000000009E-2</v>
      </c>
      <c r="L354">
        <v>-0.63</v>
      </c>
      <c r="M354" s="14">
        <f>Table50[[#This Row],[Usage]]/$L$1</f>
        <v>-9.5684361894659715E-7</v>
      </c>
      <c r="N354" s="15">
        <f>IFERROR(Table50[[#This Row],[Opening]]/Table50[[#This Row],[OpeningQty]],0)</f>
        <v>63.48</v>
      </c>
      <c r="O354" s="15">
        <f>IFERROR(Table50[[#This Row],[Purchases]]/Table50[[#This Row],[PurchasesQty]],0)</f>
        <v>0</v>
      </c>
      <c r="P354" s="15">
        <f>IFERROR(Table50[[#This Row],[Closing]]/Table50[[#This Row],[ClosingQty]],0)</f>
        <v>63.470588235294109</v>
      </c>
      <c r="Q354" s="15">
        <f>IFERROR(AVERAGEIF(Table50[[#This Row],[OPENING COST PRICE]:[CLOSING COST PRICE]],"&gt;0"),0)</f>
        <v>63.475294117647053</v>
      </c>
      <c r="R354" s="15">
        <f>IFERROR(Table50[[#This Row],[COST PRICE]]-IFERROR(Table50[[#This Row],[Usage]]/Table50[[#This Row],[UsageQty]],Table50[[#This Row],[COST PRICE]]),0)</f>
        <v>0.47529411764710972</v>
      </c>
      <c r="S354" s="16">
        <f>IFERROR(Table50[[#This Row],[COST PRICE CHANGE]]/Table50[[#This Row],[OPENING COST PRICE]],0)</f>
        <v>7.4873049408807459E-3</v>
      </c>
      <c r="T354" s="15">
        <f>Table50[[#This Row],[ClosingQty]]-(Table50[[#This Row],[USAGE / DAY]]*(IF(Table50[[#This Row],[ccnt]]="BEV",Table50[[#This Row],[DELIVERY DAY]],Table50[[#This Row],[DELIVERY DAY]])))</f>
        <v>0.56000000000000005</v>
      </c>
      <c r="U354" s="15">
        <f>ROUNDUP(Table50[[#This Row],[UsageQty]]/Table50[[#This Row],[DATA POINT]],2)</f>
        <v>-0.01</v>
      </c>
      <c r="V35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4" s="15">
        <f>IFERROR(Table50[[#This Row],[ORDER QTY]]*Table50[[#This Row],[COST PRICE]],0)</f>
        <v>0</v>
      </c>
      <c r="X354" s="15">
        <f>IFERROR(VLOOKUP(C354,[1]!Table49[[#All],[name]:[USAGE / DAY]],19,FALSE),1)</f>
        <v>0.04</v>
      </c>
      <c r="Y354" s="4">
        <f>IFERROR((Table50[[#This Row],[USAGE / DAY]]-Table50[[#This Row],[USAGE / DAY 2]])/Table50[[#This Row],[USAGE / DAY 2]],0)</f>
        <v>-1.25</v>
      </c>
      <c r="Z354" s="15">
        <f t="shared" si="15"/>
        <v>14</v>
      </c>
      <c r="AA354" s="15">
        <f t="shared" si="16"/>
        <v>9.311854181734148</v>
      </c>
      <c r="AB354" s="15">
        <f>IFERROR(IF(Table50[[#This Row],[ccnt]]="BEV",$AB$2,IF(Table50[[#This Row],[ccnt]]="FOOD",$AC$2,"ENTER # FROM LAST COUNT")),"ENTER # FROM LAST COUNT")</f>
        <v>5</v>
      </c>
      <c r="AC354" s="15">
        <f>(Table50[[#This Row],[OpeningQty]]+Table50[[#This Row],[ClosingQty]])/2</f>
        <v>0.505</v>
      </c>
      <c r="AD354" s="15">
        <f>IFERROR(Table50[[#This Row],[UsageQty]]/Table50[[#This Row],[AVE INVENTORY]],0)</f>
        <v>-1.980198019801982E-2</v>
      </c>
      <c r="AE354" s="15">
        <f>IFERROR(Table50[[#This Row],[DATA POINT]]/Table50[[#This Row],[Inventory Turnover Rate]],0)</f>
        <v>-706.99999999999932</v>
      </c>
      <c r="AF354" s="15">
        <f>Table50[[#This Row],[ClosingQty]]/Table50[[#This Row],[USAGE / DAY]]</f>
        <v>-51</v>
      </c>
      <c r="AG354" s="15">
        <f>Table50[[#This Row],[USAGE / DAY]]*7</f>
        <v>-7.0000000000000007E-2</v>
      </c>
      <c r="AH354" s="15">
        <f>Table50[[#This Row],[USAGE / DAY]]*3</f>
        <v>-0.03</v>
      </c>
      <c r="AI35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4" s="15">
        <f>IFERROR(Table50[[#This Row],[ORDER QTY2]]*Table50[[#This Row],[COST PRICE]],0)</f>
        <v>0</v>
      </c>
      <c r="AK354" s="15">
        <f>(Table50[[#This Row],[REORDER POINT]]*Table50[[#This Row],[COST PRICE]])+Table50[[#This Row],[ORDER COST]]</f>
        <v>35.546164705882354</v>
      </c>
      <c r="AL354" s="15">
        <f t="shared" si="17"/>
        <v>100</v>
      </c>
      <c r="AM354" s="15">
        <f>IFERROR((Table50[[#This Row],[REORDER POINT]]+Table50[[#This Row],[ORDER QTY]])/(Table50[[#This Row],[USAGE / DAY]]*Table50[[#This Row],[DEMAND %]]),Table50[[#This Row],[REORDER POINT]]/Table50[[#This Row],[USAGE / DAY]])</f>
        <v>-56.000000000000007</v>
      </c>
    </row>
    <row r="355" spans="1:39" x14ac:dyDescent="0.25">
      <c r="A355" t="s">
        <v>324</v>
      </c>
      <c r="B355" t="s">
        <v>438</v>
      </c>
      <c r="C355" t="s">
        <v>465</v>
      </c>
      <c r="D355" t="s">
        <v>76</v>
      </c>
      <c r="E355">
        <v>27.72</v>
      </c>
      <c r="F355">
        <v>785.31</v>
      </c>
      <c r="G355">
        <v>0</v>
      </c>
      <c r="H355">
        <v>0</v>
      </c>
      <c r="I355">
        <v>42.5</v>
      </c>
      <c r="J355">
        <v>1221.8800000000001</v>
      </c>
      <c r="K355">
        <f>Table50[[#This Row],[OpeningQty]]+Table50[[#This Row],[PurchasesQty]]-Table50[[#This Row],[ClosingQty]]</f>
        <v>-14.780000000000001</v>
      </c>
      <c r="L355">
        <v>-436.57</v>
      </c>
      <c r="M355" s="14">
        <f>Table50[[#This Row],[Usage]]/$L$1</f>
        <v>-6.6306225194208868E-4</v>
      </c>
      <c r="N355" s="15">
        <f>IFERROR(Table50[[#This Row],[Opening]]/Table50[[#This Row],[OpeningQty]],0)</f>
        <v>28.330086580086579</v>
      </c>
      <c r="O355" s="15">
        <f>IFERROR(Table50[[#This Row],[Purchases]]/Table50[[#This Row],[PurchasesQty]],0)</f>
        <v>0</v>
      </c>
      <c r="P355" s="15">
        <f>IFERROR(Table50[[#This Row],[Closing]]/Table50[[#This Row],[ClosingQty]],0)</f>
        <v>28.750117647058826</v>
      </c>
      <c r="Q355" s="15">
        <f>IFERROR(AVERAGEIF(Table50[[#This Row],[OPENING COST PRICE]:[CLOSING COST PRICE]],"&gt;0"),0)</f>
        <v>28.540102113572701</v>
      </c>
      <c r="R355" s="15">
        <f>IFERROR(Table50[[#This Row],[COST PRICE]]-IFERROR(Table50[[#This Row],[Usage]]/Table50[[#This Row],[UsageQty]],Table50[[#This Row],[COST PRICE]]),0)</f>
        <v>-0.99778692566951577</v>
      </c>
      <c r="S355" s="16">
        <f>IFERROR(Table50[[#This Row],[COST PRICE CHANGE]]/Table50[[#This Row],[OPENING COST PRICE]],0)</f>
        <v>-3.5220045051710759E-2</v>
      </c>
      <c r="T355" s="15">
        <f>Table50[[#This Row],[ClosingQty]]-(Table50[[#This Row],[USAGE / DAY]]*(IF(Table50[[#This Row],[ccnt]]="BEV",Table50[[#This Row],[DELIVERY DAY]],Table50[[#This Row],[DELIVERY DAY]])))</f>
        <v>47.8</v>
      </c>
      <c r="U355" s="15">
        <f>ROUNDUP(Table50[[#This Row],[UsageQty]]/Table50[[#This Row],[DATA POINT]],2)</f>
        <v>-1.06</v>
      </c>
      <c r="V35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5" s="15">
        <f>IFERROR(Table50[[#This Row],[ORDER QTY]]*Table50[[#This Row],[COST PRICE]],0)</f>
        <v>0</v>
      </c>
      <c r="X355" s="15">
        <f>IFERROR(VLOOKUP(C355,[1]!Table49[[#All],[name]:[USAGE / DAY]],19,FALSE),1)</f>
        <v>0.3</v>
      </c>
      <c r="Y355" s="4">
        <f>IFERROR((Table50[[#This Row],[USAGE / DAY]]-Table50[[#This Row],[USAGE / DAY 2]])/Table50[[#This Row],[USAGE / DAY 2]],0)</f>
        <v>-4.5333333333333341</v>
      </c>
      <c r="Z355" s="15">
        <f t="shared" si="15"/>
        <v>14</v>
      </c>
      <c r="AA355" s="15">
        <f t="shared" si="16"/>
        <v>9.311854181734148</v>
      </c>
      <c r="AB355" s="15">
        <f>IFERROR(IF(Table50[[#This Row],[ccnt]]="BEV",$AB$2,IF(Table50[[#This Row],[ccnt]]="FOOD",$AC$2,"ENTER # FROM LAST COUNT")),"ENTER # FROM LAST COUNT")</f>
        <v>5</v>
      </c>
      <c r="AC355" s="15">
        <f>(Table50[[#This Row],[OpeningQty]]+Table50[[#This Row],[ClosingQty]])/2</f>
        <v>35.11</v>
      </c>
      <c r="AD355" s="15">
        <f>IFERROR(Table50[[#This Row],[UsageQty]]/Table50[[#This Row],[AVE INVENTORY]],0)</f>
        <v>-0.42096268869268016</v>
      </c>
      <c r="AE355" s="15">
        <f>IFERROR(Table50[[#This Row],[DATA POINT]]/Table50[[#This Row],[Inventory Turnover Rate]],0)</f>
        <v>-33.257104194857916</v>
      </c>
      <c r="AF355" s="15">
        <f>Table50[[#This Row],[ClosingQty]]/Table50[[#This Row],[USAGE / DAY]]</f>
        <v>-40.094339622641506</v>
      </c>
      <c r="AG355" s="15">
        <f>Table50[[#This Row],[USAGE / DAY]]*7</f>
        <v>-7.42</v>
      </c>
      <c r="AH355" s="15">
        <f>Table50[[#This Row],[USAGE / DAY]]*3</f>
        <v>-3.18</v>
      </c>
      <c r="AI35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5" s="15">
        <f>IFERROR(Table50[[#This Row],[ORDER QTY2]]*Table50[[#This Row],[COST PRICE]],0)</f>
        <v>0</v>
      </c>
      <c r="AK355" s="15">
        <f>(Table50[[#This Row],[REORDER POINT]]*Table50[[#This Row],[COST PRICE]])+Table50[[#This Row],[ORDER COST]]</f>
        <v>1364.2168810287751</v>
      </c>
      <c r="AL355" s="15">
        <f t="shared" si="17"/>
        <v>100</v>
      </c>
      <c r="AM355" s="15">
        <f>IFERROR((Table50[[#This Row],[REORDER POINT]]+Table50[[#This Row],[ORDER QTY]])/(Table50[[#This Row],[USAGE / DAY]]*Table50[[#This Row],[DEMAND %]]),Table50[[#This Row],[REORDER POINT]]/Table50[[#This Row],[USAGE / DAY]])</f>
        <v>-45.094339622641506</v>
      </c>
    </row>
    <row r="356" spans="1:39" x14ac:dyDescent="0.25">
      <c r="A356" t="s">
        <v>324</v>
      </c>
      <c r="B356" t="s">
        <v>438</v>
      </c>
      <c r="C356" t="s">
        <v>466</v>
      </c>
      <c r="D356" t="s">
        <v>95</v>
      </c>
      <c r="E356">
        <v>1.6</v>
      </c>
      <c r="F356">
        <v>37.340000000000003</v>
      </c>
      <c r="G356">
        <v>0</v>
      </c>
      <c r="H356">
        <v>0</v>
      </c>
      <c r="I356">
        <v>1.35</v>
      </c>
      <c r="J356">
        <v>31.51</v>
      </c>
      <c r="K356">
        <f>Table50[[#This Row],[OpeningQty]]+Table50[[#This Row],[PurchasesQty]]-Table50[[#This Row],[ClosingQty]]</f>
        <v>0.25</v>
      </c>
      <c r="L356">
        <v>5.83</v>
      </c>
      <c r="M356" s="14">
        <f>Table50[[#This Row],[Usage]]/$L$1</f>
        <v>8.8546004737439061E-6</v>
      </c>
      <c r="N356" s="15">
        <f>IFERROR(Table50[[#This Row],[Opening]]/Table50[[#This Row],[OpeningQty]],0)</f>
        <v>23.337500000000002</v>
      </c>
      <c r="O356" s="15">
        <f>IFERROR(Table50[[#This Row],[Purchases]]/Table50[[#This Row],[PurchasesQty]],0)</f>
        <v>0</v>
      </c>
      <c r="P356" s="15">
        <f>IFERROR(Table50[[#This Row],[Closing]]/Table50[[#This Row],[ClosingQty]],0)</f>
        <v>23.340740740740742</v>
      </c>
      <c r="Q356" s="15">
        <f>IFERROR(AVERAGEIF(Table50[[#This Row],[OPENING COST PRICE]:[CLOSING COST PRICE]],"&gt;0"),0)</f>
        <v>23.339120370370374</v>
      </c>
      <c r="R356" s="15">
        <f>IFERROR(Table50[[#This Row],[COST PRICE]]-IFERROR(Table50[[#This Row],[Usage]]/Table50[[#This Row],[UsageQty]],Table50[[#This Row],[COST PRICE]]),0)</f>
        <v>1.9120370370373507E-2</v>
      </c>
      <c r="S356" s="16">
        <f>IFERROR(Table50[[#This Row],[COST PRICE CHANGE]]/Table50[[#This Row],[OPENING COST PRICE]],0)</f>
        <v>8.1929814120507789E-4</v>
      </c>
      <c r="T356" s="15">
        <f>Table50[[#This Row],[ClosingQty]]-(Table50[[#This Row],[USAGE / DAY]]*(IF(Table50[[#This Row],[ccnt]]="BEV",Table50[[#This Row],[DELIVERY DAY]],Table50[[#This Row],[DELIVERY DAY]])))</f>
        <v>1.25</v>
      </c>
      <c r="U356" s="15">
        <f>ROUNDUP(Table50[[#This Row],[UsageQty]]/Table50[[#This Row],[DATA POINT]],2)</f>
        <v>0.02</v>
      </c>
      <c r="V35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6" s="15">
        <f>IFERROR(Table50[[#This Row],[ORDER QTY]]*Table50[[#This Row],[COST PRICE]],0)</f>
        <v>0</v>
      </c>
      <c r="X356" s="15">
        <f>IFERROR(VLOOKUP(C356,[1]!Table49[[#All],[name]:[USAGE / DAY]],19,FALSE),1)</f>
        <v>0.02</v>
      </c>
      <c r="Y356" s="4">
        <f>IFERROR((Table50[[#This Row],[USAGE / DAY]]-Table50[[#This Row],[USAGE / DAY 2]])/Table50[[#This Row],[USAGE / DAY 2]],0)</f>
        <v>0</v>
      </c>
      <c r="Z356" s="15">
        <f t="shared" si="15"/>
        <v>14</v>
      </c>
      <c r="AA356" s="15">
        <f t="shared" si="16"/>
        <v>9.311854181734148</v>
      </c>
      <c r="AB356" s="15">
        <f>IFERROR(IF(Table50[[#This Row],[ccnt]]="BEV",$AB$2,IF(Table50[[#This Row],[ccnt]]="FOOD",$AC$2,"ENTER # FROM LAST COUNT")),"ENTER # FROM LAST COUNT")</f>
        <v>5</v>
      </c>
      <c r="AC356" s="15">
        <f>(Table50[[#This Row],[OpeningQty]]+Table50[[#This Row],[ClosingQty]])/2</f>
        <v>1.4750000000000001</v>
      </c>
      <c r="AD356" s="15">
        <f>IFERROR(Table50[[#This Row],[UsageQty]]/Table50[[#This Row],[AVE INVENTORY]],0)</f>
        <v>0.16949152542372881</v>
      </c>
      <c r="AE356" s="15">
        <f>IFERROR(Table50[[#This Row],[DATA POINT]]/Table50[[#This Row],[Inventory Turnover Rate]],0)</f>
        <v>82.600000000000009</v>
      </c>
      <c r="AF356" s="15">
        <f>Table50[[#This Row],[ClosingQty]]/Table50[[#This Row],[USAGE / DAY]]</f>
        <v>67.5</v>
      </c>
      <c r="AG356" s="15">
        <f>Table50[[#This Row],[USAGE / DAY]]*7</f>
        <v>0.14000000000000001</v>
      </c>
      <c r="AH356" s="15">
        <f>Table50[[#This Row],[USAGE / DAY]]*3</f>
        <v>0.06</v>
      </c>
      <c r="AI35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6" s="15">
        <f>IFERROR(Table50[[#This Row],[ORDER QTY2]]*Table50[[#This Row],[COST PRICE]],0)</f>
        <v>0</v>
      </c>
      <c r="AK356" s="15">
        <f>(Table50[[#This Row],[REORDER POINT]]*Table50[[#This Row],[COST PRICE]])+Table50[[#This Row],[ORDER COST]]</f>
        <v>29.173900462962969</v>
      </c>
      <c r="AL356" s="15">
        <f t="shared" si="17"/>
        <v>100</v>
      </c>
      <c r="AM356" s="15">
        <f>IFERROR((Table50[[#This Row],[REORDER POINT]]+Table50[[#This Row],[ORDER QTY]])/(Table50[[#This Row],[USAGE / DAY]]*Table50[[#This Row],[DEMAND %]]),Table50[[#This Row],[REORDER POINT]]/Table50[[#This Row],[USAGE / DAY]])</f>
        <v>62.5</v>
      </c>
    </row>
    <row r="357" spans="1:39" x14ac:dyDescent="0.25">
      <c r="A357" t="s">
        <v>324</v>
      </c>
      <c r="B357" t="s">
        <v>438</v>
      </c>
      <c r="C357" t="s">
        <v>467</v>
      </c>
      <c r="D357" t="s">
        <v>126</v>
      </c>
      <c r="E357">
        <v>0.84</v>
      </c>
      <c r="F357">
        <v>69.72</v>
      </c>
      <c r="G357">
        <v>0</v>
      </c>
      <c r="H357">
        <v>0</v>
      </c>
      <c r="I357">
        <v>0.76</v>
      </c>
      <c r="J357">
        <v>63.08</v>
      </c>
      <c r="K357">
        <f>Table50[[#This Row],[OpeningQty]]+Table50[[#This Row],[PurchasesQty]]-Table50[[#This Row],[ClosingQty]]</f>
        <v>7.999999999999996E-2</v>
      </c>
      <c r="L357">
        <v>6.64</v>
      </c>
      <c r="M357" s="14">
        <f>Table50[[#This Row],[Usage]]/$L$1</f>
        <v>1.0084827983818103E-5</v>
      </c>
      <c r="N357" s="15">
        <f>IFERROR(Table50[[#This Row],[Opening]]/Table50[[#This Row],[OpeningQty]],0)</f>
        <v>83</v>
      </c>
      <c r="O357" s="15">
        <f>IFERROR(Table50[[#This Row],[Purchases]]/Table50[[#This Row],[PurchasesQty]],0)</f>
        <v>0</v>
      </c>
      <c r="P357" s="15">
        <f>IFERROR(Table50[[#This Row],[Closing]]/Table50[[#This Row],[ClosingQty]],0)</f>
        <v>83</v>
      </c>
      <c r="Q357" s="15">
        <f>IFERROR(AVERAGEIF(Table50[[#This Row],[OPENING COST PRICE]:[CLOSING COST PRICE]],"&gt;0"),0)</f>
        <v>83</v>
      </c>
      <c r="R357" s="15">
        <f>IFERROR(Table50[[#This Row],[COST PRICE]]-IFERROR(Table50[[#This Row],[Usage]]/Table50[[#This Row],[UsageQty]],Table50[[#This Row],[COST PRICE]]),0)</f>
        <v>-4.2632564145606011E-14</v>
      </c>
      <c r="S357" s="16">
        <f>IFERROR(Table50[[#This Row],[COST PRICE CHANGE]]/Table50[[#This Row],[OPENING COST PRICE]],0)</f>
        <v>-5.1364535115187963E-16</v>
      </c>
      <c r="T357" s="15">
        <f>Table50[[#This Row],[ClosingQty]]-(Table50[[#This Row],[USAGE / DAY]]*(IF(Table50[[#This Row],[ccnt]]="BEV",Table50[[#This Row],[DELIVERY DAY]],Table50[[#This Row],[DELIVERY DAY]])))</f>
        <v>0.71</v>
      </c>
      <c r="U357" s="15">
        <f>ROUNDUP(Table50[[#This Row],[UsageQty]]/Table50[[#This Row],[DATA POINT]],2)</f>
        <v>0.01</v>
      </c>
      <c r="V35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7" s="15">
        <f>IFERROR(Table50[[#This Row],[ORDER QTY]]*Table50[[#This Row],[COST PRICE]],0)</f>
        <v>0</v>
      </c>
      <c r="X357" s="15">
        <f>IFERROR(VLOOKUP(C357,[1]!Table49[[#All],[name]:[USAGE / DAY]],19,FALSE),1)</f>
        <v>-0.01</v>
      </c>
      <c r="Y357" s="4">
        <f>IFERROR((Table50[[#This Row],[USAGE / DAY]]-Table50[[#This Row],[USAGE / DAY 2]])/Table50[[#This Row],[USAGE / DAY 2]],0)</f>
        <v>-2</v>
      </c>
      <c r="Z357" s="15">
        <f t="shared" si="15"/>
        <v>14</v>
      </c>
      <c r="AA357" s="15">
        <f t="shared" si="16"/>
        <v>9.311854181734148</v>
      </c>
      <c r="AB357" s="15">
        <f>IFERROR(IF(Table50[[#This Row],[ccnt]]="BEV",$AB$2,IF(Table50[[#This Row],[ccnt]]="FOOD",$AC$2,"ENTER # FROM LAST COUNT")),"ENTER # FROM LAST COUNT")</f>
        <v>5</v>
      </c>
      <c r="AC357" s="15">
        <f>(Table50[[#This Row],[OpeningQty]]+Table50[[#This Row],[ClosingQty]])/2</f>
        <v>0.8</v>
      </c>
      <c r="AD357" s="15">
        <f>IFERROR(Table50[[#This Row],[UsageQty]]/Table50[[#This Row],[AVE INVENTORY]],0)</f>
        <v>9.999999999999995E-2</v>
      </c>
      <c r="AE357" s="15">
        <f>IFERROR(Table50[[#This Row],[DATA POINT]]/Table50[[#This Row],[Inventory Turnover Rate]],0)</f>
        <v>140.00000000000006</v>
      </c>
      <c r="AF357" s="15">
        <f>Table50[[#This Row],[ClosingQty]]/Table50[[#This Row],[USAGE / DAY]]</f>
        <v>76</v>
      </c>
      <c r="AG357" s="15">
        <f>Table50[[#This Row],[USAGE / DAY]]*7</f>
        <v>7.0000000000000007E-2</v>
      </c>
      <c r="AH357" s="15">
        <f>Table50[[#This Row],[USAGE / DAY]]*3</f>
        <v>0.03</v>
      </c>
      <c r="AI35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7" s="15">
        <f>IFERROR(Table50[[#This Row],[ORDER QTY2]]*Table50[[#This Row],[COST PRICE]],0)</f>
        <v>0</v>
      </c>
      <c r="AK357" s="15">
        <f>(Table50[[#This Row],[REORDER POINT]]*Table50[[#This Row],[COST PRICE]])+Table50[[#This Row],[ORDER COST]]</f>
        <v>58.93</v>
      </c>
      <c r="AL357" s="15">
        <f t="shared" si="17"/>
        <v>100</v>
      </c>
      <c r="AM357" s="15">
        <f>IFERROR((Table50[[#This Row],[REORDER POINT]]+Table50[[#This Row],[ORDER QTY]])/(Table50[[#This Row],[USAGE / DAY]]*Table50[[#This Row],[DEMAND %]]),Table50[[#This Row],[REORDER POINT]]/Table50[[#This Row],[USAGE / DAY]])</f>
        <v>71</v>
      </c>
    </row>
    <row r="358" spans="1:39" x14ac:dyDescent="0.25">
      <c r="A358" t="s">
        <v>324</v>
      </c>
      <c r="B358" t="s">
        <v>438</v>
      </c>
      <c r="C358" t="s">
        <v>468</v>
      </c>
      <c r="D358" t="s">
        <v>76</v>
      </c>
      <c r="E358">
        <v>0</v>
      </c>
      <c r="F358">
        <v>0</v>
      </c>
      <c r="G358">
        <v>0</v>
      </c>
      <c r="H358">
        <v>0</v>
      </c>
      <c r="I358">
        <v>0.28000000000000003</v>
      </c>
      <c r="J358">
        <v>7.72</v>
      </c>
      <c r="K358">
        <f>Table50[[#This Row],[OpeningQty]]+Table50[[#This Row],[PurchasesQty]]-Table50[[#This Row],[ClosingQty]]</f>
        <v>-0.28000000000000003</v>
      </c>
      <c r="L358">
        <v>-7.72</v>
      </c>
      <c r="M358" s="14">
        <f>Table50[[#This Row],[Usage]]/$L$1</f>
        <v>-1.1725131330583697E-5</v>
      </c>
      <c r="N358" s="15">
        <f>IFERROR(Table50[[#This Row],[Opening]]/Table50[[#This Row],[OpeningQty]],0)</f>
        <v>0</v>
      </c>
      <c r="O358" s="15">
        <f>IFERROR(Table50[[#This Row],[Purchases]]/Table50[[#This Row],[PurchasesQty]],0)</f>
        <v>0</v>
      </c>
      <c r="P358" s="15">
        <f>IFERROR(Table50[[#This Row],[Closing]]/Table50[[#This Row],[ClosingQty]],0)</f>
        <v>27.571428571428569</v>
      </c>
      <c r="Q358" s="15">
        <f>IFERROR(AVERAGEIF(Table50[[#This Row],[OPENING COST PRICE]:[CLOSING COST PRICE]],"&gt;0"),0)</f>
        <v>27.571428571428569</v>
      </c>
      <c r="R358" s="15">
        <f>IFERROR(Table50[[#This Row],[COST PRICE]]-IFERROR(Table50[[#This Row],[Usage]]/Table50[[#This Row],[UsageQty]],Table50[[#This Row],[COST PRICE]]),0)</f>
        <v>0</v>
      </c>
      <c r="S358" s="16">
        <f>IFERROR(Table50[[#This Row],[COST PRICE CHANGE]]/Table50[[#This Row],[OPENING COST PRICE]],0)</f>
        <v>0</v>
      </c>
      <c r="T358" s="15">
        <f>Table50[[#This Row],[ClosingQty]]-(Table50[[#This Row],[USAGE / DAY]]*(IF(Table50[[#This Row],[ccnt]]="BEV",Table50[[#This Row],[DELIVERY DAY]],Table50[[#This Row],[DELIVERY DAY]])))</f>
        <v>0.38</v>
      </c>
      <c r="U358" s="15">
        <f>ROUNDUP(Table50[[#This Row],[UsageQty]]/Table50[[#This Row],[DATA POINT]],2)</f>
        <v>-0.02</v>
      </c>
      <c r="V35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8" s="15">
        <f>IFERROR(Table50[[#This Row],[ORDER QTY]]*Table50[[#This Row],[COST PRICE]],0)</f>
        <v>0</v>
      </c>
      <c r="X358" s="15">
        <f>IFERROR(VLOOKUP(C358,[1]!Table49[[#All],[name]:[USAGE / DAY]],19,FALSE),1)</f>
        <v>-0.01</v>
      </c>
      <c r="Y358" s="4">
        <f>IFERROR((Table50[[#This Row],[USAGE / DAY]]-Table50[[#This Row],[USAGE / DAY 2]])/Table50[[#This Row],[USAGE / DAY 2]],0)</f>
        <v>1</v>
      </c>
      <c r="Z358" s="15">
        <f t="shared" si="15"/>
        <v>14</v>
      </c>
      <c r="AA358" s="15">
        <f t="shared" si="16"/>
        <v>9.311854181734148</v>
      </c>
      <c r="AB358" s="15">
        <f>IFERROR(IF(Table50[[#This Row],[ccnt]]="BEV",$AB$2,IF(Table50[[#This Row],[ccnt]]="FOOD",$AC$2,"ENTER # FROM LAST COUNT")),"ENTER # FROM LAST COUNT")</f>
        <v>5</v>
      </c>
      <c r="AC358" s="15">
        <f>(Table50[[#This Row],[OpeningQty]]+Table50[[#This Row],[ClosingQty]])/2</f>
        <v>0.14000000000000001</v>
      </c>
      <c r="AD358" s="15">
        <f>IFERROR(Table50[[#This Row],[UsageQty]]/Table50[[#This Row],[AVE INVENTORY]],0)</f>
        <v>-2</v>
      </c>
      <c r="AE358" s="15">
        <f>IFERROR(Table50[[#This Row],[DATA POINT]]/Table50[[#This Row],[Inventory Turnover Rate]],0)</f>
        <v>-7</v>
      </c>
      <c r="AF358" s="15">
        <f>Table50[[#This Row],[ClosingQty]]/Table50[[#This Row],[USAGE / DAY]]</f>
        <v>-14.000000000000002</v>
      </c>
      <c r="AG358" s="15">
        <f>Table50[[#This Row],[USAGE / DAY]]*7</f>
        <v>-0.14000000000000001</v>
      </c>
      <c r="AH358" s="15">
        <f>Table50[[#This Row],[USAGE / DAY]]*3</f>
        <v>-0.06</v>
      </c>
      <c r="AI35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8" s="15">
        <f>IFERROR(Table50[[#This Row],[ORDER QTY2]]*Table50[[#This Row],[COST PRICE]],0)</f>
        <v>0</v>
      </c>
      <c r="AK358" s="15">
        <f>(Table50[[#This Row],[REORDER POINT]]*Table50[[#This Row],[COST PRICE]])+Table50[[#This Row],[ORDER COST]]</f>
        <v>10.477142857142857</v>
      </c>
      <c r="AL358" s="15">
        <f t="shared" si="17"/>
        <v>100</v>
      </c>
      <c r="AM358" s="15">
        <f>IFERROR((Table50[[#This Row],[REORDER POINT]]+Table50[[#This Row],[ORDER QTY]])/(Table50[[#This Row],[USAGE / DAY]]*Table50[[#This Row],[DEMAND %]]),Table50[[#This Row],[REORDER POINT]]/Table50[[#This Row],[USAGE / DAY]])</f>
        <v>-19</v>
      </c>
    </row>
    <row r="359" spans="1:39" x14ac:dyDescent="0.25">
      <c r="A359" t="s">
        <v>324</v>
      </c>
      <c r="B359" t="s">
        <v>469</v>
      </c>
      <c r="C359" t="s">
        <v>470</v>
      </c>
      <c r="D359" t="s">
        <v>53</v>
      </c>
      <c r="E359">
        <v>56</v>
      </c>
      <c r="F359">
        <v>125.44</v>
      </c>
      <c r="G359">
        <v>0</v>
      </c>
      <c r="H359">
        <v>0</v>
      </c>
      <c r="I359">
        <v>33</v>
      </c>
      <c r="J359">
        <v>73.92</v>
      </c>
      <c r="K359">
        <f>Table50[[#This Row],[OpeningQty]]+Table50[[#This Row],[PurchasesQty]]-Table50[[#This Row],[ClosingQty]]</f>
        <v>23</v>
      </c>
      <c r="L359">
        <v>51.52</v>
      </c>
      <c r="M359" s="14">
        <f>Table50[[#This Row],[Usage]]/$L$1</f>
        <v>7.8248544838299504E-5</v>
      </c>
      <c r="N359" s="15">
        <f>IFERROR(Table50[[#This Row],[Opening]]/Table50[[#This Row],[OpeningQty]],0)</f>
        <v>2.2399999999999998</v>
      </c>
      <c r="O359" s="15">
        <f>IFERROR(Table50[[#This Row],[Purchases]]/Table50[[#This Row],[PurchasesQty]],0)</f>
        <v>0</v>
      </c>
      <c r="P359" s="15">
        <f>IFERROR(Table50[[#This Row],[Closing]]/Table50[[#This Row],[ClosingQty]],0)</f>
        <v>2.2400000000000002</v>
      </c>
      <c r="Q359" s="15">
        <f>IFERROR(AVERAGEIF(Table50[[#This Row],[OPENING COST PRICE]:[CLOSING COST PRICE]],"&gt;0"),0)</f>
        <v>2.2400000000000002</v>
      </c>
      <c r="R359" s="15">
        <f>IFERROR(Table50[[#This Row],[COST PRICE]]-IFERROR(Table50[[#This Row],[Usage]]/Table50[[#This Row],[UsageQty]],Table50[[#This Row],[COST PRICE]]),0)</f>
        <v>0</v>
      </c>
      <c r="S359" s="16">
        <f>IFERROR(Table50[[#This Row],[COST PRICE CHANGE]]/Table50[[#This Row],[OPENING COST PRICE]],0)</f>
        <v>0</v>
      </c>
      <c r="T359" s="15">
        <f>Table50[[#This Row],[ClosingQty]]-(Table50[[#This Row],[USAGE / DAY]]*(IF(Table50[[#This Row],[ccnt]]="BEV",Table50[[#This Row],[DELIVERY DAY]],Table50[[#This Row],[DELIVERY DAY]])))</f>
        <v>24.75</v>
      </c>
      <c r="U359" s="15">
        <f>ROUNDUP(Table50[[#This Row],[UsageQty]]/Table50[[#This Row],[DATA POINT]],2)</f>
        <v>1.65</v>
      </c>
      <c r="V35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59" s="15">
        <f>IFERROR(Table50[[#This Row],[ORDER QTY]]*Table50[[#This Row],[COST PRICE]],0)</f>
        <v>0</v>
      </c>
      <c r="X359" s="15">
        <f>IFERROR(VLOOKUP(C359,[1]!Table49[[#All],[name]:[USAGE / DAY]],19,FALSE),1)</f>
        <v>2.34</v>
      </c>
      <c r="Y359" s="4">
        <f>IFERROR((Table50[[#This Row],[USAGE / DAY]]-Table50[[#This Row],[USAGE / DAY 2]])/Table50[[#This Row],[USAGE / DAY 2]],0)</f>
        <v>-0.29487179487179488</v>
      </c>
      <c r="Z359" s="15">
        <f t="shared" si="15"/>
        <v>14</v>
      </c>
      <c r="AA359" s="15">
        <f t="shared" si="16"/>
        <v>9.311854181734148</v>
      </c>
      <c r="AB359" s="15">
        <f>IFERROR(IF(Table50[[#This Row],[ccnt]]="BEV",$AB$2,IF(Table50[[#This Row],[ccnt]]="FOOD",$AC$2,"ENTER # FROM LAST COUNT")),"ENTER # FROM LAST COUNT")</f>
        <v>5</v>
      </c>
      <c r="AC359" s="15">
        <f>(Table50[[#This Row],[OpeningQty]]+Table50[[#This Row],[ClosingQty]])/2</f>
        <v>44.5</v>
      </c>
      <c r="AD359" s="15">
        <f>IFERROR(Table50[[#This Row],[UsageQty]]/Table50[[#This Row],[AVE INVENTORY]],0)</f>
        <v>0.5168539325842697</v>
      </c>
      <c r="AE359" s="15">
        <f>IFERROR(Table50[[#This Row],[DATA POINT]]/Table50[[#This Row],[Inventory Turnover Rate]],0)</f>
        <v>27.086956521739129</v>
      </c>
      <c r="AF359" s="15">
        <f>Table50[[#This Row],[ClosingQty]]/Table50[[#This Row],[USAGE / DAY]]</f>
        <v>20</v>
      </c>
      <c r="AG359" s="15">
        <f>Table50[[#This Row],[USAGE / DAY]]*7</f>
        <v>11.549999999999999</v>
      </c>
      <c r="AH359" s="15">
        <f>Table50[[#This Row],[USAGE / DAY]]*3</f>
        <v>4.9499999999999993</v>
      </c>
      <c r="AI35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59" s="15">
        <f>IFERROR(Table50[[#This Row],[ORDER QTY2]]*Table50[[#This Row],[COST PRICE]],0)</f>
        <v>0</v>
      </c>
      <c r="AK359" s="15">
        <f>(Table50[[#This Row],[REORDER POINT]]*Table50[[#This Row],[COST PRICE]])+Table50[[#This Row],[ORDER COST]]</f>
        <v>55.440000000000005</v>
      </c>
      <c r="AL359" s="15">
        <f t="shared" si="17"/>
        <v>100</v>
      </c>
      <c r="AM359" s="15">
        <f>IFERROR((Table50[[#This Row],[REORDER POINT]]+Table50[[#This Row],[ORDER QTY]])/(Table50[[#This Row],[USAGE / DAY]]*Table50[[#This Row],[DEMAND %]]),Table50[[#This Row],[REORDER POINT]]/Table50[[#This Row],[USAGE / DAY]])</f>
        <v>15</v>
      </c>
    </row>
    <row r="360" spans="1:39" x14ac:dyDescent="0.25">
      <c r="A360" t="s">
        <v>324</v>
      </c>
      <c r="B360" t="s">
        <v>469</v>
      </c>
      <c r="C360" t="s">
        <v>471</v>
      </c>
      <c r="D360" t="s">
        <v>288</v>
      </c>
      <c r="E360">
        <v>1</v>
      </c>
      <c r="F360">
        <v>134.19</v>
      </c>
      <c r="G360">
        <v>0</v>
      </c>
      <c r="H360">
        <v>0</v>
      </c>
      <c r="I360">
        <v>1</v>
      </c>
      <c r="J360">
        <v>134.19</v>
      </c>
      <c r="K360">
        <f>Table50[[#This Row],[OpeningQty]]+Table50[[#This Row],[PurchasesQty]]-Table50[[#This Row],[ClosingQty]]</f>
        <v>0</v>
      </c>
      <c r="L360">
        <v>0</v>
      </c>
      <c r="M360" s="14">
        <f>Table50[[#This Row],[Usage]]/$L$1</f>
        <v>0</v>
      </c>
      <c r="N360" s="15">
        <f>IFERROR(Table50[[#This Row],[Opening]]/Table50[[#This Row],[OpeningQty]],0)</f>
        <v>134.19</v>
      </c>
      <c r="O360" s="15">
        <f>IFERROR(Table50[[#This Row],[Purchases]]/Table50[[#This Row],[PurchasesQty]],0)</f>
        <v>0</v>
      </c>
      <c r="P360" s="15">
        <f>IFERROR(Table50[[#This Row],[Closing]]/Table50[[#This Row],[ClosingQty]],0)</f>
        <v>134.19</v>
      </c>
      <c r="Q360" s="15">
        <f>IFERROR(AVERAGEIF(Table50[[#This Row],[OPENING COST PRICE]:[CLOSING COST PRICE]],"&gt;0"),0)</f>
        <v>134.19</v>
      </c>
      <c r="R360" s="15">
        <f>IFERROR(Table50[[#This Row],[COST PRICE]]-IFERROR(Table50[[#This Row],[Usage]]/Table50[[#This Row],[UsageQty]],Table50[[#This Row],[COST PRICE]]),0)</f>
        <v>0</v>
      </c>
      <c r="S360" s="16">
        <f>IFERROR(Table50[[#This Row],[COST PRICE CHANGE]]/Table50[[#This Row],[OPENING COST PRICE]],0)</f>
        <v>0</v>
      </c>
      <c r="T360" s="15">
        <f>Table50[[#This Row],[ClosingQty]]-(Table50[[#This Row],[USAGE / DAY]]*(IF(Table50[[#This Row],[ccnt]]="BEV",Table50[[#This Row],[DELIVERY DAY]],Table50[[#This Row],[DELIVERY DAY]])))</f>
        <v>1</v>
      </c>
      <c r="U360" s="15">
        <f>ROUNDUP(Table50[[#This Row],[UsageQty]]/Table50[[#This Row],[DATA POINT]],2)</f>
        <v>0</v>
      </c>
      <c r="V36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60" s="15">
        <f>IFERROR(Table50[[#This Row],[ORDER QTY]]*Table50[[#This Row],[COST PRICE]],0)</f>
        <v>0</v>
      </c>
      <c r="X360" s="15">
        <f>IFERROR(VLOOKUP(C360,[1]!Table49[[#All],[name]:[USAGE / DAY]],19,FALSE),1)</f>
        <v>0</v>
      </c>
      <c r="Y360" s="4">
        <f>IFERROR((Table50[[#This Row],[USAGE / DAY]]-Table50[[#This Row],[USAGE / DAY 2]])/Table50[[#This Row],[USAGE / DAY 2]],0)</f>
        <v>0</v>
      </c>
      <c r="Z360" s="15">
        <f t="shared" si="15"/>
        <v>14</v>
      </c>
      <c r="AA360" s="15">
        <f t="shared" si="16"/>
        <v>9.311854181734148</v>
      </c>
      <c r="AB360" s="15">
        <f>IFERROR(IF(Table50[[#This Row],[ccnt]]="BEV",$AB$2,IF(Table50[[#This Row],[ccnt]]="FOOD",$AC$2,"ENTER # FROM LAST COUNT")),"ENTER # FROM LAST COUNT")</f>
        <v>5</v>
      </c>
      <c r="AC360" s="15">
        <f>(Table50[[#This Row],[OpeningQty]]+Table50[[#This Row],[ClosingQty]])/2</f>
        <v>1</v>
      </c>
      <c r="AD360" s="15">
        <f>IFERROR(Table50[[#This Row],[UsageQty]]/Table50[[#This Row],[AVE INVENTORY]],0)</f>
        <v>0</v>
      </c>
      <c r="AE360" s="15">
        <f>IFERROR(Table50[[#This Row],[DATA POINT]]/Table50[[#This Row],[Inventory Turnover Rate]],0)</f>
        <v>0</v>
      </c>
      <c r="AF360" s="15" t="e">
        <f>Table50[[#This Row],[ClosingQty]]/Table50[[#This Row],[USAGE / DAY]]</f>
        <v>#DIV/0!</v>
      </c>
      <c r="AG360" s="15">
        <f>Table50[[#This Row],[USAGE / DAY]]*7</f>
        <v>0</v>
      </c>
      <c r="AH360" s="15">
        <f>Table50[[#This Row],[USAGE / DAY]]*3</f>
        <v>0</v>
      </c>
      <c r="AI36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60" s="15">
        <f>IFERROR(Table50[[#This Row],[ORDER QTY2]]*Table50[[#This Row],[COST PRICE]],0)</f>
        <v>0</v>
      </c>
      <c r="AK360" s="15">
        <f>(Table50[[#This Row],[REORDER POINT]]*Table50[[#This Row],[COST PRICE]])+Table50[[#This Row],[ORDER COST]]</f>
        <v>134.19</v>
      </c>
      <c r="AL360" s="15">
        <f t="shared" si="17"/>
        <v>100</v>
      </c>
      <c r="AM360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61" spans="1:39" x14ac:dyDescent="0.25">
      <c r="A361" t="s">
        <v>324</v>
      </c>
      <c r="B361" t="s">
        <v>469</v>
      </c>
      <c r="C361" t="s">
        <v>472</v>
      </c>
      <c r="D361" t="s">
        <v>126</v>
      </c>
      <c r="E361">
        <v>11.64</v>
      </c>
      <c r="F361">
        <v>967.63</v>
      </c>
      <c r="G361">
        <v>16</v>
      </c>
      <c r="H361">
        <v>1330</v>
      </c>
      <c r="I361">
        <v>12.92</v>
      </c>
      <c r="J361">
        <v>1074.04</v>
      </c>
      <c r="K361">
        <f>Table50[[#This Row],[OpeningQty]]+Table50[[#This Row],[PurchasesQty]]-Table50[[#This Row],[ClosingQty]]</f>
        <v>14.72</v>
      </c>
      <c r="L361">
        <v>1223.5899999999999</v>
      </c>
      <c r="M361" s="14">
        <f>Table50[[#This Row],[Usage]]/$L$1</f>
        <v>1.8583877519156614E-3</v>
      </c>
      <c r="N361" s="15">
        <f>IFERROR(Table50[[#This Row],[Opening]]/Table50[[#This Row],[OpeningQty]],0)</f>
        <v>83.12972508591065</v>
      </c>
      <c r="O361" s="15">
        <f>IFERROR(Table50[[#This Row],[Purchases]]/Table50[[#This Row],[PurchasesQty]],0)</f>
        <v>83.125</v>
      </c>
      <c r="P361" s="15">
        <f>IFERROR(Table50[[#This Row],[Closing]]/Table50[[#This Row],[ClosingQty]],0)</f>
        <v>83.130030959752318</v>
      </c>
      <c r="Q361" s="15">
        <f>IFERROR(AVERAGEIF(Table50[[#This Row],[OPENING COST PRICE]:[CLOSING COST PRICE]],"&gt;0"),0)</f>
        <v>83.128252015220994</v>
      </c>
      <c r="R361" s="15">
        <f>IFERROR(Table50[[#This Row],[COST PRICE]]-IFERROR(Table50[[#This Row],[Usage]]/Table50[[#This Row],[UsageQty]],Table50[[#This Row],[COST PRICE]]),0)</f>
        <v>3.9313630470871885E-3</v>
      </c>
      <c r="S361" s="16">
        <f>IFERROR(Table50[[#This Row],[COST PRICE CHANGE]]/Table50[[#This Row],[OPENING COST PRICE]],0)</f>
        <v>4.7291904827356404E-5</v>
      </c>
      <c r="T361" s="15">
        <f>Table50[[#This Row],[ClosingQty]]-(Table50[[#This Row],[USAGE / DAY]]*(IF(Table50[[#This Row],[ccnt]]="BEV",Table50[[#This Row],[DELIVERY DAY]],Table50[[#This Row],[DELIVERY DAY]])))</f>
        <v>7.6199999999999992</v>
      </c>
      <c r="U361" s="15">
        <f>ROUNDUP(Table50[[#This Row],[UsageQty]]/Table50[[#This Row],[DATA POINT]],2)</f>
        <v>1.06</v>
      </c>
      <c r="V36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</v>
      </c>
      <c r="W361" s="15">
        <f>IFERROR(Table50[[#This Row],[ORDER QTY]]*Table50[[#This Row],[COST PRICE]],0)</f>
        <v>249.38475604566298</v>
      </c>
      <c r="X361" s="15">
        <f>IFERROR(VLOOKUP(C361,[1]!Table49[[#All],[name]:[USAGE / DAY]],19,FALSE),1)</f>
        <v>1.27</v>
      </c>
      <c r="Y361" s="4">
        <f>IFERROR((Table50[[#This Row],[USAGE / DAY]]-Table50[[#This Row],[USAGE / DAY 2]])/Table50[[#This Row],[USAGE / DAY 2]],0)</f>
        <v>-0.16535433070866137</v>
      </c>
      <c r="Z361" s="15">
        <f t="shared" si="15"/>
        <v>14</v>
      </c>
      <c r="AA361" s="15">
        <f t="shared" si="16"/>
        <v>9.311854181734148</v>
      </c>
      <c r="AB361" s="15">
        <f>IFERROR(IF(Table50[[#This Row],[ccnt]]="BEV",$AB$2,IF(Table50[[#This Row],[ccnt]]="FOOD",$AC$2,"ENTER # FROM LAST COUNT")),"ENTER # FROM LAST COUNT")</f>
        <v>5</v>
      </c>
      <c r="AC361" s="15">
        <f>(Table50[[#This Row],[OpeningQty]]+Table50[[#This Row],[ClosingQty]])/2</f>
        <v>12.280000000000001</v>
      </c>
      <c r="AD361" s="15">
        <f>IFERROR(Table50[[#This Row],[UsageQty]]/Table50[[#This Row],[AVE INVENTORY]],0)</f>
        <v>1.1986970684039087</v>
      </c>
      <c r="AE361" s="15">
        <f>IFERROR(Table50[[#This Row],[DATA POINT]]/Table50[[#This Row],[Inventory Turnover Rate]],0)</f>
        <v>11.679347826086957</v>
      </c>
      <c r="AF361" s="15">
        <f>Table50[[#This Row],[ClosingQty]]/Table50[[#This Row],[USAGE / DAY]]</f>
        <v>12.188679245283017</v>
      </c>
      <c r="AG361" s="15">
        <f>Table50[[#This Row],[USAGE / DAY]]*7</f>
        <v>7.42</v>
      </c>
      <c r="AH361" s="15">
        <f>Table50[[#This Row],[USAGE / DAY]]*3</f>
        <v>3.18</v>
      </c>
      <c r="AI36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61" s="15">
        <f>IFERROR(Table50[[#This Row],[ORDER QTY2]]*Table50[[#This Row],[COST PRICE]],0)</f>
        <v>0</v>
      </c>
      <c r="AK361" s="15">
        <f>(Table50[[#This Row],[REORDER POINT]]*Table50[[#This Row],[COST PRICE]])+Table50[[#This Row],[ORDER COST]]</f>
        <v>882.82203640164698</v>
      </c>
      <c r="AL361" s="15">
        <f t="shared" si="17"/>
        <v>100</v>
      </c>
      <c r="AM361" s="15">
        <f>IFERROR((Table50[[#This Row],[REORDER POINT]]+Table50[[#This Row],[ORDER QTY]])/(Table50[[#This Row],[USAGE / DAY]]*Table50[[#This Row],[DEMAND %]]),Table50[[#This Row],[REORDER POINT]]/Table50[[#This Row],[USAGE / DAY]])</f>
        <v>0.100188679245283</v>
      </c>
    </row>
    <row r="362" spans="1:39" x14ac:dyDescent="0.25">
      <c r="A362" t="s">
        <v>324</v>
      </c>
      <c r="B362" t="s">
        <v>469</v>
      </c>
      <c r="C362" t="s">
        <v>473</v>
      </c>
      <c r="D362" t="s">
        <v>76</v>
      </c>
      <c r="E362">
        <v>25</v>
      </c>
      <c r="F362">
        <v>625</v>
      </c>
      <c r="G362">
        <v>40</v>
      </c>
      <c r="H362">
        <v>1330.95</v>
      </c>
      <c r="I362">
        <v>21.45</v>
      </c>
      <c r="J362">
        <v>805.45</v>
      </c>
      <c r="K362">
        <f>Table50[[#This Row],[OpeningQty]]+Table50[[#This Row],[PurchasesQty]]-Table50[[#This Row],[ClosingQty]]</f>
        <v>43.55</v>
      </c>
      <c r="L362">
        <v>1150.5</v>
      </c>
      <c r="M362" s="14">
        <f>Table50[[#This Row],[Usage]]/$L$1</f>
        <v>1.7473787041239048E-3</v>
      </c>
      <c r="N362" s="15">
        <f>IFERROR(Table50[[#This Row],[Opening]]/Table50[[#This Row],[OpeningQty]],0)</f>
        <v>25</v>
      </c>
      <c r="O362" s="15">
        <f>IFERROR(Table50[[#This Row],[Purchases]]/Table50[[#This Row],[PurchasesQty]],0)</f>
        <v>33.27375</v>
      </c>
      <c r="P362" s="15">
        <f>IFERROR(Table50[[#This Row],[Closing]]/Table50[[#This Row],[ClosingQty]],0)</f>
        <v>37.550116550116556</v>
      </c>
      <c r="Q362" s="15">
        <f>IFERROR(AVERAGEIF(Table50[[#This Row],[OPENING COST PRICE]:[CLOSING COST PRICE]],"&gt;0"),0)</f>
        <v>31.941288850038848</v>
      </c>
      <c r="R362" s="15">
        <f>IFERROR(Table50[[#This Row],[COST PRICE]]-IFERROR(Table50[[#This Row],[Usage]]/Table50[[#This Row],[UsageQty]],Table50[[#This Row],[COST PRICE]]),0)</f>
        <v>5.523378402277654</v>
      </c>
      <c r="S362" s="16">
        <f>IFERROR(Table50[[#This Row],[COST PRICE CHANGE]]/Table50[[#This Row],[OPENING COST PRICE]],0)</f>
        <v>0.22093513609110615</v>
      </c>
      <c r="T362" s="15">
        <f>Table50[[#This Row],[ClosingQty]]-(Table50[[#This Row],[USAGE / DAY]]*(IF(Table50[[#This Row],[ccnt]]="BEV",Table50[[#This Row],[DELIVERY DAY]],Table50[[#This Row],[DELIVERY DAY]])))</f>
        <v>5.8500000000000014</v>
      </c>
      <c r="U362" s="15">
        <f>ROUNDUP(Table50[[#This Row],[UsageQty]]/Table50[[#This Row],[DATA POINT]],2)</f>
        <v>3.1199999999999997</v>
      </c>
      <c r="V36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24</v>
      </c>
      <c r="W362" s="15">
        <f>IFERROR(Table50[[#This Row],[ORDER QTY]]*Table50[[#This Row],[COST PRICE]],0)</f>
        <v>766.59093240093239</v>
      </c>
      <c r="X362" s="15">
        <f>IFERROR(VLOOKUP(C362,[1]!Table49[[#All],[name]:[USAGE / DAY]],19,FALSE),1)</f>
        <v>2.34</v>
      </c>
      <c r="Y362" s="4">
        <f>IFERROR((Table50[[#This Row],[USAGE / DAY]]-Table50[[#This Row],[USAGE / DAY 2]])/Table50[[#This Row],[USAGE / DAY 2]],0)</f>
        <v>0.33333333333333326</v>
      </c>
      <c r="Z362" s="15">
        <f t="shared" si="15"/>
        <v>14</v>
      </c>
      <c r="AA362" s="15">
        <f t="shared" si="16"/>
        <v>9.311854181734148</v>
      </c>
      <c r="AB362" s="15">
        <f>IFERROR(IF(Table50[[#This Row],[ccnt]]="BEV",$AB$2,IF(Table50[[#This Row],[ccnt]]="FOOD",$AC$2,"ENTER # FROM LAST COUNT")),"ENTER # FROM LAST COUNT")</f>
        <v>5</v>
      </c>
      <c r="AC362" s="15">
        <f>(Table50[[#This Row],[OpeningQty]]+Table50[[#This Row],[ClosingQty]])/2</f>
        <v>23.225000000000001</v>
      </c>
      <c r="AD362" s="15">
        <f>IFERROR(Table50[[#This Row],[UsageQty]]/Table50[[#This Row],[AVE INVENTORY]],0)</f>
        <v>1.8751345532830999</v>
      </c>
      <c r="AE362" s="15">
        <f>IFERROR(Table50[[#This Row],[DATA POINT]]/Table50[[#This Row],[Inventory Turnover Rate]],0)</f>
        <v>7.4661308840413332</v>
      </c>
      <c r="AF362" s="15">
        <f>Table50[[#This Row],[ClosingQty]]/Table50[[#This Row],[USAGE / DAY]]</f>
        <v>6.8750000000000009</v>
      </c>
      <c r="AG362" s="15">
        <f>Table50[[#This Row],[USAGE / DAY]]*7</f>
        <v>21.839999999999996</v>
      </c>
      <c r="AH362" s="15">
        <f>Table50[[#This Row],[USAGE / DAY]]*3</f>
        <v>9.36</v>
      </c>
      <c r="AI362" s="15">
        <f>IF(Table50[[#This Row],[FORECASTED DEMAND]]+Table50[[#This Row],[SAFETY STOCK]]-Table50[[#This Row],[ClosingQty]]&gt;0,Table50[[#This Row],[FORECASTED DEMAND]]+Table50[[#This Row],[SAFETY STOCK]]-Table50[[#This Row],[ClosingQty]],"NO ORDER")</f>
        <v>9.7499999999999964</v>
      </c>
      <c r="AJ362" s="15">
        <f>IFERROR(Table50[[#This Row],[ORDER QTY2]]*Table50[[#This Row],[COST PRICE]],0)</f>
        <v>311.42756628787868</v>
      </c>
      <c r="AK362" s="15">
        <f>(Table50[[#This Row],[REORDER POINT]]*Table50[[#This Row],[COST PRICE]])+Table50[[#This Row],[ORDER COST]]</f>
        <v>953.44747217365966</v>
      </c>
      <c r="AL362" s="15">
        <f t="shared" si="17"/>
        <v>100</v>
      </c>
      <c r="AM362" s="15">
        <f>IFERROR((Table50[[#This Row],[REORDER POINT]]+Table50[[#This Row],[ORDER QTY]])/(Table50[[#This Row],[USAGE / DAY]]*Table50[[#This Row],[DEMAND %]]),Table50[[#This Row],[REORDER POINT]]/Table50[[#This Row],[USAGE / DAY]])</f>
        <v>9.5673076923076944E-2</v>
      </c>
    </row>
    <row r="363" spans="1:39" x14ac:dyDescent="0.25">
      <c r="A363" t="s">
        <v>324</v>
      </c>
      <c r="B363" t="s">
        <v>469</v>
      </c>
      <c r="C363" t="s">
        <v>474</v>
      </c>
      <c r="D363" t="s">
        <v>126</v>
      </c>
      <c r="E363">
        <v>3.29</v>
      </c>
      <c r="F363">
        <v>283.76</v>
      </c>
      <c r="G363">
        <v>8</v>
      </c>
      <c r="H363">
        <v>690</v>
      </c>
      <c r="I363">
        <v>5</v>
      </c>
      <c r="J363">
        <v>431.25</v>
      </c>
      <c r="K363">
        <f>Table50[[#This Row],[OpeningQty]]+Table50[[#This Row],[PurchasesQty]]-Table50[[#This Row],[ClosingQty]]</f>
        <v>6.2899999999999991</v>
      </c>
      <c r="L363">
        <v>542.51</v>
      </c>
      <c r="M363" s="14">
        <f>Table50[[#This Row],[Usage]]/$L$1</f>
        <v>8.2396385986463234E-4</v>
      </c>
      <c r="N363" s="15">
        <f>IFERROR(Table50[[#This Row],[Opening]]/Table50[[#This Row],[OpeningQty]],0)</f>
        <v>86.249240121580542</v>
      </c>
      <c r="O363" s="15">
        <f>IFERROR(Table50[[#This Row],[Purchases]]/Table50[[#This Row],[PurchasesQty]],0)</f>
        <v>86.25</v>
      </c>
      <c r="P363" s="15">
        <f>IFERROR(Table50[[#This Row],[Closing]]/Table50[[#This Row],[ClosingQty]],0)</f>
        <v>86.25</v>
      </c>
      <c r="Q363" s="15">
        <f>IFERROR(AVERAGEIF(Table50[[#This Row],[OPENING COST PRICE]:[CLOSING COST PRICE]],"&gt;0"),0)</f>
        <v>86.249746707193523</v>
      </c>
      <c r="R363" s="15">
        <f>IFERROR(Table50[[#This Row],[COST PRICE]]-IFERROR(Table50[[#This Row],[Usage]]/Table50[[#This Row],[UsageQty]],Table50[[#This Row],[COST PRICE]]),0)</f>
        <v>1.4416347332257828E-4</v>
      </c>
      <c r="S363" s="16">
        <f>IFERROR(Table50[[#This Row],[COST PRICE CHANGE]]/Table50[[#This Row],[OPENING COST PRICE]],0)</f>
        <v>1.6714752862675592E-6</v>
      </c>
      <c r="T363" s="15">
        <f>Table50[[#This Row],[ClosingQty]]-(Table50[[#This Row],[USAGE / DAY]]*(IF(Table50[[#This Row],[ccnt]]="BEV",Table50[[#This Row],[DELIVERY DAY]],Table50[[#This Row],[DELIVERY DAY]])))</f>
        <v>2.75</v>
      </c>
      <c r="U363" s="15">
        <f>ROUNDUP(Table50[[#This Row],[UsageQty]]/Table50[[#This Row],[DATA POINT]],2)</f>
        <v>0.45</v>
      </c>
      <c r="V36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363" s="15">
        <f>IFERROR(Table50[[#This Row],[ORDER QTY]]*Table50[[#This Row],[COST PRICE]],0)</f>
        <v>172.49949341438705</v>
      </c>
      <c r="X363" s="15">
        <f>IFERROR(VLOOKUP(C363,[1]!Table49[[#All],[name]:[USAGE / DAY]],19,FALSE),1)</f>
        <v>0.56000000000000005</v>
      </c>
      <c r="Y363" s="4">
        <f>IFERROR((Table50[[#This Row],[USAGE / DAY]]-Table50[[#This Row],[USAGE / DAY 2]])/Table50[[#This Row],[USAGE / DAY 2]],0)</f>
        <v>-0.19642857142857148</v>
      </c>
      <c r="Z363" s="15">
        <f t="shared" si="15"/>
        <v>14</v>
      </c>
      <c r="AA363" s="15">
        <f t="shared" si="16"/>
        <v>9.311854181734148</v>
      </c>
      <c r="AB363" s="15">
        <f>IFERROR(IF(Table50[[#This Row],[ccnt]]="BEV",$AB$2,IF(Table50[[#This Row],[ccnt]]="FOOD",$AC$2,"ENTER # FROM LAST COUNT")),"ENTER # FROM LAST COUNT")</f>
        <v>5</v>
      </c>
      <c r="AC363" s="15">
        <f>(Table50[[#This Row],[OpeningQty]]+Table50[[#This Row],[ClosingQty]])/2</f>
        <v>4.1449999999999996</v>
      </c>
      <c r="AD363" s="15">
        <f>IFERROR(Table50[[#This Row],[UsageQty]]/Table50[[#This Row],[AVE INVENTORY]],0)</f>
        <v>1.517490952955368</v>
      </c>
      <c r="AE363" s="15">
        <f>IFERROR(Table50[[#This Row],[DATA POINT]]/Table50[[#This Row],[Inventory Turnover Rate]],0)</f>
        <v>9.2257551669316378</v>
      </c>
      <c r="AF363" s="15">
        <f>Table50[[#This Row],[ClosingQty]]/Table50[[#This Row],[USAGE / DAY]]</f>
        <v>11.111111111111111</v>
      </c>
      <c r="AG363" s="15">
        <f>Table50[[#This Row],[USAGE / DAY]]*7</f>
        <v>3.15</v>
      </c>
      <c r="AH363" s="15">
        <f>Table50[[#This Row],[USAGE / DAY]]*3</f>
        <v>1.35</v>
      </c>
      <c r="AI36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63" s="15">
        <f>IFERROR(Table50[[#This Row],[ORDER QTY2]]*Table50[[#This Row],[COST PRICE]],0)</f>
        <v>0</v>
      </c>
      <c r="AK363" s="15">
        <f>(Table50[[#This Row],[REORDER POINT]]*Table50[[#This Row],[COST PRICE]])+Table50[[#This Row],[ORDER COST]]</f>
        <v>409.68629685916926</v>
      </c>
      <c r="AL363" s="15">
        <f t="shared" si="17"/>
        <v>100</v>
      </c>
      <c r="AM363" s="15">
        <f>IFERROR((Table50[[#This Row],[REORDER POINT]]+Table50[[#This Row],[ORDER QTY]])/(Table50[[#This Row],[USAGE / DAY]]*Table50[[#This Row],[DEMAND %]]),Table50[[#This Row],[REORDER POINT]]/Table50[[#This Row],[USAGE / DAY]])</f>
        <v>0.10555555555555556</v>
      </c>
    </row>
    <row r="364" spans="1:39" x14ac:dyDescent="0.25">
      <c r="A364" t="s">
        <v>324</v>
      </c>
      <c r="B364" t="s">
        <v>469</v>
      </c>
      <c r="C364" t="s">
        <v>475</v>
      </c>
      <c r="D364" t="s">
        <v>126</v>
      </c>
      <c r="E364">
        <v>2</v>
      </c>
      <c r="F364">
        <v>192</v>
      </c>
      <c r="G364">
        <v>1</v>
      </c>
      <c r="H364">
        <v>96</v>
      </c>
      <c r="I364">
        <v>3</v>
      </c>
      <c r="J364">
        <v>288</v>
      </c>
      <c r="K364">
        <f>Table50[[#This Row],[OpeningQty]]+Table50[[#This Row],[PurchasesQty]]-Table50[[#This Row],[ClosingQty]]</f>
        <v>0</v>
      </c>
      <c r="L364">
        <v>0</v>
      </c>
      <c r="M364" s="14">
        <f>Table50[[#This Row],[Usage]]/$L$1</f>
        <v>0</v>
      </c>
      <c r="N364" s="15">
        <f>IFERROR(Table50[[#This Row],[Opening]]/Table50[[#This Row],[OpeningQty]],0)</f>
        <v>96</v>
      </c>
      <c r="O364" s="15">
        <f>IFERROR(Table50[[#This Row],[Purchases]]/Table50[[#This Row],[PurchasesQty]],0)</f>
        <v>96</v>
      </c>
      <c r="P364" s="15">
        <f>IFERROR(Table50[[#This Row],[Closing]]/Table50[[#This Row],[ClosingQty]],0)</f>
        <v>96</v>
      </c>
      <c r="Q364" s="15">
        <f>IFERROR(AVERAGEIF(Table50[[#This Row],[OPENING COST PRICE]:[CLOSING COST PRICE]],"&gt;0"),0)</f>
        <v>96</v>
      </c>
      <c r="R364" s="15">
        <f>IFERROR(Table50[[#This Row],[COST PRICE]]-IFERROR(Table50[[#This Row],[Usage]]/Table50[[#This Row],[UsageQty]],Table50[[#This Row],[COST PRICE]]),0)</f>
        <v>0</v>
      </c>
      <c r="S364" s="16">
        <f>IFERROR(Table50[[#This Row],[COST PRICE CHANGE]]/Table50[[#This Row],[OPENING COST PRICE]],0)</f>
        <v>0</v>
      </c>
      <c r="T364" s="15">
        <f>Table50[[#This Row],[ClosingQty]]-(Table50[[#This Row],[USAGE / DAY]]*(IF(Table50[[#This Row],[ccnt]]="BEV",Table50[[#This Row],[DELIVERY DAY]],Table50[[#This Row],[DELIVERY DAY]])))</f>
        <v>3</v>
      </c>
      <c r="U364" s="15">
        <f>ROUNDUP(Table50[[#This Row],[UsageQty]]/Table50[[#This Row],[DATA POINT]],2)</f>
        <v>0</v>
      </c>
      <c r="V36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64" s="15">
        <f>IFERROR(Table50[[#This Row],[ORDER QTY]]*Table50[[#This Row],[COST PRICE]],0)</f>
        <v>0</v>
      </c>
      <c r="X364" s="15">
        <f>IFERROR(VLOOKUP(C364,[1]!Table49[[#All],[name]:[USAGE / DAY]],19,FALSE),1)</f>
        <v>6.9999999999999993E-2</v>
      </c>
      <c r="Y364" s="4">
        <f>IFERROR((Table50[[#This Row],[USAGE / DAY]]-Table50[[#This Row],[USAGE / DAY 2]])/Table50[[#This Row],[USAGE / DAY 2]],0)</f>
        <v>-1</v>
      </c>
      <c r="Z364" s="15">
        <f t="shared" si="15"/>
        <v>14</v>
      </c>
      <c r="AA364" s="15">
        <f t="shared" si="16"/>
        <v>9.311854181734148</v>
      </c>
      <c r="AB364" s="15">
        <f>IFERROR(IF(Table50[[#This Row],[ccnt]]="BEV",$AB$2,IF(Table50[[#This Row],[ccnt]]="FOOD",$AC$2,"ENTER # FROM LAST COUNT")),"ENTER # FROM LAST COUNT")</f>
        <v>5</v>
      </c>
      <c r="AC364" s="15">
        <f>(Table50[[#This Row],[OpeningQty]]+Table50[[#This Row],[ClosingQty]])/2</f>
        <v>2.5</v>
      </c>
      <c r="AD364" s="15">
        <f>IFERROR(Table50[[#This Row],[UsageQty]]/Table50[[#This Row],[AVE INVENTORY]],0)</f>
        <v>0</v>
      </c>
      <c r="AE364" s="15">
        <f>IFERROR(Table50[[#This Row],[DATA POINT]]/Table50[[#This Row],[Inventory Turnover Rate]],0)</f>
        <v>0</v>
      </c>
      <c r="AF364" s="15" t="e">
        <f>Table50[[#This Row],[ClosingQty]]/Table50[[#This Row],[USAGE / DAY]]</f>
        <v>#DIV/0!</v>
      </c>
      <c r="AG364" s="15">
        <f>Table50[[#This Row],[USAGE / DAY]]*7</f>
        <v>0</v>
      </c>
      <c r="AH364" s="15">
        <f>Table50[[#This Row],[USAGE / DAY]]*3</f>
        <v>0</v>
      </c>
      <c r="AI36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64" s="15">
        <f>IFERROR(Table50[[#This Row],[ORDER QTY2]]*Table50[[#This Row],[COST PRICE]],0)</f>
        <v>0</v>
      </c>
      <c r="AK364" s="15">
        <f>(Table50[[#This Row],[REORDER POINT]]*Table50[[#This Row],[COST PRICE]])+Table50[[#This Row],[ORDER COST]]</f>
        <v>288</v>
      </c>
      <c r="AL364" s="15">
        <f t="shared" si="17"/>
        <v>100</v>
      </c>
      <c r="AM364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65" spans="1:39" x14ac:dyDescent="0.25">
      <c r="A365" t="s">
        <v>324</v>
      </c>
      <c r="B365" t="s">
        <v>469</v>
      </c>
      <c r="C365" t="s">
        <v>476</v>
      </c>
      <c r="D365" t="s">
        <v>126</v>
      </c>
      <c r="E365">
        <v>3</v>
      </c>
      <c r="F365">
        <v>288</v>
      </c>
      <c r="G365">
        <v>3</v>
      </c>
      <c r="H365">
        <v>384</v>
      </c>
      <c r="I365">
        <v>4</v>
      </c>
      <c r="J365">
        <v>384</v>
      </c>
      <c r="K365">
        <f>Table50[[#This Row],[OpeningQty]]+Table50[[#This Row],[PurchasesQty]]-Table50[[#This Row],[ClosingQty]]</f>
        <v>2</v>
      </c>
      <c r="L365">
        <v>288</v>
      </c>
      <c r="M365" s="14">
        <f>Table50[[#This Row],[Usage]]/$L$1</f>
        <v>4.3741422580415869E-4</v>
      </c>
      <c r="N365" s="15">
        <f>IFERROR(Table50[[#This Row],[Opening]]/Table50[[#This Row],[OpeningQty]],0)</f>
        <v>96</v>
      </c>
      <c r="O365" s="15">
        <f>IFERROR(Table50[[#This Row],[Purchases]]/Table50[[#This Row],[PurchasesQty]],0)</f>
        <v>128</v>
      </c>
      <c r="P365" s="15">
        <f>IFERROR(Table50[[#This Row],[Closing]]/Table50[[#This Row],[ClosingQty]],0)</f>
        <v>96</v>
      </c>
      <c r="Q365" s="15">
        <f>IFERROR(AVERAGEIF(Table50[[#This Row],[OPENING COST PRICE]:[CLOSING COST PRICE]],"&gt;0"),0)</f>
        <v>106.66666666666667</v>
      </c>
      <c r="R365" s="15">
        <f>IFERROR(Table50[[#This Row],[COST PRICE]]-IFERROR(Table50[[#This Row],[Usage]]/Table50[[#This Row],[UsageQty]],Table50[[#This Row],[COST PRICE]]),0)</f>
        <v>-37.333333333333329</v>
      </c>
      <c r="S365" s="16">
        <f>IFERROR(Table50[[#This Row],[COST PRICE CHANGE]]/Table50[[#This Row],[OPENING COST PRICE]],0)</f>
        <v>-0.38888888888888884</v>
      </c>
      <c r="T365" s="15">
        <f>Table50[[#This Row],[ClosingQty]]-(Table50[[#This Row],[USAGE / DAY]]*(IF(Table50[[#This Row],[ccnt]]="BEV",Table50[[#This Row],[DELIVERY DAY]],Table50[[#This Row],[DELIVERY DAY]])))</f>
        <v>3.25</v>
      </c>
      <c r="U365" s="15">
        <f>ROUNDUP(Table50[[#This Row],[UsageQty]]/Table50[[#This Row],[DATA POINT]],2)</f>
        <v>0.15000000000000002</v>
      </c>
      <c r="V36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65" s="15">
        <f>IFERROR(Table50[[#This Row],[ORDER QTY]]*Table50[[#This Row],[COST PRICE]],0)</f>
        <v>0</v>
      </c>
      <c r="X365" s="15">
        <f>IFERROR(VLOOKUP(C365,[1]!Table49[[#All],[name]:[USAGE / DAY]],19,FALSE),1)</f>
        <v>0.3</v>
      </c>
      <c r="Y365" s="4">
        <f>IFERROR((Table50[[#This Row],[USAGE / DAY]]-Table50[[#This Row],[USAGE / DAY 2]])/Table50[[#This Row],[USAGE / DAY 2]],0)</f>
        <v>-0.49999999999999989</v>
      </c>
      <c r="Z365" s="15">
        <f t="shared" si="15"/>
        <v>14</v>
      </c>
      <c r="AA365" s="15">
        <f t="shared" si="16"/>
        <v>9.311854181734148</v>
      </c>
      <c r="AB365" s="15">
        <f>IFERROR(IF(Table50[[#This Row],[ccnt]]="BEV",$AB$2,IF(Table50[[#This Row],[ccnt]]="FOOD",$AC$2,"ENTER # FROM LAST COUNT")),"ENTER # FROM LAST COUNT")</f>
        <v>5</v>
      </c>
      <c r="AC365" s="15">
        <f>(Table50[[#This Row],[OpeningQty]]+Table50[[#This Row],[ClosingQty]])/2</f>
        <v>3.5</v>
      </c>
      <c r="AD365" s="15">
        <f>IFERROR(Table50[[#This Row],[UsageQty]]/Table50[[#This Row],[AVE INVENTORY]],0)</f>
        <v>0.5714285714285714</v>
      </c>
      <c r="AE365" s="15">
        <f>IFERROR(Table50[[#This Row],[DATA POINT]]/Table50[[#This Row],[Inventory Turnover Rate]],0)</f>
        <v>24.5</v>
      </c>
      <c r="AF365" s="15">
        <f>Table50[[#This Row],[ClosingQty]]/Table50[[#This Row],[USAGE / DAY]]</f>
        <v>26.666666666666664</v>
      </c>
      <c r="AG365" s="15">
        <f>Table50[[#This Row],[USAGE / DAY]]*7</f>
        <v>1.0500000000000003</v>
      </c>
      <c r="AH365" s="15">
        <f>Table50[[#This Row],[USAGE / DAY]]*3</f>
        <v>0.45000000000000007</v>
      </c>
      <c r="AI36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65" s="15">
        <f>IFERROR(Table50[[#This Row],[ORDER QTY2]]*Table50[[#This Row],[COST PRICE]],0)</f>
        <v>0</v>
      </c>
      <c r="AK365" s="15">
        <f>(Table50[[#This Row],[REORDER POINT]]*Table50[[#This Row],[COST PRICE]])+Table50[[#This Row],[ORDER COST]]</f>
        <v>346.66666666666669</v>
      </c>
      <c r="AL365" s="15">
        <f t="shared" si="17"/>
        <v>100</v>
      </c>
      <c r="AM365" s="15">
        <f>IFERROR((Table50[[#This Row],[REORDER POINT]]+Table50[[#This Row],[ORDER QTY]])/(Table50[[#This Row],[USAGE / DAY]]*Table50[[#This Row],[DEMAND %]]),Table50[[#This Row],[REORDER POINT]]/Table50[[#This Row],[USAGE / DAY]])</f>
        <v>21.666666666666664</v>
      </c>
    </row>
    <row r="366" spans="1:39" x14ac:dyDescent="0.25">
      <c r="A366" t="s">
        <v>324</v>
      </c>
      <c r="B366" t="s">
        <v>477</v>
      </c>
      <c r="C366" t="s">
        <v>478</v>
      </c>
      <c r="D366" t="s">
        <v>53</v>
      </c>
      <c r="E366">
        <v>0</v>
      </c>
      <c r="F366">
        <v>0</v>
      </c>
      <c r="G366">
        <v>0</v>
      </c>
      <c r="H366">
        <v>0</v>
      </c>
      <c r="I366">
        <v>5</v>
      </c>
      <c r="J366">
        <v>326.89999999999998</v>
      </c>
      <c r="K366">
        <f>Table50[[#This Row],[OpeningQty]]+Table50[[#This Row],[PurchasesQty]]-Table50[[#This Row],[ClosingQty]]</f>
        <v>-5</v>
      </c>
      <c r="L366">
        <v>-326.89999999999998</v>
      </c>
      <c r="M366" s="14">
        <f>Table50[[#This Row],[Usage]]/$L$1</f>
        <v>-4.9649552227562315E-4</v>
      </c>
      <c r="N366" s="15">
        <f>IFERROR(Table50[[#This Row],[Opening]]/Table50[[#This Row],[OpeningQty]],0)</f>
        <v>0</v>
      </c>
      <c r="O366" s="15">
        <f>IFERROR(Table50[[#This Row],[Purchases]]/Table50[[#This Row],[PurchasesQty]],0)</f>
        <v>0</v>
      </c>
      <c r="P366" s="15">
        <f>IFERROR(Table50[[#This Row],[Closing]]/Table50[[#This Row],[ClosingQty]],0)</f>
        <v>65.38</v>
      </c>
      <c r="Q366" s="15">
        <f>IFERROR(AVERAGEIF(Table50[[#This Row],[OPENING COST PRICE]:[CLOSING COST PRICE]],"&gt;0"),0)</f>
        <v>65.38</v>
      </c>
      <c r="R366" s="15">
        <f>IFERROR(Table50[[#This Row],[COST PRICE]]-IFERROR(Table50[[#This Row],[Usage]]/Table50[[#This Row],[UsageQty]],Table50[[#This Row],[COST PRICE]]),0)</f>
        <v>0</v>
      </c>
      <c r="S366" s="16">
        <f>IFERROR(Table50[[#This Row],[COST PRICE CHANGE]]/Table50[[#This Row],[OPENING COST PRICE]],0)</f>
        <v>0</v>
      </c>
      <c r="T366" s="15">
        <f>Table50[[#This Row],[ClosingQty]]-(Table50[[#This Row],[USAGE / DAY]]*(IF(Table50[[#This Row],[ccnt]]="BEV",Table50[[#This Row],[DELIVERY DAY]],Table50[[#This Row],[DELIVERY DAY]])))</f>
        <v>6.8</v>
      </c>
      <c r="U366" s="15">
        <f>ROUNDUP(Table50[[#This Row],[UsageQty]]/Table50[[#This Row],[DATA POINT]],2)</f>
        <v>-0.36</v>
      </c>
      <c r="V36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66" s="15">
        <f>IFERROR(Table50[[#This Row],[ORDER QTY]]*Table50[[#This Row],[COST PRICE]],0)</f>
        <v>0</v>
      </c>
      <c r="X366" s="15">
        <f>IFERROR(VLOOKUP(C366,[1]!Table49[[#All],[name]:[USAGE / DAY]],19,FALSE),1)</f>
        <v>-0.94000000000000006</v>
      </c>
      <c r="Y366" s="4">
        <f>IFERROR((Table50[[#This Row],[USAGE / DAY]]-Table50[[#This Row],[USAGE / DAY 2]])/Table50[[#This Row],[USAGE / DAY 2]],0)</f>
        <v>-0.61702127659574468</v>
      </c>
      <c r="Z366" s="15">
        <f t="shared" si="15"/>
        <v>14</v>
      </c>
      <c r="AA366" s="15">
        <f t="shared" si="16"/>
        <v>9.311854181734148</v>
      </c>
      <c r="AB366" s="15">
        <f>IFERROR(IF(Table50[[#This Row],[ccnt]]="BEV",$AB$2,IF(Table50[[#This Row],[ccnt]]="FOOD",$AC$2,"ENTER # FROM LAST COUNT")),"ENTER # FROM LAST COUNT")</f>
        <v>5</v>
      </c>
      <c r="AC366" s="15">
        <f>(Table50[[#This Row],[OpeningQty]]+Table50[[#This Row],[ClosingQty]])/2</f>
        <v>2.5</v>
      </c>
      <c r="AD366" s="15">
        <f>IFERROR(Table50[[#This Row],[UsageQty]]/Table50[[#This Row],[AVE INVENTORY]],0)</f>
        <v>-2</v>
      </c>
      <c r="AE366" s="15">
        <f>IFERROR(Table50[[#This Row],[DATA POINT]]/Table50[[#This Row],[Inventory Turnover Rate]],0)</f>
        <v>-7</v>
      </c>
      <c r="AF366" s="15">
        <f>Table50[[#This Row],[ClosingQty]]/Table50[[#This Row],[USAGE / DAY]]</f>
        <v>-13.888888888888889</v>
      </c>
      <c r="AG366" s="15">
        <f>Table50[[#This Row],[USAGE / DAY]]*7</f>
        <v>-2.52</v>
      </c>
      <c r="AH366" s="15">
        <f>Table50[[#This Row],[USAGE / DAY]]*3</f>
        <v>-1.08</v>
      </c>
      <c r="AI36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66" s="15">
        <f>IFERROR(Table50[[#This Row],[ORDER QTY2]]*Table50[[#This Row],[COST PRICE]],0)</f>
        <v>0</v>
      </c>
      <c r="AK366" s="15">
        <f>(Table50[[#This Row],[REORDER POINT]]*Table50[[#This Row],[COST PRICE]])+Table50[[#This Row],[ORDER COST]]</f>
        <v>444.58399999999995</v>
      </c>
      <c r="AL366" s="15">
        <f t="shared" si="17"/>
        <v>100</v>
      </c>
      <c r="AM366" s="15">
        <f>IFERROR((Table50[[#This Row],[REORDER POINT]]+Table50[[#This Row],[ORDER QTY]])/(Table50[[#This Row],[USAGE / DAY]]*Table50[[#This Row],[DEMAND %]]),Table50[[#This Row],[REORDER POINT]]/Table50[[#This Row],[USAGE / DAY]])</f>
        <v>-18.888888888888889</v>
      </c>
    </row>
    <row r="367" spans="1:39" x14ac:dyDescent="0.25">
      <c r="A367" t="s">
        <v>324</v>
      </c>
      <c r="B367" t="s">
        <v>477</v>
      </c>
      <c r="C367" t="s">
        <v>479</v>
      </c>
      <c r="D367" t="s">
        <v>379</v>
      </c>
      <c r="E367">
        <v>26</v>
      </c>
      <c r="F367">
        <v>1699.88</v>
      </c>
      <c r="G367">
        <v>0</v>
      </c>
      <c r="H367">
        <v>0</v>
      </c>
      <c r="I367">
        <v>0</v>
      </c>
      <c r="J367">
        <v>0</v>
      </c>
      <c r="K367">
        <f>Table50[[#This Row],[OpeningQty]]+Table50[[#This Row],[PurchasesQty]]-Table50[[#This Row],[ClosingQty]]</f>
        <v>26</v>
      </c>
      <c r="L367">
        <v>1699.88</v>
      </c>
      <c r="M367" s="14">
        <f>Table50[[#This Row],[Usage]]/$L$1</f>
        <v>2.5817767158332408E-3</v>
      </c>
      <c r="N367" s="15">
        <f>IFERROR(Table50[[#This Row],[Opening]]/Table50[[#This Row],[OpeningQty]],0)</f>
        <v>65.38000000000001</v>
      </c>
      <c r="O367" s="15">
        <f>IFERROR(Table50[[#This Row],[Purchases]]/Table50[[#This Row],[PurchasesQty]],0)</f>
        <v>0</v>
      </c>
      <c r="P367" s="15">
        <f>IFERROR(Table50[[#This Row],[Closing]]/Table50[[#This Row],[ClosingQty]],0)</f>
        <v>0</v>
      </c>
      <c r="Q367" s="15">
        <f>IFERROR(AVERAGEIF(Table50[[#This Row],[OPENING COST PRICE]:[CLOSING COST PRICE]],"&gt;0"),0)</f>
        <v>65.38000000000001</v>
      </c>
      <c r="R367" s="15">
        <f>IFERROR(Table50[[#This Row],[COST PRICE]]-IFERROR(Table50[[#This Row],[Usage]]/Table50[[#This Row],[UsageQty]],Table50[[#This Row],[COST PRICE]]),0)</f>
        <v>0</v>
      </c>
      <c r="S367" s="16">
        <f>IFERROR(Table50[[#This Row],[COST PRICE CHANGE]]/Table50[[#This Row],[OPENING COST PRICE]],0)</f>
        <v>0</v>
      </c>
      <c r="T367" s="15">
        <f>Table50[[#This Row],[ClosingQty]]-(Table50[[#This Row],[USAGE / DAY]]*(IF(Table50[[#This Row],[ccnt]]="BEV",Table50[[#This Row],[DELIVERY DAY]],Table50[[#This Row],[DELIVERY DAY]])))</f>
        <v>-9.3000000000000007</v>
      </c>
      <c r="U367" s="15">
        <f>ROUNDUP(Table50[[#This Row],[UsageQty]]/Table50[[#This Row],[DATA POINT]],2)</f>
        <v>1.86</v>
      </c>
      <c r="V36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27</v>
      </c>
      <c r="W367" s="15">
        <f>IFERROR(Table50[[#This Row],[ORDER QTY]]*Table50[[#This Row],[COST PRICE]],0)</f>
        <v>1765.2600000000002</v>
      </c>
      <c r="X367" s="15">
        <f>IFERROR(VLOOKUP(C367,[1]!Table49[[#All],[name]:[USAGE / DAY]],19,FALSE),1)</f>
        <v>1</v>
      </c>
      <c r="Y367" s="4">
        <f>IFERROR((Table50[[#This Row],[USAGE / DAY]]-Table50[[#This Row],[USAGE / DAY 2]])/Table50[[#This Row],[USAGE / DAY 2]],0)</f>
        <v>0.8600000000000001</v>
      </c>
      <c r="Z367" s="15">
        <f t="shared" si="15"/>
        <v>14</v>
      </c>
      <c r="AA367" s="15">
        <f t="shared" si="16"/>
        <v>9.311854181734148</v>
      </c>
      <c r="AB367" s="15">
        <f>IFERROR(IF(Table50[[#This Row],[ccnt]]="BEV",$AB$2,IF(Table50[[#This Row],[ccnt]]="FOOD",$AC$2,"ENTER # FROM LAST COUNT")),"ENTER # FROM LAST COUNT")</f>
        <v>5</v>
      </c>
      <c r="AC367" s="15">
        <f>(Table50[[#This Row],[OpeningQty]]+Table50[[#This Row],[ClosingQty]])/2</f>
        <v>13</v>
      </c>
      <c r="AD367" s="15">
        <f>IFERROR(Table50[[#This Row],[UsageQty]]/Table50[[#This Row],[AVE INVENTORY]],0)</f>
        <v>2</v>
      </c>
      <c r="AE367" s="15">
        <f>IFERROR(Table50[[#This Row],[DATA POINT]]/Table50[[#This Row],[Inventory Turnover Rate]],0)</f>
        <v>7</v>
      </c>
      <c r="AF367" s="15">
        <f>Table50[[#This Row],[ClosingQty]]/Table50[[#This Row],[USAGE / DAY]]</f>
        <v>0</v>
      </c>
      <c r="AG367" s="15">
        <f>Table50[[#This Row],[USAGE / DAY]]*7</f>
        <v>13.020000000000001</v>
      </c>
      <c r="AH367" s="15">
        <f>Table50[[#This Row],[USAGE / DAY]]*3</f>
        <v>5.58</v>
      </c>
      <c r="AI367" s="15">
        <f>IF(Table50[[#This Row],[FORECASTED DEMAND]]+Table50[[#This Row],[SAFETY STOCK]]-Table50[[#This Row],[ClosingQty]]&gt;0,Table50[[#This Row],[FORECASTED DEMAND]]+Table50[[#This Row],[SAFETY STOCK]]-Table50[[#This Row],[ClosingQty]],"NO ORDER")</f>
        <v>18.600000000000001</v>
      </c>
      <c r="AJ367" s="15">
        <f>IFERROR(Table50[[#This Row],[ORDER QTY2]]*Table50[[#This Row],[COST PRICE]],0)</f>
        <v>1216.0680000000002</v>
      </c>
      <c r="AK367" s="15">
        <f>(Table50[[#This Row],[REORDER POINT]]*Table50[[#This Row],[COST PRICE]])+Table50[[#This Row],[ORDER COST]]</f>
        <v>1157.2260000000001</v>
      </c>
      <c r="AL367" s="15">
        <f t="shared" si="17"/>
        <v>100</v>
      </c>
      <c r="AM367" s="15">
        <f>IFERROR((Table50[[#This Row],[REORDER POINT]]+Table50[[#This Row],[ORDER QTY]])/(Table50[[#This Row],[USAGE / DAY]]*Table50[[#This Row],[DEMAND %]]),Table50[[#This Row],[REORDER POINT]]/Table50[[#This Row],[USAGE / DAY]])</f>
        <v>9.5161290322580638E-2</v>
      </c>
    </row>
    <row r="368" spans="1:39" x14ac:dyDescent="0.25">
      <c r="A368" t="s">
        <v>324</v>
      </c>
      <c r="B368" t="s">
        <v>480</v>
      </c>
      <c r="C368" t="s">
        <v>481</v>
      </c>
      <c r="D368" t="s">
        <v>53</v>
      </c>
      <c r="E368">
        <v>7</v>
      </c>
      <c r="F368">
        <v>297.5</v>
      </c>
      <c r="G368">
        <v>88</v>
      </c>
      <c r="H368">
        <v>3740</v>
      </c>
      <c r="I368">
        <v>36</v>
      </c>
      <c r="J368">
        <v>1530</v>
      </c>
      <c r="K368">
        <f>Table50[[#This Row],[OpeningQty]]+Table50[[#This Row],[PurchasesQty]]-Table50[[#This Row],[ClosingQty]]</f>
        <v>59</v>
      </c>
      <c r="L368">
        <v>2507.5</v>
      </c>
      <c r="M368" s="14">
        <f>Table50[[#This Row],[Usage]]/$L$1</f>
        <v>3.808389483346972E-3</v>
      </c>
      <c r="N368" s="15">
        <f>IFERROR(Table50[[#This Row],[Opening]]/Table50[[#This Row],[OpeningQty]],0)</f>
        <v>42.5</v>
      </c>
      <c r="O368" s="15">
        <f>IFERROR(Table50[[#This Row],[Purchases]]/Table50[[#This Row],[PurchasesQty]],0)</f>
        <v>42.5</v>
      </c>
      <c r="P368" s="15">
        <f>IFERROR(Table50[[#This Row],[Closing]]/Table50[[#This Row],[ClosingQty]],0)</f>
        <v>42.5</v>
      </c>
      <c r="Q368" s="15">
        <f>IFERROR(AVERAGEIF(Table50[[#This Row],[OPENING COST PRICE]:[CLOSING COST PRICE]],"&gt;0"),0)</f>
        <v>42.5</v>
      </c>
      <c r="R368" s="15">
        <f>IFERROR(Table50[[#This Row],[COST PRICE]]-IFERROR(Table50[[#This Row],[Usage]]/Table50[[#This Row],[UsageQty]],Table50[[#This Row],[COST PRICE]]),0)</f>
        <v>0</v>
      </c>
      <c r="S368" s="16">
        <f>IFERROR(Table50[[#This Row],[COST PRICE CHANGE]]/Table50[[#This Row],[OPENING COST PRICE]],0)</f>
        <v>0</v>
      </c>
      <c r="T368" s="15">
        <f>Table50[[#This Row],[ClosingQty]]-(Table50[[#This Row],[USAGE / DAY]]*(IF(Table50[[#This Row],[ccnt]]="BEV",Table50[[#This Row],[DELIVERY DAY]],Table50[[#This Row],[DELIVERY DAY]])))</f>
        <v>14.900000000000002</v>
      </c>
      <c r="U368" s="15">
        <f>ROUNDUP(Table50[[#This Row],[UsageQty]]/Table50[[#This Row],[DATA POINT]],2)</f>
        <v>4.22</v>
      </c>
      <c r="V36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25</v>
      </c>
      <c r="W368" s="15">
        <f>IFERROR(Table50[[#This Row],[ORDER QTY]]*Table50[[#This Row],[COST PRICE]],0)</f>
        <v>1062.5</v>
      </c>
      <c r="X368" s="15">
        <f>IFERROR(VLOOKUP(C368,[1]!Table49[[#All],[name]:[USAGE / DAY]],19,FALSE),1)</f>
        <v>4.8</v>
      </c>
      <c r="Y368" s="4">
        <f>IFERROR((Table50[[#This Row],[USAGE / DAY]]-Table50[[#This Row],[USAGE / DAY 2]])/Table50[[#This Row],[USAGE / DAY 2]],0)</f>
        <v>-0.12083333333333335</v>
      </c>
      <c r="Z368" s="15">
        <f t="shared" si="15"/>
        <v>14</v>
      </c>
      <c r="AA368" s="15">
        <f t="shared" si="16"/>
        <v>9.311854181734148</v>
      </c>
      <c r="AB368" s="15">
        <f>IFERROR(IF(Table50[[#This Row],[ccnt]]="BEV",$AB$2,IF(Table50[[#This Row],[ccnt]]="FOOD",$AC$2,"ENTER # FROM LAST COUNT")),"ENTER # FROM LAST COUNT")</f>
        <v>5</v>
      </c>
      <c r="AC368" s="15">
        <f>(Table50[[#This Row],[OpeningQty]]+Table50[[#This Row],[ClosingQty]])/2</f>
        <v>21.5</v>
      </c>
      <c r="AD368" s="15">
        <f>IFERROR(Table50[[#This Row],[UsageQty]]/Table50[[#This Row],[AVE INVENTORY]],0)</f>
        <v>2.7441860465116279</v>
      </c>
      <c r="AE368" s="15">
        <f>IFERROR(Table50[[#This Row],[DATA POINT]]/Table50[[#This Row],[Inventory Turnover Rate]],0)</f>
        <v>5.101694915254237</v>
      </c>
      <c r="AF368" s="15">
        <f>Table50[[#This Row],[ClosingQty]]/Table50[[#This Row],[USAGE / DAY]]</f>
        <v>8.5308056872037916</v>
      </c>
      <c r="AG368" s="15">
        <f>Table50[[#This Row],[USAGE / DAY]]*7</f>
        <v>29.54</v>
      </c>
      <c r="AH368" s="15">
        <f>Table50[[#This Row],[USAGE / DAY]]*3</f>
        <v>12.66</v>
      </c>
      <c r="AI368" s="15">
        <f>IF(Table50[[#This Row],[FORECASTED DEMAND]]+Table50[[#This Row],[SAFETY STOCK]]-Table50[[#This Row],[ClosingQty]]&gt;0,Table50[[#This Row],[FORECASTED DEMAND]]+Table50[[#This Row],[SAFETY STOCK]]-Table50[[#This Row],[ClosingQty]],"NO ORDER")</f>
        <v>6.2000000000000028</v>
      </c>
      <c r="AJ368" s="15">
        <f>IFERROR(Table50[[#This Row],[ORDER QTY2]]*Table50[[#This Row],[COST PRICE]],0)</f>
        <v>263.50000000000011</v>
      </c>
      <c r="AK368" s="15">
        <f>(Table50[[#This Row],[REORDER POINT]]*Table50[[#This Row],[COST PRICE]])+Table50[[#This Row],[ORDER COST]]</f>
        <v>1695.75</v>
      </c>
      <c r="AL368" s="15">
        <f t="shared" si="17"/>
        <v>100</v>
      </c>
      <c r="AM368" s="15">
        <f>IFERROR((Table50[[#This Row],[REORDER POINT]]+Table50[[#This Row],[ORDER QTY]])/(Table50[[#This Row],[USAGE / DAY]]*Table50[[#This Row],[DEMAND %]]),Table50[[#This Row],[REORDER POINT]]/Table50[[#This Row],[USAGE / DAY]])</f>
        <v>9.4549763033175374E-2</v>
      </c>
    </row>
    <row r="369" spans="1:39" x14ac:dyDescent="0.25">
      <c r="A369" t="s">
        <v>324</v>
      </c>
      <c r="B369" t="s">
        <v>480</v>
      </c>
      <c r="C369" t="s">
        <v>482</v>
      </c>
      <c r="D369" t="s">
        <v>126</v>
      </c>
      <c r="E369">
        <v>105</v>
      </c>
      <c r="F369">
        <v>3780</v>
      </c>
      <c r="G369">
        <v>610</v>
      </c>
      <c r="H369">
        <v>23760</v>
      </c>
      <c r="I369">
        <v>298.5</v>
      </c>
      <c r="J369">
        <v>10746</v>
      </c>
      <c r="K369">
        <f>Table50[[#This Row],[OpeningQty]]+Table50[[#This Row],[PurchasesQty]]-Table50[[#This Row],[ClosingQty]]</f>
        <v>416.5</v>
      </c>
      <c r="L369">
        <v>16794</v>
      </c>
      <c r="M369" s="14">
        <f>Table50[[#This Row],[Usage]]/$L$1</f>
        <v>2.5506717042205002E-2</v>
      </c>
      <c r="N369" s="15">
        <f>IFERROR(Table50[[#This Row],[Opening]]/Table50[[#This Row],[OpeningQty]],0)</f>
        <v>36</v>
      </c>
      <c r="O369" s="15">
        <f>IFERROR(Table50[[#This Row],[Purchases]]/Table50[[#This Row],[PurchasesQty]],0)</f>
        <v>38.950819672131146</v>
      </c>
      <c r="P369" s="15">
        <f>IFERROR(Table50[[#This Row],[Closing]]/Table50[[#This Row],[ClosingQty]],0)</f>
        <v>36</v>
      </c>
      <c r="Q369" s="15">
        <f>IFERROR(AVERAGEIF(Table50[[#This Row],[OPENING COST PRICE]:[CLOSING COST PRICE]],"&gt;0"),0)</f>
        <v>36.983606557377051</v>
      </c>
      <c r="R369" s="15">
        <f>IFERROR(Table50[[#This Row],[COST PRICE]]-IFERROR(Table50[[#This Row],[Usage]]/Table50[[#This Row],[UsageQty]],Table50[[#This Row],[COST PRICE]]),0)</f>
        <v>-3.3381221340995424</v>
      </c>
      <c r="S369" s="16">
        <f>IFERROR(Table50[[#This Row],[COST PRICE CHANGE]]/Table50[[#This Row],[OPENING COST PRICE]],0)</f>
        <v>-9.2725614836098397E-2</v>
      </c>
      <c r="T369" s="15">
        <f>Table50[[#This Row],[ClosingQty]]-(Table50[[#This Row],[USAGE / DAY]]*(IF(Table50[[#This Row],[ccnt]]="BEV",Table50[[#This Row],[DELIVERY DAY]],Table50[[#This Row],[DELIVERY DAY]])))</f>
        <v>149.75</v>
      </c>
      <c r="U369" s="15">
        <f>ROUNDUP(Table50[[#This Row],[UsageQty]]/Table50[[#This Row],[DATA POINT]],2)</f>
        <v>29.75</v>
      </c>
      <c r="V36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128</v>
      </c>
      <c r="W369" s="15">
        <f>IFERROR(Table50[[#This Row],[ORDER QTY]]*Table50[[#This Row],[COST PRICE]],0)</f>
        <v>4733.9016393442625</v>
      </c>
      <c r="X369" s="15">
        <f>IFERROR(VLOOKUP(C369,[1]!Table49[[#All],[name]:[USAGE / DAY]],19,FALSE),1)</f>
        <v>36.669999999999995</v>
      </c>
      <c r="Y369" s="4">
        <f>IFERROR((Table50[[#This Row],[USAGE / DAY]]-Table50[[#This Row],[USAGE / DAY 2]])/Table50[[#This Row],[USAGE / DAY 2]],0)</f>
        <v>-0.18871011726206696</v>
      </c>
      <c r="Z369" s="15">
        <f t="shared" si="15"/>
        <v>14</v>
      </c>
      <c r="AA369" s="15">
        <f t="shared" si="16"/>
        <v>9.311854181734148</v>
      </c>
      <c r="AB369" s="15">
        <f>IFERROR(IF(Table50[[#This Row],[ccnt]]="BEV",$AB$2,IF(Table50[[#This Row],[ccnt]]="FOOD",$AC$2,"ENTER # FROM LAST COUNT")),"ENTER # FROM LAST COUNT")</f>
        <v>5</v>
      </c>
      <c r="AC369" s="15">
        <f>(Table50[[#This Row],[OpeningQty]]+Table50[[#This Row],[ClosingQty]])/2</f>
        <v>201.75</v>
      </c>
      <c r="AD369" s="15">
        <f>IFERROR(Table50[[#This Row],[UsageQty]]/Table50[[#This Row],[AVE INVENTORY]],0)</f>
        <v>2.0644361833952911</v>
      </c>
      <c r="AE369" s="15">
        <f>IFERROR(Table50[[#This Row],[DATA POINT]]/Table50[[#This Row],[Inventory Turnover Rate]],0)</f>
        <v>6.7815126050420167</v>
      </c>
      <c r="AF369" s="15">
        <f>Table50[[#This Row],[ClosingQty]]/Table50[[#This Row],[USAGE / DAY]]</f>
        <v>10.033613445378151</v>
      </c>
      <c r="AG369" s="15">
        <f>Table50[[#This Row],[USAGE / DAY]]*7</f>
        <v>208.25</v>
      </c>
      <c r="AH369" s="15">
        <f>Table50[[#This Row],[USAGE / DAY]]*3</f>
        <v>89.25</v>
      </c>
      <c r="AI36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69" s="15">
        <f>IFERROR(Table50[[#This Row],[ORDER QTY2]]*Table50[[#This Row],[COST PRICE]],0)</f>
        <v>0</v>
      </c>
      <c r="AK369" s="15">
        <f>(Table50[[#This Row],[REORDER POINT]]*Table50[[#This Row],[COST PRICE]])+Table50[[#This Row],[ORDER COST]]</f>
        <v>10272.196721311477</v>
      </c>
      <c r="AL369" s="15">
        <f t="shared" si="17"/>
        <v>100</v>
      </c>
      <c r="AM369" s="15">
        <f>IFERROR((Table50[[#This Row],[REORDER POINT]]+Table50[[#This Row],[ORDER QTY]])/(Table50[[#This Row],[USAGE / DAY]]*Table50[[#This Row],[DEMAND %]]),Table50[[#This Row],[REORDER POINT]]/Table50[[#This Row],[USAGE / DAY]])</f>
        <v>9.3361344537815125E-2</v>
      </c>
    </row>
    <row r="370" spans="1:39" x14ac:dyDescent="0.25">
      <c r="A370" t="s">
        <v>324</v>
      </c>
      <c r="B370" t="s">
        <v>480</v>
      </c>
      <c r="C370" t="s">
        <v>483</v>
      </c>
      <c r="D370" t="s">
        <v>95</v>
      </c>
      <c r="E370">
        <v>2.5</v>
      </c>
      <c r="F370">
        <v>127.5</v>
      </c>
      <c r="G370">
        <v>2</v>
      </c>
      <c r="H370">
        <v>92.73</v>
      </c>
      <c r="I370">
        <v>0</v>
      </c>
      <c r="J370">
        <v>0</v>
      </c>
      <c r="K370">
        <f>Table50[[#This Row],[OpeningQty]]+Table50[[#This Row],[PurchasesQty]]-Table50[[#This Row],[ClosingQty]]</f>
        <v>4.5</v>
      </c>
      <c r="L370">
        <v>220.23</v>
      </c>
      <c r="M370" s="14">
        <f>Table50[[#This Row],[Usage]]/$L$1</f>
        <v>3.3448519079461755E-4</v>
      </c>
      <c r="N370" s="15">
        <f>IFERROR(Table50[[#This Row],[Opening]]/Table50[[#This Row],[OpeningQty]],0)</f>
        <v>51</v>
      </c>
      <c r="O370" s="15">
        <f>IFERROR(Table50[[#This Row],[Purchases]]/Table50[[#This Row],[PurchasesQty]],0)</f>
        <v>46.365000000000002</v>
      </c>
      <c r="P370" s="15">
        <f>IFERROR(Table50[[#This Row],[Closing]]/Table50[[#This Row],[ClosingQty]],0)</f>
        <v>0</v>
      </c>
      <c r="Q370" s="15">
        <f>IFERROR(AVERAGEIF(Table50[[#This Row],[OPENING COST PRICE]:[CLOSING COST PRICE]],"&gt;0"),0)</f>
        <v>48.682500000000005</v>
      </c>
      <c r="R370" s="15">
        <f>IFERROR(Table50[[#This Row],[COST PRICE]]-IFERROR(Table50[[#This Row],[Usage]]/Table50[[#This Row],[UsageQty]],Table50[[#This Row],[COST PRICE]]),0)</f>
        <v>-0.25749999999999318</v>
      </c>
      <c r="S370" s="16">
        <f>IFERROR(Table50[[#This Row],[COST PRICE CHANGE]]/Table50[[#This Row],[OPENING COST PRICE]],0)</f>
        <v>-5.0490196078430034E-3</v>
      </c>
      <c r="T370" s="15">
        <f>Table50[[#This Row],[ClosingQty]]-(Table50[[#This Row],[USAGE / DAY]]*(IF(Table50[[#This Row],[ccnt]]="BEV",Table50[[#This Row],[DELIVERY DAY]],Table50[[#This Row],[DELIVERY DAY]])))</f>
        <v>-1.6500000000000001</v>
      </c>
      <c r="U370" s="15">
        <f>ROUNDUP(Table50[[#This Row],[UsageQty]]/Table50[[#This Row],[DATA POINT]],2)</f>
        <v>0.33</v>
      </c>
      <c r="V37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5</v>
      </c>
      <c r="W370" s="15">
        <f>IFERROR(Table50[[#This Row],[ORDER QTY]]*Table50[[#This Row],[COST PRICE]],0)</f>
        <v>243.41250000000002</v>
      </c>
      <c r="X370" s="15">
        <f>IFERROR(VLOOKUP(C370,[1]!Table49[[#All],[name]:[USAGE / DAY]],19,FALSE),1)</f>
        <v>0.17</v>
      </c>
      <c r="Y370" s="4">
        <f>IFERROR((Table50[[#This Row],[USAGE / DAY]]-Table50[[#This Row],[USAGE / DAY 2]])/Table50[[#This Row],[USAGE / DAY 2]],0)</f>
        <v>0.94117647058823528</v>
      </c>
      <c r="Z370" s="15">
        <f t="shared" si="15"/>
        <v>14</v>
      </c>
      <c r="AA370" s="15">
        <f t="shared" si="16"/>
        <v>9.311854181734148</v>
      </c>
      <c r="AB370" s="15">
        <f>IFERROR(IF(Table50[[#This Row],[ccnt]]="BEV",$AB$2,IF(Table50[[#This Row],[ccnt]]="FOOD",$AC$2,"ENTER # FROM LAST COUNT")),"ENTER # FROM LAST COUNT")</f>
        <v>5</v>
      </c>
      <c r="AC370" s="15">
        <f>(Table50[[#This Row],[OpeningQty]]+Table50[[#This Row],[ClosingQty]])/2</f>
        <v>1.25</v>
      </c>
      <c r="AD370" s="15">
        <f>IFERROR(Table50[[#This Row],[UsageQty]]/Table50[[#This Row],[AVE INVENTORY]],0)</f>
        <v>3.6</v>
      </c>
      <c r="AE370" s="15">
        <f>IFERROR(Table50[[#This Row],[DATA POINT]]/Table50[[#This Row],[Inventory Turnover Rate]],0)</f>
        <v>3.8888888888888888</v>
      </c>
      <c r="AF370" s="15">
        <f>Table50[[#This Row],[ClosingQty]]/Table50[[#This Row],[USAGE / DAY]]</f>
        <v>0</v>
      </c>
      <c r="AG370" s="15">
        <f>Table50[[#This Row],[USAGE / DAY]]*7</f>
        <v>2.31</v>
      </c>
      <c r="AH370" s="15">
        <f>Table50[[#This Row],[USAGE / DAY]]*3</f>
        <v>0.99</v>
      </c>
      <c r="AI370" s="15">
        <f>IF(Table50[[#This Row],[FORECASTED DEMAND]]+Table50[[#This Row],[SAFETY STOCK]]-Table50[[#This Row],[ClosingQty]]&gt;0,Table50[[#This Row],[FORECASTED DEMAND]]+Table50[[#This Row],[SAFETY STOCK]]-Table50[[#This Row],[ClosingQty]],"NO ORDER")</f>
        <v>3.3</v>
      </c>
      <c r="AJ370" s="15">
        <f>IFERROR(Table50[[#This Row],[ORDER QTY2]]*Table50[[#This Row],[COST PRICE]],0)</f>
        <v>160.65225000000001</v>
      </c>
      <c r="AK370" s="15">
        <f>(Table50[[#This Row],[REORDER POINT]]*Table50[[#This Row],[COST PRICE]])+Table50[[#This Row],[ORDER COST]]</f>
        <v>163.086375</v>
      </c>
      <c r="AL370" s="15">
        <f t="shared" si="17"/>
        <v>100</v>
      </c>
      <c r="AM370" s="15">
        <f>IFERROR((Table50[[#This Row],[REORDER POINT]]+Table50[[#This Row],[ORDER QTY]])/(Table50[[#This Row],[USAGE / DAY]]*Table50[[#This Row],[DEMAND %]]),Table50[[#This Row],[REORDER POINT]]/Table50[[#This Row],[USAGE / DAY]])</f>
        <v>0.1015151515151515</v>
      </c>
    </row>
    <row r="371" spans="1:39" x14ac:dyDescent="0.25">
      <c r="A371" t="s">
        <v>324</v>
      </c>
      <c r="B371" t="s">
        <v>480</v>
      </c>
      <c r="C371" t="s">
        <v>484</v>
      </c>
      <c r="D371" t="s">
        <v>188</v>
      </c>
      <c r="E371">
        <v>17</v>
      </c>
      <c r="F371">
        <v>152.32</v>
      </c>
      <c r="G371">
        <v>40</v>
      </c>
      <c r="H371">
        <v>224</v>
      </c>
      <c r="I371">
        <v>34</v>
      </c>
      <c r="J371">
        <v>190.4</v>
      </c>
      <c r="K371">
        <f>Table50[[#This Row],[OpeningQty]]+Table50[[#This Row],[PurchasesQty]]-Table50[[#This Row],[ClosingQty]]</f>
        <v>23</v>
      </c>
      <c r="L371">
        <v>185.92</v>
      </c>
      <c r="M371" s="14">
        <f>Table50[[#This Row],[Usage]]/$L$1</f>
        <v>2.8237518354690686E-4</v>
      </c>
      <c r="N371" s="15">
        <f>IFERROR(Table50[[#This Row],[Opening]]/Table50[[#This Row],[OpeningQty]],0)</f>
        <v>8.9599999999999991</v>
      </c>
      <c r="O371" s="15">
        <f>IFERROR(Table50[[#This Row],[Purchases]]/Table50[[#This Row],[PurchasesQty]],0)</f>
        <v>5.6</v>
      </c>
      <c r="P371" s="15">
        <f>IFERROR(Table50[[#This Row],[Closing]]/Table50[[#This Row],[ClosingQty]],0)</f>
        <v>5.6000000000000005</v>
      </c>
      <c r="Q371" s="15">
        <f>IFERROR(AVERAGEIF(Table50[[#This Row],[OPENING COST PRICE]:[CLOSING COST PRICE]],"&gt;0"),0)</f>
        <v>6.72</v>
      </c>
      <c r="R371" s="15">
        <f>IFERROR(Table50[[#This Row],[COST PRICE]]-IFERROR(Table50[[#This Row],[Usage]]/Table50[[#This Row],[UsageQty]],Table50[[#This Row],[COST PRICE]]),0)</f>
        <v>-1.3634782608695657</v>
      </c>
      <c r="S371" s="16">
        <f>IFERROR(Table50[[#This Row],[COST PRICE CHANGE]]/Table50[[#This Row],[OPENING COST PRICE]],0)</f>
        <v>-0.15217391304347833</v>
      </c>
      <c r="T371" s="15">
        <f>Table50[[#This Row],[ClosingQty]]-(Table50[[#This Row],[USAGE / DAY]]*(IF(Table50[[#This Row],[ccnt]]="BEV",Table50[[#This Row],[DELIVERY DAY]],Table50[[#This Row],[DELIVERY DAY]])))</f>
        <v>25.75</v>
      </c>
      <c r="U371" s="15">
        <f>ROUNDUP(Table50[[#This Row],[UsageQty]]/Table50[[#This Row],[DATA POINT]],2)</f>
        <v>1.65</v>
      </c>
      <c r="V37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71" s="15">
        <f>IFERROR(Table50[[#This Row],[ORDER QTY]]*Table50[[#This Row],[COST PRICE]],0)</f>
        <v>0</v>
      </c>
      <c r="X371" s="15">
        <f>IFERROR(VLOOKUP(C371,[1]!Table49[[#All],[name]:[USAGE / DAY]],19,FALSE),1)</f>
        <v>2.67</v>
      </c>
      <c r="Y371" s="4">
        <f>IFERROR((Table50[[#This Row],[USAGE / DAY]]-Table50[[#This Row],[USAGE / DAY 2]])/Table50[[#This Row],[USAGE / DAY 2]],0)</f>
        <v>-0.38202247191011235</v>
      </c>
      <c r="Z371" s="15">
        <f t="shared" si="15"/>
        <v>14</v>
      </c>
      <c r="AA371" s="15">
        <f t="shared" si="16"/>
        <v>9.311854181734148</v>
      </c>
      <c r="AB371" s="15">
        <f>IFERROR(IF(Table50[[#This Row],[ccnt]]="BEV",$AB$2,IF(Table50[[#This Row],[ccnt]]="FOOD",$AC$2,"ENTER # FROM LAST COUNT")),"ENTER # FROM LAST COUNT")</f>
        <v>5</v>
      </c>
      <c r="AC371" s="15">
        <f>(Table50[[#This Row],[OpeningQty]]+Table50[[#This Row],[ClosingQty]])/2</f>
        <v>25.5</v>
      </c>
      <c r="AD371" s="15">
        <f>IFERROR(Table50[[#This Row],[UsageQty]]/Table50[[#This Row],[AVE INVENTORY]],0)</f>
        <v>0.90196078431372551</v>
      </c>
      <c r="AE371" s="15">
        <f>IFERROR(Table50[[#This Row],[DATA POINT]]/Table50[[#This Row],[Inventory Turnover Rate]],0)</f>
        <v>15.521739130434783</v>
      </c>
      <c r="AF371" s="15">
        <f>Table50[[#This Row],[ClosingQty]]/Table50[[#This Row],[USAGE / DAY]]</f>
        <v>20.606060606060606</v>
      </c>
      <c r="AG371" s="15">
        <f>Table50[[#This Row],[USAGE / DAY]]*7</f>
        <v>11.549999999999999</v>
      </c>
      <c r="AH371" s="15">
        <f>Table50[[#This Row],[USAGE / DAY]]*3</f>
        <v>4.9499999999999993</v>
      </c>
      <c r="AI37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71" s="15">
        <f>IFERROR(Table50[[#This Row],[ORDER QTY2]]*Table50[[#This Row],[COST PRICE]],0)</f>
        <v>0</v>
      </c>
      <c r="AK371" s="15">
        <f>(Table50[[#This Row],[REORDER POINT]]*Table50[[#This Row],[COST PRICE]])+Table50[[#This Row],[ORDER COST]]</f>
        <v>173.04</v>
      </c>
      <c r="AL371" s="15">
        <f t="shared" si="17"/>
        <v>100</v>
      </c>
      <c r="AM371" s="15">
        <f>IFERROR((Table50[[#This Row],[REORDER POINT]]+Table50[[#This Row],[ORDER QTY]])/(Table50[[#This Row],[USAGE / DAY]]*Table50[[#This Row],[DEMAND %]]),Table50[[#This Row],[REORDER POINT]]/Table50[[#This Row],[USAGE / DAY]])</f>
        <v>15.606060606060607</v>
      </c>
    </row>
    <row r="372" spans="1:39" x14ac:dyDescent="0.25">
      <c r="A372" t="s">
        <v>324</v>
      </c>
      <c r="B372" t="s">
        <v>480</v>
      </c>
      <c r="C372" t="s">
        <v>485</v>
      </c>
      <c r="D372" t="s">
        <v>288</v>
      </c>
      <c r="E372">
        <v>23</v>
      </c>
      <c r="F372">
        <v>7820</v>
      </c>
      <c r="G372">
        <v>0</v>
      </c>
      <c r="H372">
        <v>0</v>
      </c>
      <c r="I372">
        <v>23</v>
      </c>
      <c r="J372">
        <v>7820</v>
      </c>
      <c r="K372">
        <f>Table50[[#This Row],[OpeningQty]]+Table50[[#This Row],[PurchasesQty]]-Table50[[#This Row],[ClosingQty]]</f>
        <v>0</v>
      </c>
      <c r="L372">
        <v>0</v>
      </c>
      <c r="M372" s="14">
        <f>Table50[[#This Row],[Usage]]/$L$1</f>
        <v>0</v>
      </c>
      <c r="N372" s="15">
        <f>IFERROR(Table50[[#This Row],[Opening]]/Table50[[#This Row],[OpeningQty]],0)</f>
        <v>340</v>
      </c>
      <c r="O372" s="15">
        <f>IFERROR(Table50[[#This Row],[Purchases]]/Table50[[#This Row],[PurchasesQty]],0)</f>
        <v>0</v>
      </c>
      <c r="P372" s="15">
        <f>IFERROR(Table50[[#This Row],[Closing]]/Table50[[#This Row],[ClosingQty]],0)</f>
        <v>340</v>
      </c>
      <c r="Q372" s="15">
        <f>IFERROR(AVERAGEIF(Table50[[#This Row],[OPENING COST PRICE]:[CLOSING COST PRICE]],"&gt;0"),0)</f>
        <v>340</v>
      </c>
      <c r="R372" s="15">
        <f>IFERROR(Table50[[#This Row],[COST PRICE]]-IFERROR(Table50[[#This Row],[Usage]]/Table50[[#This Row],[UsageQty]],Table50[[#This Row],[COST PRICE]]),0)</f>
        <v>0</v>
      </c>
      <c r="S372" s="16">
        <f>IFERROR(Table50[[#This Row],[COST PRICE CHANGE]]/Table50[[#This Row],[OPENING COST PRICE]],0)</f>
        <v>0</v>
      </c>
      <c r="T372" s="15">
        <f>Table50[[#This Row],[ClosingQty]]-(Table50[[#This Row],[USAGE / DAY]]*(IF(Table50[[#This Row],[ccnt]]="BEV",Table50[[#This Row],[DELIVERY DAY]],Table50[[#This Row],[DELIVERY DAY]])))</f>
        <v>23</v>
      </c>
      <c r="U372" s="15">
        <f>ROUNDUP(Table50[[#This Row],[UsageQty]]/Table50[[#This Row],[DATA POINT]],2)</f>
        <v>0</v>
      </c>
      <c r="V37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72" s="15">
        <f>IFERROR(Table50[[#This Row],[ORDER QTY]]*Table50[[#This Row],[COST PRICE]],0)</f>
        <v>0</v>
      </c>
      <c r="X372" s="15">
        <f>IFERROR(VLOOKUP(C372,[1]!Table49[[#All],[name]:[USAGE / DAY]],19,FALSE),1)</f>
        <v>0</v>
      </c>
      <c r="Y372" s="4">
        <f>IFERROR((Table50[[#This Row],[USAGE / DAY]]-Table50[[#This Row],[USAGE / DAY 2]])/Table50[[#This Row],[USAGE / DAY 2]],0)</f>
        <v>0</v>
      </c>
      <c r="Z372" s="15">
        <f t="shared" si="15"/>
        <v>14</v>
      </c>
      <c r="AA372" s="15">
        <f t="shared" si="16"/>
        <v>9.311854181734148</v>
      </c>
      <c r="AB372" s="15">
        <f>IFERROR(IF(Table50[[#This Row],[ccnt]]="BEV",$AB$2,IF(Table50[[#This Row],[ccnt]]="FOOD",$AC$2,"ENTER # FROM LAST COUNT")),"ENTER # FROM LAST COUNT")</f>
        <v>5</v>
      </c>
      <c r="AC372" s="15">
        <f>(Table50[[#This Row],[OpeningQty]]+Table50[[#This Row],[ClosingQty]])/2</f>
        <v>23</v>
      </c>
      <c r="AD372" s="15">
        <f>IFERROR(Table50[[#This Row],[UsageQty]]/Table50[[#This Row],[AVE INVENTORY]],0)</f>
        <v>0</v>
      </c>
      <c r="AE372" s="15">
        <f>IFERROR(Table50[[#This Row],[DATA POINT]]/Table50[[#This Row],[Inventory Turnover Rate]],0)</f>
        <v>0</v>
      </c>
      <c r="AF372" s="15" t="e">
        <f>Table50[[#This Row],[ClosingQty]]/Table50[[#This Row],[USAGE / DAY]]</f>
        <v>#DIV/0!</v>
      </c>
      <c r="AG372" s="15">
        <f>Table50[[#This Row],[USAGE / DAY]]*7</f>
        <v>0</v>
      </c>
      <c r="AH372" s="15">
        <f>Table50[[#This Row],[USAGE / DAY]]*3</f>
        <v>0</v>
      </c>
      <c r="AI37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72" s="15">
        <f>IFERROR(Table50[[#This Row],[ORDER QTY2]]*Table50[[#This Row],[COST PRICE]],0)</f>
        <v>0</v>
      </c>
      <c r="AK372" s="15">
        <f>(Table50[[#This Row],[REORDER POINT]]*Table50[[#This Row],[COST PRICE]])+Table50[[#This Row],[ORDER COST]]</f>
        <v>7820</v>
      </c>
      <c r="AL372" s="15">
        <f t="shared" si="17"/>
        <v>100</v>
      </c>
      <c r="AM372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73" spans="1:39" x14ac:dyDescent="0.25">
      <c r="A373" t="s">
        <v>324</v>
      </c>
      <c r="B373" t="s">
        <v>480</v>
      </c>
      <c r="C373" t="s">
        <v>486</v>
      </c>
      <c r="D373" t="s">
        <v>126</v>
      </c>
      <c r="E373">
        <v>6.21</v>
      </c>
      <c r="F373">
        <v>207.48</v>
      </c>
      <c r="G373">
        <v>0</v>
      </c>
      <c r="H373">
        <v>0</v>
      </c>
      <c r="I373">
        <v>5.9</v>
      </c>
      <c r="J373">
        <v>67.73</v>
      </c>
      <c r="K373">
        <f>Table50[[#This Row],[OpeningQty]]+Table50[[#This Row],[PurchasesQty]]-Table50[[#This Row],[ClosingQty]]</f>
        <v>0.30999999999999961</v>
      </c>
      <c r="L373">
        <v>139.75</v>
      </c>
      <c r="M373" s="14">
        <f>Table50[[#This Row],[Usage]]/$L$1</f>
        <v>2.1225221547267769E-4</v>
      </c>
      <c r="N373" s="15">
        <f>IFERROR(Table50[[#This Row],[Opening]]/Table50[[#This Row],[OpeningQty]],0)</f>
        <v>33.410628019323667</v>
      </c>
      <c r="O373" s="15">
        <f>IFERROR(Table50[[#This Row],[Purchases]]/Table50[[#This Row],[PurchasesQty]],0)</f>
        <v>0</v>
      </c>
      <c r="P373" s="15">
        <f>IFERROR(Table50[[#This Row],[Closing]]/Table50[[#This Row],[ClosingQty]],0)</f>
        <v>11.479661016949153</v>
      </c>
      <c r="Q373" s="15">
        <f>IFERROR(AVERAGEIF(Table50[[#This Row],[OPENING COST PRICE]:[CLOSING COST PRICE]],"&gt;0"),0)</f>
        <v>22.445144518136409</v>
      </c>
      <c r="R373" s="15">
        <f>IFERROR(Table50[[#This Row],[COST PRICE]]-IFERROR(Table50[[#This Row],[Usage]]/Table50[[#This Row],[UsageQty]],Table50[[#This Row],[COST PRICE]]),0)</f>
        <v>-428.36130709476737</v>
      </c>
      <c r="S373" s="16">
        <f>IFERROR(Table50[[#This Row],[COST PRICE CHANGE]]/Table50[[#This Row],[OPENING COST PRICE]],0)</f>
        <v>-12.821109104773981</v>
      </c>
      <c r="T373" s="15">
        <f>Table50[[#This Row],[ClosingQty]]-(Table50[[#This Row],[USAGE / DAY]]*(IF(Table50[[#This Row],[ccnt]]="BEV",Table50[[#This Row],[DELIVERY DAY]],Table50[[#This Row],[DELIVERY DAY]])))</f>
        <v>5.75</v>
      </c>
      <c r="U373" s="15">
        <f>ROUNDUP(Table50[[#This Row],[UsageQty]]/Table50[[#This Row],[DATA POINT]],2)</f>
        <v>0.03</v>
      </c>
      <c r="V37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73" s="15">
        <f>IFERROR(Table50[[#This Row],[ORDER QTY]]*Table50[[#This Row],[COST PRICE]],0)</f>
        <v>0</v>
      </c>
      <c r="X373" s="15">
        <f>IFERROR(VLOOKUP(C373,[1]!Table49[[#All],[name]:[USAGE / DAY]],19,FALSE),1)</f>
        <v>0.27</v>
      </c>
      <c r="Y373" s="4">
        <f>IFERROR((Table50[[#This Row],[USAGE / DAY]]-Table50[[#This Row],[USAGE / DAY 2]])/Table50[[#This Row],[USAGE / DAY 2]],0)</f>
        <v>-0.88888888888888895</v>
      </c>
      <c r="Z373" s="15">
        <f t="shared" si="15"/>
        <v>14</v>
      </c>
      <c r="AA373" s="15">
        <f t="shared" si="16"/>
        <v>9.311854181734148</v>
      </c>
      <c r="AB373" s="15">
        <f>IFERROR(IF(Table50[[#This Row],[ccnt]]="BEV",$AB$2,IF(Table50[[#This Row],[ccnt]]="FOOD",$AC$2,"ENTER # FROM LAST COUNT")),"ENTER # FROM LAST COUNT")</f>
        <v>5</v>
      </c>
      <c r="AC373" s="15">
        <f>(Table50[[#This Row],[OpeningQty]]+Table50[[#This Row],[ClosingQty]])/2</f>
        <v>6.0549999999999997</v>
      </c>
      <c r="AD373" s="15">
        <f>IFERROR(Table50[[#This Row],[UsageQty]]/Table50[[#This Row],[AVE INVENTORY]],0)</f>
        <v>5.1197357555738995E-2</v>
      </c>
      <c r="AE373" s="15">
        <f>IFERROR(Table50[[#This Row],[DATA POINT]]/Table50[[#This Row],[Inventory Turnover Rate]],0)</f>
        <v>273.45161290322613</v>
      </c>
      <c r="AF373" s="15">
        <f>Table50[[#This Row],[ClosingQty]]/Table50[[#This Row],[USAGE / DAY]]</f>
        <v>196.66666666666669</v>
      </c>
      <c r="AG373" s="15">
        <f>Table50[[#This Row],[USAGE / DAY]]*7</f>
        <v>0.21</v>
      </c>
      <c r="AH373" s="15">
        <f>Table50[[#This Row],[USAGE / DAY]]*3</f>
        <v>0.09</v>
      </c>
      <c r="AI37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73" s="15">
        <f>IFERROR(Table50[[#This Row],[ORDER QTY2]]*Table50[[#This Row],[COST PRICE]],0)</f>
        <v>0</v>
      </c>
      <c r="AK373" s="15">
        <f>(Table50[[#This Row],[REORDER POINT]]*Table50[[#This Row],[COST PRICE]])+Table50[[#This Row],[ORDER COST]]</f>
        <v>129.05958097928436</v>
      </c>
      <c r="AL373" s="15">
        <f t="shared" si="17"/>
        <v>100</v>
      </c>
      <c r="AM373" s="15">
        <f>IFERROR((Table50[[#This Row],[REORDER POINT]]+Table50[[#This Row],[ORDER QTY]])/(Table50[[#This Row],[USAGE / DAY]]*Table50[[#This Row],[DEMAND %]]),Table50[[#This Row],[REORDER POINT]]/Table50[[#This Row],[USAGE / DAY]])</f>
        <v>191.66666666666669</v>
      </c>
    </row>
    <row r="374" spans="1:39" x14ac:dyDescent="0.25">
      <c r="A374" t="s">
        <v>324</v>
      </c>
      <c r="B374" t="s">
        <v>480</v>
      </c>
      <c r="C374" t="s">
        <v>487</v>
      </c>
      <c r="D374" t="s">
        <v>126</v>
      </c>
      <c r="E374">
        <v>1</v>
      </c>
      <c r="F374">
        <v>48.47</v>
      </c>
      <c r="G374">
        <v>0</v>
      </c>
      <c r="H374">
        <v>0</v>
      </c>
      <c r="I374">
        <v>1</v>
      </c>
      <c r="J374">
        <v>48.47</v>
      </c>
      <c r="K374">
        <f>Table50[[#This Row],[OpeningQty]]+Table50[[#This Row],[PurchasesQty]]-Table50[[#This Row],[ClosingQty]]</f>
        <v>0</v>
      </c>
      <c r="L374">
        <v>0</v>
      </c>
      <c r="M374" s="14">
        <f>Table50[[#This Row],[Usage]]/$L$1</f>
        <v>0</v>
      </c>
      <c r="N374" s="15">
        <f>IFERROR(Table50[[#This Row],[Opening]]/Table50[[#This Row],[OpeningQty]],0)</f>
        <v>48.47</v>
      </c>
      <c r="O374" s="15">
        <f>IFERROR(Table50[[#This Row],[Purchases]]/Table50[[#This Row],[PurchasesQty]],0)</f>
        <v>0</v>
      </c>
      <c r="P374" s="15">
        <f>IFERROR(Table50[[#This Row],[Closing]]/Table50[[#This Row],[ClosingQty]],0)</f>
        <v>48.47</v>
      </c>
      <c r="Q374" s="15">
        <f>IFERROR(AVERAGEIF(Table50[[#This Row],[OPENING COST PRICE]:[CLOSING COST PRICE]],"&gt;0"),0)</f>
        <v>48.47</v>
      </c>
      <c r="R374" s="15">
        <f>IFERROR(Table50[[#This Row],[COST PRICE]]-IFERROR(Table50[[#This Row],[Usage]]/Table50[[#This Row],[UsageQty]],Table50[[#This Row],[COST PRICE]]),0)</f>
        <v>0</v>
      </c>
      <c r="S374" s="16">
        <f>IFERROR(Table50[[#This Row],[COST PRICE CHANGE]]/Table50[[#This Row],[OPENING COST PRICE]],0)</f>
        <v>0</v>
      </c>
      <c r="T374" s="15">
        <f>Table50[[#This Row],[ClosingQty]]-(Table50[[#This Row],[USAGE / DAY]]*(IF(Table50[[#This Row],[ccnt]]="BEV",Table50[[#This Row],[DELIVERY DAY]],Table50[[#This Row],[DELIVERY DAY]])))</f>
        <v>1</v>
      </c>
      <c r="U374" s="15">
        <f>ROUNDUP(Table50[[#This Row],[UsageQty]]/Table50[[#This Row],[DATA POINT]],2)</f>
        <v>0</v>
      </c>
      <c r="V37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74" s="15">
        <f>IFERROR(Table50[[#This Row],[ORDER QTY]]*Table50[[#This Row],[COST PRICE]],0)</f>
        <v>0</v>
      </c>
      <c r="X374" s="15">
        <f>IFERROR(VLOOKUP(C374,[1]!Table49[[#All],[name]:[USAGE / DAY]],19,FALSE),1)</f>
        <v>0.01</v>
      </c>
      <c r="Y374" s="4">
        <f>IFERROR((Table50[[#This Row],[USAGE / DAY]]-Table50[[#This Row],[USAGE / DAY 2]])/Table50[[#This Row],[USAGE / DAY 2]],0)</f>
        <v>-1</v>
      </c>
      <c r="Z374" s="15">
        <f t="shared" si="15"/>
        <v>14</v>
      </c>
      <c r="AA374" s="15">
        <f t="shared" si="16"/>
        <v>9.311854181734148</v>
      </c>
      <c r="AB374" s="15">
        <f>IFERROR(IF(Table50[[#This Row],[ccnt]]="BEV",$AB$2,IF(Table50[[#This Row],[ccnt]]="FOOD",$AC$2,"ENTER # FROM LAST COUNT")),"ENTER # FROM LAST COUNT")</f>
        <v>5</v>
      </c>
      <c r="AC374" s="15">
        <f>(Table50[[#This Row],[OpeningQty]]+Table50[[#This Row],[ClosingQty]])/2</f>
        <v>1</v>
      </c>
      <c r="AD374" s="15">
        <f>IFERROR(Table50[[#This Row],[UsageQty]]/Table50[[#This Row],[AVE INVENTORY]],0)</f>
        <v>0</v>
      </c>
      <c r="AE374" s="15">
        <f>IFERROR(Table50[[#This Row],[DATA POINT]]/Table50[[#This Row],[Inventory Turnover Rate]],0)</f>
        <v>0</v>
      </c>
      <c r="AF374" s="15" t="e">
        <f>Table50[[#This Row],[ClosingQty]]/Table50[[#This Row],[USAGE / DAY]]</f>
        <v>#DIV/0!</v>
      </c>
      <c r="AG374" s="15">
        <f>Table50[[#This Row],[USAGE / DAY]]*7</f>
        <v>0</v>
      </c>
      <c r="AH374" s="15">
        <f>Table50[[#This Row],[USAGE / DAY]]*3</f>
        <v>0</v>
      </c>
      <c r="AI37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74" s="15">
        <f>IFERROR(Table50[[#This Row],[ORDER QTY2]]*Table50[[#This Row],[COST PRICE]],0)</f>
        <v>0</v>
      </c>
      <c r="AK374" s="15">
        <f>(Table50[[#This Row],[REORDER POINT]]*Table50[[#This Row],[COST PRICE]])+Table50[[#This Row],[ORDER COST]]</f>
        <v>48.47</v>
      </c>
      <c r="AL374" s="15">
        <f t="shared" si="17"/>
        <v>100</v>
      </c>
      <c r="AM374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75" spans="1:39" x14ac:dyDescent="0.25">
      <c r="A375" t="s">
        <v>324</v>
      </c>
      <c r="B375" t="s">
        <v>480</v>
      </c>
      <c r="C375" t="s">
        <v>488</v>
      </c>
      <c r="D375" t="s">
        <v>126</v>
      </c>
      <c r="E375">
        <v>30</v>
      </c>
      <c r="F375">
        <v>853.8</v>
      </c>
      <c r="G375">
        <v>0</v>
      </c>
      <c r="H375">
        <v>0</v>
      </c>
      <c r="I375">
        <v>42.5</v>
      </c>
      <c r="J375">
        <v>1209.55</v>
      </c>
      <c r="K375">
        <f>Table50[[#This Row],[OpeningQty]]+Table50[[#This Row],[PurchasesQty]]-Table50[[#This Row],[ClosingQty]]</f>
        <v>-12.5</v>
      </c>
      <c r="L375">
        <v>-355.75</v>
      </c>
      <c r="M375" s="14">
        <f>Table50[[#This Row],[Usage]]/$L$1</f>
        <v>-5.4031288482579666E-4</v>
      </c>
      <c r="N375" s="15">
        <f>IFERROR(Table50[[#This Row],[Opening]]/Table50[[#This Row],[OpeningQty]],0)</f>
        <v>28.459999999999997</v>
      </c>
      <c r="O375" s="15">
        <f>IFERROR(Table50[[#This Row],[Purchases]]/Table50[[#This Row],[PurchasesQty]],0)</f>
        <v>0</v>
      </c>
      <c r="P375" s="15">
        <f>IFERROR(Table50[[#This Row],[Closing]]/Table50[[#This Row],[ClosingQty]],0)</f>
        <v>28.459999999999997</v>
      </c>
      <c r="Q375" s="15">
        <f>IFERROR(AVERAGEIF(Table50[[#This Row],[OPENING COST PRICE]:[CLOSING COST PRICE]],"&gt;0"),0)</f>
        <v>28.459999999999997</v>
      </c>
      <c r="R375" s="15">
        <f>IFERROR(Table50[[#This Row],[COST PRICE]]-IFERROR(Table50[[#This Row],[Usage]]/Table50[[#This Row],[UsageQty]],Table50[[#This Row],[COST PRICE]]),0)</f>
        <v>-3.5527136788005009E-15</v>
      </c>
      <c r="S375" s="16">
        <f>IFERROR(Table50[[#This Row],[COST PRICE CHANGE]]/Table50[[#This Row],[OPENING COST PRICE]],0)</f>
        <v>-1.2483182286719963E-16</v>
      </c>
      <c r="T375" s="15">
        <f>Table50[[#This Row],[ClosingQty]]-(Table50[[#This Row],[USAGE / DAY]]*(IF(Table50[[#This Row],[ccnt]]="BEV",Table50[[#This Row],[DELIVERY DAY]],Table50[[#This Row],[DELIVERY DAY]])))</f>
        <v>47</v>
      </c>
      <c r="U375" s="15">
        <f>ROUNDUP(Table50[[#This Row],[UsageQty]]/Table50[[#This Row],[DATA POINT]],2)</f>
        <v>-0.9</v>
      </c>
      <c r="V37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75" s="15">
        <f>IFERROR(Table50[[#This Row],[ORDER QTY]]*Table50[[#This Row],[COST PRICE]],0)</f>
        <v>0</v>
      </c>
      <c r="X375" s="15">
        <f>IFERROR(VLOOKUP(C375,[1]!Table49[[#All],[name]:[USAGE / DAY]],19,FALSE),1)</f>
        <v>6.17</v>
      </c>
      <c r="Y375" s="4">
        <f>IFERROR((Table50[[#This Row],[USAGE / DAY]]-Table50[[#This Row],[USAGE / DAY 2]])/Table50[[#This Row],[USAGE / DAY 2]],0)</f>
        <v>-1.1458670988654782</v>
      </c>
      <c r="Z375" s="15">
        <f t="shared" si="15"/>
        <v>14</v>
      </c>
      <c r="AA375" s="15">
        <f t="shared" si="16"/>
        <v>9.311854181734148</v>
      </c>
      <c r="AB375" s="15">
        <f>IFERROR(IF(Table50[[#This Row],[ccnt]]="BEV",$AB$2,IF(Table50[[#This Row],[ccnt]]="FOOD",$AC$2,"ENTER # FROM LAST COUNT")),"ENTER # FROM LAST COUNT")</f>
        <v>5</v>
      </c>
      <c r="AC375" s="15">
        <f>(Table50[[#This Row],[OpeningQty]]+Table50[[#This Row],[ClosingQty]])/2</f>
        <v>36.25</v>
      </c>
      <c r="AD375" s="15">
        <f>IFERROR(Table50[[#This Row],[UsageQty]]/Table50[[#This Row],[AVE INVENTORY]],0)</f>
        <v>-0.34482758620689657</v>
      </c>
      <c r="AE375" s="15">
        <f>IFERROR(Table50[[#This Row],[DATA POINT]]/Table50[[#This Row],[Inventory Turnover Rate]],0)</f>
        <v>-40.599999999999994</v>
      </c>
      <c r="AF375" s="15">
        <f>Table50[[#This Row],[ClosingQty]]/Table50[[#This Row],[USAGE / DAY]]</f>
        <v>-47.222222222222221</v>
      </c>
      <c r="AG375" s="15">
        <f>Table50[[#This Row],[USAGE / DAY]]*7</f>
        <v>-6.3</v>
      </c>
      <c r="AH375" s="15">
        <f>Table50[[#This Row],[USAGE / DAY]]*3</f>
        <v>-2.7</v>
      </c>
      <c r="AI37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75" s="15">
        <f>IFERROR(Table50[[#This Row],[ORDER QTY2]]*Table50[[#This Row],[COST PRICE]],0)</f>
        <v>0</v>
      </c>
      <c r="AK375" s="15">
        <f>(Table50[[#This Row],[REORDER POINT]]*Table50[[#This Row],[COST PRICE]])+Table50[[#This Row],[ORDER COST]]</f>
        <v>1337.62</v>
      </c>
      <c r="AL375" s="15">
        <f t="shared" si="17"/>
        <v>100</v>
      </c>
      <c r="AM375" s="15">
        <f>IFERROR((Table50[[#This Row],[REORDER POINT]]+Table50[[#This Row],[ORDER QTY]])/(Table50[[#This Row],[USAGE / DAY]]*Table50[[#This Row],[DEMAND %]]),Table50[[#This Row],[REORDER POINT]]/Table50[[#This Row],[USAGE / DAY]])</f>
        <v>-52.222222222222221</v>
      </c>
    </row>
    <row r="376" spans="1:39" x14ac:dyDescent="0.25">
      <c r="A376" t="s">
        <v>324</v>
      </c>
      <c r="B376" t="s">
        <v>480</v>
      </c>
      <c r="C376" t="s">
        <v>489</v>
      </c>
      <c r="D376" t="s">
        <v>126</v>
      </c>
      <c r="E376">
        <v>0</v>
      </c>
      <c r="F376">
        <v>0</v>
      </c>
      <c r="G376">
        <v>100</v>
      </c>
      <c r="H376">
        <v>2846.44</v>
      </c>
      <c r="I376">
        <v>0</v>
      </c>
      <c r="J376">
        <v>0</v>
      </c>
      <c r="K376">
        <f>Table50[[#This Row],[OpeningQty]]+Table50[[#This Row],[PurchasesQty]]-Table50[[#This Row],[ClosingQty]]</f>
        <v>100</v>
      </c>
      <c r="L376">
        <v>2846.44</v>
      </c>
      <c r="M376" s="14">
        <f>Table50[[#This Row],[Usage]]/$L$1</f>
        <v>4.323171350340241E-3</v>
      </c>
      <c r="N376" s="15">
        <f>IFERROR(Table50[[#This Row],[Opening]]/Table50[[#This Row],[OpeningQty]],0)</f>
        <v>0</v>
      </c>
      <c r="O376" s="15">
        <f>IFERROR(Table50[[#This Row],[Purchases]]/Table50[[#This Row],[PurchasesQty]],0)</f>
        <v>28.464400000000001</v>
      </c>
      <c r="P376" s="15">
        <f>IFERROR(Table50[[#This Row],[Closing]]/Table50[[#This Row],[ClosingQty]],0)</f>
        <v>0</v>
      </c>
      <c r="Q376" s="15">
        <f>IFERROR(AVERAGEIF(Table50[[#This Row],[OPENING COST PRICE]:[CLOSING COST PRICE]],"&gt;0"),0)</f>
        <v>28.464400000000001</v>
      </c>
      <c r="R376" s="15">
        <f>IFERROR(Table50[[#This Row],[COST PRICE]]-IFERROR(Table50[[#This Row],[Usage]]/Table50[[#This Row],[UsageQty]],Table50[[#This Row],[COST PRICE]]),0)</f>
        <v>0</v>
      </c>
      <c r="S376" s="16">
        <f>IFERROR(Table50[[#This Row],[COST PRICE CHANGE]]/Table50[[#This Row],[OPENING COST PRICE]],0)</f>
        <v>0</v>
      </c>
      <c r="T376" s="15">
        <f>Table50[[#This Row],[ClosingQty]]-(Table50[[#This Row],[USAGE / DAY]]*(IF(Table50[[#This Row],[ccnt]]="BEV",Table50[[#This Row],[DELIVERY DAY]],Table50[[#This Row],[DELIVERY DAY]])))</f>
        <v>-35.75</v>
      </c>
      <c r="U376" s="15">
        <f>ROUNDUP(Table50[[#This Row],[UsageQty]]/Table50[[#This Row],[DATA POINT]],2)</f>
        <v>7.1499999999999995</v>
      </c>
      <c r="V37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103</v>
      </c>
      <c r="W376" s="15">
        <f>IFERROR(Table50[[#This Row],[ORDER QTY]]*Table50[[#This Row],[COST PRICE]],0)</f>
        <v>2931.8332</v>
      </c>
      <c r="X376" s="15">
        <f>IFERROR(VLOOKUP(C376,[1]!Table49[[#All],[name]:[USAGE / DAY]],19,FALSE),1)</f>
        <v>0</v>
      </c>
      <c r="Y376" s="4">
        <f>IFERROR((Table50[[#This Row],[USAGE / DAY]]-Table50[[#This Row],[USAGE / DAY 2]])/Table50[[#This Row],[USAGE / DAY 2]],0)</f>
        <v>0</v>
      </c>
      <c r="Z376" s="15">
        <f t="shared" si="15"/>
        <v>14</v>
      </c>
      <c r="AA376" s="15">
        <f t="shared" si="16"/>
        <v>9.311854181734148</v>
      </c>
      <c r="AB376" s="15">
        <f>IFERROR(IF(Table50[[#This Row],[ccnt]]="BEV",$AB$2,IF(Table50[[#This Row],[ccnt]]="FOOD",$AC$2,"ENTER # FROM LAST COUNT")),"ENTER # FROM LAST COUNT")</f>
        <v>5</v>
      </c>
      <c r="AC376" s="15">
        <f>(Table50[[#This Row],[OpeningQty]]+Table50[[#This Row],[ClosingQty]])/2</f>
        <v>0</v>
      </c>
      <c r="AD376" s="15">
        <f>IFERROR(Table50[[#This Row],[UsageQty]]/Table50[[#This Row],[AVE INVENTORY]],0)</f>
        <v>0</v>
      </c>
      <c r="AE376" s="15">
        <f>IFERROR(Table50[[#This Row],[DATA POINT]]/Table50[[#This Row],[Inventory Turnover Rate]],0)</f>
        <v>0</v>
      </c>
      <c r="AF376" s="15">
        <f>Table50[[#This Row],[ClosingQty]]/Table50[[#This Row],[USAGE / DAY]]</f>
        <v>0</v>
      </c>
      <c r="AG376" s="15">
        <f>Table50[[#This Row],[USAGE / DAY]]*7</f>
        <v>50.05</v>
      </c>
      <c r="AH376" s="15">
        <f>Table50[[#This Row],[USAGE / DAY]]*3</f>
        <v>21.45</v>
      </c>
      <c r="AI376" s="15">
        <f>IF(Table50[[#This Row],[FORECASTED DEMAND]]+Table50[[#This Row],[SAFETY STOCK]]-Table50[[#This Row],[ClosingQty]]&gt;0,Table50[[#This Row],[FORECASTED DEMAND]]+Table50[[#This Row],[SAFETY STOCK]]-Table50[[#This Row],[ClosingQty]],"NO ORDER")</f>
        <v>71.5</v>
      </c>
      <c r="AJ376" s="15">
        <f>IFERROR(Table50[[#This Row],[ORDER QTY2]]*Table50[[#This Row],[COST PRICE]],0)</f>
        <v>2035.2046</v>
      </c>
      <c r="AK376" s="15">
        <f>(Table50[[#This Row],[REORDER POINT]]*Table50[[#This Row],[COST PRICE]])+Table50[[#This Row],[ORDER COST]]</f>
        <v>1914.2309</v>
      </c>
      <c r="AL376" s="15">
        <f t="shared" si="17"/>
        <v>100</v>
      </c>
      <c r="AM376" s="15">
        <f>IFERROR((Table50[[#This Row],[REORDER POINT]]+Table50[[#This Row],[ORDER QTY]])/(Table50[[#This Row],[USAGE / DAY]]*Table50[[#This Row],[DEMAND %]]),Table50[[#This Row],[REORDER POINT]]/Table50[[#This Row],[USAGE / DAY]])</f>
        <v>9.4055944055944057E-2</v>
      </c>
    </row>
    <row r="377" spans="1:39" x14ac:dyDescent="0.25">
      <c r="A377" t="s">
        <v>324</v>
      </c>
      <c r="B377" t="s">
        <v>480</v>
      </c>
      <c r="C377" t="s">
        <v>490</v>
      </c>
      <c r="D377" t="s">
        <v>53</v>
      </c>
      <c r="E377">
        <v>90</v>
      </c>
      <c r="F377">
        <v>530.1</v>
      </c>
      <c r="G377">
        <v>0</v>
      </c>
      <c r="H377">
        <v>0</v>
      </c>
      <c r="I377">
        <v>48</v>
      </c>
      <c r="J377">
        <v>282.72000000000003</v>
      </c>
      <c r="K377">
        <f>Table50[[#This Row],[OpeningQty]]+Table50[[#This Row],[PurchasesQty]]-Table50[[#This Row],[ClosingQty]]</f>
        <v>42</v>
      </c>
      <c r="L377">
        <v>247.38</v>
      </c>
      <c r="M377" s="14">
        <f>Table50[[#This Row],[Usage]]/$L$1</f>
        <v>3.7572059437303046E-4</v>
      </c>
      <c r="N377" s="15">
        <f>IFERROR(Table50[[#This Row],[Opening]]/Table50[[#This Row],[OpeningQty]],0)</f>
        <v>5.8900000000000006</v>
      </c>
      <c r="O377" s="15">
        <f>IFERROR(Table50[[#This Row],[Purchases]]/Table50[[#This Row],[PurchasesQty]],0)</f>
        <v>0</v>
      </c>
      <c r="P377" s="15">
        <f>IFERROR(Table50[[#This Row],[Closing]]/Table50[[#This Row],[ClosingQty]],0)</f>
        <v>5.8900000000000006</v>
      </c>
      <c r="Q377" s="15">
        <f>IFERROR(AVERAGEIF(Table50[[#This Row],[OPENING COST PRICE]:[CLOSING COST PRICE]],"&gt;0"),0)</f>
        <v>5.8900000000000006</v>
      </c>
      <c r="R377" s="15">
        <f>IFERROR(Table50[[#This Row],[COST PRICE]]-IFERROR(Table50[[#This Row],[Usage]]/Table50[[#This Row],[UsageQty]],Table50[[#This Row],[COST PRICE]]),0)</f>
        <v>8.8817841970012523E-16</v>
      </c>
      <c r="S377" s="16">
        <f>IFERROR(Table50[[#This Row],[COST PRICE CHANGE]]/Table50[[#This Row],[OPENING COST PRICE]],0)</f>
        <v>1.5079429876063246E-16</v>
      </c>
      <c r="T377" s="15">
        <f>Table50[[#This Row],[ClosingQty]]-(Table50[[#This Row],[USAGE / DAY]]*(IF(Table50[[#This Row],[ccnt]]="BEV",Table50[[#This Row],[DELIVERY DAY]],Table50[[#This Row],[DELIVERY DAY]])))</f>
        <v>33</v>
      </c>
      <c r="U377" s="15">
        <f>ROUNDUP(Table50[[#This Row],[UsageQty]]/Table50[[#This Row],[DATA POINT]],2)</f>
        <v>3</v>
      </c>
      <c r="V377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77" s="15">
        <f>IFERROR(Table50[[#This Row],[ORDER QTY]]*Table50[[#This Row],[COST PRICE]],0)</f>
        <v>0</v>
      </c>
      <c r="X377" s="15">
        <f>IFERROR(VLOOKUP(C377,[1]!Table49[[#All],[name]:[USAGE / DAY]],19,FALSE),1)</f>
        <v>0</v>
      </c>
      <c r="Y377" s="4">
        <f>IFERROR((Table50[[#This Row],[USAGE / DAY]]-Table50[[#This Row],[USAGE / DAY 2]])/Table50[[#This Row],[USAGE / DAY 2]],0)</f>
        <v>0</v>
      </c>
      <c r="Z377" s="15">
        <f t="shared" si="15"/>
        <v>14</v>
      </c>
      <c r="AA377" s="15">
        <f t="shared" si="16"/>
        <v>9.311854181734148</v>
      </c>
      <c r="AB377" s="15">
        <f>IFERROR(IF(Table50[[#This Row],[ccnt]]="BEV",$AB$2,IF(Table50[[#This Row],[ccnt]]="FOOD",$AC$2,"ENTER # FROM LAST COUNT")),"ENTER # FROM LAST COUNT")</f>
        <v>5</v>
      </c>
      <c r="AC377" s="15">
        <f>(Table50[[#This Row],[OpeningQty]]+Table50[[#This Row],[ClosingQty]])/2</f>
        <v>69</v>
      </c>
      <c r="AD377" s="15">
        <f>IFERROR(Table50[[#This Row],[UsageQty]]/Table50[[#This Row],[AVE INVENTORY]],0)</f>
        <v>0.60869565217391308</v>
      </c>
      <c r="AE377" s="15">
        <f>IFERROR(Table50[[#This Row],[DATA POINT]]/Table50[[#This Row],[Inventory Turnover Rate]],0)</f>
        <v>23</v>
      </c>
      <c r="AF377" s="15">
        <f>Table50[[#This Row],[ClosingQty]]/Table50[[#This Row],[USAGE / DAY]]</f>
        <v>16</v>
      </c>
      <c r="AG377" s="15">
        <f>Table50[[#This Row],[USAGE / DAY]]*7</f>
        <v>21</v>
      </c>
      <c r="AH377" s="15">
        <f>Table50[[#This Row],[USAGE / DAY]]*3</f>
        <v>9</v>
      </c>
      <c r="AI37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77" s="15">
        <f>IFERROR(Table50[[#This Row],[ORDER QTY2]]*Table50[[#This Row],[COST PRICE]],0)</f>
        <v>0</v>
      </c>
      <c r="AK377" s="15">
        <f>(Table50[[#This Row],[REORDER POINT]]*Table50[[#This Row],[COST PRICE]])+Table50[[#This Row],[ORDER COST]]</f>
        <v>194.37</v>
      </c>
      <c r="AL377" s="15">
        <f t="shared" si="17"/>
        <v>100</v>
      </c>
      <c r="AM377" s="15">
        <f>IFERROR((Table50[[#This Row],[REORDER POINT]]+Table50[[#This Row],[ORDER QTY]])/(Table50[[#This Row],[USAGE / DAY]]*Table50[[#This Row],[DEMAND %]]),Table50[[#This Row],[REORDER POINT]]/Table50[[#This Row],[USAGE / DAY]])</f>
        <v>11</v>
      </c>
    </row>
    <row r="378" spans="1:39" x14ac:dyDescent="0.25">
      <c r="A378" t="s">
        <v>324</v>
      </c>
      <c r="B378" t="s">
        <v>491</v>
      </c>
      <c r="C378" t="s">
        <v>492</v>
      </c>
      <c r="D378" t="s">
        <v>126</v>
      </c>
      <c r="E378">
        <v>1</v>
      </c>
      <c r="F378">
        <v>565</v>
      </c>
      <c r="G378">
        <v>0</v>
      </c>
      <c r="H378">
        <v>0</v>
      </c>
      <c r="I378">
        <v>0.83</v>
      </c>
      <c r="J378">
        <v>468.95</v>
      </c>
      <c r="K378">
        <f>Table50[[#This Row],[OpeningQty]]+Table50[[#This Row],[PurchasesQty]]-Table50[[#This Row],[ClosingQty]]</f>
        <v>0.17000000000000004</v>
      </c>
      <c r="L378">
        <v>96.05</v>
      </c>
      <c r="M378" s="14">
        <f>Table50[[#This Row],[Usage]]/$L$1</f>
        <v>1.4588068190447723E-4</v>
      </c>
      <c r="N378" s="15">
        <f>IFERROR(Table50[[#This Row],[Opening]]/Table50[[#This Row],[OpeningQty]],0)</f>
        <v>565</v>
      </c>
      <c r="O378" s="15">
        <f>IFERROR(Table50[[#This Row],[Purchases]]/Table50[[#This Row],[PurchasesQty]],0)</f>
        <v>0</v>
      </c>
      <c r="P378" s="15">
        <f>IFERROR(Table50[[#This Row],[Closing]]/Table50[[#This Row],[ClosingQty]],0)</f>
        <v>565</v>
      </c>
      <c r="Q378" s="15">
        <f>IFERROR(AVERAGEIF(Table50[[#This Row],[OPENING COST PRICE]:[CLOSING COST PRICE]],"&gt;0"),0)</f>
        <v>565</v>
      </c>
      <c r="R378" s="15">
        <f>IFERROR(Table50[[#This Row],[COST PRICE]]-IFERROR(Table50[[#This Row],[Usage]]/Table50[[#This Row],[UsageQty]],Table50[[#This Row],[COST PRICE]]),0)</f>
        <v>1.1368683772161603E-13</v>
      </c>
      <c r="S378" s="16">
        <f>IFERROR(Table50[[#This Row],[COST PRICE CHANGE]]/Table50[[#This Row],[OPENING COST PRICE]],0)</f>
        <v>2.0121564198516111E-16</v>
      </c>
      <c r="T378" s="15">
        <f>Table50[[#This Row],[ClosingQty]]-(Table50[[#This Row],[USAGE / DAY]]*(IF(Table50[[#This Row],[ccnt]]="BEV",Table50[[#This Row],[DELIVERY DAY]],Table50[[#This Row],[DELIVERY DAY]])))</f>
        <v>0.73</v>
      </c>
      <c r="U378" s="15">
        <f>ROUNDUP(Table50[[#This Row],[UsageQty]]/Table50[[#This Row],[DATA POINT]],2)</f>
        <v>0.02</v>
      </c>
      <c r="V37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78" s="15">
        <f>IFERROR(Table50[[#This Row],[ORDER QTY]]*Table50[[#This Row],[COST PRICE]],0)</f>
        <v>0</v>
      </c>
      <c r="X378" s="15">
        <f>IFERROR(VLOOKUP(C378,[1]!Table49[[#All],[name]:[USAGE / DAY]],19,FALSE),1)</f>
        <v>0.01</v>
      </c>
      <c r="Y378" s="4">
        <f>IFERROR((Table50[[#This Row],[USAGE / DAY]]-Table50[[#This Row],[USAGE / DAY 2]])/Table50[[#This Row],[USAGE / DAY 2]],0)</f>
        <v>1</v>
      </c>
      <c r="Z378" s="15">
        <f t="shared" si="15"/>
        <v>14</v>
      </c>
      <c r="AA378" s="15">
        <f t="shared" si="16"/>
        <v>9.311854181734148</v>
      </c>
      <c r="AB378" s="15">
        <f>IFERROR(IF(Table50[[#This Row],[ccnt]]="BEV",$AB$2,IF(Table50[[#This Row],[ccnt]]="FOOD",$AC$2,"ENTER # FROM LAST COUNT")),"ENTER # FROM LAST COUNT")</f>
        <v>5</v>
      </c>
      <c r="AC378" s="15">
        <f>(Table50[[#This Row],[OpeningQty]]+Table50[[#This Row],[ClosingQty]])/2</f>
        <v>0.91500000000000004</v>
      </c>
      <c r="AD378" s="15">
        <f>IFERROR(Table50[[#This Row],[UsageQty]]/Table50[[#This Row],[AVE INVENTORY]],0)</f>
        <v>0.185792349726776</v>
      </c>
      <c r="AE378" s="15">
        <f>IFERROR(Table50[[#This Row],[DATA POINT]]/Table50[[#This Row],[Inventory Turnover Rate]],0)</f>
        <v>75.352941176470566</v>
      </c>
      <c r="AF378" s="15">
        <f>Table50[[#This Row],[ClosingQty]]/Table50[[#This Row],[USAGE / DAY]]</f>
        <v>41.5</v>
      </c>
      <c r="AG378" s="15">
        <f>Table50[[#This Row],[USAGE / DAY]]*7</f>
        <v>0.14000000000000001</v>
      </c>
      <c r="AH378" s="15">
        <f>Table50[[#This Row],[USAGE / DAY]]*3</f>
        <v>0.06</v>
      </c>
      <c r="AI37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78" s="15">
        <f>IFERROR(Table50[[#This Row],[ORDER QTY2]]*Table50[[#This Row],[COST PRICE]],0)</f>
        <v>0</v>
      </c>
      <c r="AK378" s="15">
        <f>(Table50[[#This Row],[REORDER POINT]]*Table50[[#This Row],[COST PRICE]])+Table50[[#This Row],[ORDER COST]]</f>
        <v>412.45</v>
      </c>
      <c r="AL378" s="15">
        <f t="shared" si="17"/>
        <v>100</v>
      </c>
      <c r="AM378" s="15">
        <f>IFERROR((Table50[[#This Row],[REORDER POINT]]+Table50[[#This Row],[ORDER QTY]])/(Table50[[#This Row],[USAGE / DAY]]*Table50[[#This Row],[DEMAND %]]),Table50[[#This Row],[REORDER POINT]]/Table50[[#This Row],[USAGE / DAY]])</f>
        <v>36.5</v>
      </c>
    </row>
    <row r="379" spans="1:39" x14ac:dyDescent="0.25">
      <c r="A379" t="s">
        <v>324</v>
      </c>
      <c r="B379" t="s">
        <v>491</v>
      </c>
      <c r="C379" t="s">
        <v>493</v>
      </c>
      <c r="D379" t="s">
        <v>126</v>
      </c>
      <c r="E379">
        <v>13.61</v>
      </c>
      <c r="F379">
        <v>483.29</v>
      </c>
      <c r="G379">
        <v>15</v>
      </c>
      <c r="H379">
        <v>532.63</v>
      </c>
      <c r="I379">
        <v>12</v>
      </c>
      <c r="J379">
        <v>426.12</v>
      </c>
      <c r="K379">
        <f>Table50[[#This Row],[OpeningQty]]+Table50[[#This Row],[PurchasesQty]]-Table50[[#This Row],[ClosingQty]]</f>
        <v>16.61</v>
      </c>
      <c r="L379">
        <v>589.79999999999995</v>
      </c>
      <c r="M379" s="14">
        <f>Table50[[#This Row],[Usage]]/$L$1</f>
        <v>8.9578788326143328E-4</v>
      </c>
      <c r="N379" s="15">
        <f>IFERROR(Table50[[#This Row],[Opening]]/Table50[[#This Row],[OpeningQty]],0)</f>
        <v>35.50991917707568</v>
      </c>
      <c r="O379" s="15">
        <f>IFERROR(Table50[[#This Row],[Purchases]]/Table50[[#This Row],[PurchasesQty]],0)</f>
        <v>35.508666666666663</v>
      </c>
      <c r="P379" s="15">
        <f>IFERROR(Table50[[#This Row],[Closing]]/Table50[[#This Row],[ClosingQty]],0)</f>
        <v>35.51</v>
      </c>
      <c r="Q379" s="15">
        <f>IFERROR(AVERAGEIF(Table50[[#This Row],[OPENING COST PRICE]:[CLOSING COST PRICE]],"&gt;0"),0)</f>
        <v>35.50952861458078</v>
      </c>
      <c r="R379" s="15">
        <f>IFERROR(Table50[[#This Row],[COST PRICE]]-IFERROR(Table50[[#This Row],[Usage]]/Table50[[#This Row],[UsageQty]],Table50[[#This Row],[COST PRICE]]),0)</f>
        <v>7.989336656706314E-4</v>
      </c>
      <c r="S379" s="16">
        <f>IFERROR(Table50[[#This Row],[COST PRICE CHANGE]]/Table50[[#This Row],[OPENING COST PRICE]],0)</f>
        <v>2.2498887189425177E-5</v>
      </c>
      <c r="T379" s="15">
        <f>Table50[[#This Row],[ClosingQty]]-(Table50[[#This Row],[USAGE / DAY]]*(IF(Table50[[#This Row],[ccnt]]="BEV",Table50[[#This Row],[DELIVERY DAY]],Table50[[#This Row],[DELIVERY DAY]])))</f>
        <v>6.0500000000000007</v>
      </c>
      <c r="U379" s="15">
        <f>ROUNDUP(Table50[[#This Row],[UsageQty]]/Table50[[#This Row],[DATA POINT]],2)</f>
        <v>1.19</v>
      </c>
      <c r="V37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6</v>
      </c>
      <c r="W379" s="15">
        <f>IFERROR(Table50[[#This Row],[ORDER QTY]]*Table50[[#This Row],[COST PRICE]],0)</f>
        <v>213.0571716874847</v>
      </c>
      <c r="X379" s="15">
        <f>IFERROR(VLOOKUP(C379,[1]!Table49[[#All],[name]:[USAGE / DAY]],19,FALSE),1)</f>
        <v>0.84</v>
      </c>
      <c r="Y379" s="4">
        <f>IFERROR((Table50[[#This Row],[USAGE / DAY]]-Table50[[#This Row],[USAGE / DAY 2]])/Table50[[#This Row],[USAGE / DAY 2]],0)</f>
        <v>0.41666666666666663</v>
      </c>
      <c r="Z379" s="15">
        <f t="shared" si="15"/>
        <v>14</v>
      </c>
      <c r="AA379" s="15">
        <f t="shared" si="16"/>
        <v>9.311854181734148</v>
      </c>
      <c r="AB379" s="15">
        <f>IFERROR(IF(Table50[[#This Row],[ccnt]]="BEV",$AB$2,IF(Table50[[#This Row],[ccnt]]="FOOD",$AC$2,"ENTER # FROM LAST COUNT")),"ENTER # FROM LAST COUNT")</f>
        <v>5</v>
      </c>
      <c r="AC379" s="15">
        <f>(Table50[[#This Row],[OpeningQty]]+Table50[[#This Row],[ClosingQty]])/2</f>
        <v>12.805</v>
      </c>
      <c r="AD379" s="15">
        <f>IFERROR(Table50[[#This Row],[UsageQty]]/Table50[[#This Row],[AVE INVENTORY]],0)</f>
        <v>1.2971495509566575</v>
      </c>
      <c r="AE379" s="15">
        <f>IFERROR(Table50[[#This Row],[DATA POINT]]/Table50[[#This Row],[Inventory Turnover Rate]],0)</f>
        <v>10.792895845875979</v>
      </c>
      <c r="AF379" s="15">
        <f>Table50[[#This Row],[ClosingQty]]/Table50[[#This Row],[USAGE / DAY]]</f>
        <v>10.084033613445378</v>
      </c>
      <c r="AG379" s="15">
        <f>Table50[[#This Row],[USAGE / DAY]]*7</f>
        <v>8.33</v>
      </c>
      <c r="AH379" s="15">
        <f>Table50[[#This Row],[USAGE / DAY]]*3</f>
        <v>3.57</v>
      </c>
      <c r="AI37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79" s="15">
        <f>IFERROR(Table50[[#This Row],[ORDER QTY2]]*Table50[[#This Row],[COST PRICE]],0)</f>
        <v>0</v>
      </c>
      <c r="AK379" s="15">
        <f>(Table50[[#This Row],[REORDER POINT]]*Table50[[#This Row],[COST PRICE]])+Table50[[#This Row],[ORDER COST]]</f>
        <v>427.88981980569844</v>
      </c>
      <c r="AL379" s="15">
        <f t="shared" si="17"/>
        <v>100</v>
      </c>
      <c r="AM379" s="15">
        <f>IFERROR((Table50[[#This Row],[REORDER POINT]]+Table50[[#This Row],[ORDER QTY]])/(Table50[[#This Row],[USAGE / DAY]]*Table50[[#This Row],[DEMAND %]]),Table50[[#This Row],[REORDER POINT]]/Table50[[#This Row],[USAGE / DAY]])</f>
        <v>0.10126050420168067</v>
      </c>
    </row>
    <row r="380" spans="1:39" x14ac:dyDescent="0.25">
      <c r="A380" t="s">
        <v>324</v>
      </c>
      <c r="B380" t="s">
        <v>491</v>
      </c>
      <c r="C380" t="s">
        <v>494</v>
      </c>
      <c r="D380" t="s">
        <v>495</v>
      </c>
      <c r="E380">
        <v>0</v>
      </c>
      <c r="F380">
        <v>0</v>
      </c>
      <c r="G380">
        <v>12</v>
      </c>
      <c r="H380">
        <v>552</v>
      </c>
      <c r="I380">
        <v>0</v>
      </c>
      <c r="J380">
        <v>0</v>
      </c>
      <c r="K380">
        <f>Table50[[#This Row],[OpeningQty]]+Table50[[#This Row],[PurchasesQty]]-Table50[[#This Row],[ClosingQty]]</f>
        <v>12</v>
      </c>
      <c r="L380">
        <v>552</v>
      </c>
      <c r="M380" s="14">
        <f>Table50[[#This Row],[Usage]]/$L$1</f>
        <v>8.3837726612463748E-4</v>
      </c>
      <c r="N380" s="15">
        <f>IFERROR(Table50[[#This Row],[Opening]]/Table50[[#This Row],[OpeningQty]],0)</f>
        <v>0</v>
      </c>
      <c r="O380" s="15">
        <f>IFERROR(Table50[[#This Row],[Purchases]]/Table50[[#This Row],[PurchasesQty]],0)</f>
        <v>46</v>
      </c>
      <c r="P380" s="15">
        <f>IFERROR(Table50[[#This Row],[Closing]]/Table50[[#This Row],[ClosingQty]],0)</f>
        <v>0</v>
      </c>
      <c r="Q380" s="15">
        <f>IFERROR(AVERAGEIF(Table50[[#This Row],[OPENING COST PRICE]:[CLOSING COST PRICE]],"&gt;0"),0)</f>
        <v>46</v>
      </c>
      <c r="R380" s="15">
        <f>IFERROR(Table50[[#This Row],[COST PRICE]]-IFERROR(Table50[[#This Row],[Usage]]/Table50[[#This Row],[UsageQty]],Table50[[#This Row],[COST PRICE]]),0)</f>
        <v>0</v>
      </c>
      <c r="S380" s="16">
        <f>IFERROR(Table50[[#This Row],[COST PRICE CHANGE]]/Table50[[#This Row],[OPENING COST PRICE]],0)</f>
        <v>0</v>
      </c>
      <c r="T380" s="15">
        <f>Table50[[#This Row],[ClosingQty]]-(Table50[[#This Row],[USAGE / DAY]]*(IF(Table50[[#This Row],[ccnt]]="BEV",Table50[[#This Row],[DELIVERY DAY]],Table50[[#This Row],[DELIVERY DAY]])))</f>
        <v>-4.3</v>
      </c>
      <c r="U380" s="15">
        <f>ROUNDUP(Table50[[#This Row],[UsageQty]]/Table50[[#This Row],[DATA POINT]],2)</f>
        <v>0.86</v>
      </c>
      <c r="V38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13</v>
      </c>
      <c r="W380" s="15">
        <f>IFERROR(Table50[[#This Row],[ORDER QTY]]*Table50[[#This Row],[COST PRICE]],0)</f>
        <v>598</v>
      </c>
      <c r="X380" s="15">
        <f>IFERROR(VLOOKUP(C380,[1]!Table49[[#All],[name]:[USAGE / DAY]],19,FALSE),1)</f>
        <v>1</v>
      </c>
      <c r="Y380" s="4">
        <f>IFERROR((Table50[[#This Row],[USAGE / DAY]]-Table50[[#This Row],[USAGE / DAY 2]])/Table50[[#This Row],[USAGE / DAY 2]],0)</f>
        <v>-0.14000000000000001</v>
      </c>
      <c r="Z380" s="15">
        <f t="shared" si="15"/>
        <v>14</v>
      </c>
      <c r="AA380" s="15">
        <f t="shared" si="16"/>
        <v>9.311854181734148</v>
      </c>
      <c r="AB380" s="15">
        <f>IFERROR(IF(Table50[[#This Row],[ccnt]]="BEV",$AB$2,IF(Table50[[#This Row],[ccnt]]="FOOD",$AC$2,"ENTER # FROM LAST COUNT")),"ENTER # FROM LAST COUNT")</f>
        <v>5</v>
      </c>
      <c r="AC380" s="15">
        <f>(Table50[[#This Row],[OpeningQty]]+Table50[[#This Row],[ClosingQty]])/2</f>
        <v>0</v>
      </c>
      <c r="AD380" s="15">
        <f>IFERROR(Table50[[#This Row],[UsageQty]]/Table50[[#This Row],[AVE INVENTORY]],0)</f>
        <v>0</v>
      </c>
      <c r="AE380" s="15">
        <f>IFERROR(Table50[[#This Row],[DATA POINT]]/Table50[[#This Row],[Inventory Turnover Rate]],0)</f>
        <v>0</v>
      </c>
      <c r="AF380" s="15">
        <f>Table50[[#This Row],[ClosingQty]]/Table50[[#This Row],[USAGE / DAY]]</f>
        <v>0</v>
      </c>
      <c r="AG380" s="15">
        <f>Table50[[#This Row],[USAGE / DAY]]*7</f>
        <v>6.02</v>
      </c>
      <c r="AH380" s="15">
        <f>Table50[[#This Row],[USAGE / DAY]]*3</f>
        <v>2.58</v>
      </c>
      <c r="AI380" s="15">
        <f>IF(Table50[[#This Row],[FORECASTED DEMAND]]+Table50[[#This Row],[SAFETY STOCK]]-Table50[[#This Row],[ClosingQty]]&gt;0,Table50[[#This Row],[FORECASTED DEMAND]]+Table50[[#This Row],[SAFETY STOCK]]-Table50[[#This Row],[ClosingQty]],"NO ORDER")</f>
        <v>8.6</v>
      </c>
      <c r="AJ380" s="15">
        <f>IFERROR(Table50[[#This Row],[ORDER QTY2]]*Table50[[#This Row],[COST PRICE]],0)</f>
        <v>395.59999999999997</v>
      </c>
      <c r="AK380" s="15">
        <f>(Table50[[#This Row],[REORDER POINT]]*Table50[[#This Row],[COST PRICE]])+Table50[[#This Row],[ORDER COST]]</f>
        <v>400.20000000000005</v>
      </c>
      <c r="AL380" s="15">
        <f t="shared" si="17"/>
        <v>100</v>
      </c>
      <c r="AM380" s="15">
        <f>IFERROR((Table50[[#This Row],[REORDER POINT]]+Table50[[#This Row],[ORDER QTY]])/(Table50[[#This Row],[USAGE / DAY]]*Table50[[#This Row],[DEMAND %]]),Table50[[#This Row],[REORDER POINT]]/Table50[[#This Row],[USAGE / DAY]])</f>
        <v>0.10116279069767441</v>
      </c>
    </row>
    <row r="381" spans="1:39" x14ac:dyDescent="0.25">
      <c r="A381" t="s">
        <v>324</v>
      </c>
      <c r="B381" t="s">
        <v>491</v>
      </c>
      <c r="C381" t="s">
        <v>496</v>
      </c>
      <c r="D381" t="s">
        <v>53</v>
      </c>
      <c r="E381">
        <v>4</v>
      </c>
      <c r="F381">
        <v>272</v>
      </c>
      <c r="G381">
        <v>0</v>
      </c>
      <c r="H381">
        <v>0</v>
      </c>
      <c r="I381">
        <v>4</v>
      </c>
      <c r="J381">
        <v>272</v>
      </c>
      <c r="K381">
        <f>Table50[[#This Row],[OpeningQty]]+Table50[[#This Row],[PurchasesQty]]-Table50[[#This Row],[ClosingQty]]</f>
        <v>0</v>
      </c>
      <c r="L381">
        <v>0</v>
      </c>
      <c r="M381" s="14">
        <f>Table50[[#This Row],[Usage]]/$L$1</f>
        <v>0</v>
      </c>
      <c r="N381" s="15">
        <f>IFERROR(Table50[[#This Row],[Opening]]/Table50[[#This Row],[OpeningQty]],0)</f>
        <v>68</v>
      </c>
      <c r="O381" s="15">
        <f>IFERROR(Table50[[#This Row],[Purchases]]/Table50[[#This Row],[PurchasesQty]],0)</f>
        <v>0</v>
      </c>
      <c r="P381" s="15">
        <f>IFERROR(Table50[[#This Row],[Closing]]/Table50[[#This Row],[ClosingQty]],0)</f>
        <v>68</v>
      </c>
      <c r="Q381" s="15">
        <f>IFERROR(AVERAGEIF(Table50[[#This Row],[OPENING COST PRICE]:[CLOSING COST PRICE]],"&gt;0"),0)</f>
        <v>68</v>
      </c>
      <c r="R381" s="15">
        <f>IFERROR(Table50[[#This Row],[COST PRICE]]-IFERROR(Table50[[#This Row],[Usage]]/Table50[[#This Row],[UsageQty]],Table50[[#This Row],[COST PRICE]]),0)</f>
        <v>0</v>
      </c>
      <c r="S381" s="16">
        <f>IFERROR(Table50[[#This Row],[COST PRICE CHANGE]]/Table50[[#This Row],[OPENING COST PRICE]],0)</f>
        <v>0</v>
      </c>
      <c r="T381" s="15">
        <f>Table50[[#This Row],[ClosingQty]]-(Table50[[#This Row],[USAGE / DAY]]*(IF(Table50[[#This Row],[ccnt]]="BEV",Table50[[#This Row],[DELIVERY DAY]],Table50[[#This Row],[DELIVERY DAY]])))</f>
        <v>4</v>
      </c>
      <c r="U381" s="15">
        <f>ROUNDUP(Table50[[#This Row],[UsageQty]]/Table50[[#This Row],[DATA POINT]],2)</f>
        <v>0</v>
      </c>
      <c r="V38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81" s="15">
        <f>IFERROR(Table50[[#This Row],[ORDER QTY]]*Table50[[#This Row],[COST PRICE]],0)</f>
        <v>0</v>
      </c>
      <c r="X381" s="15">
        <f>IFERROR(VLOOKUP(C381,[1]!Table49[[#All],[name]:[USAGE / DAY]],19,FALSE),1)</f>
        <v>0</v>
      </c>
      <c r="Y381" s="4">
        <f>IFERROR((Table50[[#This Row],[USAGE / DAY]]-Table50[[#This Row],[USAGE / DAY 2]])/Table50[[#This Row],[USAGE / DAY 2]],0)</f>
        <v>0</v>
      </c>
      <c r="Z381" s="15">
        <f t="shared" si="15"/>
        <v>14</v>
      </c>
      <c r="AA381" s="15">
        <f t="shared" si="16"/>
        <v>9.311854181734148</v>
      </c>
      <c r="AB381" s="15">
        <f>IFERROR(IF(Table50[[#This Row],[ccnt]]="BEV",$AB$2,IF(Table50[[#This Row],[ccnt]]="FOOD",$AC$2,"ENTER # FROM LAST COUNT")),"ENTER # FROM LAST COUNT")</f>
        <v>5</v>
      </c>
      <c r="AC381" s="15">
        <f>(Table50[[#This Row],[OpeningQty]]+Table50[[#This Row],[ClosingQty]])/2</f>
        <v>4</v>
      </c>
      <c r="AD381" s="15">
        <f>IFERROR(Table50[[#This Row],[UsageQty]]/Table50[[#This Row],[AVE INVENTORY]],0)</f>
        <v>0</v>
      </c>
      <c r="AE381" s="15">
        <f>IFERROR(Table50[[#This Row],[DATA POINT]]/Table50[[#This Row],[Inventory Turnover Rate]],0)</f>
        <v>0</v>
      </c>
      <c r="AF381" s="15" t="e">
        <f>Table50[[#This Row],[ClosingQty]]/Table50[[#This Row],[USAGE / DAY]]</f>
        <v>#DIV/0!</v>
      </c>
      <c r="AG381" s="15">
        <f>Table50[[#This Row],[USAGE / DAY]]*7</f>
        <v>0</v>
      </c>
      <c r="AH381" s="15">
        <f>Table50[[#This Row],[USAGE / DAY]]*3</f>
        <v>0</v>
      </c>
      <c r="AI38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81" s="15">
        <f>IFERROR(Table50[[#This Row],[ORDER QTY2]]*Table50[[#This Row],[COST PRICE]],0)</f>
        <v>0</v>
      </c>
      <c r="AK381" s="15">
        <f>(Table50[[#This Row],[REORDER POINT]]*Table50[[#This Row],[COST PRICE]])+Table50[[#This Row],[ORDER COST]]</f>
        <v>272</v>
      </c>
      <c r="AL381" s="15">
        <f t="shared" si="17"/>
        <v>100</v>
      </c>
      <c r="AM381" s="15" t="e">
        <f>IFERROR((Table50[[#This Row],[REORDER POINT]]+Table50[[#This Row],[ORDER QTY]])/(Table50[[#This Row],[USAGE / DAY]]*Table50[[#This Row],[DEMAND %]]),Table50[[#This Row],[REORDER POINT]]/Table50[[#This Row],[USAGE / DAY]])</f>
        <v>#DIV/0!</v>
      </c>
    </row>
    <row r="382" spans="1:39" x14ac:dyDescent="0.25">
      <c r="A382" t="s">
        <v>324</v>
      </c>
      <c r="B382" t="s">
        <v>491</v>
      </c>
      <c r="C382" t="s">
        <v>497</v>
      </c>
      <c r="D382" t="s">
        <v>138</v>
      </c>
      <c r="E382">
        <v>4</v>
      </c>
      <c r="F382">
        <v>360</v>
      </c>
      <c r="G382">
        <v>0</v>
      </c>
      <c r="H382">
        <v>0</v>
      </c>
      <c r="I382">
        <v>2.5</v>
      </c>
      <c r="J382">
        <v>225</v>
      </c>
      <c r="K382">
        <f>Table50[[#This Row],[OpeningQty]]+Table50[[#This Row],[PurchasesQty]]-Table50[[#This Row],[ClosingQty]]</f>
        <v>1.5</v>
      </c>
      <c r="L382">
        <v>135</v>
      </c>
      <c r="M382" s="14">
        <f>Table50[[#This Row],[Usage]]/$L$1</f>
        <v>2.0503791834569938E-4</v>
      </c>
      <c r="N382" s="15">
        <f>IFERROR(Table50[[#This Row],[Opening]]/Table50[[#This Row],[OpeningQty]],0)</f>
        <v>90</v>
      </c>
      <c r="O382" s="15">
        <f>IFERROR(Table50[[#This Row],[Purchases]]/Table50[[#This Row],[PurchasesQty]],0)</f>
        <v>0</v>
      </c>
      <c r="P382" s="15">
        <f>IFERROR(Table50[[#This Row],[Closing]]/Table50[[#This Row],[ClosingQty]],0)</f>
        <v>90</v>
      </c>
      <c r="Q382" s="15">
        <f>IFERROR(AVERAGEIF(Table50[[#This Row],[OPENING COST PRICE]:[CLOSING COST PRICE]],"&gt;0"),0)</f>
        <v>90</v>
      </c>
      <c r="R382" s="15">
        <f>IFERROR(Table50[[#This Row],[COST PRICE]]-IFERROR(Table50[[#This Row],[Usage]]/Table50[[#This Row],[UsageQty]],Table50[[#This Row],[COST PRICE]]),0)</f>
        <v>0</v>
      </c>
      <c r="S382" s="16">
        <f>IFERROR(Table50[[#This Row],[COST PRICE CHANGE]]/Table50[[#This Row],[OPENING COST PRICE]],0)</f>
        <v>0</v>
      </c>
      <c r="T382" s="15">
        <f>Table50[[#This Row],[ClosingQty]]-(Table50[[#This Row],[USAGE / DAY]]*(IF(Table50[[#This Row],[ccnt]]="BEV",Table50[[#This Row],[DELIVERY DAY]],Table50[[#This Row],[DELIVERY DAY]])))</f>
        <v>1.95</v>
      </c>
      <c r="U382" s="15">
        <f>ROUNDUP(Table50[[#This Row],[UsageQty]]/Table50[[#This Row],[DATA POINT]],2)</f>
        <v>0.11</v>
      </c>
      <c r="V38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82" s="15">
        <f>IFERROR(Table50[[#This Row],[ORDER QTY]]*Table50[[#This Row],[COST PRICE]],0)</f>
        <v>0</v>
      </c>
      <c r="X382" s="15">
        <f>IFERROR(VLOOKUP(C382,[1]!Table49[[#All],[name]:[USAGE / DAY]],19,FALSE),1)</f>
        <v>6.9999999999999993E-2</v>
      </c>
      <c r="Y382" s="4">
        <f>IFERROR((Table50[[#This Row],[USAGE / DAY]]-Table50[[#This Row],[USAGE / DAY 2]])/Table50[[#This Row],[USAGE / DAY 2]],0)</f>
        <v>0.57142857142857162</v>
      </c>
      <c r="Z382" s="15">
        <f t="shared" si="15"/>
        <v>14</v>
      </c>
      <c r="AA382" s="15">
        <f t="shared" si="16"/>
        <v>9.311854181734148</v>
      </c>
      <c r="AB382" s="15">
        <f>IFERROR(IF(Table50[[#This Row],[ccnt]]="BEV",$AB$2,IF(Table50[[#This Row],[ccnt]]="FOOD",$AC$2,"ENTER # FROM LAST COUNT")),"ENTER # FROM LAST COUNT")</f>
        <v>5</v>
      </c>
      <c r="AC382" s="15">
        <f>(Table50[[#This Row],[OpeningQty]]+Table50[[#This Row],[ClosingQty]])/2</f>
        <v>3.25</v>
      </c>
      <c r="AD382" s="15">
        <f>IFERROR(Table50[[#This Row],[UsageQty]]/Table50[[#This Row],[AVE INVENTORY]],0)</f>
        <v>0.46153846153846156</v>
      </c>
      <c r="AE382" s="15">
        <f>IFERROR(Table50[[#This Row],[DATA POINT]]/Table50[[#This Row],[Inventory Turnover Rate]],0)</f>
        <v>30.333333333333332</v>
      </c>
      <c r="AF382" s="15">
        <f>Table50[[#This Row],[ClosingQty]]/Table50[[#This Row],[USAGE / DAY]]</f>
        <v>22.727272727272727</v>
      </c>
      <c r="AG382" s="15">
        <f>Table50[[#This Row],[USAGE / DAY]]*7</f>
        <v>0.77</v>
      </c>
      <c r="AH382" s="15">
        <f>Table50[[#This Row],[USAGE / DAY]]*3</f>
        <v>0.33</v>
      </c>
      <c r="AI38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82" s="15">
        <f>IFERROR(Table50[[#This Row],[ORDER QTY2]]*Table50[[#This Row],[COST PRICE]],0)</f>
        <v>0</v>
      </c>
      <c r="AK382" s="15">
        <f>(Table50[[#This Row],[REORDER POINT]]*Table50[[#This Row],[COST PRICE]])+Table50[[#This Row],[ORDER COST]]</f>
        <v>175.5</v>
      </c>
      <c r="AL382" s="15">
        <f t="shared" si="17"/>
        <v>100</v>
      </c>
      <c r="AM382" s="15">
        <f>IFERROR((Table50[[#This Row],[REORDER POINT]]+Table50[[#This Row],[ORDER QTY]])/(Table50[[#This Row],[USAGE / DAY]]*Table50[[#This Row],[DEMAND %]]),Table50[[#This Row],[REORDER POINT]]/Table50[[#This Row],[USAGE / DAY]])</f>
        <v>17.727272727272727</v>
      </c>
    </row>
    <row r="383" spans="1:39" x14ac:dyDescent="0.25">
      <c r="A383" t="s">
        <v>324</v>
      </c>
      <c r="B383" t="s">
        <v>491</v>
      </c>
      <c r="C383" t="s">
        <v>498</v>
      </c>
      <c r="D383" t="s">
        <v>126</v>
      </c>
      <c r="E383">
        <v>22.63</v>
      </c>
      <c r="F383">
        <v>777.11</v>
      </c>
      <c r="G383">
        <v>22</v>
      </c>
      <c r="H383">
        <v>1294.77</v>
      </c>
      <c r="I383">
        <v>20</v>
      </c>
      <c r="J383">
        <v>686.8</v>
      </c>
      <c r="K383">
        <f>Table50[[#This Row],[OpeningQty]]+Table50[[#This Row],[PurchasesQty]]-Table50[[#This Row],[ClosingQty]]</f>
        <v>24.629999999999995</v>
      </c>
      <c r="L383">
        <v>1385.08</v>
      </c>
      <c r="M383" s="14">
        <f>Table50[[#This Row],[Usage]]/$L$1</f>
        <v>2.1036586662389724E-3</v>
      </c>
      <c r="N383" s="15">
        <f>IFERROR(Table50[[#This Row],[Opening]]/Table50[[#This Row],[OpeningQty]],0)</f>
        <v>34.339814405656213</v>
      </c>
      <c r="O383" s="15">
        <f>IFERROR(Table50[[#This Row],[Purchases]]/Table50[[#This Row],[PurchasesQty]],0)</f>
        <v>58.853181818181817</v>
      </c>
      <c r="P383" s="15">
        <f>IFERROR(Table50[[#This Row],[Closing]]/Table50[[#This Row],[ClosingQty]],0)</f>
        <v>34.339999999999996</v>
      </c>
      <c r="Q383" s="15">
        <f>IFERROR(AVERAGEIF(Table50[[#This Row],[OPENING COST PRICE]:[CLOSING COST PRICE]],"&gt;0"),0)</f>
        <v>42.510998741279344</v>
      </c>
      <c r="R383" s="15">
        <f>IFERROR(Table50[[#This Row],[COST PRICE]]-IFERROR(Table50[[#This Row],[Usage]]/Table50[[#This Row],[UsageQty]],Table50[[#This Row],[COST PRICE]]),0)</f>
        <v>-13.724486439394639</v>
      </c>
      <c r="S383" s="16">
        <f>IFERROR(Table50[[#This Row],[COST PRICE CHANGE]]/Table50[[#This Row],[OPENING COST PRICE]],0)</f>
        <v>-0.3996668787218034</v>
      </c>
      <c r="T383" s="15">
        <f>Table50[[#This Row],[ClosingQty]]-(Table50[[#This Row],[USAGE / DAY]]*(IF(Table50[[#This Row],[ccnt]]="BEV",Table50[[#This Row],[DELIVERY DAY]],Table50[[#This Row],[DELIVERY DAY]])))</f>
        <v>11.2</v>
      </c>
      <c r="U383" s="15">
        <f>ROUNDUP(Table50[[#This Row],[UsageQty]]/Table50[[#This Row],[DATA POINT]],2)</f>
        <v>1.76</v>
      </c>
      <c r="V38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6</v>
      </c>
      <c r="W383" s="15">
        <f>IFERROR(Table50[[#This Row],[ORDER QTY]]*Table50[[#This Row],[COST PRICE]],0)</f>
        <v>255.06599244767608</v>
      </c>
      <c r="X383" s="15">
        <f>IFERROR(VLOOKUP(C383,[1]!Table49[[#All],[name]:[USAGE / DAY]],19,FALSE),1)</f>
        <v>2.0699999999999998</v>
      </c>
      <c r="Y383" s="4">
        <f>IFERROR((Table50[[#This Row],[USAGE / DAY]]-Table50[[#This Row],[USAGE / DAY 2]])/Table50[[#This Row],[USAGE / DAY 2]],0)</f>
        <v>-0.14975845410628014</v>
      </c>
      <c r="Z383" s="15">
        <f t="shared" si="15"/>
        <v>14</v>
      </c>
      <c r="AA383" s="15">
        <f t="shared" si="16"/>
        <v>9.311854181734148</v>
      </c>
      <c r="AB383" s="15">
        <f>IFERROR(IF(Table50[[#This Row],[ccnt]]="BEV",$AB$2,IF(Table50[[#This Row],[ccnt]]="FOOD",$AC$2,"ENTER # FROM LAST COUNT")),"ENTER # FROM LAST COUNT")</f>
        <v>5</v>
      </c>
      <c r="AC383" s="15">
        <f>(Table50[[#This Row],[OpeningQty]]+Table50[[#This Row],[ClosingQty]])/2</f>
        <v>21.314999999999998</v>
      </c>
      <c r="AD383" s="15">
        <f>IFERROR(Table50[[#This Row],[UsageQty]]/Table50[[#This Row],[AVE INVENTORY]],0)</f>
        <v>1.1555242786769879</v>
      </c>
      <c r="AE383" s="15">
        <f>IFERROR(Table50[[#This Row],[DATA POINT]]/Table50[[#This Row],[Inventory Turnover Rate]],0)</f>
        <v>12.115712545676006</v>
      </c>
      <c r="AF383" s="15">
        <f>Table50[[#This Row],[ClosingQty]]/Table50[[#This Row],[USAGE / DAY]]</f>
        <v>11.363636363636363</v>
      </c>
      <c r="AG383" s="15">
        <f>Table50[[#This Row],[USAGE / DAY]]*7</f>
        <v>12.32</v>
      </c>
      <c r="AH383" s="15">
        <f>Table50[[#This Row],[USAGE / DAY]]*3</f>
        <v>5.28</v>
      </c>
      <c r="AI38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83" s="15">
        <f>IFERROR(Table50[[#This Row],[ORDER QTY2]]*Table50[[#This Row],[COST PRICE]],0)</f>
        <v>0</v>
      </c>
      <c r="AK383" s="15">
        <f>(Table50[[#This Row],[REORDER POINT]]*Table50[[#This Row],[COST PRICE]])+Table50[[#This Row],[ORDER COST]]</f>
        <v>731.18917835000468</v>
      </c>
      <c r="AL383" s="15">
        <f t="shared" si="17"/>
        <v>100</v>
      </c>
      <c r="AM383" s="15">
        <f>IFERROR((Table50[[#This Row],[REORDER POINT]]+Table50[[#This Row],[ORDER QTY]])/(Table50[[#This Row],[USAGE / DAY]]*Table50[[#This Row],[DEMAND %]]),Table50[[#This Row],[REORDER POINT]]/Table50[[#This Row],[USAGE / DAY]])</f>
        <v>9.7727272727272718E-2</v>
      </c>
    </row>
    <row r="384" spans="1:39" x14ac:dyDescent="0.25">
      <c r="A384" t="s">
        <v>324</v>
      </c>
      <c r="B384" t="s">
        <v>491</v>
      </c>
      <c r="C384" t="s">
        <v>499</v>
      </c>
      <c r="D384" t="s">
        <v>126</v>
      </c>
      <c r="E384">
        <v>0</v>
      </c>
      <c r="F384">
        <v>0</v>
      </c>
      <c r="G384">
        <v>30.1</v>
      </c>
      <c r="H384">
        <v>6406.7</v>
      </c>
      <c r="I384">
        <v>0</v>
      </c>
      <c r="J384">
        <v>0</v>
      </c>
      <c r="K384">
        <f>Table50[[#This Row],[OpeningQty]]+Table50[[#This Row],[PurchasesQty]]-Table50[[#This Row],[ClosingQty]]</f>
        <v>30.1</v>
      </c>
      <c r="L384">
        <v>6406.7</v>
      </c>
      <c r="M384" s="14">
        <f>Table50[[#This Row],[Usage]]/$L$1</f>
        <v>9.7304920849288316E-3</v>
      </c>
      <c r="N384" s="15">
        <f>IFERROR(Table50[[#This Row],[Opening]]/Table50[[#This Row],[OpeningQty]],0)</f>
        <v>0</v>
      </c>
      <c r="O384" s="15">
        <f>IFERROR(Table50[[#This Row],[Purchases]]/Table50[[#This Row],[PurchasesQty]],0)</f>
        <v>212.8471760797342</v>
      </c>
      <c r="P384" s="15">
        <f>IFERROR(Table50[[#This Row],[Closing]]/Table50[[#This Row],[ClosingQty]],0)</f>
        <v>0</v>
      </c>
      <c r="Q384" s="15">
        <f>IFERROR(AVERAGEIF(Table50[[#This Row],[OPENING COST PRICE]:[CLOSING COST PRICE]],"&gt;0"),0)</f>
        <v>212.8471760797342</v>
      </c>
      <c r="R384" s="15">
        <f>IFERROR(Table50[[#This Row],[COST PRICE]]-IFERROR(Table50[[#This Row],[Usage]]/Table50[[#This Row],[UsageQty]],Table50[[#This Row],[COST PRICE]]),0)</f>
        <v>0</v>
      </c>
      <c r="S384" s="16">
        <f>IFERROR(Table50[[#This Row],[COST PRICE CHANGE]]/Table50[[#This Row],[OPENING COST PRICE]],0)</f>
        <v>0</v>
      </c>
      <c r="T384" s="15">
        <f>Table50[[#This Row],[ClosingQty]]-(Table50[[#This Row],[USAGE / DAY]]*(IF(Table50[[#This Row],[ccnt]]="BEV",Table50[[#This Row],[DELIVERY DAY]],Table50[[#This Row],[DELIVERY DAY]])))</f>
        <v>-10.75</v>
      </c>
      <c r="U384" s="15">
        <f>ROUNDUP(Table50[[#This Row],[UsageQty]]/Table50[[#This Row],[DATA POINT]],2)</f>
        <v>2.15</v>
      </c>
      <c r="V38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31</v>
      </c>
      <c r="W384" s="15">
        <f>IFERROR(Table50[[#This Row],[ORDER QTY]]*Table50[[#This Row],[COST PRICE]],0)</f>
        <v>6598.2624584717605</v>
      </c>
      <c r="X384" s="15">
        <f>IFERROR(VLOOKUP(C384,[1]!Table49[[#All],[name]:[USAGE / DAY]],19,FALSE),1)</f>
        <v>2.72</v>
      </c>
      <c r="Y384" s="4">
        <f>IFERROR((Table50[[#This Row],[USAGE / DAY]]-Table50[[#This Row],[USAGE / DAY 2]])/Table50[[#This Row],[USAGE / DAY 2]],0)</f>
        <v>-0.20955882352941185</v>
      </c>
      <c r="Z384" s="15">
        <f t="shared" si="15"/>
        <v>14</v>
      </c>
      <c r="AA384" s="15">
        <f t="shared" si="16"/>
        <v>9.311854181734148</v>
      </c>
      <c r="AB384" s="15">
        <f>IFERROR(IF(Table50[[#This Row],[ccnt]]="BEV",$AB$2,IF(Table50[[#This Row],[ccnt]]="FOOD",$AC$2,"ENTER # FROM LAST COUNT")),"ENTER # FROM LAST COUNT")</f>
        <v>5</v>
      </c>
      <c r="AC384" s="15">
        <f>(Table50[[#This Row],[OpeningQty]]+Table50[[#This Row],[ClosingQty]])/2</f>
        <v>0</v>
      </c>
      <c r="AD384" s="15">
        <f>IFERROR(Table50[[#This Row],[UsageQty]]/Table50[[#This Row],[AVE INVENTORY]],0)</f>
        <v>0</v>
      </c>
      <c r="AE384" s="15">
        <f>IFERROR(Table50[[#This Row],[DATA POINT]]/Table50[[#This Row],[Inventory Turnover Rate]],0)</f>
        <v>0</v>
      </c>
      <c r="AF384" s="15">
        <f>Table50[[#This Row],[ClosingQty]]/Table50[[#This Row],[USAGE / DAY]]</f>
        <v>0</v>
      </c>
      <c r="AG384" s="15">
        <f>Table50[[#This Row],[USAGE / DAY]]*7</f>
        <v>15.049999999999999</v>
      </c>
      <c r="AH384" s="15">
        <f>Table50[[#This Row],[USAGE / DAY]]*3</f>
        <v>6.4499999999999993</v>
      </c>
      <c r="AI384" s="15">
        <f>IF(Table50[[#This Row],[FORECASTED DEMAND]]+Table50[[#This Row],[SAFETY STOCK]]-Table50[[#This Row],[ClosingQty]]&gt;0,Table50[[#This Row],[FORECASTED DEMAND]]+Table50[[#This Row],[SAFETY STOCK]]-Table50[[#This Row],[ClosingQty]],"NO ORDER")</f>
        <v>21.5</v>
      </c>
      <c r="AJ384" s="15">
        <f>IFERROR(Table50[[#This Row],[ORDER QTY2]]*Table50[[#This Row],[COST PRICE]],0)</f>
        <v>4576.2142857142853</v>
      </c>
      <c r="AK384" s="15">
        <f>(Table50[[#This Row],[REORDER POINT]]*Table50[[#This Row],[COST PRICE]])+Table50[[#This Row],[ORDER COST]]</f>
        <v>4310.1553156146183</v>
      </c>
      <c r="AL384" s="15">
        <f t="shared" si="17"/>
        <v>100</v>
      </c>
      <c r="AM384" s="15">
        <f>IFERROR((Table50[[#This Row],[REORDER POINT]]+Table50[[#This Row],[ORDER QTY]])/(Table50[[#This Row],[USAGE / DAY]]*Table50[[#This Row],[DEMAND %]]),Table50[[#This Row],[REORDER POINT]]/Table50[[#This Row],[USAGE / DAY]])</f>
        <v>9.4186046511627902E-2</v>
      </c>
    </row>
    <row r="385" spans="1:39" x14ac:dyDescent="0.25">
      <c r="A385" t="s">
        <v>324</v>
      </c>
      <c r="B385" t="s">
        <v>491</v>
      </c>
      <c r="C385" t="s">
        <v>500</v>
      </c>
      <c r="D385" t="s">
        <v>126</v>
      </c>
      <c r="E385">
        <v>8.86</v>
      </c>
      <c r="F385">
        <v>2789.84</v>
      </c>
      <c r="G385">
        <v>0</v>
      </c>
      <c r="H385">
        <v>0</v>
      </c>
      <c r="I385">
        <v>9.68</v>
      </c>
      <c r="J385">
        <v>2684.26</v>
      </c>
      <c r="K385">
        <f>Table50[[#This Row],[OpeningQty]]+Table50[[#This Row],[PurchasesQty]]-Table50[[#This Row],[ClosingQty]]</f>
        <v>-0.82000000000000028</v>
      </c>
      <c r="L385">
        <v>105.58</v>
      </c>
      <c r="M385" s="14">
        <f>Table50[[#This Row],[Usage]]/$L$1</f>
        <v>1.6035484014028845E-4</v>
      </c>
      <c r="N385" s="15">
        <f>IFERROR(Table50[[#This Row],[Opening]]/Table50[[#This Row],[OpeningQty]],0)</f>
        <v>314.88036117381495</v>
      </c>
      <c r="O385" s="15">
        <f>IFERROR(Table50[[#This Row],[Purchases]]/Table50[[#This Row],[PurchasesQty]],0)</f>
        <v>0</v>
      </c>
      <c r="P385" s="15">
        <f>IFERROR(Table50[[#This Row],[Closing]]/Table50[[#This Row],[ClosingQty]],0)</f>
        <v>277.29958677685954</v>
      </c>
      <c r="Q385" s="15">
        <f>IFERROR(AVERAGEIF(Table50[[#This Row],[OPENING COST PRICE]:[CLOSING COST PRICE]],"&gt;0"),0)</f>
        <v>296.08997397533722</v>
      </c>
      <c r="R385" s="15">
        <f>IFERROR(Table50[[#This Row],[COST PRICE]]-IFERROR(Table50[[#This Row],[Usage]]/Table50[[#This Row],[UsageQty]],Table50[[#This Row],[COST PRICE]]),0)</f>
        <v>424.84607153631282</v>
      </c>
      <c r="S385" s="16">
        <f>IFERROR(Table50[[#This Row],[COST PRICE CHANGE]]/Table50[[#This Row],[OPENING COST PRICE]],0)</f>
        <v>1.3492301328433642</v>
      </c>
      <c r="T385" s="15">
        <f>Table50[[#This Row],[ClosingQty]]-(Table50[[#This Row],[USAGE / DAY]]*(IF(Table50[[#This Row],[ccnt]]="BEV",Table50[[#This Row],[DELIVERY DAY]],Table50[[#This Row],[DELIVERY DAY]])))</f>
        <v>9.98</v>
      </c>
      <c r="U385" s="15">
        <f>ROUNDUP(Table50[[#This Row],[UsageQty]]/Table50[[#This Row],[DATA POINT]],2)</f>
        <v>-6.0000000000000005E-2</v>
      </c>
      <c r="V385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85" s="15">
        <f>IFERROR(Table50[[#This Row],[ORDER QTY]]*Table50[[#This Row],[COST PRICE]],0)</f>
        <v>0</v>
      </c>
      <c r="X385" s="15">
        <f>IFERROR(VLOOKUP(C385,[1]!Table49[[#All],[name]:[USAGE / DAY]],19,FALSE),1)</f>
        <v>-0.09</v>
      </c>
      <c r="Y385" s="4">
        <f>IFERROR((Table50[[#This Row],[USAGE / DAY]]-Table50[[#This Row],[USAGE / DAY 2]])/Table50[[#This Row],[USAGE / DAY 2]],0)</f>
        <v>-0.33333333333333326</v>
      </c>
      <c r="Z385" s="15">
        <f t="shared" si="15"/>
        <v>14</v>
      </c>
      <c r="AA385" s="15">
        <f t="shared" si="16"/>
        <v>9.311854181734148</v>
      </c>
      <c r="AB385" s="15">
        <f>IFERROR(IF(Table50[[#This Row],[ccnt]]="BEV",$AB$2,IF(Table50[[#This Row],[ccnt]]="FOOD",$AC$2,"ENTER # FROM LAST COUNT")),"ENTER # FROM LAST COUNT")</f>
        <v>5</v>
      </c>
      <c r="AC385" s="15">
        <f>(Table50[[#This Row],[OpeningQty]]+Table50[[#This Row],[ClosingQty]])/2</f>
        <v>9.27</v>
      </c>
      <c r="AD385" s="15">
        <f>IFERROR(Table50[[#This Row],[UsageQty]]/Table50[[#This Row],[AVE INVENTORY]],0)</f>
        <v>-8.8457389428263256E-2</v>
      </c>
      <c r="AE385" s="15">
        <f>IFERROR(Table50[[#This Row],[DATA POINT]]/Table50[[#This Row],[Inventory Turnover Rate]],0)</f>
        <v>-158.26829268292676</v>
      </c>
      <c r="AF385" s="15">
        <f>Table50[[#This Row],[ClosingQty]]/Table50[[#This Row],[USAGE / DAY]]</f>
        <v>-161.33333333333331</v>
      </c>
      <c r="AG385" s="15">
        <f>Table50[[#This Row],[USAGE / DAY]]*7</f>
        <v>-0.42000000000000004</v>
      </c>
      <c r="AH385" s="15">
        <f>Table50[[#This Row],[USAGE / DAY]]*3</f>
        <v>-0.18000000000000002</v>
      </c>
      <c r="AI38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85" s="15">
        <f>IFERROR(Table50[[#This Row],[ORDER QTY2]]*Table50[[#This Row],[COST PRICE]],0)</f>
        <v>0</v>
      </c>
      <c r="AK385" s="15">
        <f>(Table50[[#This Row],[REORDER POINT]]*Table50[[#This Row],[COST PRICE]])+Table50[[#This Row],[ORDER COST]]</f>
        <v>2954.9779402738654</v>
      </c>
      <c r="AL385" s="15">
        <f t="shared" si="17"/>
        <v>100</v>
      </c>
      <c r="AM385" s="15">
        <f>IFERROR((Table50[[#This Row],[REORDER POINT]]+Table50[[#This Row],[ORDER QTY]])/(Table50[[#This Row],[USAGE / DAY]]*Table50[[#This Row],[DEMAND %]]),Table50[[#This Row],[REORDER POINT]]/Table50[[#This Row],[USAGE / DAY]])</f>
        <v>-166.33333333333331</v>
      </c>
    </row>
    <row r="386" spans="1:39" x14ac:dyDescent="0.25">
      <c r="A386" t="s">
        <v>324</v>
      </c>
      <c r="B386" t="s">
        <v>491</v>
      </c>
      <c r="C386" t="s">
        <v>501</v>
      </c>
      <c r="D386" t="s">
        <v>53</v>
      </c>
      <c r="E386">
        <v>310</v>
      </c>
      <c r="F386">
        <v>744</v>
      </c>
      <c r="G386">
        <v>250</v>
      </c>
      <c r="H386">
        <v>625</v>
      </c>
      <c r="I386">
        <v>210</v>
      </c>
      <c r="J386">
        <v>525</v>
      </c>
      <c r="K386">
        <f>Table50[[#This Row],[OpeningQty]]+Table50[[#This Row],[PurchasesQty]]-Table50[[#This Row],[ClosingQty]]</f>
        <v>350</v>
      </c>
      <c r="L386">
        <v>844</v>
      </c>
      <c r="M386" s="14">
        <f>Table50[[#This Row],[Usage]]/$L$1</f>
        <v>1.2818666895094094E-3</v>
      </c>
      <c r="N386" s="15">
        <f>IFERROR(Table50[[#This Row],[Opening]]/Table50[[#This Row],[OpeningQty]],0)</f>
        <v>2.4</v>
      </c>
      <c r="O386" s="15">
        <f>IFERROR(Table50[[#This Row],[Purchases]]/Table50[[#This Row],[PurchasesQty]],0)</f>
        <v>2.5</v>
      </c>
      <c r="P386" s="15">
        <f>IFERROR(Table50[[#This Row],[Closing]]/Table50[[#This Row],[ClosingQty]],0)</f>
        <v>2.5</v>
      </c>
      <c r="Q386" s="15">
        <f>IFERROR(AVERAGEIF(Table50[[#This Row],[OPENING COST PRICE]:[CLOSING COST PRICE]],"&gt;0"),0)</f>
        <v>2.4666666666666668</v>
      </c>
      <c r="R386" s="15">
        <f>IFERROR(Table50[[#This Row],[COST PRICE]]-IFERROR(Table50[[#This Row],[Usage]]/Table50[[#This Row],[UsageQty]],Table50[[#This Row],[COST PRICE]]),0)</f>
        <v>5.5238095238095308E-2</v>
      </c>
      <c r="S386" s="16">
        <f>IFERROR(Table50[[#This Row],[COST PRICE CHANGE]]/Table50[[#This Row],[OPENING COST PRICE]],0)</f>
        <v>2.3015873015873045E-2</v>
      </c>
      <c r="T386" s="15">
        <f>Table50[[#This Row],[ClosingQty]]-(Table50[[#This Row],[USAGE / DAY]]*(IF(Table50[[#This Row],[ccnt]]="BEV",Table50[[#This Row],[DELIVERY DAY]],Table50[[#This Row],[DELIVERY DAY]])))</f>
        <v>85</v>
      </c>
      <c r="U386" s="15">
        <f>ROUNDUP(Table50[[#This Row],[UsageQty]]/Table50[[#This Row],[DATA POINT]],2)</f>
        <v>25</v>
      </c>
      <c r="V38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148</v>
      </c>
      <c r="W386" s="15">
        <f>IFERROR(Table50[[#This Row],[ORDER QTY]]*Table50[[#This Row],[COST PRICE]],0)</f>
        <v>365.06666666666666</v>
      </c>
      <c r="X386" s="15">
        <f>IFERROR(VLOOKUP(C386,[1]!Table49[[#All],[name]:[USAGE / DAY]],19,FALSE),1)</f>
        <v>24</v>
      </c>
      <c r="Y386" s="4">
        <f>IFERROR((Table50[[#This Row],[USAGE / DAY]]-Table50[[#This Row],[USAGE / DAY 2]])/Table50[[#This Row],[USAGE / DAY 2]],0)</f>
        <v>4.1666666666666664E-2</v>
      </c>
      <c r="Z386" s="15">
        <f t="shared" si="15"/>
        <v>14</v>
      </c>
      <c r="AA386" s="15">
        <f t="shared" si="16"/>
        <v>9.311854181734148</v>
      </c>
      <c r="AB386" s="15">
        <f>IFERROR(IF(Table50[[#This Row],[ccnt]]="BEV",$AB$2,IF(Table50[[#This Row],[ccnt]]="FOOD",$AC$2,"ENTER # FROM LAST COUNT")),"ENTER # FROM LAST COUNT")</f>
        <v>5</v>
      </c>
      <c r="AC386" s="15">
        <f>(Table50[[#This Row],[OpeningQty]]+Table50[[#This Row],[ClosingQty]])/2</f>
        <v>260</v>
      </c>
      <c r="AD386" s="15">
        <f>IFERROR(Table50[[#This Row],[UsageQty]]/Table50[[#This Row],[AVE INVENTORY]],0)</f>
        <v>1.3461538461538463</v>
      </c>
      <c r="AE386" s="15">
        <f>IFERROR(Table50[[#This Row],[DATA POINT]]/Table50[[#This Row],[Inventory Turnover Rate]],0)</f>
        <v>10.399999999999999</v>
      </c>
      <c r="AF386" s="15">
        <f>Table50[[#This Row],[ClosingQty]]/Table50[[#This Row],[USAGE / DAY]]</f>
        <v>8.4</v>
      </c>
      <c r="AG386" s="15">
        <f>Table50[[#This Row],[USAGE / DAY]]*7</f>
        <v>175</v>
      </c>
      <c r="AH386" s="15">
        <f>Table50[[#This Row],[USAGE / DAY]]*3</f>
        <v>75</v>
      </c>
      <c r="AI386" s="15">
        <f>IF(Table50[[#This Row],[FORECASTED DEMAND]]+Table50[[#This Row],[SAFETY STOCK]]-Table50[[#This Row],[ClosingQty]]&gt;0,Table50[[#This Row],[FORECASTED DEMAND]]+Table50[[#This Row],[SAFETY STOCK]]-Table50[[#This Row],[ClosingQty]],"NO ORDER")</f>
        <v>40</v>
      </c>
      <c r="AJ386" s="15">
        <f>IFERROR(Table50[[#This Row],[ORDER QTY2]]*Table50[[#This Row],[COST PRICE]],0)</f>
        <v>98.666666666666671</v>
      </c>
      <c r="AK386" s="15">
        <f>(Table50[[#This Row],[REORDER POINT]]*Table50[[#This Row],[COST PRICE]])+Table50[[#This Row],[ORDER COST]]</f>
        <v>574.73333333333335</v>
      </c>
      <c r="AL386" s="15">
        <f t="shared" si="17"/>
        <v>100</v>
      </c>
      <c r="AM386" s="15">
        <f>IFERROR((Table50[[#This Row],[REORDER POINT]]+Table50[[#This Row],[ORDER QTY]])/(Table50[[#This Row],[USAGE / DAY]]*Table50[[#This Row],[DEMAND %]]),Table50[[#This Row],[REORDER POINT]]/Table50[[#This Row],[USAGE / DAY]])</f>
        <v>9.3200000000000005E-2</v>
      </c>
    </row>
    <row r="387" spans="1:39" x14ac:dyDescent="0.25">
      <c r="A387" t="s">
        <v>324</v>
      </c>
      <c r="B387" t="s">
        <v>491</v>
      </c>
      <c r="C387" t="s">
        <v>502</v>
      </c>
      <c r="D387" t="s">
        <v>126</v>
      </c>
      <c r="E387">
        <v>0.52</v>
      </c>
      <c r="F387">
        <v>68.72</v>
      </c>
      <c r="G387">
        <v>0</v>
      </c>
      <c r="H387">
        <v>0</v>
      </c>
      <c r="I387">
        <v>0.05</v>
      </c>
      <c r="J387">
        <v>6.61</v>
      </c>
      <c r="K387">
        <f>Table50[[#This Row],[OpeningQty]]+Table50[[#This Row],[PurchasesQty]]-Table50[[#This Row],[ClosingQty]]</f>
        <v>0.47000000000000003</v>
      </c>
      <c r="L387">
        <v>62.11</v>
      </c>
      <c r="M387" s="14">
        <f>Table50[[#This Row],[Usage]]/$L$1</f>
        <v>9.4332630432973245E-5</v>
      </c>
      <c r="N387" s="15">
        <f>IFERROR(Table50[[#This Row],[Opening]]/Table50[[#This Row],[OpeningQty]],0)</f>
        <v>132.15384615384616</v>
      </c>
      <c r="O387" s="15">
        <f>IFERROR(Table50[[#This Row],[Purchases]]/Table50[[#This Row],[PurchasesQty]],0)</f>
        <v>0</v>
      </c>
      <c r="P387" s="15">
        <f>IFERROR(Table50[[#This Row],[Closing]]/Table50[[#This Row],[ClosingQty]],0)</f>
        <v>132.19999999999999</v>
      </c>
      <c r="Q387" s="15">
        <f>IFERROR(AVERAGEIF(Table50[[#This Row],[OPENING COST PRICE]:[CLOSING COST PRICE]],"&gt;0"),0)</f>
        <v>132.17692307692306</v>
      </c>
      <c r="R387" s="15">
        <f>IFERROR(Table50[[#This Row],[COST PRICE]]-IFERROR(Table50[[#This Row],[Usage]]/Table50[[#This Row],[UsageQty]],Table50[[#This Row],[COST PRICE]]),0)</f>
        <v>2.7986906710310677E-2</v>
      </c>
      <c r="S387" s="16">
        <f>IFERROR(Table50[[#This Row],[COST PRICE CHANGE]]/Table50[[#This Row],[OPENING COST PRICE]],0)</f>
        <v>2.117751962945511E-4</v>
      </c>
      <c r="T387" s="15">
        <f>Table50[[#This Row],[ClosingQty]]-(Table50[[#This Row],[USAGE / DAY]]*(IF(Table50[[#This Row],[ccnt]]="BEV",Table50[[#This Row],[DELIVERY DAY]],Table50[[#This Row],[DELIVERY DAY]])))</f>
        <v>-0.15000000000000002</v>
      </c>
      <c r="U387" s="15">
        <f>ROUNDUP(Table50[[#This Row],[UsageQty]]/Table50[[#This Row],[DATA POINT]],2)</f>
        <v>0.04</v>
      </c>
      <c r="V38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387" s="15">
        <f>IFERROR(Table50[[#This Row],[ORDER QTY]]*Table50[[#This Row],[COST PRICE]],0)</f>
        <v>132.17692307692306</v>
      </c>
      <c r="X387" s="15">
        <f>IFERROR(VLOOKUP(C387,[1]!Table49[[#All],[name]:[USAGE / DAY]],19,FALSE),1)</f>
        <v>0.01</v>
      </c>
      <c r="Y387" s="4">
        <f>IFERROR((Table50[[#This Row],[USAGE / DAY]]-Table50[[#This Row],[USAGE / DAY 2]])/Table50[[#This Row],[USAGE / DAY 2]],0)</f>
        <v>3</v>
      </c>
      <c r="Z387" s="15">
        <f t="shared" si="15"/>
        <v>14</v>
      </c>
      <c r="AA387" s="15">
        <f t="shared" si="16"/>
        <v>9.311854181734148</v>
      </c>
      <c r="AB387" s="15">
        <f>IFERROR(IF(Table50[[#This Row],[ccnt]]="BEV",$AB$2,IF(Table50[[#This Row],[ccnt]]="FOOD",$AC$2,"ENTER # FROM LAST COUNT")),"ENTER # FROM LAST COUNT")</f>
        <v>5</v>
      </c>
      <c r="AC387" s="15">
        <f>(Table50[[#This Row],[OpeningQty]]+Table50[[#This Row],[ClosingQty]])/2</f>
        <v>0.28500000000000003</v>
      </c>
      <c r="AD387" s="15">
        <f>IFERROR(Table50[[#This Row],[UsageQty]]/Table50[[#This Row],[AVE INVENTORY]],0)</f>
        <v>1.6491228070175439</v>
      </c>
      <c r="AE387" s="15">
        <f>IFERROR(Table50[[#This Row],[DATA POINT]]/Table50[[#This Row],[Inventory Turnover Rate]],0)</f>
        <v>8.4893617021276597</v>
      </c>
      <c r="AF387" s="15">
        <f>Table50[[#This Row],[ClosingQty]]/Table50[[#This Row],[USAGE / DAY]]</f>
        <v>1.25</v>
      </c>
      <c r="AG387" s="15">
        <f>Table50[[#This Row],[USAGE / DAY]]*7</f>
        <v>0.28000000000000003</v>
      </c>
      <c r="AH387" s="15">
        <f>Table50[[#This Row],[USAGE / DAY]]*3</f>
        <v>0.12</v>
      </c>
      <c r="AI387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0.35000000000000003</v>
      </c>
      <c r="AJ387" s="15">
        <f>IFERROR(Table50[[#This Row],[ORDER QTY2]]*Table50[[#This Row],[COST PRICE]],0)</f>
        <v>46.261923076923075</v>
      </c>
      <c r="AK387" s="15">
        <f>(Table50[[#This Row],[REORDER POINT]]*Table50[[#This Row],[COST PRICE]])+Table50[[#This Row],[ORDER COST]]</f>
        <v>112.3503846153846</v>
      </c>
      <c r="AL387" s="15">
        <f t="shared" si="17"/>
        <v>100</v>
      </c>
      <c r="AM387" s="15">
        <f>IFERROR((Table50[[#This Row],[REORDER POINT]]+Table50[[#This Row],[ORDER QTY]])/(Table50[[#This Row],[USAGE / DAY]]*Table50[[#This Row],[DEMAND %]]),Table50[[#This Row],[REORDER POINT]]/Table50[[#This Row],[USAGE / DAY]])</f>
        <v>0.21249999999999999</v>
      </c>
    </row>
    <row r="388" spans="1:39" x14ac:dyDescent="0.25">
      <c r="A388" t="s">
        <v>324</v>
      </c>
      <c r="B388" t="s">
        <v>491</v>
      </c>
      <c r="C388" t="s">
        <v>503</v>
      </c>
      <c r="D388" t="s">
        <v>53</v>
      </c>
      <c r="E388">
        <v>5</v>
      </c>
      <c r="F388">
        <v>340</v>
      </c>
      <c r="G388">
        <v>0</v>
      </c>
      <c r="H388">
        <v>0</v>
      </c>
      <c r="I388">
        <v>4</v>
      </c>
      <c r="J388">
        <v>272</v>
      </c>
      <c r="K388">
        <f>Table50[[#This Row],[OpeningQty]]+Table50[[#This Row],[PurchasesQty]]-Table50[[#This Row],[ClosingQty]]</f>
        <v>1</v>
      </c>
      <c r="L388">
        <v>68</v>
      </c>
      <c r="M388" s="14">
        <f>Table50[[#This Row],[Usage]]/$L$1</f>
        <v>1.0327835887042636E-4</v>
      </c>
      <c r="N388" s="15">
        <f>IFERROR(Table50[[#This Row],[Opening]]/Table50[[#This Row],[OpeningQty]],0)</f>
        <v>68</v>
      </c>
      <c r="O388" s="15">
        <f>IFERROR(Table50[[#This Row],[Purchases]]/Table50[[#This Row],[PurchasesQty]],0)</f>
        <v>0</v>
      </c>
      <c r="P388" s="15">
        <f>IFERROR(Table50[[#This Row],[Closing]]/Table50[[#This Row],[ClosingQty]],0)</f>
        <v>68</v>
      </c>
      <c r="Q388" s="15">
        <f>IFERROR(AVERAGEIF(Table50[[#This Row],[OPENING COST PRICE]:[CLOSING COST PRICE]],"&gt;0"),0)</f>
        <v>68</v>
      </c>
      <c r="R388" s="15">
        <f>IFERROR(Table50[[#This Row],[COST PRICE]]-IFERROR(Table50[[#This Row],[Usage]]/Table50[[#This Row],[UsageQty]],Table50[[#This Row],[COST PRICE]]),0)</f>
        <v>0</v>
      </c>
      <c r="S388" s="16">
        <f>IFERROR(Table50[[#This Row],[COST PRICE CHANGE]]/Table50[[#This Row],[OPENING COST PRICE]],0)</f>
        <v>0</v>
      </c>
      <c r="T388" s="15">
        <f>Table50[[#This Row],[ClosingQty]]-(Table50[[#This Row],[USAGE / DAY]]*(IF(Table50[[#This Row],[ccnt]]="BEV",Table50[[#This Row],[DELIVERY DAY]],Table50[[#This Row],[DELIVERY DAY]])))</f>
        <v>3.6</v>
      </c>
      <c r="U388" s="15">
        <f>ROUNDUP(Table50[[#This Row],[UsageQty]]/Table50[[#This Row],[DATA POINT]],2)</f>
        <v>0.08</v>
      </c>
      <c r="V388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88" s="15">
        <f>IFERROR(Table50[[#This Row],[ORDER QTY]]*Table50[[#This Row],[COST PRICE]],0)</f>
        <v>0</v>
      </c>
      <c r="X388" s="15">
        <f>IFERROR(VLOOKUP(C388,[1]!Table49[[#All],[name]:[USAGE / DAY]],19,FALSE),1)</f>
        <v>6.9999999999999993E-2</v>
      </c>
      <c r="Y388" s="4">
        <f>IFERROR((Table50[[#This Row],[USAGE / DAY]]-Table50[[#This Row],[USAGE / DAY 2]])/Table50[[#This Row],[USAGE / DAY 2]],0)</f>
        <v>0.14285714285714299</v>
      </c>
      <c r="Z388" s="15">
        <f t="shared" ref="Z388:Z418" si="18">_xlfn.DAYS($V$2,$V$1)</f>
        <v>14</v>
      </c>
      <c r="AA388" s="15">
        <f t="shared" ref="AA388:AA418" si="19">($R$2*$R$1)+$R$2</f>
        <v>9.311854181734148</v>
      </c>
      <c r="AB388" s="15">
        <f>IFERROR(IF(Table50[[#This Row],[ccnt]]="BEV",$AB$2,IF(Table50[[#This Row],[ccnt]]="FOOD",$AC$2,"ENTER # FROM LAST COUNT")),"ENTER # FROM LAST COUNT")</f>
        <v>5</v>
      </c>
      <c r="AC388" s="15">
        <f>(Table50[[#This Row],[OpeningQty]]+Table50[[#This Row],[ClosingQty]])/2</f>
        <v>4.5</v>
      </c>
      <c r="AD388" s="15">
        <f>IFERROR(Table50[[#This Row],[UsageQty]]/Table50[[#This Row],[AVE INVENTORY]],0)</f>
        <v>0.22222222222222221</v>
      </c>
      <c r="AE388" s="15">
        <f>IFERROR(Table50[[#This Row],[DATA POINT]]/Table50[[#This Row],[Inventory Turnover Rate]],0)</f>
        <v>63</v>
      </c>
      <c r="AF388" s="15">
        <f>Table50[[#This Row],[ClosingQty]]/Table50[[#This Row],[USAGE / DAY]]</f>
        <v>50</v>
      </c>
      <c r="AG388" s="15">
        <f>Table50[[#This Row],[USAGE / DAY]]*7</f>
        <v>0.56000000000000005</v>
      </c>
      <c r="AH388" s="15">
        <f>Table50[[#This Row],[USAGE / DAY]]*3</f>
        <v>0.24</v>
      </c>
      <c r="AI38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88" s="15">
        <f>IFERROR(Table50[[#This Row],[ORDER QTY2]]*Table50[[#This Row],[COST PRICE]],0)</f>
        <v>0</v>
      </c>
      <c r="AK388" s="15">
        <f>(Table50[[#This Row],[REORDER POINT]]*Table50[[#This Row],[COST PRICE]])+Table50[[#This Row],[ORDER COST]]</f>
        <v>244.8</v>
      </c>
      <c r="AL388" s="15">
        <f t="shared" ref="AL388:AL418" si="20">$AL$2</f>
        <v>100</v>
      </c>
      <c r="AM388" s="15">
        <f>IFERROR((Table50[[#This Row],[REORDER POINT]]+Table50[[#This Row],[ORDER QTY]])/(Table50[[#This Row],[USAGE / DAY]]*Table50[[#This Row],[DEMAND %]]),Table50[[#This Row],[REORDER POINT]]/Table50[[#This Row],[USAGE / DAY]])</f>
        <v>45</v>
      </c>
    </row>
    <row r="389" spans="1:39" x14ac:dyDescent="0.25">
      <c r="A389" t="s">
        <v>324</v>
      </c>
      <c r="B389" t="s">
        <v>491</v>
      </c>
      <c r="C389" t="s">
        <v>504</v>
      </c>
      <c r="D389" t="s">
        <v>76</v>
      </c>
      <c r="E389">
        <v>25</v>
      </c>
      <c r="F389">
        <v>1774.75</v>
      </c>
      <c r="G389">
        <v>0</v>
      </c>
      <c r="H389">
        <v>0</v>
      </c>
      <c r="I389">
        <v>18.600000000000001</v>
      </c>
      <c r="J389">
        <v>1320.41</v>
      </c>
      <c r="K389">
        <f>Table50[[#This Row],[OpeningQty]]+Table50[[#This Row],[PurchasesQty]]-Table50[[#This Row],[ClosingQty]]</f>
        <v>6.3999999999999986</v>
      </c>
      <c r="L389">
        <v>454.34</v>
      </c>
      <c r="M389" s="14">
        <f>Table50[[#This Row],[Usage]]/$L$1</f>
        <v>6.9005131719396338E-4</v>
      </c>
      <c r="N389" s="15">
        <f>IFERROR(Table50[[#This Row],[Opening]]/Table50[[#This Row],[OpeningQty]],0)</f>
        <v>70.989999999999995</v>
      </c>
      <c r="O389" s="15">
        <f>IFERROR(Table50[[#This Row],[Purchases]]/Table50[[#This Row],[PurchasesQty]],0)</f>
        <v>0</v>
      </c>
      <c r="P389" s="15">
        <f>IFERROR(Table50[[#This Row],[Closing]]/Table50[[#This Row],[ClosingQty]],0)</f>
        <v>70.989784946236554</v>
      </c>
      <c r="Q389" s="15">
        <f>IFERROR(AVERAGEIF(Table50[[#This Row],[OPENING COST PRICE]:[CLOSING COST PRICE]],"&gt;0"),0)</f>
        <v>70.989892473118275</v>
      </c>
      <c r="R389" s="15">
        <f>IFERROR(Table50[[#This Row],[COST PRICE]]-IFERROR(Table50[[#This Row],[Usage]]/Table50[[#This Row],[UsageQty]],Table50[[#This Row],[COST PRICE]]),0)</f>
        <v>-7.3252688173397473E-4</v>
      </c>
      <c r="S389" s="16">
        <f>IFERROR(Table50[[#This Row],[COST PRICE CHANGE]]/Table50[[#This Row],[OPENING COST PRICE]],0)</f>
        <v>-1.0318733367149948E-5</v>
      </c>
      <c r="T389" s="15">
        <f>Table50[[#This Row],[ClosingQty]]-(Table50[[#This Row],[USAGE / DAY]]*(IF(Table50[[#This Row],[ccnt]]="BEV",Table50[[#This Row],[DELIVERY DAY]],Table50[[#This Row],[DELIVERY DAY]])))</f>
        <v>16.3</v>
      </c>
      <c r="U389" s="15">
        <f>ROUNDUP(Table50[[#This Row],[UsageQty]]/Table50[[#This Row],[DATA POINT]],2)</f>
        <v>0.46</v>
      </c>
      <c r="V389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89" s="15">
        <f>IFERROR(Table50[[#This Row],[ORDER QTY]]*Table50[[#This Row],[COST PRICE]],0)</f>
        <v>0</v>
      </c>
      <c r="X389" s="15">
        <f>IFERROR(VLOOKUP(C389,[1]!Table49[[#All],[name]:[USAGE / DAY]],19,FALSE),1)</f>
        <v>0.27</v>
      </c>
      <c r="Y389" s="4">
        <f>IFERROR((Table50[[#This Row],[USAGE / DAY]]-Table50[[#This Row],[USAGE / DAY 2]])/Table50[[#This Row],[USAGE / DAY 2]],0)</f>
        <v>0.70370370370370372</v>
      </c>
      <c r="Z389" s="15">
        <f t="shared" si="18"/>
        <v>14</v>
      </c>
      <c r="AA389" s="15">
        <f t="shared" si="19"/>
        <v>9.311854181734148</v>
      </c>
      <c r="AB389" s="15">
        <f>IFERROR(IF(Table50[[#This Row],[ccnt]]="BEV",$AB$2,IF(Table50[[#This Row],[ccnt]]="FOOD",$AC$2,"ENTER # FROM LAST COUNT")),"ENTER # FROM LAST COUNT")</f>
        <v>5</v>
      </c>
      <c r="AC389" s="15">
        <f>(Table50[[#This Row],[OpeningQty]]+Table50[[#This Row],[ClosingQty]])/2</f>
        <v>21.8</v>
      </c>
      <c r="AD389" s="15">
        <f>IFERROR(Table50[[#This Row],[UsageQty]]/Table50[[#This Row],[AVE INVENTORY]],0)</f>
        <v>0.29357798165137605</v>
      </c>
      <c r="AE389" s="15">
        <f>IFERROR(Table50[[#This Row],[DATA POINT]]/Table50[[#This Row],[Inventory Turnover Rate]],0)</f>
        <v>47.687500000000014</v>
      </c>
      <c r="AF389" s="15">
        <f>Table50[[#This Row],[ClosingQty]]/Table50[[#This Row],[USAGE / DAY]]</f>
        <v>40.434782608695656</v>
      </c>
      <c r="AG389" s="15">
        <f>Table50[[#This Row],[USAGE / DAY]]*7</f>
        <v>3.22</v>
      </c>
      <c r="AH389" s="15">
        <f>Table50[[#This Row],[USAGE / DAY]]*3</f>
        <v>1.3800000000000001</v>
      </c>
      <c r="AI389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89" s="15">
        <f>IFERROR(Table50[[#This Row],[ORDER QTY2]]*Table50[[#This Row],[COST PRICE]],0)</f>
        <v>0</v>
      </c>
      <c r="AK389" s="15">
        <f>(Table50[[#This Row],[REORDER POINT]]*Table50[[#This Row],[COST PRICE]])+Table50[[#This Row],[ORDER COST]]</f>
        <v>1157.1352473118279</v>
      </c>
      <c r="AL389" s="15">
        <f t="shared" si="20"/>
        <v>100</v>
      </c>
      <c r="AM389" s="15">
        <f>IFERROR((Table50[[#This Row],[REORDER POINT]]+Table50[[#This Row],[ORDER QTY]])/(Table50[[#This Row],[USAGE / DAY]]*Table50[[#This Row],[DEMAND %]]),Table50[[#This Row],[REORDER POINT]]/Table50[[#This Row],[USAGE / DAY]])</f>
        <v>35.434782608695649</v>
      </c>
    </row>
    <row r="390" spans="1:39" x14ac:dyDescent="0.25">
      <c r="A390" t="s">
        <v>324</v>
      </c>
      <c r="B390" t="s">
        <v>491</v>
      </c>
      <c r="C390" t="s">
        <v>505</v>
      </c>
      <c r="D390" t="s">
        <v>53</v>
      </c>
      <c r="E390">
        <v>4</v>
      </c>
      <c r="F390">
        <v>184</v>
      </c>
      <c r="G390">
        <v>0</v>
      </c>
      <c r="H390">
        <v>0</v>
      </c>
      <c r="I390">
        <v>15</v>
      </c>
      <c r="J390">
        <v>690</v>
      </c>
      <c r="K390">
        <f>Table50[[#This Row],[OpeningQty]]+Table50[[#This Row],[PurchasesQty]]-Table50[[#This Row],[ClosingQty]]</f>
        <v>-11</v>
      </c>
      <c r="L390">
        <v>-506</v>
      </c>
      <c r="M390" s="14">
        <f>Table50[[#This Row],[Usage]]/$L$1</f>
        <v>-7.6851249394758439E-4</v>
      </c>
      <c r="N390" s="15">
        <f>IFERROR(Table50[[#This Row],[Opening]]/Table50[[#This Row],[OpeningQty]],0)</f>
        <v>46</v>
      </c>
      <c r="O390" s="15">
        <f>IFERROR(Table50[[#This Row],[Purchases]]/Table50[[#This Row],[PurchasesQty]],0)</f>
        <v>0</v>
      </c>
      <c r="P390" s="15">
        <f>IFERROR(Table50[[#This Row],[Closing]]/Table50[[#This Row],[ClosingQty]],0)</f>
        <v>46</v>
      </c>
      <c r="Q390" s="15">
        <f>IFERROR(AVERAGEIF(Table50[[#This Row],[OPENING COST PRICE]:[CLOSING COST PRICE]],"&gt;0"),0)</f>
        <v>46</v>
      </c>
      <c r="R390" s="15">
        <f>IFERROR(Table50[[#This Row],[COST PRICE]]-IFERROR(Table50[[#This Row],[Usage]]/Table50[[#This Row],[UsageQty]],Table50[[#This Row],[COST PRICE]]),0)</f>
        <v>0</v>
      </c>
      <c r="S390" s="16">
        <f>IFERROR(Table50[[#This Row],[COST PRICE CHANGE]]/Table50[[#This Row],[OPENING COST PRICE]],0)</f>
        <v>0</v>
      </c>
      <c r="T390" s="15">
        <f>Table50[[#This Row],[ClosingQty]]-(Table50[[#This Row],[USAGE / DAY]]*(IF(Table50[[#This Row],[ccnt]]="BEV",Table50[[#This Row],[DELIVERY DAY]],Table50[[#This Row],[DELIVERY DAY]])))</f>
        <v>18.95</v>
      </c>
      <c r="U390" s="15">
        <f>ROUNDUP(Table50[[#This Row],[UsageQty]]/Table50[[#This Row],[DATA POINT]],2)</f>
        <v>-0.79</v>
      </c>
      <c r="V390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90" s="15">
        <f>IFERROR(Table50[[#This Row],[ORDER QTY]]*Table50[[#This Row],[COST PRICE]],0)</f>
        <v>0</v>
      </c>
      <c r="X390" s="15">
        <f>IFERROR(VLOOKUP(C390,[1]!Table49[[#All],[name]:[USAGE / DAY]],19,FALSE),1)</f>
        <v>0.2</v>
      </c>
      <c r="Y390" s="4">
        <f>IFERROR((Table50[[#This Row],[USAGE / DAY]]-Table50[[#This Row],[USAGE / DAY 2]])/Table50[[#This Row],[USAGE / DAY 2]],0)</f>
        <v>-4.9499999999999993</v>
      </c>
      <c r="Z390" s="15">
        <f t="shared" si="18"/>
        <v>14</v>
      </c>
      <c r="AA390" s="15">
        <f t="shared" si="19"/>
        <v>9.311854181734148</v>
      </c>
      <c r="AB390" s="15">
        <f>IFERROR(IF(Table50[[#This Row],[ccnt]]="BEV",$AB$2,IF(Table50[[#This Row],[ccnt]]="FOOD",$AC$2,"ENTER # FROM LAST COUNT")),"ENTER # FROM LAST COUNT")</f>
        <v>5</v>
      </c>
      <c r="AC390" s="15">
        <f>(Table50[[#This Row],[OpeningQty]]+Table50[[#This Row],[ClosingQty]])/2</f>
        <v>9.5</v>
      </c>
      <c r="AD390" s="15">
        <f>IFERROR(Table50[[#This Row],[UsageQty]]/Table50[[#This Row],[AVE INVENTORY]],0)</f>
        <v>-1.1578947368421053</v>
      </c>
      <c r="AE390" s="15">
        <f>IFERROR(Table50[[#This Row],[DATA POINT]]/Table50[[#This Row],[Inventory Turnover Rate]],0)</f>
        <v>-12.09090909090909</v>
      </c>
      <c r="AF390" s="15">
        <f>Table50[[#This Row],[ClosingQty]]/Table50[[#This Row],[USAGE / DAY]]</f>
        <v>-18.987341772151897</v>
      </c>
      <c r="AG390" s="15">
        <f>Table50[[#This Row],[USAGE / DAY]]*7</f>
        <v>-5.53</v>
      </c>
      <c r="AH390" s="15">
        <f>Table50[[#This Row],[USAGE / DAY]]*3</f>
        <v>-2.37</v>
      </c>
      <c r="AI39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90" s="15">
        <f>IFERROR(Table50[[#This Row],[ORDER QTY2]]*Table50[[#This Row],[COST PRICE]],0)</f>
        <v>0</v>
      </c>
      <c r="AK390" s="15">
        <f>(Table50[[#This Row],[REORDER POINT]]*Table50[[#This Row],[COST PRICE]])+Table50[[#This Row],[ORDER COST]]</f>
        <v>871.69999999999993</v>
      </c>
      <c r="AL390" s="15">
        <f t="shared" si="20"/>
        <v>100</v>
      </c>
      <c r="AM390" s="15">
        <f>IFERROR((Table50[[#This Row],[REORDER POINT]]+Table50[[#This Row],[ORDER QTY]])/(Table50[[#This Row],[USAGE / DAY]]*Table50[[#This Row],[DEMAND %]]),Table50[[#This Row],[REORDER POINT]]/Table50[[#This Row],[USAGE / DAY]])</f>
        <v>-23.987341772151897</v>
      </c>
    </row>
    <row r="391" spans="1:39" x14ac:dyDescent="0.25">
      <c r="A391" t="s">
        <v>324</v>
      </c>
      <c r="B391" t="s">
        <v>491</v>
      </c>
      <c r="C391" t="s">
        <v>506</v>
      </c>
      <c r="D391" t="s">
        <v>76</v>
      </c>
      <c r="E391">
        <v>19</v>
      </c>
      <c r="F391">
        <v>996.36</v>
      </c>
      <c r="G391">
        <v>0</v>
      </c>
      <c r="H391">
        <v>0</v>
      </c>
      <c r="I391">
        <v>12</v>
      </c>
      <c r="J391">
        <v>629.28</v>
      </c>
      <c r="K391">
        <f>Table50[[#This Row],[OpeningQty]]+Table50[[#This Row],[PurchasesQty]]-Table50[[#This Row],[ClosingQty]]</f>
        <v>7</v>
      </c>
      <c r="L391">
        <v>367.08</v>
      </c>
      <c r="M391" s="14">
        <f>Table50[[#This Row],[Usage]]/$L$1</f>
        <v>5.5752088197288387E-4</v>
      </c>
      <c r="N391" s="15">
        <f>IFERROR(Table50[[#This Row],[Opening]]/Table50[[#This Row],[OpeningQty]],0)</f>
        <v>52.44</v>
      </c>
      <c r="O391" s="15">
        <f>IFERROR(Table50[[#This Row],[Purchases]]/Table50[[#This Row],[PurchasesQty]],0)</f>
        <v>0</v>
      </c>
      <c r="P391" s="15">
        <f>IFERROR(Table50[[#This Row],[Closing]]/Table50[[#This Row],[ClosingQty]],0)</f>
        <v>52.44</v>
      </c>
      <c r="Q391" s="15">
        <f>IFERROR(AVERAGEIF(Table50[[#This Row],[OPENING COST PRICE]:[CLOSING COST PRICE]],"&gt;0"),0)</f>
        <v>52.44</v>
      </c>
      <c r="R391" s="15">
        <f>IFERROR(Table50[[#This Row],[COST PRICE]]-IFERROR(Table50[[#This Row],[Usage]]/Table50[[#This Row],[UsageQty]],Table50[[#This Row],[COST PRICE]]),0)</f>
        <v>0</v>
      </c>
      <c r="S391" s="16">
        <f>IFERROR(Table50[[#This Row],[COST PRICE CHANGE]]/Table50[[#This Row],[OPENING COST PRICE]],0)</f>
        <v>0</v>
      </c>
      <c r="T391" s="15">
        <f>Table50[[#This Row],[ClosingQty]]-(Table50[[#This Row],[USAGE / DAY]]*(IF(Table50[[#This Row],[ccnt]]="BEV",Table50[[#This Row],[DELIVERY DAY]],Table50[[#This Row],[DELIVERY DAY]])))</f>
        <v>9.5</v>
      </c>
      <c r="U391" s="15">
        <f>ROUNDUP(Table50[[#This Row],[UsageQty]]/Table50[[#This Row],[DATA POINT]],2)</f>
        <v>0.5</v>
      </c>
      <c r="V39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91" s="15">
        <f>IFERROR(Table50[[#This Row],[ORDER QTY]]*Table50[[#This Row],[COST PRICE]],0)</f>
        <v>0</v>
      </c>
      <c r="X391" s="15">
        <f>IFERROR(VLOOKUP(C391,[1]!Table49[[#All],[name]:[USAGE / DAY]],19,FALSE),1)</f>
        <v>0.48</v>
      </c>
      <c r="Y391" s="4">
        <f>IFERROR((Table50[[#This Row],[USAGE / DAY]]-Table50[[#This Row],[USAGE / DAY 2]])/Table50[[#This Row],[USAGE / DAY 2]],0)</f>
        <v>4.1666666666666706E-2</v>
      </c>
      <c r="Z391" s="15">
        <f t="shared" si="18"/>
        <v>14</v>
      </c>
      <c r="AA391" s="15">
        <f t="shared" si="19"/>
        <v>9.311854181734148</v>
      </c>
      <c r="AB391" s="15">
        <f>IFERROR(IF(Table50[[#This Row],[ccnt]]="BEV",$AB$2,IF(Table50[[#This Row],[ccnt]]="FOOD",$AC$2,"ENTER # FROM LAST COUNT")),"ENTER # FROM LAST COUNT")</f>
        <v>5</v>
      </c>
      <c r="AC391" s="15">
        <f>(Table50[[#This Row],[OpeningQty]]+Table50[[#This Row],[ClosingQty]])/2</f>
        <v>15.5</v>
      </c>
      <c r="AD391" s="15">
        <f>IFERROR(Table50[[#This Row],[UsageQty]]/Table50[[#This Row],[AVE INVENTORY]],0)</f>
        <v>0.45161290322580644</v>
      </c>
      <c r="AE391" s="15">
        <f>IFERROR(Table50[[#This Row],[DATA POINT]]/Table50[[#This Row],[Inventory Turnover Rate]],0)</f>
        <v>31</v>
      </c>
      <c r="AF391" s="15">
        <f>Table50[[#This Row],[ClosingQty]]/Table50[[#This Row],[USAGE / DAY]]</f>
        <v>24</v>
      </c>
      <c r="AG391" s="15">
        <f>Table50[[#This Row],[USAGE / DAY]]*7</f>
        <v>3.5</v>
      </c>
      <c r="AH391" s="15">
        <f>Table50[[#This Row],[USAGE / DAY]]*3</f>
        <v>1.5</v>
      </c>
      <c r="AI39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91" s="15">
        <f>IFERROR(Table50[[#This Row],[ORDER QTY2]]*Table50[[#This Row],[COST PRICE]],0)</f>
        <v>0</v>
      </c>
      <c r="AK391" s="15">
        <f>(Table50[[#This Row],[REORDER POINT]]*Table50[[#This Row],[COST PRICE]])+Table50[[#This Row],[ORDER COST]]</f>
        <v>498.17999999999995</v>
      </c>
      <c r="AL391" s="15">
        <f t="shared" si="20"/>
        <v>100</v>
      </c>
      <c r="AM391" s="15">
        <f>IFERROR((Table50[[#This Row],[REORDER POINT]]+Table50[[#This Row],[ORDER QTY]])/(Table50[[#This Row],[USAGE / DAY]]*Table50[[#This Row],[DEMAND %]]),Table50[[#This Row],[REORDER POINT]]/Table50[[#This Row],[USAGE / DAY]])</f>
        <v>19</v>
      </c>
    </row>
    <row r="392" spans="1:39" x14ac:dyDescent="0.25">
      <c r="A392" t="s">
        <v>324</v>
      </c>
      <c r="B392" t="s">
        <v>491</v>
      </c>
      <c r="C392" t="s">
        <v>507</v>
      </c>
      <c r="D392" t="s">
        <v>237</v>
      </c>
      <c r="E392">
        <v>0</v>
      </c>
      <c r="F392">
        <v>0</v>
      </c>
      <c r="G392">
        <v>5</v>
      </c>
      <c r="H392">
        <v>437.52</v>
      </c>
      <c r="I392">
        <v>4.2</v>
      </c>
      <c r="J392">
        <v>367.5</v>
      </c>
      <c r="K392">
        <f>Table50[[#This Row],[OpeningQty]]+Table50[[#This Row],[PurchasesQty]]-Table50[[#This Row],[ClosingQty]]</f>
        <v>0.79999999999999982</v>
      </c>
      <c r="L392">
        <v>70.02</v>
      </c>
      <c r="M392" s="14">
        <f>Table50[[#This Row],[Usage]]/$L$1</f>
        <v>1.0634633364863608E-4</v>
      </c>
      <c r="N392" s="15">
        <f>IFERROR(Table50[[#This Row],[Opening]]/Table50[[#This Row],[OpeningQty]],0)</f>
        <v>0</v>
      </c>
      <c r="O392" s="15">
        <f>IFERROR(Table50[[#This Row],[Purchases]]/Table50[[#This Row],[PurchasesQty]],0)</f>
        <v>87.503999999999991</v>
      </c>
      <c r="P392" s="15">
        <f>IFERROR(Table50[[#This Row],[Closing]]/Table50[[#This Row],[ClosingQty]],0)</f>
        <v>87.5</v>
      </c>
      <c r="Q392" s="15">
        <f>IFERROR(AVERAGEIF(Table50[[#This Row],[OPENING COST PRICE]:[CLOSING COST PRICE]],"&gt;0"),0)</f>
        <v>87.501999999999995</v>
      </c>
      <c r="R392" s="15">
        <f>IFERROR(Table50[[#This Row],[COST PRICE]]-IFERROR(Table50[[#This Row],[Usage]]/Table50[[#This Row],[UsageQty]],Table50[[#This Row],[COST PRICE]]),0)</f>
        <v>-2.3000000000024556E-2</v>
      </c>
      <c r="S392" s="16">
        <f>IFERROR(Table50[[#This Row],[COST PRICE CHANGE]]/Table50[[#This Row],[OPENING COST PRICE]],0)</f>
        <v>0</v>
      </c>
      <c r="T392" s="15">
        <f>Table50[[#This Row],[ClosingQty]]-(Table50[[#This Row],[USAGE / DAY]]*(IF(Table50[[#This Row],[ccnt]]="BEV",Table50[[#This Row],[DELIVERY DAY]],Table50[[#This Row],[DELIVERY DAY]])))</f>
        <v>3.9000000000000004</v>
      </c>
      <c r="U392" s="15">
        <f>ROUNDUP(Table50[[#This Row],[UsageQty]]/Table50[[#This Row],[DATA POINT]],2)</f>
        <v>6.0000000000000005E-2</v>
      </c>
      <c r="V39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92" s="15">
        <f>IFERROR(Table50[[#This Row],[ORDER QTY]]*Table50[[#This Row],[COST PRICE]],0)</f>
        <v>0</v>
      </c>
      <c r="X392" s="15">
        <f>IFERROR(VLOOKUP(C392,[1]!Table49[[#All],[name]:[USAGE / DAY]],19,FALSE),1)</f>
        <v>1</v>
      </c>
      <c r="Y392" s="4">
        <f>IFERROR((Table50[[#This Row],[USAGE / DAY]]-Table50[[#This Row],[USAGE / DAY 2]])/Table50[[#This Row],[USAGE / DAY 2]],0)</f>
        <v>-0.94</v>
      </c>
      <c r="Z392" s="15">
        <f t="shared" si="18"/>
        <v>14</v>
      </c>
      <c r="AA392" s="15">
        <f t="shared" si="19"/>
        <v>9.311854181734148</v>
      </c>
      <c r="AB392" s="15">
        <f>IFERROR(IF(Table50[[#This Row],[ccnt]]="BEV",$AB$2,IF(Table50[[#This Row],[ccnt]]="FOOD",$AC$2,"ENTER # FROM LAST COUNT")),"ENTER # FROM LAST COUNT")</f>
        <v>5</v>
      </c>
      <c r="AC392" s="15">
        <f>(Table50[[#This Row],[OpeningQty]]+Table50[[#This Row],[ClosingQty]])/2</f>
        <v>2.1</v>
      </c>
      <c r="AD392" s="15">
        <f>IFERROR(Table50[[#This Row],[UsageQty]]/Table50[[#This Row],[AVE INVENTORY]],0)</f>
        <v>0.38095238095238088</v>
      </c>
      <c r="AE392" s="15">
        <f>IFERROR(Table50[[#This Row],[DATA POINT]]/Table50[[#This Row],[Inventory Turnover Rate]],0)</f>
        <v>36.750000000000007</v>
      </c>
      <c r="AF392" s="15">
        <f>Table50[[#This Row],[ClosingQty]]/Table50[[#This Row],[USAGE / DAY]]</f>
        <v>70</v>
      </c>
      <c r="AG392" s="15">
        <f>Table50[[#This Row],[USAGE / DAY]]*7</f>
        <v>0.42000000000000004</v>
      </c>
      <c r="AH392" s="15">
        <f>Table50[[#This Row],[USAGE / DAY]]*3</f>
        <v>0.18000000000000002</v>
      </c>
      <c r="AI39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92" s="15">
        <f>IFERROR(Table50[[#This Row],[ORDER QTY2]]*Table50[[#This Row],[COST PRICE]],0)</f>
        <v>0</v>
      </c>
      <c r="AK392" s="15">
        <f>(Table50[[#This Row],[REORDER POINT]]*Table50[[#This Row],[COST PRICE]])+Table50[[#This Row],[ORDER COST]]</f>
        <v>341.25780000000003</v>
      </c>
      <c r="AL392" s="15">
        <f t="shared" si="20"/>
        <v>100</v>
      </c>
      <c r="AM392" s="15">
        <f>IFERROR((Table50[[#This Row],[REORDER POINT]]+Table50[[#This Row],[ORDER QTY]])/(Table50[[#This Row],[USAGE / DAY]]*Table50[[#This Row],[DEMAND %]]),Table50[[#This Row],[REORDER POINT]]/Table50[[#This Row],[USAGE / DAY]])</f>
        <v>65</v>
      </c>
    </row>
    <row r="393" spans="1:39" x14ac:dyDescent="0.25">
      <c r="A393" t="s">
        <v>324</v>
      </c>
      <c r="B393" t="s">
        <v>491</v>
      </c>
      <c r="C393" t="s">
        <v>508</v>
      </c>
      <c r="D393" t="s">
        <v>76</v>
      </c>
      <c r="E393">
        <v>6.69</v>
      </c>
      <c r="F393">
        <v>307.74</v>
      </c>
      <c r="G393">
        <v>30</v>
      </c>
      <c r="H393">
        <v>1380</v>
      </c>
      <c r="I393">
        <v>23.2</v>
      </c>
      <c r="J393">
        <v>1067.2</v>
      </c>
      <c r="K393">
        <f>Table50[[#This Row],[OpeningQty]]+Table50[[#This Row],[PurchasesQty]]-Table50[[#This Row],[ClosingQty]]</f>
        <v>13.489999999999998</v>
      </c>
      <c r="L393">
        <v>620.54</v>
      </c>
      <c r="M393" s="14">
        <f>Table50[[#This Row],[Usage]]/$L$1</f>
        <v>9.4247577666844659E-4</v>
      </c>
      <c r="N393" s="15">
        <f>IFERROR(Table50[[#This Row],[Opening]]/Table50[[#This Row],[OpeningQty]],0)</f>
        <v>46</v>
      </c>
      <c r="O393" s="15">
        <f>IFERROR(Table50[[#This Row],[Purchases]]/Table50[[#This Row],[PurchasesQty]],0)</f>
        <v>46</v>
      </c>
      <c r="P393" s="15">
        <f>IFERROR(Table50[[#This Row],[Closing]]/Table50[[#This Row],[ClosingQty]],0)</f>
        <v>46</v>
      </c>
      <c r="Q393" s="15">
        <f>IFERROR(AVERAGEIF(Table50[[#This Row],[OPENING COST PRICE]:[CLOSING COST PRICE]],"&gt;0"),0)</f>
        <v>46</v>
      </c>
      <c r="R393" s="15">
        <f>IFERROR(Table50[[#This Row],[COST PRICE]]-IFERROR(Table50[[#This Row],[Usage]]/Table50[[#This Row],[UsageQty]],Table50[[#This Row],[COST PRICE]]),0)</f>
        <v>0</v>
      </c>
      <c r="S393" s="16">
        <f>IFERROR(Table50[[#This Row],[COST PRICE CHANGE]]/Table50[[#This Row],[OPENING COST PRICE]],0)</f>
        <v>0</v>
      </c>
      <c r="T393" s="15">
        <f>Table50[[#This Row],[ClosingQty]]-(Table50[[#This Row],[USAGE / DAY]]*(IF(Table50[[#This Row],[ccnt]]="BEV",Table50[[#This Row],[DELIVERY DAY]],Table50[[#This Row],[DELIVERY DAY]])))</f>
        <v>18.350000000000001</v>
      </c>
      <c r="U393" s="15">
        <f>ROUNDUP(Table50[[#This Row],[UsageQty]]/Table50[[#This Row],[DATA POINT]],2)</f>
        <v>0.97</v>
      </c>
      <c r="V393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93" s="15">
        <f>IFERROR(Table50[[#This Row],[ORDER QTY]]*Table50[[#This Row],[COST PRICE]],0)</f>
        <v>0</v>
      </c>
      <c r="X393" s="15">
        <f>IFERROR(VLOOKUP(C393,[1]!Table49[[#All],[name]:[USAGE / DAY]],19,FALSE),1)</f>
        <v>1.37</v>
      </c>
      <c r="Y393" s="4">
        <f>IFERROR((Table50[[#This Row],[USAGE / DAY]]-Table50[[#This Row],[USAGE / DAY 2]])/Table50[[#This Row],[USAGE / DAY 2]],0)</f>
        <v>-0.29197080291970812</v>
      </c>
      <c r="Z393" s="15">
        <f t="shared" si="18"/>
        <v>14</v>
      </c>
      <c r="AA393" s="15">
        <f t="shared" si="19"/>
        <v>9.311854181734148</v>
      </c>
      <c r="AB393" s="15">
        <f>IFERROR(IF(Table50[[#This Row],[ccnt]]="BEV",$AB$2,IF(Table50[[#This Row],[ccnt]]="FOOD",$AC$2,"ENTER # FROM LAST COUNT")),"ENTER # FROM LAST COUNT")</f>
        <v>5</v>
      </c>
      <c r="AC393" s="15">
        <f>(Table50[[#This Row],[OpeningQty]]+Table50[[#This Row],[ClosingQty]])/2</f>
        <v>14.945</v>
      </c>
      <c r="AD393" s="15">
        <f>IFERROR(Table50[[#This Row],[UsageQty]]/Table50[[#This Row],[AVE INVENTORY]],0)</f>
        <v>0.9026430244228838</v>
      </c>
      <c r="AE393" s="15">
        <f>IFERROR(Table50[[#This Row],[DATA POINT]]/Table50[[#This Row],[Inventory Turnover Rate]],0)</f>
        <v>15.510007412898446</v>
      </c>
      <c r="AF393" s="15">
        <f>Table50[[#This Row],[ClosingQty]]/Table50[[#This Row],[USAGE / DAY]]</f>
        <v>23.917525773195877</v>
      </c>
      <c r="AG393" s="15">
        <f>Table50[[#This Row],[USAGE / DAY]]*7</f>
        <v>6.79</v>
      </c>
      <c r="AH393" s="15">
        <f>Table50[[#This Row],[USAGE / DAY]]*3</f>
        <v>2.91</v>
      </c>
      <c r="AI393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93" s="15">
        <f>IFERROR(Table50[[#This Row],[ORDER QTY2]]*Table50[[#This Row],[COST PRICE]],0)</f>
        <v>0</v>
      </c>
      <c r="AK393" s="15">
        <f>(Table50[[#This Row],[REORDER POINT]]*Table50[[#This Row],[COST PRICE]])+Table50[[#This Row],[ORDER COST]]</f>
        <v>844.1</v>
      </c>
      <c r="AL393" s="15">
        <f t="shared" si="20"/>
        <v>100</v>
      </c>
      <c r="AM393" s="15">
        <f>IFERROR((Table50[[#This Row],[REORDER POINT]]+Table50[[#This Row],[ORDER QTY]])/(Table50[[#This Row],[USAGE / DAY]]*Table50[[#This Row],[DEMAND %]]),Table50[[#This Row],[REORDER POINT]]/Table50[[#This Row],[USAGE / DAY]])</f>
        <v>18.917525773195877</v>
      </c>
    </row>
    <row r="394" spans="1:39" x14ac:dyDescent="0.25">
      <c r="A394" t="s">
        <v>324</v>
      </c>
      <c r="B394" t="s">
        <v>491</v>
      </c>
      <c r="C394" t="s">
        <v>509</v>
      </c>
      <c r="D394" t="s">
        <v>53</v>
      </c>
      <c r="E394">
        <v>0.84</v>
      </c>
      <c r="F394">
        <v>130.19999999999999</v>
      </c>
      <c r="G394">
        <v>2</v>
      </c>
      <c r="H394">
        <v>310</v>
      </c>
      <c r="I394">
        <v>1.76</v>
      </c>
      <c r="J394">
        <v>272.8</v>
      </c>
      <c r="K394">
        <f>Table50[[#This Row],[OpeningQty]]+Table50[[#This Row],[PurchasesQty]]-Table50[[#This Row],[ClosingQty]]</f>
        <v>1.0799999999999998</v>
      </c>
      <c r="L394">
        <v>167.4</v>
      </c>
      <c r="M394" s="14">
        <f>Table50[[#This Row],[Usage]]/$L$1</f>
        <v>2.5424701874866726E-4</v>
      </c>
      <c r="N394" s="15">
        <f>IFERROR(Table50[[#This Row],[Opening]]/Table50[[#This Row],[OpeningQty]],0)</f>
        <v>155</v>
      </c>
      <c r="O394" s="15">
        <f>IFERROR(Table50[[#This Row],[Purchases]]/Table50[[#This Row],[PurchasesQty]],0)</f>
        <v>155</v>
      </c>
      <c r="P394" s="15">
        <f>IFERROR(Table50[[#This Row],[Closing]]/Table50[[#This Row],[ClosingQty]],0)</f>
        <v>155</v>
      </c>
      <c r="Q394" s="15">
        <f>IFERROR(AVERAGEIF(Table50[[#This Row],[OPENING COST PRICE]:[CLOSING COST PRICE]],"&gt;0"),0)</f>
        <v>155</v>
      </c>
      <c r="R394" s="15">
        <f>IFERROR(Table50[[#This Row],[COST PRICE]]-IFERROR(Table50[[#This Row],[Usage]]/Table50[[#This Row],[UsageQty]],Table50[[#This Row],[COST PRICE]]),0)</f>
        <v>-2.8421709430404007E-14</v>
      </c>
      <c r="S394" s="16">
        <f>IFERROR(Table50[[#This Row],[COST PRICE CHANGE]]/Table50[[#This Row],[OPENING COST PRICE]],0)</f>
        <v>-1.8336586729292908E-16</v>
      </c>
      <c r="T394" s="15">
        <f>Table50[[#This Row],[ClosingQty]]-(Table50[[#This Row],[USAGE / DAY]]*(IF(Table50[[#This Row],[ccnt]]="BEV",Table50[[#This Row],[DELIVERY DAY]],Table50[[#This Row],[DELIVERY DAY]])))</f>
        <v>1.3599999999999999</v>
      </c>
      <c r="U394" s="15">
        <f>ROUNDUP(Table50[[#This Row],[UsageQty]]/Table50[[#This Row],[DATA POINT]],2)</f>
        <v>0.08</v>
      </c>
      <c r="V394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394" s="15">
        <f>IFERROR(Table50[[#This Row],[ORDER QTY]]*Table50[[#This Row],[COST PRICE]],0)</f>
        <v>0</v>
      </c>
      <c r="X394" s="15">
        <f>IFERROR(VLOOKUP(C394,[1]!Table49[[#All],[name]:[USAGE / DAY]],19,FALSE),1)</f>
        <v>0.11</v>
      </c>
      <c r="Y394" s="4">
        <f>IFERROR((Table50[[#This Row],[USAGE / DAY]]-Table50[[#This Row],[USAGE / DAY 2]])/Table50[[#This Row],[USAGE / DAY 2]],0)</f>
        <v>-0.27272727272727271</v>
      </c>
      <c r="Z394" s="15">
        <f t="shared" si="18"/>
        <v>14</v>
      </c>
      <c r="AA394" s="15">
        <f t="shared" si="19"/>
        <v>9.311854181734148</v>
      </c>
      <c r="AB394" s="15">
        <f>IFERROR(IF(Table50[[#This Row],[ccnt]]="BEV",$AB$2,IF(Table50[[#This Row],[ccnt]]="FOOD",$AC$2,"ENTER # FROM LAST COUNT")),"ENTER # FROM LAST COUNT")</f>
        <v>5</v>
      </c>
      <c r="AC394" s="15">
        <f>(Table50[[#This Row],[OpeningQty]]+Table50[[#This Row],[ClosingQty]])/2</f>
        <v>1.3</v>
      </c>
      <c r="AD394" s="15">
        <f>IFERROR(Table50[[#This Row],[UsageQty]]/Table50[[#This Row],[AVE INVENTORY]],0)</f>
        <v>0.83076923076923059</v>
      </c>
      <c r="AE394" s="15">
        <f>IFERROR(Table50[[#This Row],[DATA POINT]]/Table50[[#This Row],[Inventory Turnover Rate]],0)</f>
        <v>16.851851851851855</v>
      </c>
      <c r="AF394" s="15">
        <f>Table50[[#This Row],[ClosingQty]]/Table50[[#This Row],[USAGE / DAY]]</f>
        <v>22</v>
      </c>
      <c r="AG394" s="15">
        <f>Table50[[#This Row],[USAGE / DAY]]*7</f>
        <v>0.56000000000000005</v>
      </c>
      <c r="AH394" s="15">
        <f>Table50[[#This Row],[USAGE / DAY]]*3</f>
        <v>0.24</v>
      </c>
      <c r="AI39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394" s="15">
        <f>IFERROR(Table50[[#This Row],[ORDER QTY2]]*Table50[[#This Row],[COST PRICE]],0)</f>
        <v>0</v>
      </c>
      <c r="AK394" s="15">
        <f>(Table50[[#This Row],[REORDER POINT]]*Table50[[#This Row],[COST PRICE]])+Table50[[#This Row],[ORDER COST]]</f>
        <v>210.79999999999998</v>
      </c>
      <c r="AL394" s="15">
        <f t="shared" si="20"/>
        <v>100</v>
      </c>
      <c r="AM394" s="15">
        <f>IFERROR((Table50[[#This Row],[REORDER POINT]]+Table50[[#This Row],[ORDER QTY]])/(Table50[[#This Row],[USAGE / DAY]]*Table50[[#This Row],[DEMAND %]]),Table50[[#This Row],[REORDER POINT]]/Table50[[#This Row],[USAGE / DAY]])</f>
        <v>16.999999999999996</v>
      </c>
    </row>
    <row r="395" spans="1:39" x14ac:dyDescent="0.25">
      <c r="A395" t="s">
        <v>324</v>
      </c>
      <c r="B395" t="s">
        <v>510</v>
      </c>
      <c r="C395" t="s">
        <v>511</v>
      </c>
      <c r="D395" t="s">
        <v>126</v>
      </c>
      <c r="E395">
        <v>19.89</v>
      </c>
      <c r="F395">
        <v>1510.05</v>
      </c>
      <c r="G395">
        <v>39.200000000000003</v>
      </c>
      <c r="H395">
        <v>2249</v>
      </c>
      <c r="I395">
        <v>7.45</v>
      </c>
      <c r="J395">
        <v>385.84</v>
      </c>
      <c r="K395">
        <f>Table50[[#This Row],[OpeningQty]]+Table50[[#This Row],[PurchasesQty]]-Table50[[#This Row],[ClosingQty]]</f>
        <v>51.64</v>
      </c>
      <c r="L395">
        <v>3373.21</v>
      </c>
      <c r="M395" s="14">
        <f>Table50[[#This Row],[Usage]]/$L$1</f>
        <v>5.1232293077251604E-3</v>
      </c>
      <c r="N395" s="15">
        <f>IFERROR(Table50[[#This Row],[Opening]]/Table50[[#This Row],[OpeningQty]],0)</f>
        <v>75.920060331825027</v>
      </c>
      <c r="O395" s="15">
        <f>IFERROR(Table50[[#This Row],[Purchases]]/Table50[[#This Row],[PurchasesQty]],0)</f>
        <v>57.37244897959183</v>
      </c>
      <c r="P395" s="15">
        <f>IFERROR(Table50[[#This Row],[Closing]]/Table50[[#This Row],[ClosingQty]],0)</f>
        <v>51.790604026845635</v>
      </c>
      <c r="Q395" s="15">
        <f>IFERROR(AVERAGEIF(Table50[[#This Row],[OPENING COST PRICE]:[CLOSING COST PRICE]],"&gt;0"),0)</f>
        <v>61.694371112754169</v>
      </c>
      <c r="R395" s="15">
        <f>IFERROR(Table50[[#This Row],[COST PRICE]]-IFERROR(Table50[[#This Row],[Usage]]/Table50[[#This Row],[UsageQty]],Table50[[#This Row],[COST PRICE]]),0)</f>
        <v>-3.6272787710568366</v>
      </c>
      <c r="S395" s="16">
        <f>IFERROR(Table50[[#This Row],[COST PRICE CHANGE]]/Table50[[#This Row],[OPENING COST PRICE]],0)</f>
        <v>-4.7777606540393029E-2</v>
      </c>
      <c r="T395" s="15">
        <f>Table50[[#This Row],[ClosingQty]]-(Table50[[#This Row],[USAGE / DAY]]*(IF(Table50[[#This Row],[ccnt]]="BEV",Table50[[#This Row],[DELIVERY DAY]],Table50[[#This Row],[DELIVERY DAY]])))</f>
        <v>-11</v>
      </c>
      <c r="U395" s="15">
        <f>ROUNDUP(Table50[[#This Row],[UsageQty]]/Table50[[#This Row],[DATA POINT]],2)</f>
        <v>3.69</v>
      </c>
      <c r="V39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46</v>
      </c>
      <c r="W395" s="15">
        <f>IFERROR(Table50[[#This Row],[ORDER QTY]]*Table50[[#This Row],[COST PRICE]],0)</f>
        <v>2837.9410711866917</v>
      </c>
      <c r="X395" s="15">
        <f>IFERROR(VLOOKUP(C395,[1]!Table49[[#All],[name]:[USAGE / DAY]],19,FALSE),1)</f>
        <v>2.92</v>
      </c>
      <c r="Y395" s="4">
        <f>IFERROR((Table50[[#This Row],[USAGE / DAY]]-Table50[[#This Row],[USAGE / DAY 2]])/Table50[[#This Row],[USAGE / DAY 2]],0)</f>
        <v>0.2636986301369863</v>
      </c>
      <c r="Z395" s="15">
        <f t="shared" si="18"/>
        <v>14</v>
      </c>
      <c r="AA395" s="15">
        <f t="shared" si="19"/>
        <v>9.311854181734148</v>
      </c>
      <c r="AB395" s="15">
        <f>IFERROR(IF(Table50[[#This Row],[ccnt]]="BEV",$AB$2,IF(Table50[[#This Row],[ccnt]]="FOOD",$AC$2,"ENTER # FROM LAST COUNT")),"ENTER # FROM LAST COUNT")</f>
        <v>5</v>
      </c>
      <c r="AC395" s="15">
        <f>(Table50[[#This Row],[OpeningQty]]+Table50[[#This Row],[ClosingQty]])/2</f>
        <v>13.67</v>
      </c>
      <c r="AD395" s="15">
        <f>IFERROR(Table50[[#This Row],[UsageQty]]/Table50[[#This Row],[AVE INVENTORY]],0)</f>
        <v>3.7776152158010241</v>
      </c>
      <c r="AE395" s="15">
        <f>IFERROR(Table50[[#This Row],[DATA POINT]]/Table50[[#This Row],[Inventory Turnover Rate]],0)</f>
        <v>3.7060418280402789</v>
      </c>
      <c r="AF395" s="15">
        <f>Table50[[#This Row],[ClosingQty]]/Table50[[#This Row],[USAGE / DAY]]</f>
        <v>2.0189701897018972</v>
      </c>
      <c r="AG395" s="15">
        <f>Table50[[#This Row],[USAGE / DAY]]*7</f>
        <v>25.83</v>
      </c>
      <c r="AH395" s="15">
        <f>Table50[[#This Row],[USAGE / DAY]]*3</f>
        <v>11.07</v>
      </c>
      <c r="AI395" s="15">
        <f>IF(Table50[[#This Row],[FORECASTED DEMAND]]+Table50[[#This Row],[SAFETY STOCK]]-Table50[[#This Row],[ClosingQty]]&gt;0,Table50[[#This Row],[FORECASTED DEMAND]]+Table50[[#This Row],[SAFETY STOCK]]-Table50[[#This Row],[ClosingQty]],"NO ORDER")</f>
        <v>29.45</v>
      </c>
      <c r="AJ395" s="15">
        <f>IFERROR(Table50[[#This Row],[ORDER QTY2]]*Table50[[#This Row],[COST PRICE]],0)</f>
        <v>1816.8992292706102</v>
      </c>
      <c r="AK395" s="15">
        <f>(Table50[[#This Row],[REORDER POINT]]*Table50[[#This Row],[COST PRICE]])+Table50[[#This Row],[ORDER COST]]</f>
        <v>2159.302988946396</v>
      </c>
      <c r="AL395" s="15">
        <f t="shared" si="20"/>
        <v>100</v>
      </c>
      <c r="AM395" s="15">
        <f>IFERROR((Table50[[#This Row],[REORDER POINT]]+Table50[[#This Row],[ORDER QTY]])/(Table50[[#This Row],[USAGE / DAY]]*Table50[[#This Row],[DEMAND %]]),Table50[[#This Row],[REORDER POINT]]/Table50[[#This Row],[USAGE / DAY]])</f>
        <v>9.4850948509485097E-2</v>
      </c>
    </row>
    <row r="396" spans="1:39" x14ac:dyDescent="0.25">
      <c r="A396" t="s">
        <v>324</v>
      </c>
      <c r="B396" t="s">
        <v>510</v>
      </c>
      <c r="C396" t="s">
        <v>512</v>
      </c>
      <c r="D396" t="s">
        <v>126</v>
      </c>
      <c r="E396">
        <v>0.6</v>
      </c>
      <c r="F396">
        <v>30.65</v>
      </c>
      <c r="G396">
        <v>14.55</v>
      </c>
      <c r="H396">
        <v>770.71</v>
      </c>
      <c r="I396">
        <v>0.67</v>
      </c>
      <c r="J396">
        <v>28.46</v>
      </c>
      <c r="K396">
        <f>Table50[[#This Row],[OpeningQty]]+Table50[[#This Row],[PurchasesQty]]-Table50[[#This Row],[ClosingQty]]</f>
        <v>14.48</v>
      </c>
      <c r="L396">
        <v>772.9</v>
      </c>
      <c r="M396" s="14">
        <f>Table50[[#This Row],[Usage]]/$L$1</f>
        <v>1.1738800525140079E-3</v>
      </c>
      <c r="N396" s="15">
        <f>IFERROR(Table50[[#This Row],[Opening]]/Table50[[#This Row],[OpeningQty]],0)</f>
        <v>51.083333333333336</v>
      </c>
      <c r="O396" s="15">
        <f>IFERROR(Table50[[#This Row],[Purchases]]/Table50[[#This Row],[PurchasesQty]],0)</f>
        <v>52.969759450171821</v>
      </c>
      <c r="P396" s="15">
        <f>IFERROR(Table50[[#This Row],[Closing]]/Table50[[#This Row],[ClosingQty]],0)</f>
        <v>42.477611940298509</v>
      </c>
      <c r="Q396" s="15">
        <f>IFERROR(AVERAGEIF(Table50[[#This Row],[OPENING COST PRICE]:[CLOSING COST PRICE]],"&gt;0"),0)</f>
        <v>48.843568241267889</v>
      </c>
      <c r="R396" s="15">
        <f>IFERROR(Table50[[#This Row],[COST PRICE]]-IFERROR(Table50[[#This Row],[Usage]]/Table50[[#This Row],[UsageQty]],Table50[[#This Row],[COST PRICE]]),0)</f>
        <v>-4.5335035819365288</v>
      </c>
      <c r="S396" s="16">
        <f>IFERROR(Table50[[#This Row],[COST PRICE CHANGE]]/Table50[[#This Row],[OPENING COST PRICE]],0)</f>
        <v>-8.8747215307077229E-2</v>
      </c>
      <c r="T396" s="15">
        <f>Table50[[#This Row],[ClosingQty]]-(Table50[[#This Row],[USAGE / DAY]]*(IF(Table50[[#This Row],[ccnt]]="BEV",Table50[[#This Row],[DELIVERY DAY]],Table50[[#This Row],[DELIVERY DAY]])))</f>
        <v>-4.53</v>
      </c>
      <c r="U396" s="15">
        <f>ROUNDUP(Table50[[#This Row],[UsageQty]]/Table50[[#This Row],[DATA POINT]],2)</f>
        <v>1.04</v>
      </c>
      <c r="V39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15</v>
      </c>
      <c r="W396" s="15">
        <f>IFERROR(Table50[[#This Row],[ORDER QTY]]*Table50[[#This Row],[COST PRICE]],0)</f>
        <v>732.6535236190183</v>
      </c>
      <c r="X396" s="15">
        <f>IFERROR(VLOOKUP(C396,[1]!Table49[[#All],[name]:[USAGE / DAY]],19,FALSE),1)</f>
        <v>1.2</v>
      </c>
      <c r="Y396" s="4">
        <f>IFERROR((Table50[[#This Row],[USAGE / DAY]]-Table50[[#This Row],[USAGE / DAY 2]])/Table50[[#This Row],[USAGE / DAY 2]],0)</f>
        <v>-0.13333333333333328</v>
      </c>
      <c r="Z396" s="15">
        <f t="shared" si="18"/>
        <v>14</v>
      </c>
      <c r="AA396" s="15">
        <f t="shared" si="19"/>
        <v>9.311854181734148</v>
      </c>
      <c r="AB396" s="15">
        <f>IFERROR(IF(Table50[[#This Row],[ccnt]]="BEV",$AB$2,IF(Table50[[#This Row],[ccnt]]="FOOD",$AC$2,"ENTER # FROM LAST COUNT")),"ENTER # FROM LAST COUNT")</f>
        <v>5</v>
      </c>
      <c r="AC396" s="15">
        <f>(Table50[[#This Row],[OpeningQty]]+Table50[[#This Row],[ClosingQty]])/2</f>
        <v>0.63500000000000001</v>
      </c>
      <c r="AD396" s="15">
        <f>IFERROR(Table50[[#This Row],[UsageQty]]/Table50[[#This Row],[AVE INVENTORY]],0)</f>
        <v>22.803149606299215</v>
      </c>
      <c r="AE396" s="15">
        <f>IFERROR(Table50[[#This Row],[DATA POINT]]/Table50[[#This Row],[Inventory Turnover Rate]],0)</f>
        <v>0.61395027624309384</v>
      </c>
      <c r="AF396" s="15">
        <f>Table50[[#This Row],[ClosingQty]]/Table50[[#This Row],[USAGE / DAY]]</f>
        <v>0.64423076923076927</v>
      </c>
      <c r="AG396" s="15">
        <f>Table50[[#This Row],[USAGE / DAY]]*7</f>
        <v>7.28</v>
      </c>
      <c r="AH396" s="15">
        <f>Table50[[#This Row],[USAGE / DAY]]*3</f>
        <v>3.12</v>
      </c>
      <c r="AI396" s="15">
        <f>IF(Table50[[#This Row],[FORECASTED DEMAND]]+Table50[[#This Row],[SAFETY STOCK]]-Table50[[#This Row],[ClosingQty]]&gt;0,Table50[[#This Row],[FORECASTED DEMAND]]+Table50[[#This Row],[SAFETY STOCK]]-Table50[[#This Row],[ClosingQty]],"NO ORDER")</f>
        <v>9.73</v>
      </c>
      <c r="AJ396" s="15">
        <f>IFERROR(Table50[[#This Row],[ORDER QTY2]]*Table50[[#This Row],[COST PRICE]],0)</f>
        <v>475.24791898753659</v>
      </c>
      <c r="AK396" s="15">
        <f>(Table50[[#This Row],[REORDER POINT]]*Table50[[#This Row],[COST PRICE]])+Table50[[#This Row],[ORDER COST]]</f>
        <v>511.39215948607477</v>
      </c>
      <c r="AL396" s="15">
        <f t="shared" si="20"/>
        <v>100</v>
      </c>
      <c r="AM396" s="15">
        <f>IFERROR((Table50[[#This Row],[REORDER POINT]]+Table50[[#This Row],[ORDER QTY]])/(Table50[[#This Row],[USAGE / DAY]]*Table50[[#This Row],[DEMAND %]]),Table50[[#This Row],[REORDER POINT]]/Table50[[#This Row],[USAGE / DAY]])</f>
        <v>0.10067307692307691</v>
      </c>
    </row>
    <row r="397" spans="1:39" x14ac:dyDescent="0.25">
      <c r="A397" t="s">
        <v>324</v>
      </c>
      <c r="B397" t="s">
        <v>510</v>
      </c>
      <c r="C397" t="s">
        <v>513</v>
      </c>
      <c r="D397" t="s">
        <v>126</v>
      </c>
      <c r="E397">
        <v>3.1</v>
      </c>
      <c r="F397">
        <v>58.59</v>
      </c>
      <c r="G397">
        <v>5</v>
      </c>
      <c r="H397">
        <v>94.5</v>
      </c>
      <c r="I397">
        <v>2.1</v>
      </c>
      <c r="J397">
        <v>39.69</v>
      </c>
      <c r="K397">
        <f>Table50[[#This Row],[OpeningQty]]+Table50[[#This Row],[PurchasesQty]]-Table50[[#This Row],[ClosingQty]]</f>
        <v>6</v>
      </c>
      <c r="L397">
        <v>113.4</v>
      </c>
      <c r="M397" s="14">
        <f>Table50[[#This Row],[Usage]]/$L$1</f>
        <v>1.7223185141038749E-4</v>
      </c>
      <c r="N397" s="15">
        <f>IFERROR(Table50[[#This Row],[Opening]]/Table50[[#This Row],[OpeningQty]],0)</f>
        <v>18.900000000000002</v>
      </c>
      <c r="O397" s="15">
        <f>IFERROR(Table50[[#This Row],[Purchases]]/Table50[[#This Row],[PurchasesQty]],0)</f>
        <v>18.899999999999999</v>
      </c>
      <c r="P397" s="15">
        <f>IFERROR(Table50[[#This Row],[Closing]]/Table50[[#This Row],[ClosingQty]],0)</f>
        <v>18.899999999999999</v>
      </c>
      <c r="Q397" s="15">
        <f>IFERROR(AVERAGEIF(Table50[[#This Row],[OPENING COST PRICE]:[CLOSING COST PRICE]],"&gt;0"),0)</f>
        <v>18.899999999999999</v>
      </c>
      <c r="R397" s="15">
        <f>IFERROR(Table50[[#This Row],[COST PRICE]]-IFERROR(Table50[[#This Row],[Usage]]/Table50[[#This Row],[UsageQty]],Table50[[#This Row],[COST PRICE]]),0)</f>
        <v>-3.5527136788005009E-15</v>
      </c>
      <c r="S397" s="16">
        <f>IFERROR(Table50[[#This Row],[COST PRICE CHANGE]]/Table50[[#This Row],[OPENING COST PRICE]],0)</f>
        <v>-1.8797426871960321E-16</v>
      </c>
      <c r="T397" s="15">
        <f>Table50[[#This Row],[ClosingQty]]-(Table50[[#This Row],[USAGE / DAY]]*(IF(Table50[[#This Row],[ccnt]]="BEV",Table50[[#This Row],[DELIVERY DAY]],Table50[[#This Row],[DELIVERY DAY]])))</f>
        <v>-4.9999999999999822E-2</v>
      </c>
      <c r="U397" s="15">
        <f>ROUNDUP(Table50[[#This Row],[UsageQty]]/Table50[[#This Row],[DATA POINT]],2)</f>
        <v>0.43</v>
      </c>
      <c r="V39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5</v>
      </c>
      <c r="W397" s="15">
        <f>IFERROR(Table50[[#This Row],[ORDER QTY]]*Table50[[#This Row],[COST PRICE]],0)</f>
        <v>94.5</v>
      </c>
      <c r="X397" s="15">
        <f>IFERROR(VLOOKUP(C397,[1]!Table49[[#All],[name]:[USAGE / DAY]],19,FALSE),1)</f>
        <v>0.5</v>
      </c>
      <c r="Y397" s="4">
        <f>IFERROR((Table50[[#This Row],[USAGE / DAY]]-Table50[[#This Row],[USAGE / DAY 2]])/Table50[[#This Row],[USAGE / DAY 2]],0)</f>
        <v>-0.14000000000000001</v>
      </c>
      <c r="Z397" s="15">
        <f t="shared" si="18"/>
        <v>14</v>
      </c>
      <c r="AA397" s="15">
        <f t="shared" si="19"/>
        <v>9.311854181734148</v>
      </c>
      <c r="AB397" s="15">
        <f>IFERROR(IF(Table50[[#This Row],[ccnt]]="BEV",$AB$2,IF(Table50[[#This Row],[ccnt]]="FOOD",$AC$2,"ENTER # FROM LAST COUNT")),"ENTER # FROM LAST COUNT")</f>
        <v>5</v>
      </c>
      <c r="AC397" s="15">
        <f>(Table50[[#This Row],[OpeningQty]]+Table50[[#This Row],[ClosingQty]])/2</f>
        <v>2.6</v>
      </c>
      <c r="AD397" s="15">
        <f>IFERROR(Table50[[#This Row],[UsageQty]]/Table50[[#This Row],[AVE INVENTORY]],0)</f>
        <v>2.3076923076923075</v>
      </c>
      <c r="AE397" s="15">
        <f>IFERROR(Table50[[#This Row],[DATA POINT]]/Table50[[#This Row],[Inventory Turnover Rate]],0)</f>
        <v>6.0666666666666673</v>
      </c>
      <c r="AF397" s="15">
        <f>Table50[[#This Row],[ClosingQty]]/Table50[[#This Row],[USAGE / DAY]]</f>
        <v>4.8837209302325588</v>
      </c>
      <c r="AG397" s="15">
        <f>Table50[[#This Row],[USAGE / DAY]]*7</f>
        <v>3.01</v>
      </c>
      <c r="AH397" s="15">
        <f>Table50[[#This Row],[USAGE / DAY]]*3</f>
        <v>1.29</v>
      </c>
      <c r="AI397" s="15">
        <f>IF(Table50[[#This Row],[FORECASTED DEMAND]]+Table50[[#This Row],[SAFETY STOCK]]-Table50[[#This Row],[ClosingQty]]&gt;0,Table50[[#This Row],[FORECASTED DEMAND]]+Table50[[#This Row],[SAFETY STOCK]]-Table50[[#This Row],[ClosingQty]],"NO ORDER")</f>
        <v>2.1999999999999997</v>
      </c>
      <c r="AJ397" s="15">
        <f>IFERROR(Table50[[#This Row],[ORDER QTY2]]*Table50[[#This Row],[COST PRICE]],0)</f>
        <v>41.579999999999991</v>
      </c>
      <c r="AK397" s="15">
        <f>(Table50[[#This Row],[REORDER POINT]]*Table50[[#This Row],[COST PRICE]])+Table50[[#This Row],[ORDER COST]]</f>
        <v>93.555000000000007</v>
      </c>
      <c r="AL397" s="15">
        <f t="shared" si="20"/>
        <v>100</v>
      </c>
      <c r="AM397" s="15">
        <f>IFERROR((Table50[[#This Row],[REORDER POINT]]+Table50[[#This Row],[ORDER QTY]])/(Table50[[#This Row],[USAGE / DAY]]*Table50[[#This Row],[DEMAND %]]),Table50[[#This Row],[REORDER POINT]]/Table50[[#This Row],[USAGE / DAY]])</f>
        <v>0.11511627906976744</v>
      </c>
    </row>
    <row r="398" spans="1:39" x14ac:dyDescent="0.25">
      <c r="A398" t="s">
        <v>324</v>
      </c>
      <c r="B398" t="s">
        <v>510</v>
      </c>
      <c r="C398" t="s">
        <v>514</v>
      </c>
      <c r="D398" t="s">
        <v>126</v>
      </c>
      <c r="E398">
        <v>0</v>
      </c>
      <c r="F398">
        <v>0</v>
      </c>
      <c r="G398">
        <v>5</v>
      </c>
      <c r="H398">
        <v>94.5</v>
      </c>
      <c r="I398">
        <v>0</v>
      </c>
      <c r="J398">
        <v>0</v>
      </c>
      <c r="K398">
        <f>Table50[[#This Row],[OpeningQty]]+Table50[[#This Row],[PurchasesQty]]-Table50[[#This Row],[ClosingQty]]</f>
        <v>5</v>
      </c>
      <c r="L398">
        <v>94.5</v>
      </c>
      <c r="M398" s="14">
        <f>Table50[[#This Row],[Usage]]/$L$1</f>
        <v>1.4352654284198956E-4</v>
      </c>
      <c r="N398" s="15">
        <f>IFERROR(Table50[[#This Row],[Opening]]/Table50[[#This Row],[OpeningQty]],0)</f>
        <v>0</v>
      </c>
      <c r="O398" s="15">
        <f>IFERROR(Table50[[#This Row],[Purchases]]/Table50[[#This Row],[PurchasesQty]],0)</f>
        <v>18.899999999999999</v>
      </c>
      <c r="P398" s="15">
        <f>IFERROR(Table50[[#This Row],[Closing]]/Table50[[#This Row],[ClosingQty]],0)</f>
        <v>0</v>
      </c>
      <c r="Q398" s="15">
        <f>IFERROR(AVERAGEIF(Table50[[#This Row],[OPENING COST PRICE]:[CLOSING COST PRICE]],"&gt;0"),0)</f>
        <v>18.899999999999999</v>
      </c>
      <c r="R398" s="15">
        <f>IFERROR(Table50[[#This Row],[COST PRICE]]-IFERROR(Table50[[#This Row],[Usage]]/Table50[[#This Row],[UsageQty]],Table50[[#This Row],[COST PRICE]]),0)</f>
        <v>0</v>
      </c>
      <c r="S398" s="16">
        <f>IFERROR(Table50[[#This Row],[COST PRICE CHANGE]]/Table50[[#This Row],[OPENING COST PRICE]],0)</f>
        <v>0</v>
      </c>
      <c r="T398" s="15">
        <f>Table50[[#This Row],[ClosingQty]]-(Table50[[#This Row],[USAGE / DAY]]*(IF(Table50[[#This Row],[ccnt]]="BEV",Table50[[#This Row],[DELIVERY DAY]],Table50[[#This Row],[DELIVERY DAY]])))</f>
        <v>-1.7999999999999998</v>
      </c>
      <c r="U398" s="15">
        <f>ROUNDUP(Table50[[#This Row],[UsageQty]]/Table50[[#This Row],[DATA POINT]],2)</f>
        <v>0.36</v>
      </c>
      <c r="V39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6</v>
      </c>
      <c r="W398" s="15">
        <f>IFERROR(Table50[[#This Row],[ORDER QTY]]*Table50[[#This Row],[COST PRICE]],0)</f>
        <v>113.39999999999999</v>
      </c>
      <c r="X398" s="15">
        <f>IFERROR(VLOOKUP(C398,[1]!Table49[[#All],[name]:[USAGE / DAY]],19,FALSE),1)</f>
        <v>0.34</v>
      </c>
      <c r="Y398" s="4">
        <f>IFERROR((Table50[[#This Row],[USAGE / DAY]]-Table50[[#This Row],[USAGE / DAY 2]])/Table50[[#This Row],[USAGE / DAY 2]],0)</f>
        <v>5.8823529411764594E-2</v>
      </c>
      <c r="Z398" s="15">
        <f t="shared" si="18"/>
        <v>14</v>
      </c>
      <c r="AA398" s="15">
        <f t="shared" si="19"/>
        <v>9.311854181734148</v>
      </c>
      <c r="AB398" s="15">
        <f>IFERROR(IF(Table50[[#This Row],[ccnt]]="BEV",$AB$2,IF(Table50[[#This Row],[ccnt]]="FOOD",$AC$2,"ENTER # FROM LAST COUNT")),"ENTER # FROM LAST COUNT")</f>
        <v>5</v>
      </c>
      <c r="AC398" s="15">
        <f>(Table50[[#This Row],[OpeningQty]]+Table50[[#This Row],[ClosingQty]])/2</f>
        <v>0</v>
      </c>
      <c r="AD398" s="15">
        <f>IFERROR(Table50[[#This Row],[UsageQty]]/Table50[[#This Row],[AVE INVENTORY]],0)</f>
        <v>0</v>
      </c>
      <c r="AE398" s="15">
        <f>IFERROR(Table50[[#This Row],[DATA POINT]]/Table50[[#This Row],[Inventory Turnover Rate]],0)</f>
        <v>0</v>
      </c>
      <c r="AF398" s="15">
        <f>Table50[[#This Row],[ClosingQty]]/Table50[[#This Row],[USAGE / DAY]]</f>
        <v>0</v>
      </c>
      <c r="AG398" s="15">
        <f>Table50[[#This Row],[USAGE / DAY]]*7</f>
        <v>2.52</v>
      </c>
      <c r="AH398" s="15">
        <f>Table50[[#This Row],[USAGE / DAY]]*3</f>
        <v>1.08</v>
      </c>
      <c r="AI398" s="15">
        <f>IF(Table50[[#This Row],[FORECASTED DEMAND]]+Table50[[#This Row],[SAFETY STOCK]]-Table50[[#This Row],[ClosingQty]]&gt;0,Table50[[#This Row],[FORECASTED DEMAND]]+Table50[[#This Row],[SAFETY STOCK]]-Table50[[#This Row],[ClosingQty]],"NO ORDER")</f>
        <v>3.6</v>
      </c>
      <c r="AJ398" s="15">
        <f>IFERROR(Table50[[#This Row],[ORDER QTY2]]*Table50[[#This Row],[COST PRICE]],0)</f>
        <v>68.039999999999992</v>
      </c>
      <c r="AK398" s="15">
        <f>(Table50[[#This Row],[REORDER POINT]]*Table50[[#This Row],[COST PRICE]])+Table50[[#This Row],[ORDER COST]]</f>
        <v>79.38</v>
      </c>
      <c r="AL398" s="15">
        <f t="shared" si="20"/>
        <v>100</v>
      </c>
      <c r="AM398" s="15">
        <f>IFERROR((Table50[[#This Row],[REORDER POINT]]+Table50[[#This Row],[ORDER QTY]])/(Table50[[#This Row],[USAGE / DAY]]*Table50[[#This Row],[DEMAND %]]),Table50[[#This Row],[REORDER POINT]]/Table50[[#This Row],[USAGE / DAY]])</f>
        <v>0.11666666666666667</v>
      </c>
    </row>
    <row r="399" spans="1:39" x14ac:dyDescent="0.25">
      <c r="A399" t="s">
        <v>324</v>
      </c>
      <c r="B399" t="s">
        <v>510</v>
      </c>
      <c r="C399" t="s">
        <v>515</v>
      </c>
      <c r="D399" t="s">
        <v>126</v>
      </c>
      <c r="E399">
        <v>1.56</v>
      </c>
      <c r="F399">
        <v>17.63</v>
      </c>
      <c r="G399">
        <v>10</v>
      </c>
      <c r="H399">
        <v>137.80000000000001</v>
      </c>
      <c r="I399">
        <v>2.5</v>
      </c>
      <c r="J399">
        <v>36.450000000000003</v>
      </c>
      <c r="K399">
        <f>Table50[[#This Row],[OpeningQty]]+Table50[[#This Row],[PurchasesQty]]-Table50[[#This Row],[ClosingQty]]</f>
        <v>9.06</v>
      </c>
      <c r="L399">
        <v>118.98</v>
      </c>
      <c r="M399" s="14">
        <f>Table50[[#This Row],[Usage]]/$L$1</f>
        <v>1.8070675203534306E-4</v>
      </c>
      <c r="N399" s="15">
        <f>IFERROR(Table50[[#This Row],[Opening]]/Table50[[#This Row],[OpeningQty]],0)</f>
        <v>11.301282051282051</v>
      </c>
      <c r="O399" s="15">
        <f>IFERROR(Table50[[#This Row],[Purchases]]/Table50[[#This Row],[PurchasesQty]],0)</f>
        <v>13.780000000000001</v>
      </c>
      <c r="P399" s="15">
        <f>IFERROR(Table50[[#This Row],[Closing]]/Table50[[#This Row],[ClosingQty]],0)</f>
        <v>14.580000000000002</v>
      </c>
      <c r="Q399" s="15">
        <f>IFERROR(AVERAGEIF(Table50[[#This Row],[OPENING COST PRICE]:[CLOSING COST PRICE]],"&gt;0"),0)</f>
        <v>13.220427350427352</v>
      </c>
      <c r="R399" s="15">
        <f>IFERROR(Table50[[#This Row],[COST PRICE]]-IFERROR(Table50[[#This Row],[Usage]]/Table50[[#This Row],[UsageQty]],Table50[[#This Row],[COST PRICE]]),0)</f>
        <v>8.7977019301524351E-2</v>
      </c>
      <c r="S399" s="16">
        <f>IFERROR(Table50[[#This Row],[COST PRICE CHANGE]]/Table50[[#This Row],[OPENING COST PRICE]],0)</f>
        <v>7.7846937101745881E-3</v>
      </c>
      <c r="T399" s="15">
        <f>Table50[[#This Row],[ClosingQty]]-(Table50[[#This Row],[USAGE / DAY]]*(IF(Table50[[#This Row],[ccnt]]="BEV",Table50[[#This Row],[DELIVERY DAY]],Table50[[#This Row],[DELIVERY DAY]])))</f>
        <v>-0.75</v>
      </c>
      <c r="U399" s="15">
        <f>ROUNDUP(Table50[[#This Row],[UsageQty]]/Table50[[#This Row],[DATA POINT]],2)</f>
        <v>0.65</v>
      </c>
      <c r="V39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7</v>
      </c>
      <c r="W399" s="15">
        <f>IFERROR(Table50[[#This Row],[ORDER QTY]]*Table50[[#This Row],[COST PRICE]],0)</f>
        <v>92.542991452991458</v>
      </c>
      <c r="X399" s="15">
        <f>IFERROR(VLOOKUP(C399,[1]!Table49[[#All],[name]:[USAGE / DAY]],19,FALSE),1)</f>
        <v>0.54</v>
      </c>
      <c r="Y399" s="4">
        <f>IFERROR((Table50[[#This Row],[USAGE / DAY]]-Table50[[#This Row],[USAGE / DAY 2]])/Table50[[#This Row],[USAGE / DAY 2]],0)</f>
        <v>0.20370370370370366</v>
      </c>
      <c r="Z399" s="15">
        <f t="shared" si="18"/>
        <v>14</v>
      </c>
      <c r="AA399" s="15">
        <f t="shared" si="19"/>
        <v>9.311854181734148</v>
      </c>
      <c r="AB399" s="15">
        <f>IFERROR(IF(Table50[[#This Row],[ccnt]]="BEV",$AB$2,IF(Table50[[#This Row],[ccnt]]="FOOD",$AC$2,"ENTER # FROM LAST COUNT")),"ENTER # FROM LAST COUNT")</f>
        <v>5</v>
      </c>
      <c r="AC399" s="15">
        <f>(Table50[[#This Row],[OpeningQty]]+Table50[[#This Row],[ClosingQty]])/2</f>
        <v>2.0300000000000002</v>
      </c>
      <c r="AD399" s="15">
        <f>IFERROR(Table50[[#This Row],[UsageQty]]/Table50[[#This Row],[AVE INVENTORY]],0)</f>
        <v>4.4630541871921183</v>
      </c>
      <c r="AE399" s="15">
        <f>IFERROR(Table50[[#This Row],[DATA POINT]]/Table50[[#This Row],[Inventory Turnover Rate]],0)</f>
        <v>3.1368653421633552</v>
      </c>
      <c r="AF399" s="15">
        <f>Table50[[#This Row],[ClosingQty]]/Table50[[#This Row],[USAGE / DAY]]</f>
        <v>3.8461538461538458</v>
      </c>
      <c r="AG399" s="15">
        <f>Table50[[#This Row],[USAGE / DAY]]*7</f>
        <v>4.55</v>
      </c>
      <c r="AH399" s="15">
        <f>Table50[[#This Row],[USAGE / DAY]]*3</f>
        <v>1.9500000000000002</v>
      </c>
      <c r="AI399" s="15">
        <f>IF(Table50[[#This Row],[FORECASTED DEMAND]]+Table50[[#This Row],[SAFETY STOCK]]-Table50[[#This Row],[ClosingQty]]&gt;0,Table50[[#This Row],[FORECASTED DEMAND]]+Table50[[#This Row],[SAFETY STOCK]]-Table50[[#This Row],[ClosingQty]],"NO ORDER")</f>
        <v>4</v>
      </c>
      <c r="AJ399" s="15">
        <f>IFERROR(Table50[[#This Row],[ORDER QTY2]]*Table50[[#This Row],[COST PRICE]],0)</f>
        <v>52.881709401709408</v>
      </c>
      <c r="AK399" s="15">
        <f>(Table50[[#This Row],[REORDER POINT]]*Table50[[#This Row],[COST PRICE]])+Table50[[#This Row],[ORDER COST]]</f>
        <v>82.627670940170944</v>
      </c>
      <c r="AL399" s="15">
        <f t="shared" si="20"/>
        <v>100</v>
      </c>
      <c r="AM399" s="15">
        <f>IFERROR((Table50[[#This Row],[REORDER POINT]]+Table50[[#This Row],[ORDER QTY]])/(Table50[[#This Row],[USAGE / DAY]]*Table50[[#This Row],[DEMAND %]]),Table50[[#This Row],[REORDER POINT]]/Table50[[#This Row],[USAGE / DAY]])</f>
        <v>9.6153846153846159E-2</v>
      </c>
    </row>
    <row r="400" spans="1:39" x14ac:dyDescent="0.25">
      <c r="A400" t="s">
        <v>324</v>
      </c>
      <c r="B400" t="s">
        <v>510</v>
      </c>
      <c r="C400" t="s">
        <v>516</v>
      </c>
      <c r="D400" t="s">
        <v>126</v>
      </c>
      <c r="E400">
        <v>7.6</v>
      </c>
      <c r="F400">
        <v>325.36</v>
      </c>
      <c r="G400">
        <v>19.63</v>
      </c>
      <c r="H400">
        <v>919.1</v>
      </c>
      <c r="I400">
        <v>0</v>
      </c>
      <c r="J400">
        <v>0</v>
      </c>
      <c r="K400">
        <f>Table50[[#This Row],[OpeningQty]]+Table50[[#This Row],[PurchasesQty]]-Table50[[#This Row],[ClosingQty]]</f>
        <v>27.229999999999997</v>
      </c>
      <c r="L400">
        <v>1244.46</v>
      </c>
      <c r="M400" s="14">
        <f>Table50[[#This Row],[Usage]]/$L$1</f>
        <v>1.8900850952925116E-3</v>
      </c>
      <c r="N400" s="15">
        <f>IFERROR(Table50[[#This Row],[Opening]]/Table50[[#This Row],[OpeningQty]],0)</f>
        <v>42.810526315789474</v>
      </c>
      <c r="O400" s="15">
        <f>IFERROR(Table50[[#This Row],[Purchases]]/Table50[[#This Row],[PurchasesQty]],0)</f>
        <v>46.821192052980138</v>
      </c>
      <c r="P400" s="15">
        <f>IFERROR(Table50[[#This Row],[Closing]]/Table50[[#This Row],[ClosingQty]],0)</f>
        <v>0</v>
      </c>
      <c r="Q400" s="15">
        <f>IFERROR(AVERAGEIF(Table50[[#This Row],[OPENING COST PRICE]:[CLOSING COST PRICE]],"&gt;0"),0)</f>
        <v>44.815859184384806</v>
      </c>
      <c r="R400" s="15">
        <f>IFERROR(Table50[[#This Row],[COST PRICE]]-IFERROR(Table50[[#This Row],[Usage]]/Table50[[#This Row],[UsageQty]],Table50[[#This Row],[COST PRICE]]),0)</f>
        <v>-0.88594030147638136</v>
      </c>
      <c r="S400" s="16">
        <f>IFERROR(Table50[[#This Row],[COST PRICE CHANGE]]/Table50[[#This Row],[OPENING COST PRICE]],0)</f>
        <v>-2.0694450120544931E-2</v>
      </c>
      <c r="T400" s="15">
        <f>Table50[[#This Row],[ClosingQty]]-(Table50[[#This Row],[USAGE / DAY]]*(IF(Table50[[#This Row],[ccnt]]="BEV",Table50[[#This Row],[DELIVERY DAY]],Table50[[#This Row],[DELIVERY DAY]])))</f>
        <v>-9.75</v>
      </c>
      <c r="U400" s="15">
        <f>ROUNDUP(Table50[[#This Row],[UsageQty]]/Table50[[#This Row],[DATA POINT]],2)</f>
        <v>1.95</v>
      </c>
      <c r="V40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28</v>
      </c>
      <c r="W400" s="15">
        <f>IFERROR(Table50[[#This Row],[ORDER QTY]]*Table50[[#This Row],[COST PRICE]],0)</f>
        <v>1254.8440571627746</v>
      </c>
      <c r="X400" s="15">
        <f>IFERROR(VLOOKUP(C400,[1]!Table49[[#All],[name]:[USAGE / DAY]],19,FALSE),1)</f>
        <v>2.46</v>
      </c>
      <c r="Y400" s="4">
        <f>IFERROR((Table50[[#This Row],[USAGE / DAY]]-Table50[[#This Row],[USAGE / DAY 2]])/Table50[[#This Row],[USAGE / DAY 2]],0)</f>
        <v>-0.20731707317073172</v>
      </c>
      <c r="Z400" s="15">
        <f t="shared" si="18"/>
        <v>14</v>
      </c>
      <c r="AA400" s="15">
        <f t="shared" si="19"/>
        <v>9.311854181734148</v>
      </c>
      <c r="AB400" s="15">
        <f>IFERROR(IF(Table50[[#This Row],[ccnt]]="BEV",$AB$2,IF(Table50[[#This Row],[ccnt]]="FOOD",$AC$2,"ENTER # FROM LAST COUNT")),"ENTER # FROM LAST COUNT")</f>
        <v>5</v>
      </c>
      <c r="AC400" s="15">
        <f>(Table50[[#This Row],[OpeningQty]]+Table50[[#This Row],[ClosingQty]])/2</f>
        <v>3.8</v>
      </c>
      <c r="AD400" s="15">
        <f>IFERROR(Table50[[#This Row],[UsageQty]]/Table50[[#This Row],[AVE INVENTORY]],0)</f>
        <v>7.1657894736842103</v>
      </c>
      <c r="AE400" s="15">
        <f>IFERROR(Table50[[#This Row],[DATA POINT]]/Table50[[#This Row],[Inventory Turnover Rate]],0)</f>
        <v>1.9537275064267352</v>
      </c>
      <c r="AF400" s="15">
        <f>Table50[[#This Row],[ClosingQty]]/Table50[[#This Row],[USAGE / DAY]]</f>
        <v>0</v>
      </c>
      <c r="AG400" s="15">
        <f>Table50[[#This Row],[USAGE / DAY]]*7</f>
        <v>13.65</v>
      </c>
      <c r="AH400" s="15">
        <f>Table50[[#This Row],[USAGE / DAY]]*3</f>
        <v>5.85</v>
      </c>
      <c r="AI400" s="15">
        <f>IF(Table50[[#This Row],[FORECASTED DEMAND]]+Table50[[#This Row],[SAFETY STOCK]]-Table50[[#This Row],[ClosingQty]]&gt;0,Table50[[#This Row],[FORECASTED DEMAND]]+Table50[[#This Row],[SAFETY STOCK]]-Table50[[#This Row],[ClosingQty]],"NO ORDER")</f>
        <v>19.5</v>
      </c>
      <c r="AJ400" s="15">
        <f>IFERROR(Table50[[#This Row],[ORDER QTY2]]*Table50[[#This Row],[COST PRICE]],0)</f>
        <v>873.90925409550368</v>
      </c>
      <c r="AK400" s="15">
        <f>(Table50[[#This Row],[REORDER POINT]]*Table50[[#This Row],[COST PRICE]])+Table50[[#This Row],[ORDER COST]]</f>
        <v>817.88943011502272</v>
      </c>
      <c r="AL400" s="15">
        <f t="shared" si="20"/>
        <v>100</v>
      </c>
      <c r="AM400" s="15">
        <f>IFERROR((Table50[[#This Row],[REORDER POINT]]+Table50[[#This Row],[ORDER QTY]])/(Table50[[#This Row],[USAGE / DAY]]*Table50[[#This Row],[DEMAND %]]),Table50[[#This Row],[REORDER POINT]]/Table50[[#This Row],[USAGE / DAY]])</f>
        <v>9.358974358974359E-2</v>
      </c>
    </row>
    <row r="401" spans="1:39" x14ac:dyDescent="0.25">
      <c r="A401" t="s">
        <v>324</v>
      </c>
      <c r="B401" t="s">
        <v>510</v>
      </c>
      <c r="C401" t="s">
        <v>517</v>
      </c>
      <c r="D401" t="s">
        <v>95</v>
      </c>
      <c r="E401">
        <v>0.01</v>
      </c>
      <c r="F401">
        <v>6.5</v>
      </c>
      <c r="G401">
        <v>0.42</v>
      </c>
      <c r="H401">
        <v>30.98</v>
      </c>
      <c r="I401">
        <v>0.4</v>
      </c>
      <c r="J401">
        <v>279.8</v>
      </c>
      <c r="K401">
        <f>Table50[[#This Row],[OpeningQty]]+Table50[[#This Row],[PurchasesQty]]-Table50[[#This Row],[ClosingQty]]</f>
        <v>2.9999999999999971E-2</v>
      </c>
      <c r="L401">
        <v>-242.32</v>
      </c>
      <c r="M401" s="14">
        <f>Table50[[#This Row],[Usage]]/$L$1</f>
        <v>-3.6803546943355459E-4</v>
      </c>
      <c r="N401" s="15">
        <f>IFERROR(Table50[[#This Row],[Opening]]/Table50[[#This Row],[OpeningQty]],0)</f>
        <v>650</v>
      </c>
      <c r="O401" s="15">
        <f>IFERROR(Table50[[#This Row],[Purchases]]/Table50[[#This Row],[PurchasesQty]],0)</f>
        <v>73.761904761904759</v>
      </c>
      <c r="P401" s="15">
        <f>IFERROR(Table50[[#This Row],[Closing]]/Table50[[#This Row],[ClosingQty]],0)</f>
        <v>699.5</v>
      </c>
      <c r="Q401" s="15">
        <f>IFERROR(AVERAGEIF(Table50[[#This Row],[OPENING COST PRICE]:[CLOSING COST PRICE]],"&gt;0"),0)</f>
        <v>474.42063492063494</v>
      </c>
      <c r="R401" s="15">
        <f>IFERROR(Table50[[#This Row],[COST PRICE]]-IFERROR(Table50[[#This Row],[Usage]]/Table50[[#This Row],[UsageQty]],Table50[[#This Row],[COST PRICE]]),0)</f>
        <v>8551.7539682539755</v>
      </c>
      <c r="S401" s="16">
        <f>IFERROR(Table50[[#This Row],[COST PRICE CHANGE]]/Table50[[#This Row],[OPENING COST PRICE]],0)</f>
        <v>13.156544566544577</v>
      </c>
      <c r="T401" s="15">
        <f>Table50[[#This Row],[ClosingQty]]-(Table50[[#This Row],[USAGE / DAY]]*(IF(Table50[[#This Row],[ccnt]]="BEV",Table50[[#This Row],[DELIVERY DAY]],Table50[[#This Row],[DELIVERY DAY]])))</f>
        <v>0.35000000000000003</v>
      </c>
      <c r="U401" s="15">
        <f>ROUNDUP(Table50[[#This Row],[UsageQty]]/Table50[[#This Row],[DATA POINT]],2)</f>
        <v>0.01</v>
      </c>
      <c r="V401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01" s="15">
        <f>IFERROR(Table50[[#This Row],[ORDER QTY]]*Table50[[#This Row],[COST PRICE]],0)</f>
        <v>0</v>
      </c>
      <c r="X401" s="15">
        <f>IFERROR(VLOOKUP(C401,[1]!Table49[[#All],[name]:[USAGE / DAY]],19,FALSE),1)</f>
        <v>0.03</v>
      </c>
      <c r="Y401" s="4">
        <f>IFERROR((Table50[[#This Row],[USAGE / DAY]]-Table50[[#This Row],[USAGE / DAY 2]])/Table50[[#This Row],[USAGE / DAY 2]],0)</f>
        <v>-0.66666666666666663</v>
      </c>
      <c r="Z401" s="15">
        <f t="shared" si="18"/>
        <v>14</v>
      </c>
      <c r="AA401" s="15">
        <f t="shared" si="19"/>
        <v>9.311854181734148</v>
      </c>
      <c r="AB401" s="15">
        <f>IFERROR(IF(Table50[[#This Row],[ccnt]]="BEV",$AB$2,IF(Table50[[#This Row],[ccnt]]="FOOD",$AC$2,"ENTER # FROM LAST COUNT")),"ENTER # FROM LAST COUNT")</f>
        <v>5</v>
      </c>
      <c r="AC401" s="15">
        <f>(Table50[[#This Row],[OpeningQty]]+Table50[[#This Row],[ClosingQty]])/2</f>
        <v>0.20500000000000002</v>
      </c>
      <c r="AD401" s="15">
        <f>IFERROR(Table50[[#This Row],[UsageQty]]/Table50[[#This Row],[AVE INVENTORY]],0)</f>
        <v>0.146341463414634</v>
      </c>
      <c r="AE401" s="15">
        <f>IFERROR(Table50[[#This Row],[DATA POINT]]/Table50[[#This Row],[Inventory Turnover Rate]],0)</f>
        <v>95.666666666666757</v>
      </c>
      <c r="AF401" s="15">
        <f>Table50[[#This Row],[ClosingQty]]/Table50[[#This Row],[USAGE / DAY]]</f>
        <v>40</v>
      </c>
      <c r="AG401" s="15">
        <f>Table50[[#This Row],[USAGE / DAY]]*7</f>
        <v>7.0000000000000007E-2</v>
      </c>
      <c r="AH401" s="15">
        <f>Table50[[#This Row],[USAGE / DAY]]*3</f>
        <v>0.03</v>
      </c>
      <c r="AI401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01" s="15">
        <f>IFERROR(Table50[[#This Row],[ORDER QTY2]]*Table50[[#This Row],[COST PRICE]],0)</f>
        <v>0</v>
      </c>
      <c r="AK401" s="15">
        <f>(Table50[[#This Row],[REORDER POINT]]*Table50[[#This Row],[COST PRICE]])+Table50[[#This Row],[ORDER COST]]</f>
        <v>166.04722222222225</v>
      </c>
      <c r="AL401" s="15">
        <f t="shared" si="20"/>
        <v>100</v>
      </c>
      <c r="AM401" s="15">
        <f>IFERROR((Table50[[#This Row],[REORDER POINT]]+Table50[[#This Row],[ORDER QTY]])/(Table50[[#This Row],[USAGE / DAY]]*Table50[[#This Row],[DEMAND %]]),Table50[[#This Row],[REORDER POINT]]/Table50[[#This Row],[USAGE / DAY]])</f>
        <v>35</v>
      </c>
    </row>
    <row r="402" spans="1:39" x14ac:dyDescent="0.25">
      <c r="A402" t="s">
        <v>324</v>
      </c>
      <c r="B402" t="s">
        <v>510</v>
      </c>
      <c r="C402" t="s">
        <v>518</v>
      </c>
      <c r="D402" t="s">
        <v>126</v>
      </c>
      <c r="E402">
        <v>12.75</v>
      </c>
      <c r="F402">
        <v>461.55</v>
      </c>
      <c r="G402">
        <v>67.5</v>
      </c>
      <c r="H402">
        <v>2599</v>
      </c>
      <c r="I402">
        <v>26.1</v>
      </c>
      <c r="J402">
        <v>883.22</v>
      </c>
      <c r="K402">
        <f>Table50[[#This Row],[OpeningQty]]+Table50[[#This Row],[PurchasesQty]]-Table50[[#This Row],[ClosingQty]]</f>
        <v>54.15</v>
      </c>
      <c r="L402">
        <v>2177.33</v>
      </c>
      <c r="M402" s="14">
        <f>Table50[[#This Row],[Usage]]/$L$1</f>
        <v>3.3069274870491973E-3</v>
      </c>
      <c r="N402" s="15">
        <f>IFERROR(Table50[[#This Row],[Opening]]/Table50[[#This Row],[OpeningQty]],0)</f>
        <v>36.200000000000003</v>
      </c>
      <c r="O402" s="15">
        <f>IFERROR(Table50[[#This Row],[Purchases]]/Table50[[#This Row],[PurchasesQty]],0)</f>
        <v>38.503703703703707</v>
      </c>
      <c r="P402" s="15">
        <f>IFERROR(Table50[[#This Row],[Closing]]/Table50[[#This Row],[ClosingQty]],0)</f>
        <v>33.83984674329502</v>
      </c>
      <c r="Q402" s="15">
        <f>IFERROR(AVERAGEIF(Table50[[#This Row],[OPENING COST PRICE]:[CLOSING COST PRICE]],"&gt;0"),0)</f>
        <v>36.181183482332905</v>
      </c>
      <c r="R402" s="15">
        <f>IFERROR(Table50[[#This Row],[COST PRICE]]-IFERROR(Table50[[#This Row],[Usage]]/Table50[[#This Row],[UsageQty]],Table50[[#This Row],[COST PRICE]]),0)</f>
        <v>-4.0280501280087364</v>
      </c>
      <c r="S402" s="16">
        <f>IFERROR(Table50[[#This Row],[COST PRICE CHANGE]]/Table50[[#This Row],[OPENING COST PRICE]],0)</f>
        <v>-0.11127210298366674</v>
      </c>
      <c r="T402" s="15">
        <f>Table50[[#This Row],[ClosingQty]]-(Table50[[#This Row],[USAGE / DAY]]*(IF(Table50[[#This Row],[ccnt]]="BEV",Table50[[#This Row],[DELIVERY DAY]],Table50[[#This Row],[DELIVERY DAY]])))</f>
        <v>6.7500000000000036</v>
      </c>
      <c r="U402" s="15">
        <f>ROUNDUP(Table50[[#This Row],[UsageQty]]/Table50[[#This Row],[DATA POINT]],2)</f>
        <v>3.8699999999999997</v>
      </c>
      <c r="V402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30</v>
      </c>
      <c r="W402" s="15">
        <f>IFERROR(Table50[[#This Row],[ORDER QTY]]*Table50[[#This Row],[COST PRICE]],0)</f>
        <v>1085.4355044699871</v>
      </c>
      <c r="X402" s="15">
        <f>IFERROR(VLOOKUP(C402,[1]!Table49[[#All],[name]:[USAGE / DAY]],19,FALSE),1)</f>
        <v>5.91</v>
      </c>
      <c r="Y402" s="4">
        <f>IFERROR((Table50[[#This Row],[USAGE / DAY]]-Table50[[#This Row],[USAGE / DAY 2]])/Table50[[#This Row],[USAGE / DAY 2]],0)</f>
        <v>-0.34517766497461938</v>
      </c>
      <c r="Z402" s="15">
        <f t="shared" si="18"/>
        <v>14</v>
      </c>
      <c r="AA402" s="15">
        <f t="shared" si="19"/>
        <v>9.311854181734148</v>
      </c>
      <c r="AB402" s="15">
        <f>IFERROR(IF(Table50[[#This Row],[ccnt]]="BEV",$AB$2,IF(Table50[[#This Row],[ccnt]]="FOOD",$AC$2,"ENTER # FROM LAST COUNT")),"ENTER # FROM LAST COUNT")</f>
        <v>5</v>
      </c>
      <c r="AC402" s="15">
        <f>(Table50[[#This Row],[OpeningQty]]+Table50[[#This Row],[ClosingQty]])/2</f>
        <v>19.425000000000001</v>
      </c>
      <c r="AD402" s="15">
        <f>IFERROR(Table50[[#This Row],[UsageQty]]/Table50[[#This Row],[AVE INVENTORY]],0)</f>
        <v>2.7876447876447874</v>
      </c>
      <c r="AE402" s="15">
        <f>IFERROR(Table50[[#This Row],[DATA POINT]]/Table50[[#This Row],[Inventory Turnover Rate]],0)</f>
        <v>5.0221606648199453</v>
      </c>
      <c r="AF402" s="15">
        <f>Table50[[#This Row],[ClosingQty]]/Table50[[#This Row],[USAGE / DAY]]</f>
        <v>6.7441860465116292</v>
      </c>
      <c r="AG402" s="15">
        <f>Table50[[#This Row],[USAGE / DAY]]*7</f>
        <v>27.089999999999996</v>
      </c>
      <c r="AH402" s="15">
        <f>Table50[[#This Row],[USAGE / DAY]]*3</f>
        <v>11.61</v>
      </c>
      <c r="AI402" s="15">
        <f>IF(Table50[[#This Row],[FORECASTED DEMAND]]+Table50[[#This Row],[SAFETY STOCK]]-Table50[[#This Row],[ClosingQty]]&gt;0,Table50[[#This Row],[FORECASTED DEMAND]]+Table50[[#This Row],[SAFETY STOCK]]-Table50[[#This Row],[ClosingQty]],"NO ORDER")</f>
        <v>12.599999999999994</v>
      </c>
      <c r="AJ402" s="15">
        <f>IFERROR(Table50[[#This Row],[ORDER QTY2]]*Table50[[#This Row],[COST PRICE]],0)</f>
        <v>455.88291187739441</v>
      </c>
      <c r="AK402" s="15">
        <f>(Table50[[#This Row],[REORDER POINT]]*Table50[[#This Row],[COST PRICE]])+Table50[[#This Row],[ORDER COST]]</f>
        <v>1329.6584929757344</v>
      </c>
      <c r="AL402" s="15">
        <f t="shared" si="20"/>
        <v>100</v>
      </c>
      <c r="AM402" s="15">
        <f>IFERROR((Table50[[#This Row],[REORDER POINT]]+Table50[[#This Row],[ORDER QTY]])/(Table50[[#This Row],[USAGE / DAY]]*Table50[[#This Row],[DEMAND %]]),Table50[[#This Row],[REORDER POINT]]/Table50[[#This Row],[USAGE / DAY]])</f>
        <v>9.4961240310077535E-2</v>
      </c>
    </row>
    <row r="403" spans="1:39" x14ac:dyDescent="0.25">
      <c r="A403" t="s">
        <v>324</v>
      </c>
      <c r="B403" t="s">
        <v>510</v>
      </c>
      <c r="C403" t="s">
        <v>519</v>
      </c>
      <c r="D403" t="s">
        <v>95</v>
      </c>
      <c r="E403">
        <v>0.01</v>
      </c>
      <c r="F403">
        <v>5</v>
      </c>
      <c r="G403">
        <v>0.02</v>
      </c>
      <c r="H403">
        <v>12.99</v>
      </c>
      <c r="I403">
        <v>0.02</v>
      </c>
      <c r="J403">
        <v>12.99</v>
      </c>
      <c r="K403">
        <f>Table50[[#This Row],[OpeningQty]]+Table50[[#This Row],[PurchasesQty]]-Table50[[#This Row],[ClosingQty]]</f>
        <v>9.9999999999999985E-3</v>
      </c>
      <c r="L403">
        <v>5</v>
      </c>
      <c r="M403" s="14">
        <f>Table50[[#This Row],[Usage]]/$L$1</f>
        <v>7.5939969757666438E-6</v>
      </c>
      <c r="N403" s="15">
        <f>IFERROR(Table50[[#This Row],[Opening]]/Table50[[#This Row],[OpeningQty]],0)</f>
        <v>500</v>
      </c>
      <c r="O403" s="15">
        <f>IFERROR(Table50[[#This Row],[Purchases]]/Table50[[#This Row],[PurchasesQty]],0)</f>
        <v>649.5</v>
      </c>
      <c r="P403" s="15">
        <f>IFERROR(Table50[[#This Row],[Closing]]/Table50[[#This Row],[ClosingQty]],0)</f>
        <v>649.5</v>
      </c>
      <c r="Q403" s="15">
        <f>IFERROR(AVERAGEIF(Table50[[#This Row],[OPENING COST PRICE]:[CLOSING COST PRICE]],"&gt;0"),0)</f>
        <v>599.66666666666663</v>
      </c>
      <c r="R403" s="15">
        <f>IFERROR(Table50[[#This Row],[COST PRICE]]-IFERROR(Table50[[#This Row],[Usage]]/Table50[[#This Row],[UsageQty]],Table50[[#This Row],[COST PRICE]]),0)</f>
        <v>99.666666666666572</v>
      </c>
      <c r="S403" s="16">
        <f>IFERROR(Table50[[#This Row],[COST PRICE CHANGE]]/Table50[[#This Row],[OPENING COST PRICE]],0)</f>
        <v>0.19933333333333314</v>
      </c>
      <c r="T403" s="15">
        <f>Table50[[#This Row],[ClosingQty]]-(Table50[[#This Row],[USAGE / DAY]]*(IF(Table50[[#This Row],[ccnt]]="BEV",Table50[[#This Row],[DELIVERY DAY]],Table50[[#This Row],[DELIVERY DAY]])))</f>
        <v>-3.0000000000000002E-2</v>
      </c>
      <c r="U403" s="15">
        <f>ROUNDUP(Table50[[#This Row],[UsageQty]]/Table50[[#This Row],[DATA POINT]],2)</f>
        <v>0.01</v>
      </c>
      <c r="V40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403" s="15">
        <f>IFERROR(Table50[[#This Row],[ORDER QTY]]*Table50[[#This Row],[COST PRICE]],0)</f>
        <v>599.66666666666663</v>
      </c>
      <c r="X403" s="15">
        <f>IFERROR(VLOOKUP(C403,[1]!Table49[[#All],[name]:[USAGE / DAY]],19,FALSE),1)</f>
        <v>0.01</v>
      </c>
      <c r="Y403" s="4">
        <f>IFERROR((Table50[[#This Row],[USAGE / DAY]]-Table50[[#This Row],[USAGE / DAY 2]])/Table50[[#This Row],[USAGE / DAY 2]],0)</f>
        <v>0</v>
      </c>
      <c r="Z403" s="15">
        <f t="shared" si="18"/>
        <v>14</v>
      </c>
      <c r="AA403" s="15">
        <f t="shared" si="19"/>
        <v>9.311854181734148</v>
      </c>
      <c r="AB403" s="15">
        <f>IFERROR(IF(Table50[[#This Row],[ccnt]]="BEV",$AB$2,IF(Table50[[#This Row],[ccnt]]="FOOD",$AC$2,"ENTER # FROM LAST COUNT")),"ENTER # FROM LAST COUNT")</f>
        <v>5</v>
      </c>
      <c r="AC403" s="15">
        <f>(Table50[[#This Row],[OpeningQty]]+Table50[[#This Row],[ClosingQty]])/2</f>
        <v>1.4999999999999999E-2</v>
      </c>
      <c r="AD403" s="15">
        <f>IFERROR(Table50[[#This Row],[UsageQty]]/Table50[[#This Row],[AVE INVENTORY]],0)</f>
        <v>0.66666666666666663</v>
      </c>
      <c r="AE403" s="15">
        <f>IFERROR(Table50[[#This Row],[DATA POINT]]/Table50[[#This Row],[Inventory Turnover Rate]],0)</f>
        <v>21</v>
      </c>
      <c r="AF403" s="15">
        <f>Table50[[#This Row],[ClosingQty]]/Table50[[#This Row],[USAGE / DAY]]</f>
        <v>2</v>
      </c>
      <c r="AG403" s="15">
        <f>Table50[[#This Row],[USAGE / DAY]]*7</f>
        <v>7.0000000000000007E-2</v>
      </c>
      <c r="AH403" s="15">
        <f>Table50[[#This Row],[USAGE / DAY]]*3</f>
        <v>0.03</v>
      </c>
      <c r="AI403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0.08</v>
      </c>
      <c r="AJ403" s="15">
        <f>IFERROR(Table50[[#This Row],[ORDER QTY2]]*Table50[[#This Row],[COST PRICE]],0)</f>
        <v>47.973333333333329</v>
      </c>
      <c r="AK403" s="15">
        <f>(Table50[[#This Row],[REORDER POINT]]*Table50[[#This Row],[COST PRICE]])+Table50[[#This Row],[ORDER COST]]</f>
        <v>581.67666666666662</v>
      </c>
      <c r="AL403" s="15">
        <f t="shared" si="20"/>
        <v>100</v>
      </c>
      <c r="AM403" s="15">
        <f>IFERROR((Table50[[#This Row],[REORDER POINT]]+Table50[[#This Row],[ORDER QTY]])/(Table50[[#This Row],[USAGE / DAY]]*Table50[[#This Row],[DEMAND %]]),Table50[[#This Row],[REORDER POINT]]/Table50[[#This Row],[USAGE / DAY]])</f>
        <v>0.97</v>
      </c>
    </row>
    <row r="404" spans="1:39" x14ac:dyDescent="0.25">
      <c r="A404" t="s">
        <v>324</v>
      </c>
      <c r="B404" t="s">
        <v>510</v>
      </c>
      <c r="C404" t="s">
        <v>520</v>
      </c>
      <c r="D404" t="s">
        <v>126</v>
      </c>
      <c r="E404">
        <v>3.2</v>
      </c>
      <c r="F404">
        <v>83.14</v>
      </c>
      <c r="G404">
        <v>21.9</v>
      </c>
      <c r="H404">
        <v>869.6</v>
      </c>
      <c r="I404">
        <v>5.17</v>
      </c>
      <c r="J404">
        <v>230.74</v>
      </c>
      <c r="K404">
        <f>Table50[[#This Row],[OpeningQty]]+Table50[[#This Row],[PurchasesQty]]-Table50[[#This Row],[ClosingQty]]</f>
        <v>19.93</v>
      </c>
      <c r="L404">
        <v>722</v>
      </c>
      <c r="M404" s="14">
        <f>Table50[[#This Row],[Usage]]/$L$1</f>
        <v>1.0965731633007035E-3</v>
      </c>
      <c r="N404" s="15">
        <f>IFERROR(Table50[[#This Row],[Opening]]/Table50[[#This Row],[OpeningQty]],0)</f>
        <v>25.981249999999999</v>
      </c>
      <c r="O404" s="15">
        <f>IFERROR(Table50[[#This Row],[Purchases]]/Table50[[#This Row],[PurchasesQty]],0)</f>
        <v>39.707762557077629</v>
      </c>
      <c r="P404" s="15">
        <f>IFERROR(Table50[[#This Row],[Closing]]/Table50[[#This Row],[ClosingQty]],0)</f>
        <v>44.630560928433269</v>
      </c>
      <c r="Q404" s="15">
        <f>IFERROR(AVERAGEIF(Table50[[#This Row],[OPENING COST PRICE]:[CLOSING COST PRICE]],"&gt;0"),0)</f>
        <v>36.773191161836969</v>
      </c>
      <c r="R404" s="15">
        <f>IFERROR(Table50[[#This Row],[COST PRICE]]-IFERROR(Table50[[#This Row],[Usage]]/Table50[[#This Row],[UsageQty]],Table50[[#This Row],[COST PRICE]]),0)</f>
        <v>0.5463973836131828</v>
      </c>
      <c r="S404" s="16">
        <f>IFERROR(Table50[[#This Row],[COST PRICE CHANGE]]/Table50[[#This Row],[OPENING COST PRICE]],0)</f>
        <v>2.1030450175152576E-2</v>
      </c>
      <c r="T404" s="15">
        <f>Table50[[#This Row],[ClosingQty]]-(Table50[[#This Row],[USAGE / DAY]]*(IF(Table50[[#This Row],[ccnt]]="BEV",Table50[[#This Row],[DELIVERY DAY]],Table50[[#This Row],[DELIVERY DAY]])))</f>
        <v>-1.9799999999999995</v>
      </c>
      <c r="U404" s="15">
        <f>ROUNDUP(Table50[[#This Row],[UsageQty]]/Table50[[#This Row],[DATA POINT]],2)</f>
        <v>1.43</v>
      </c>
      <c r="V40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16</v>
      </c>
      <c r="W404" s="15">
        <f>IFERROR(Table50[[#This Row],[ORDER QTY]]*Table50[[#This Row],[COST PRICE]],0)</f>
        <v>588.37105858939151</v>
      </c>
      <c r="X404" s="15">
        <f>IFERROR(VLOOKUP(C404,[1]!Table49[[#All],[name]:[USAGE / DAY]],19,FALSE),1)</f>
        <v>1.33</v>
      </c>
      <c r="Y404" s="4">
        <f>IFERROR((Table50[[#This Row],[USAGE / DAY]]-Table50[[#This Row],[USAGE / DAY 2]])/Table50[[#This Row],[USAGE / DAY 2]],0)</f>
        <v>7.5187969924811929E-2</v>
      </c>
      <c r="Z404" s="15">
        <f t="shared" si="18"/>
        <v>14</v>
      </c>
      <c r="AA404" s="15">
        <f t="shared" si="19"/>
        <v>9.311854181734148</v>
      </c>
      <c r="AB404" s="15">
        <f>IFERROR(IF(Table50[[#This Row],[ccnt]]="BEV",$AB$2,IF(Table50[[#This Row],[ccnt]]="FOOD",$AC$2,"ENTER # FROM LAST COUNT")),"ENTER # FROM LAST COUNT")</f>
        <v>5</v>
      </c>
      <c r="AC404" s="15">
        <f>(Table50[[#This Row],[OpeningQty]]+Table50[[#This Row],[ClosingQty]])/2</f>
        <v>4.1850000000000005</v>
      </c>
      <c r="AD404" s="15">
        <f>IFERROR(Table50[[#This Row],[UsageQty]]/Table50[[#This Row],[AVE INVENTORY]],0)</f>
        <v>4.7622461170848265</v>
      </c>
      <c r="AE404" s="15">
        <f>IFERROR(Table50[[#This Row],[DATA POINT]]/Table50[[#This Row],[Inventory Turnover Rate]],0)</f>
        <v>2.9397892624184649</v>
      </c>
      <c r="AF404" s="15">
        <f>Table50[[#This Row],[ClosingQty]]/Table50[[#This Row],[USAGE / DAY]]</f>
        <v>3.6153846153846154</v>
      </c>
      <c r="AG404" s="15">
        <f>Table50[[#This Row],[USAGE / DAY]]*7</f>
        <v>10.01</v>
      </c>
      <c r="AH404" s="15">
        <f>Table50[[#This Row],[USAGE / DAY]]*3</f>
        <v>4.29</v>
      </c>
      <c r="AI404" s="15">
        <f>IF(Table50[[#This Row],[FORECASTED DEMAND]]+Table50[[#This Row],[SAFETY STOCK]]-Table50[[#This Row],[ClosingQty]]&gt;0,Table50[[#This Row],[FORECASTED DEMAND]]+Table50[[#This Row],[SAFETY STOCK]]-Table50[[#This Row],[ClosingQty]],"NO ORDER")</f>
        <v>9.1300000000000008</v>
      </c>
      <c r="AJ404" s="15">
        <f>IFERROR(Table50[[#This Row],[ORDER QTY2]]*Table50[[#This Row],[COST PRICE]],0)</f>
        <v>335.73923530757156</v>
      </c>
      <c r="AK404" s="15">
        <f>(Table50[[#This Row],[REORDER POINT]]*Table50[[#This Row],[COST PRICE]])+Table50[[#This Row],[ORDER COST]]</f>
        <v>515.56014008895431</v>
      </c>
      <c r="AL404" s="15">
        <f t="shared" si="20"/>
        <v>100</v>
      </c>
      <c r="AM404" s="15">
        <f>IFERROR((Table50[[#This Row],[REORDER POINT]]+Table50[[#This Row],[ORDER QTY]])/(Table50[[#This Row],[USAGE / DAY]]*Table50[[#This Row],[DEMAND %]]),Table50[[#This Row],[REORDER POINT]]/Table50[[#This Row],[USAGE / DAY]])</f>
        <v>9.8041958041958033E-2</v>
      </c>
    </row>
    <row r="405" spans="1:39" x14ac:dyDescent="0.25">
      <c r="A405" t="s">
        <v>324</v>
      </c>
      <c r="B405" t="s">
        <v>510</v>
      </c>
      <c r="C405" t="s">
        <v>521</v>
      </c>
      <c r="D405" t="s">
        <v>126</v>
      </c>
      <c r="E405">
        <v>55.5</v>
      </c>
      <c r="F405">
        <v>555</v>
      </c>
      <c r="G405">
        <v>120</v>
      </c>
      <c r="H405">
        <v>1080</v>
      </c>
      <c r="I405">
        <v>55</v>
      </c>
      <c r="J405">
        <v>495</v>
      </c>
      <c r="K405">
        <f>Table50[[#This Row],[OpeningQty]]+Table50[[#This Row],[PurchasesQty]]-Table50[[#This Row],[ClosingQty]]</f>
        <v>120.5</v>
      </c>
      <c r="L405">
        <v>1140</v>
      </c>
      <c r="M405" s="14">
        <f>Table50[[#This Row],[Usage]]/$L$1</f>
        <v>1.7314313104747948E-3</v>
      </c>
      <c r="N405" s="15">
        <f>IFERROR(Table50[[#This Row],[Opening]]/Table50[[#This Row],[OpeningQty]],0)</f>
        <v>10</v>
      </c>
      <c r="O405" s="15">
        <f>IFERROR(Table50[[#This Row],[Purchases]]/Table50[[#This Row],[PurchasesQty]],0)</f>
        <v>9</v>
      </c>
      <c r="P405" s="15">
        <f>IFERROR(Table50[[#This Row],[Closing]]/Table50[[#This Row],[ClosingQty]],0)</f>
        <v>9</v>
      </c>
      <c r="Q405" s="15">
        <f>IFERROR(AVERAGEIF(Table50[[#This Row],[OPENING COST PRICE]:[CLOSING COST PRICE]],"&gt;0"),0)</f>
        <v>9.3333333333333339</v>
      </c>
      <c r="R405" s="15">
        <f>IFERROR(Table50[[#This Row],[COST PRICE]]-IFERROR(Table50[[#This Row],[Usage]]/Table50[[#This Row],[UsageQty]],Table50[[#This Row],[COST PRICE]]),0)</f>
        <v>-0.12724757952973675</v>
      </c>
      <c r="S405" s="16">
        <f>IFERROR(Table50[[#This Row],[COST PRICE CHANGE]]/Table50[[#This Row],[OPENING COST PRICE]],0)</f>
        <v>-1.2724757952973675E-2</v>
      </c>
      <c r="T405" s="15">
        <f>Table50[[#This Row],[ClosingQty]]-(Table50[[#This Row],[USAGE / DAY]]*(IF(Table50[[#This Row],[ccnt]]="BEV",Table50[[#This Row],[DELIVERY DAY]],Table50[[#This Row],[DELIVERY DAY]])))</f>
        <v>11.950000000000003</v>
      </c>
      <c r="U405" s="15">
        <f>ROUNDUP(Table50[[#This Row],[UsageQty]]/Table50[[#This Row],[DATA POINT]],2)</f>
        <v>8.61</v>
      </c>
      <c r="V40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69</v>
      </c>
      <c r="W405" s="15">
        <f>IFERROR(Table50[[#This Row],[ORDER QTY]]*Table50[[#This Row],[COST PRICE]],0)</f>
        <v>644</v>
      </c>
      <c r="X405" s="15">
        <f>IFERROR(VLOOKUP(C405,[1]!Table49[[#All],[name]:[USAGE / DAY]],19,FALSE),1)</f>
        <v>8.8000000000000007</v>
      </c>
      <c r="Y405" s="4">
        <f>IFERROR((Table50[[#This Row],[USAGE / DAY]]-Table50[[#This Row],[USAGE / DAY 2]])/Table50[[#This Row],[USAGE / DAY 2]],0)</f>
        <v>-2.1590909090909233E-2</v>
      </c>
      <c r="Z405" s="15">
        <f t="shared" si="18"/>
        <v>14</v>
      </c>
      <c r="AA405" s="15">
        <f t="shared" si="19"/>
        <v>9.311854181734148</v>
      </c>
      <c r="AB405" s="15">
        <f>IFERROR(IF(Table50[[#This Row],[ccnt]]="BEV",$AB$2,IF(Table50[[#This Row],[ccnt]]="FOOD",$AC$2,"ENTER # FROM LAST COUNT")),"ENTER # FROM LAST COUNT")</f>
        <v>5</v>
      </c>
      <c r="AC405" s="15">
        <f>(Table50[[#This Row],[OpeningQty]]+Table50[[#This Row],[ClosingQty]])/2</f>
        <v>55.25</v>
      </c>
      <c r="AD405" s="15">
        <f>IFERROR(Table50[[#This Row],[UsageQty]]/Table50[[#This Row],[AVE INVENTORY]],0)</f>
        <v>2.180995475113122</v>
      </c>
      <c r="AE405" s="15">
        <f>IFERROR(Table50[[#This Row],[DATA POINT]]/Table50[[#This Row],[Inventory Turnover Rate]],0)</f>
        <v>6.4190871369294609</v>
      </c>
      <c r="AF405" s="15">
        <f>Table50[[#This Row],[ClosingQty]]/Table50[[#This Row],[USAGE / DAY]]</f>
        <v>6.3879210220673643</v>
      </c>
      <c r="AG405" s="15">
        <f>Table50[[#This Row],[USAGE / DAY]]*7</f>
        <v>60.269999999999996</v>
      </c>
      <c r="AH405" s="15">
        <f>Table50[[#This Row],[USAGE / DAY]]*3</f>
        <v>25.83</v>
      </c>
      <c r="AI405" s="15">
        <f>IF(Table50[[#This Row],[FORECASTED DEMAND]]+Table50[[#This Row],[SAFETY STOCK]]-Table50[[#This Row],[ClosingQty]]&gt;0,Table50[[#This Row],[FORECASTED DEMAND]]+Table50[[#This Row],[SAFETY STOCK]]-Table50[[#This Row],[ClosingQty]],"NO ORDER")</f>
        <v>31.099999999999994</v>
      </c>
      <c r="AJ405" s="15">
        <f>IFERROR(Table50[[#This Row],[ORDER QTY2]]*Table50[[#This Row],[COST PRICE]],0)</f>
        <v>290.26666666666665</v>
      </c>
      <c r="AK405" s="15">
        <f>(Table50[[#This Row],[REORDER POINT]]*Table50[[#This Row],[COST PRICE]])+Table50[[#This Row],[ORDER COST]]</f>
        <v>755.5333333333333</v>
      </c>
      <c r="AL405" s="15">
        <f t="shared" si="20"/>
        <v>100</v>
      </c>
      <c r="AM405" s="15">
        <f>IFERROR((Table50[[#This Row],[REORDER POINT]]+Table50[[#This Row],[ORDER QTY]])/(Table50[[#This Row],[USAGE / DAY]]*Table50[[#This Row],[DEMAND %]]),Table50[[#This Row],[REORDER POINT]]/Table50[[#This Row],[USAGE / DAY]])</f>
        <v>9.4018583042973294E-2</v>
      </c>
    </row>
    <row r="406" spans="1:39" x14ac:dyDescent="0.25">
      <c r="A406" t="s">
        <v>324</v>
      </c>
      <c r="B406" t="s">
        <v>510</v>
      </c>
      <c r="C406" t="s">
        <v>522</v>
      </c>
      <c r="D406" t="s">
        <v>126</v>
      </c>
      <c r="E406">
        <v>7.0000000000000007E-2</v>
      </c>
      <c r="F406">
        <v>21.87</v>
      </c>
      <c r="G406">
        <v>0.02</v>
      </c>
      <c r="H406">
        <v>12.99</v>
      </c>
      <c r="I406">
        <v>0.03</v>
      </c>
      <c r="J406">
        <v>19.489999999999998</v>
      </c>
      <c r="K406">
        <f>Table50[[#This Row],[OpeningQty]]+Table50[[#This Row],[PurchasesQty]]-Table50[[#This Row],[ClosingQty]]</f>
        <v>6.0000000000000012E-2</v>
      </c>
      <c r="L406">
        <v>15.37</v>
      </c>
      <c r="M406" s="14">
        <f>Table50[[#This Row],[Usage]]/$L$1</f>
        <v>2.3343946703506661E-5</v>
      </c>
      <c r="N406" s="15">
        <f>IFERROR(Table50[[#This Row],[Opening]]/Table50[[#This Row],[OpeningQty]],0)</f>
        <v>312.42857142857139</v>
      </c>
      <c r="O406" s="15">
        <f>IFERROR(Table50[[#This Row],[Purchases]]/Table50[[#This Row],[PurchasesQty]],0)</f>
        <v>649.5</v>
      </c>
      <c r="P406" s="15">
        <f>IFERROR(Table50[[#This Row],[Closing]]/Table50[[#This Row],[ClosingQty]],0)</f>
        <v>649.66666666666663</v>
      </c>
      <c r="Q406" s="15">
        <f>IFERROR(AVERAGEIF(Table50[[#This Row],[OPENING COST PRICE]:[CLOSING COST PRICE]],"&gt;0"),0)</f>
        <v>537.19841269841265</v>
      </c>
      <c r="R406" s="15">
        <f>IFERROR(Table50[[#This Row],[COST PRICE]]-IFERROR(Table50[[#This Row],[Usage]]/Table50[[#This Row],[UsageQty]],Table50[[#This Row],[COST PRICE]]),0)</f>
        <v>281.03174603174602</v>
      </c>
      <c r="S406" s="16">
        <f>IFERROR(Table50[[#This Row],[COST PRICE CHANGE]]/Table50[[#This Row],[OPENING COST PRICE]],0)</f>
        <v>0.89950718894477477</v>
      </c>
      <c r="T406" s="15">
        <f>Table50[[#This Row],[ClosingQty]]-(Table50[[#This Row],[USAGE / DAY]]*(IF(Table50[[#This Row],[ccnt]]="BEV",Table50[[#This Row],[DELIVERY DAY]],Table50[[#This Row],[DELIVERY DAY]])))</f>
        <v>-2.0000000000000004E-2</v>
      </c>
      <c r="U406" s="15">
        <f>ROUNDUP(Table50[[#This Row],[UsageQty]]/Table50[[#This Row],[DATA POINT]],2)</f>
        <v>0.01</v>
      </c>
      <c r="V406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406" s="15">
        <f>IFERROR(Table50[[#This Row],[ORDER QTY]]*Table50[[#This Row],[COST PRICE]],0)</f>
        <v>537.19841269841265</v>
      </c>
      <c r="X406" s="15">
        <f>IFERROR(VLOOKUP(C406,[1]!Table49[[#All],[name]:[USAGE / DAY]],19,FALSE),1)</f>
        <v>0.01</v>
      </c>
      <c r="Y406" s="4">
        <f>IFERROR((Table50[[#This Row],[USAGE / DAY]]-Table50[[#This Row],[USAGE / DAY 2]])/Table50[[#This Row],[USAGE / DAY 2]],0)</f>
        <v>0</v>
      </c>
      <c r="Z406" s="15">
        <f t="shared" si="18"/>
        <v>14</v>
      </c>
      <c r="AA406" s="15">
        <f t="shared" si="19"/>
        <v>9.311854181734148</v>
      </c>
      <c r="AB406" s="15">
        <f>IFERROR(IF(Table50[[#This Row],[ccnt]]="BEV",$AB$2,IF(Table50[[#This Row],[ccnt]]="FOOD",$AC$2,"ENTER # FROM LAST COUNT")),"ENTER # FROM LAST COUNT")</f>
        <v>5</v>
      </c>
      <c r="AC406" s="15">
        <f>(Table50[[#This Row],[OpeningQty]]+Table50[[#This Row],[ClosingQty]])/2</f>
        <v>0.05</v>
      </c>
      <c r="AD406" s="15">
        <f>IFERROR(Table50[[#This Row],[UsageQty]]/Table50[[#This Row],[AVE INVENTORY]],0)</f>
        <v>1.2000000000000002</v>
      </c>
      <c r="AE406" s="15">
        <f>IFERROR(Table50[[#This Row],[DATA POINT]]/Table50[[#This Row],[Inventory Turnover Rate]],0)</f>
        <v>11.666666666666664</v>
      </c>
      <c r="AF406" s="15">
        <f>Table50[[#This Row],[ClosingQty]]/Table50[[#This Row],[USAGE / DAY]]</f>
        <v>3</v>
      </c>
      <c r="AG406" s="15">
        <f>Table50[[#This Row],[USAGE / DAY]]*7</f>
        <v>7.0000000000000007E-2</v>
      </c>
      <c r="AH406" s="15">
        <f>Table50[[#This Row],[USAGE / DAY]]*3</f>
        <v>0.03</v>
      </c>
      <c r="AI406" s="15">
        <f>IF(Table50[[#This Row],[FORECASTED DEMAND]]+Table50[[#This Row],[SAFETY STOCK]]-Table50[[#This Row],[ClosingQty]]&gt;0,Table50[[#This Row],[FORECASTED DEMAND]]+Table50[[#This Row],[SAFETY STOCK]]-Table50[[#This Row],[ClosingQty]],"NO ORDER")</f>
        <v>7.0000000000000007E-2</v>
      </c>
      <c r="AJ406" s="15">
        <f>IFERROR(Table50[[#This Row],[ORDER QTY2]]*Table50[[#This Row],[COST PRICE]],0)</f>
        <v>37.603888888888889</v>
      </c>
      <c r="AK406" s="15">
        <f>(Table50[[#This Row],[REORDER POINT]]*Table50[[#This Row],[COST PRICE]])+Table50[[#This Row],[ORDER COST]]</f>
        <v>526.45444444444445</v>
      </c>
      <c r="AL406" s="15">
        <f t="shared" si="20"/>
        <v>100</v>
      </c>
      <c r="AM406" s="15">
        <f>IFERROR((Table50[[#This Row],[REORDER POINT]]+Table50[[#This Row],[ORDER QTY]])/(Table50[[#This Row],[USAGE / DAY]]*Table50[[#This Row],[DEMAND %]]),Table50[[#This Row],[REORDER POINT]]/Table50[[#This Row],[USAGE / DAY]])</f>
        <v>0.98</v>
      </c>
    </row>
    <row r="407" spans="1:39" x14ac:dyDescent="0.25">
      <c r="A407" t="s">
        <v>324</v>
      </c>
      <c r="B407" t="s">
        <v>510</v>
      </c>
      <c r="C407" t="s">
        <v>523</v>
      </c>
      <c r="D407" t="s">
        <v>95</v>
      </c>
      <c r="E407">
        <v>0.54</v>
      </c>
      <c r="F407">
        <v>18.55</v>
      </c>
      <c r="G407">
        <v>0</v>
      </c>
      <c r="H407">
        <v>0</v>
      </c>
      <c r="I407">
        <v>0</v>
      </c>
      <c r="J407">
        <v>0</v>
      </c>
      <c r="K407">
        <f>Table50[[#This Row],[OpeningQty]]+Table50[[#This Row],[PurchasesQty]]-Table50[[#This Row],[ClosingQty]]</f>
        <v>0.54</v>
      </c>
      <c r="L407">
        <v>18.55</v>
      </c>
      <c r="M407" s="14">
        <f>Table50[[#This Row],[Usage]]/$L$1</f>
        <v>2.8173728780094248E-5</v>
      </c>
      <c r="N407" s="15">
        <f>IFERROR(Table50[[#This Row],[Opening]]/Table50[[#This Row],[OpeningQty]],0)</f>
        <v>34.351851851851848</v>
      </c>
      <c r="O407" s="15">
        <f>IFERROR(Table50[[#This Row],[Purchases]]/Table50[[#This Row],[PurchasesQty]],0)</f>
        <v>0</v>
      </c>
      <c r="P407" s="15">
        <f>IFERROR(Table50[[#This Row],[Closing]]/Table50[[#This Row],[ClosingQty]],0)</f>
        <v>0</v>
      </c>
      <c r="Q407" s="15">
        <f>IFERROR(AVERAGEIF(Table50[[#This Row],[OPENING COST PRICE]:[CLOSING COST PRICE]],"&gt;0"),0)</f>
        <v>34.351851851851848</v>
      </c>
      <c r="R407" s="15">
        <f>IFERROR(Table50[[#This Row],[COST PRICE]]-IFERROR(Table50[[#This Row],[Usage]]/Table50[[#This Row],[UsageQty]],Table50[[#This Row],[COST PRICE]]),0)</f>
        <v>0</v>
      </c>
      <c r="S407" s="16">
        <f>IFERROR(Table50[[#This Row],[COST PRICE CHANGE]]/Table50[[#This Row],[OPENING COST PRICE]],0)</f>
        <v>0</v>
      </c>
      <c r="T407" s="15">
        <f>Table50[[#This Row],[ClosingQty]]-(Table50[[#This Row],[USAGE / DAY]]*(IF(Table50[[#This Row],[ccnt]]="BEV",Table50[[#This Row],[DELIVERY DAY]],Table50[[#This Row],[DELIVERY DAY]])))</f>
        <v>-0.2</v>
      </c>
      <c r="U407" s="15">
        <f>ROUNDUP(Table50[[#This Row],[UsageQty]]/Table50[[#This Row],[DATA POINT]],2)</f>
        <v>0.04</v>
      </c>
      <c r="V40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407" s="15">
        <f>IFERROR(Table50[[#This Row],[ORDER QTY]]*Table50[[#This Row],[COST PRICE]],0)</f>
        <v>34.351851851851848</v>
      </c>
      <c r="X407" s="15">
        <f>IFERROR(VLOOKUP(C407,[1]!Table49[[#All],[name]:[USAGE / DAY]],19,FALSE),1)</f>
        <v>0.2</v>
      </c>
      <c r="Y407" s="4">
        <f>IFERROR((Table50[[#This Row],[USAGE / DAY]]-Table50[[#This Row],[USAGE / DAY 2]])/Table50[[#This Row],[USAGE / DAY 2]],0)</f>
        <v>-0.79999999999999993</v>
      </c>
      <c r="Z407" s="15">
        <f t="shared" si="18"/>
        <v>14</v>
      </c>
      <c r="AA407" s="15">
        <f t="shared" si="19"/>
        <v>9.311854181734148</v>
      </c>
      <c r="AB407" s="15">
        <f>IFERROR(IF(Table50[[#This Row],[ccnt]]="BEV",$AB$2,IF(Table50[[#This Row],[ccnt]]="FOOD",$AC$2,"ENTER # FROM LAST COUNT")),"ENTER # FROM LAST COUNT")</f>
        <v>5</v>
      </c>
      <c r="AC407" s="15">
        <f>(Table50[[#This Row],[OpeningQty]]+Table50[[#This Row],[ClosingQty]])/2</f>
        <v>0.27</v>
      </c>
      <c r="AD407" s="15">
        <f>IFERROR(Table50[[#This Row],[UsageQty]]/Table50[[#This Row],[AVE INVENTORY]],0)</f>
        <v>2</v>
      </c>
      <c r="AE407" s="15">
        <f>IFERROR(Table50[[#This Row],[DATA POINT]]/Table50[[#This Row],[Inventory Turnover Rate]],0)</f>
        <v>7</v>
      </c>
      <c r="AF407" s="15">
        <f>Table50[[#This Row],[ClosingQty]]/Table50[[#This Row],[USAGE / DAY]]</f>
        <v>0</v>
      </c>
      <c r="AG407" s="15">
        <f>Table50[[#This Row],[USAGE / DAY]]*7</f>
        <v>0.28000000000000003</v>
      </c>
      <c r="AH407" s="15">
        <f>Table50[[#This Row],[USAGE / DAY]]*3</f>
        <v>0.12</v>
      </c>
      <c r="AI407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0.4</v>
      </c>
      <c r="AJ407" s="15">
        <f>IFERROR(Table50[[#This Row],[ORDER QTY2]]*Table50[[#This Row],[COST PRICE]],0)</f>
        <v>13.74074074074074</v>
      </c>
      <c r="AK407" s="15">
        <f>(Table50[[#This Row],[REORDER POINT]]*Table50[[#This Row],[COST PRICE]])+Table50[[#This Row],[ORDER COST]]</f>
        <v>27.481481481481477</v>
      </c>
      <c r="AL407" s="15">
        <f t="shared" si="20"/>
        <v>100</v>
      </c>
      <c r="AM407" s="15">
        <f>IFERROR((Table50[[#This Row],[REORDER POINT]]+Table50[[#This Row],[ORDER QTY]])/(Table50[[#This Row],[USAGE / DAY]]*Table50[[#This Row],[DEMAND %]]),Table50[[#This Row],[REORDER POINT]]/Table50[[#This Row],[USAGE / DAY]])</f>
        <v>0.2</v>
      </c>
    </row>
    <row r="408" spans="1:39" x14ac:dyDescent="0.25">
      <c r="A408" t="s">
        <v>324</v>
      </c>
      <c r="B408" t="s">
        <v>510</v>
      </c>
      <c r="C408" t="s">
        <v>524</v>
      </c>
      <c r="D408" t="s">
        <v>126</v>
      </c>
      <c r="E408">
        <v>1.03</v>
      </c>
      <c r="F408">
        <v>34.119999999999997</v>
      </c>
      <c r="G408">
        <v>0</v>
      </c>
      <c r="H408">
        <v>0</v>
      </c>
      <c r="I408">
        <v>0</v>
      </c>
      <c r="J408">
        <v>0</v>
      </c>
      <c r="K408">
        <f>Table50[[#This Row],[OpeningQty]]+Table50[[#This Row],[PurchasesQty]]-Table50[[#This Row],[ClosingQty]]</f>
        <v>1.03</v>
      </c>
      <c r="L408">
        <v>34.119999999999997</v>
      </c>
      <c r="M408" s="14">
        <f>Table50[[#This Row],[Usage]]/$L$1</f>
        <v>5.1821435362631577E-5</v>
      </c>
      <c r="N408" s="15">
        <f>IFERROR(Table50[[#This Row],[Opening]]/Table50[[#This Row],[OpeningQty]],0)</f>
        <v>33.126213592233007</v>
      </c>
      <c r="O408" s="15">
        <f>IFERROR(Table50[[#This Row],[Purchases]]/Table50[[#This Row],[PurchasesQty]],0)</f>
        <v>0</v>
      </c>
      <c r="P408" s="15">
        <f>IFERROR(Table50[[#This Row],[Closing]]/Table50[[#This Row],[ClosingQty]],0)</f>
        <v>0</v>
      </c>
      <c r="Q408" s="15">
        <f>IFERROR(AVERAGEIF(Table50[[#This Row],[OPENING COST PRICE]:[CLOSING COST PRICE]],"&gt;0"),0)</f>
        <v>33.126213592233007</v>
      </c>
      <c r="R408" s="15">
        <f>IFERROR(Table50[[#This Row],[COST PRICE]]-IFERROR(Table50[[#This Row],[Usage]]/Table50[[#This Row],[UsageQty]],Table50[[#This Row],[COST PRICE]]),0)</f>
        <v>0</v>
      </c>
      <c r="S408" s="16">
        <f>IFERROR(Table50[[#This Row],[COST PRICE CHANGE]]/Table50[[#This Row],[OPENING COST PRICE]],0)</f>
        <v>0</v>
      </c>
      <c r="T408" s="15">
        <f>Table50[[#This Row],[ClosingQty]]-(Table50[[#This Row],[USAGE / DAY]]*(IF(Table50[[#This Row],[ccnt]]="BEV",Table50[[#This Row],[DELIVERY DAY]],Table50[[#This Row],[DELIVERY DAY]])))</f>
        <v>-0.4</v>
      </c>
      <c r="U408" s="15">
        <f>ROUNDUP(Table50[[#This Row],[UsageQty]]/Table50[[#This Row],[DATA POINT]],2)</f>
        <v>0.08</v>
      </c>
      <c r="V40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2</v>
      </c>
      <c r="W408" s="15">
        <f>IFERROR(Table50[[#This Row],[ORDER QTY]]*Table50[[#This Row],[COST PRICE]],0)</f>
        <v>66.252427184466015</v>
      </c>
      <c r="X408" s="15">
        <f>IFERROR(VLOOKUP(C408,[1]!Table49[[#All],[name]:[USAGE / DAY]],19,FALSE),1)</f>
        <v>-0.05</v>
      </c>
      <c r="Y408" s="4">
        <f>IFERROR((Table50[[#This Row],[USAGE / DAY]]-Table50[[#This Row],[USAGE / DAY 2]])/Table50[[#This Row],[USAGE / DAY 2]],0)</f>
        <v>-2.6</v>
      </c>
      <c r="Z408" s="15">
        <f t="shared" si="18"/>
        <v>14</v>
      </c>
      <c r="AA408" s="15">
        <f t="shared" si="19"/>
        <v>9.311854181734148</v>
      </c>
      <c r="AB408" s="15">
        <f>IFERROR(IF(Table50[[#This Row],[ccnt]]="BEV",$AB$2,IF(Table50[[#This Row],[ccnt]]="FOOD",$AC$2,"ENTER # FROM LAST COUNT")),"ENTER # FROM LAST COUNT")</f>
        <v>5</v>
      </c>
      <c r="AC408" s="15">
        <f>(Table50[[#This Row],[OpeningQty]]+Table50[[#This Row],[ClosingQty]])/2</f>
        <v>0.51500000000000001</v>
      </c>
      <c r="AD408" s="15">
        <f>IFERROR(Table50[[#This Row],[UsageQty]]/Table50[[#This Row],[AVE INVENTORY]],0)</f>
        <v>2</v>
      </c>
      <c r="AE408" s="15">
        <f>IFERROR(Table50[[#This Row],[DATA POINT]]/Table50[[#This Row],[Inventory Turnover Rate]],0)</f>
        <v>7</v>
      </c>
      <c r="AF408" s="15">
        <f>Table50[[#This Row],[ClosingQty]]/Table50[[#This Row],[USAGE / DAY]]</f>
        <v>0</v>
      </c>
      <c r="AG408" s="15">
        <f>Table50[[#This Row],[USAGE / DAY]]*7</f>
        <v>0.56000000000000005</v>
      </c>
      <c r="AH408" s="15">
        <f>Table50[[#This Row],[USAGE / DAY]]*3</f>
        <v>0.24</v>
      </c>
      <c r="AI408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0.8</v>
      </c>
      <c r="AJ408" s="15">
        <f>IFERROR(Table50[[#This Row],[ORDER QTY2]]*Table50[[#This Row],[COST PRICE]],0)</f>
        <v>26.500970873786407</v>
      </c>
      <c r="AK408" s="15">
        <f>(Table50[[#This Row],[REORDER POINT]]*Table50[[#This Row],[COST PRICE]])+Table50[[#This Row],[ORDER COST]]</f>
        <v>53.001941747572815</v>
      </c>
      <c r="AL408" s="15">
        <f t="shared" si="20"/>
        <v>100</v>
      </c>
      <c r="AM408" s="15">
        <f>IFERROR((Table50[[#This Row],[REORDER POINT]]+Table50[[#This Row],[ORDER QTY]])/(Table50[[#This Row],[USAGE / DAY]]*Table50[[#This Row],[DEMAND %]]),Table50[[#This Row],[REORDER POINT]]/Table50[[#This Row],[USAGE / DAY]])</f>
        <v>0.2</v>
      </c>
    </row>
    <row r="409" spans="1:39" x14ac:dyDescent="0.25">
      <c r="A409" t="s">
        <v>324</v>
      </c>
      <c r="B409" t="s">
        <v>510</v>
      </c>
      <c r="C409" t="s">
        <v>525</v>
      </c>
      <c r="D409" t="s">
        <v>126</v>
      </c>
      <c r="E409">
        <v>0.03</v>
      </c>
      <c r="F409">
        <v>25.49</v>
      </c>
      <c r="G409">
        <v>0.84</v>
      </c>
      <c r="H409">
        <v>86.94</v>
      </c>
      <c r="I409">
        <v>0.01</v>
      </c>
      <c r="J409">
        <v>6.5</v>
      </c>
      <c r="K409">
        <f>Table50[[#This Row],[OpeningQty]]+Table50[[#This Row],[PurchasesQty]]-Table50[[#This Row],[ClosingQty]]</f>
        <v>0.86</v>
      </c>
      <c r="L409">
        <v>105.93</v>
      </c>
      <c r="M409" s="14">
        <f>Table50[[#This Row],[Usage]]/$L$1</f>
        <v>1.6088641992859212E-4</v>
      </c>
      <c r="N409" s="15">
        <f>IFERROR(Table50[[#This Row],[Opening]]/Table50[[#This Row],[OpeningQty]],0)</f>
        <v>849.66666666666663</v>
      </c>
      <c r="O409" s="15">
        <f>IFERROR(Table50[[#This Row],[Purchases]]/Table50[[#This Row],[PurchasesQty]],0)</f>
        <v>103.5</v>
      </c>
      <c r="P409" s="15">
        <f>IFERROR(Table50[[#This Row],[Closing]]/Table50[[#This Row],[ClosingQty]],0)</f>
        <v>650</v>
      </c>
      <c r="Q409" s="15">
        <f>IFERROR(AVERAGEIF(Table50[[#This Row],[OPENING COST PRICE]:[CLOSING COST PRICE]],"&gt;0"),0)</f>
        <v>534.3888888888888</v>
      </c>
      <c r="R409" s="15">
        <f>IFERROR(Table50[[#This Row],[COST PRICE]]-IFERROR(Table50[[#This Row],[Usage]]/Table50[[#This Row],[UsageQty]],Table50[[#This Row],[COST PRICE]]),0)</f>
        <v>411.21447028423762</v>
      </c>
      <c r="S409" s="16">
        <f>IFERROR(Table50[[#This Row],[COST PRICE CHANGE]]/Table50[[#This Row],[OPENING COST PRICE]],0)</f>
        <v>0.48397152250008352</v>
      </c>
      <c r="T409" s="15">
        <f>Table50[[#This Row],[ClosingQty]]-(Table50[[#This Row],[USAGE / DAY]]*(IF(Table50[[#This Row],[ccnt]]="BEV",Table50[[#This Row],[DELIVERY DAY]],Table50[[#This Row],[DELIVERY DAY]])))</f>
        <v>-0.33999999999999997</v>
      </c>
      <c r="U409" s="15">
        <f>ROUNDUP(Table50[[#This Row],[UsageQty]]/Table50[[#This Row],[DATA POINT]],2)</f>
        <v>6.9999999999999993E-2</v>
      </c>
      <c r="V409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409" s="15">
        <f>IFERROR(Table50[[#This Row],[ORDER QTY]]*Table50[[#This Row],[COST PRICE]],0)</f>
        <v>534.3888888888888</v>
      </c>
      <c r="X409" s="15">
        <f>IFERROR(VLOOKUP(C409,[1]!Table49[[#All],[name]:[USAGE / DAY]],19,FALSE),1)</f>
        <v>0.08</v>
      </c>
      <c r="Y409" s="4">
        <f>IFERROR((Table50[[#This Row],[USAGE / DAY]]-Table50[[#This Row],[USAGE / DAY 2]])/Table50[[#This Row],[USAGE / DAY 2]],0)</f>
        <v>-0.12500000000000011</v>
      </c>
      <c r="Z409" s="15">
        <f t="shared" si="18"/>
        <v>14</v>
      </c>
      <c r="AA409" s="15">
        <f t="shared" si="19"/>
        <v>9.311854181734148</v>
      </c>
      <c r="AB409" s="15">
        <f>IFERROR(IF(Table50[[#This Row],[ccnt]]="BEV",$AB$2,IF(Table50[[#This Row],[ccnt]]="FOOD",$AC$2,"ENTER # FROM LAST COUNT")),"ENTER # FROM LAST COUNT")</f>
        <v>5</v>
      </c>
      <c r="AC409" s="15">
        <f>(Table50[[#This Row],[OpeningQty]]+Table50[[#This Row],[ClosingQty]])/2</f>
        <v>0.02</v>
      </c>
      <c r="AD409" s="15">
        <f>IFERROR(Table50[[#This Row],[UsageQty]]/Table50[[#This Row],[AVE INVENTORY]],0)</f>
        <v>43</v>
      </c>
      <c r="AE409" s="15">
        <f>IFERROR(Table50[[#This Row],[DATA POINT]]/Table50[[#This Row],[Inventory Turnover Rate]],0)</f>
        <v>0.32558139534883723</v>
      </c>
      <c r="AF409" s="15">
        <f>Table50[[#This Row],[ClosingQty]]/Table50[[#This Row],[USAGE / DAY]]</f>
        <v>0.14285714285714288</v>
      </c>
      <c r="AG409" s="15">
        <f>Table50[[#This Row],[USAGE / DAY]]*7</f>
        <v>0.48999999999999994</v>
      </c>
      <c r="AH409" s="15">
        <f>Table50[[#This Row],[USAGE / DAY]]*3</f>
        <v>0.20999999999999996</v>
      </c>
      <c r="AI409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0.69</v>
      </c>
      <c r="AJ409" s="15">
        <f>IFERROR(Table50[[#This Row],[ORDER QTY2]]*Table50[[#This Row],[COST PRICE]],0)</f>
        <v>368.72833333333324</v>
      </c>
      <c r="AK409" s="15">
        <f>(Table50[[#This Row],[REORDER POINT]]*Table50[[#This Row],[COST PRICE]])+Table50[[#This Row],[ORDER COST]]</f>
        <v>352.6966666666666</v>
      </c>
      <c r="AL409" s="15">
        <f t="shared" si="20"/>
        <v>100</v>
      </c>
      <c r="AM409" s="15">
        <f>IFERROR((Table50[[#This Row],[REORDER POINT]]+Table50[[#This Row],[ORDER QTY]])/(Table50[[#This Row],[USAGE / DAY]]*Table50[[#This Row],[DEMAND %]]),Table50[[#This Row],[REORDER POINT]]/Table50[[#This Row],[USAGE / DAY]])</f>
        <v>9.4285714285714306E-2</v>
      </c>
    </row>
    <row r="410" spans="1:39" x14ac:dyDescent="0.25">
      <c r="A410" t="s">
        <v>324</v>
      </c>
      <c r="B410" t="s">
        <v>510</v>
      </c>
      <c r="C410" t="s">
        <v>526</v>
      </c>
      <c r="D410" t="s">
        <v>126</v>
      </c>
      <c r="E410">
        <v>11.4</v>
      </c>
      <c r="F410">
        <v>78.89</v>
      </c>
      <c r="G410">
        <v>10</v>
      </c>
      <c r="H410">
        <v>89.9</v>
      </c>
      <c r="I410">
        <v>9.35</v>
      </c>
      <c r="J410">
        <v>84.06</v>
      </c>
      <c r="K410">
        <f>Table50[[#This Row],[OpeningQty]]+Table50[[#This Row],[PurchasesQty]]-Table50[[#This Row],[ClosingQty]]</f>
        <v>12.049999999999999</v>
      </c>
      <c r="L410">
        <v>84.73</v>
      </c>
      <c r="M410" s="14">
        <f>Table50[[#This Row],[Usage]]/$L$1</f>
        <v>1.2868787275134154E-4</v>
      </c>
      <c r="N410" s="15">
        <f>IFERROR(Table50[[#This Row],[Opening]]/Table50[[#This Row],[OpeningQty]],0)</f>
        <v>6.9201754385964911</v>
      </c>
      <c r="O410" s="15">
        <f>IFERROR(Table50[[#This Row],[Purchases]]/Table50[[#This Row],[PurchasesQty]],0)</f>
        <v>8.99</v>
      </c>
      <c r="P410" s="15">
        <f>IFERROR(Table50[[#This Row],[Closing]]/Table50[[#This Row],[ClosingQty]],0)</f>
        <v>8.990374331550802</v>
      </c>
      <c r="Q410" s="15">
        <f>IFERROR(AVERAGEIF(Table50[[#This Row],[OPENING COST PRICE]:[CLOSING COST PRICE]],"&gt;0"),0)</f>
        <v>8.3001832567157638</v>
      </c>
      <c r="R410" s="15">
        <f>IFERROR(Table50[[#This Row],[COST PRICE]]-IFERROR(Table50[[#This Row],[Usage]]/Table50[[#This Row],[UsageQty]],Table50[[#This Row],[COST PRICE]]),0)</f>
        <v>1.2686479870062195</v>
      </c>
      <c r="S410" s="16">
        <f>IFERROR(Table50[[#This Row],[COST PRICE CHANGE]]/Table50[[#This Row],[OPENING COST PRICE]],0)</f>
        <v>0.18332598620700852</v>
      </c>
      <c r="T410" s="15">
        <f>Table50[[#This Row],[ClosingQty]]-(Table50[[#This Row],[USAGE / DAY]]*(IF(Table50[[#This Row],[ccnt]]="BEV",Table50[[#This Row],[DELIVERY DAY]],Table50[[#This Row],[DELIVERY DAY]])))</f>
        <v>5</v>
      </c>
      <c r="U410" s="15">
        <f>ROUNDUP(Table50[[#This Row],[UsageQty]]/Table50[[#This Row],[DATA POINT]],2)</f>
        <v>0.87</v>
      </c>
      <c r="V410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410" s="15">
        <f>IFERROR(Table50[[#This Row],[ORDER QTY]]*Table50[[#This Row],[COST PRICE]],0)</f>
        <v>33.200733026863055</v>
      </c>
      <c r="X410" s="15">
        <f>IFERROR(VLOOKUP(C410,[1]!Table49[[#All],[name]:[USAGE / DAY]],19,FALSE),1)</f>
        <v>0.93</v>
      </c>
      <c r="Y410" s="4">
        <f>IFERROR((Table50[[#This Row],[USAGE / DAY]]-Table50[[#This Row],[USAGE / DAY 2]])/Table50[[#This Row],[USAGE / DAY 2]],0)</f>
        <v>-6.4516129032258118E-2</v>
      </c>
      <c r="Z410" s="15">
        <f t="shared" si="18"/>
        <v>14</v>
      </c>
      <c r="AA410" s="15">
        <f t="shared" si="19"/>
        <v>9.311854181734148</v>
      </c>
      <c r="AB410" s="15">
        <f>IFERROR(IF(Table50[[#This Row],[ccnt]]="BEV",$AB$2,IF(Table50[[#This Row],[ccnt]]="FOOD",$AC$2,"ENTER # FROM LAST COUNT")),"ENTER # FROM LAST COUNT")</f>
        <v>5</v>
      </c>
      <c r="AC410" s="15">
        <f>(Table50[[#This Row],[OpeningQty]]+Table50[[#This Row],[ClosingQty]])/2</f>
        <v>10.375</v>
      </c>
      <c r="AD410" s="15">
        <f>IFERROR(Table50[[#This Row],[UsageQty]]/Table50[[#This Row],[AVE INVENTORY]],0)</f>
        <v>1.16144578313253</v>
      </c>
      <c r="AE410" s="15">
        <f>IFERROR(Table50[[#This Row],[DATA POINT]]/Table50[[#This Row],[Inventory Turnover Rate]],0)</f>
        <v>12.053941908713695</v>
      </c>
      <c r="AF410" s="15">
        <f>Table50[[#This Row],[ClosingQty]]/Table50[[#This Row],[USAGE / DAY]]</f>
        <v>10.74712643678161</v>
      </c>
      <c r="AG410" s="15">
        <f>Table50[[#This Row],[USAGE / DAY]]*7</f>
        <v>6.09</v>
      </c>
      <c r="AH410" s="15">
        <f>Table50[[#This Row],[USAGE / DAY]]*3</f>
        <v>2.61</v>
      </c>
      <c r="AI410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10" s="15">
        <f>IFERROR(Table50[[#This Row],[ORDER QTY2]]*Table50[[#This Row],[COST PRICE]],0)</f>
        <v>0</v>
      </c>
      <c r="AK410" s="15">
        <f>(Table50[[#This Row],[REORDER POINT]]*Table50[[#This Row],[COST PRICE]])+Table50[[#This Row],[ORDER COST]]</f>
        <v>74.701649310441866</v>
      </c>
      <c r="AL410" s="15">
        <f t="shared" si="20"/>
        <v>100</v>
      </c>
      <c r="AM410" s="15">
        <f>IFERROR((Table50[[#This Row],[REORDER POINT]]+Table50[[#This Row],[ORDER QTY]])/(Table50[[#This Row],[USAGE / DAY]]*Table50[[#This Row],[DEMAND %]]),Table50[[#This Row],[REORDER POINT]]/Table50[[#This Row],[USAGE / DAY]])</f>
        <v>0.10344827586206896</v>
      </c>
    </row>
    <row r="411" spans="1:39" x14ac:dyDescent="0.25">
      <c r="A411" t="s">
        <v>324</v>
      </c>
      <c r="B411" t="s">
        <v>510</v>
      </c>
      <c r="C411" t="s">
        <v>527</v>
      </c>
      <c r="D411" t="s">
        <v>126</v>
      </c>
      <c r="E411">
        <v>2.2599999999999998</v>
      </c>
      <c r="F411">
        <v>21.65</v>
      </c>
      <c r="G411">
        <v>6</v>
      </c>
      <c r="H411">
        <v>173.4</v>
      </c>
      <c r="I411">
        <v>2.4500000000000002</v>
      </c>
      <c r="J411">
        <v>70.81</v>
      </c>
      <c r="K411">
        <f>Table50[[#This Row],[OpeningQty]]+Table50[[#This Row],[PurchasesQty]]-Table50[[#This Row],[ClosingQty]]</f>
        <v>5.81</v>
      </c>
      <c r="L411">
        <v>124.24</v>
      </c>
      <c r="M411" s="14">
        <f>Table50[[#This Row],[Usage]]/$L$1</f>
        <v>1.8869563685384956E-4</v>
      </c>
      <c r="N411" s="15">
        <f>IFERROR(Table50[[#This Row],[Opening]]/Table50[[#This Row],[OpeningQty]],0)</f>
        <v>9.5796460176991154</v>
      </c>
      <c r="O411" s="15">
        <f>IFERROR(Table50[[#This Row],[Purchases]]/Table50[[#This Row],[PurchasesQty]],0)</f>
        <v>28.900000000000002</v>
      </c>
      <c r="P411" s="15">
        <f>IFERROR(Table50[[#This Row],[Closing]]/Table50[[#This Row],[ClosingQty]],0)</f>
        <v>28.902040816326529</v>
      </c>
      <c r="Q411" s="15">
        <f>IFERROR(AVERAGEIF(Table50[[#This Row],[OPENING COST PRICE]:[CLOSING COST PRICE]],"&gt;0"),0)</f>
        <v>22.460562278008549</v>
      </c>
      <c r="R411" s="15">
        <f>IFERROR(Table50[[#This Row],[COST PRICE]]-IFERROR(Table50[[#This Row],[Usage]]/Table50[[#This Row],[UsageQty]],Table50[[#This Row],[COST PRICE]]),0)</f>
        <v>1.0767412797297204</v>
      </c>
      <c r="S411" s="16">
        <f>IFERROR(Table50[[#This Row],[COST PRICE CHANGE]]/Table50[[#This Row],[OPENING COST PRICE]],0)</f>
        <v>0.11239885876162439</v>
      </c>
      <c r="T411" s="15">
        <f>Table50[[#This Row],[ClosingQty]]-(Table50[[#This Row],[USAGE / DAY]]*(IF(Table50[[#This Row],[ccnt]]="BEV",Table50[[#This Row],[DELIVERY DAY]],Table50[[#This Row],[DELIVERY DAY]])))</f>
        <v>0.35000000000000009</v>
      </c>
      <c r="U411" s="15">
        <f>ROUNDUP(Table50[[#This Row],[UsageQty]]/Table50[[#This Row],[DATA POINT]],2)</f>
        <v>0.42</v>
      </c>
      <c r="V411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4</v>
      </c>
      <c r="W411" s="15">
        <f>IFERROR(Table50[[#This Row],[ORDER QTY]]*Table50[[#This Row],[COST PRICE]],0)</f>
        <v>89.842249112034196</v>
      </c>
      <c r="X411" s="15">
        <f>IFERROR(VLOOKUP(C411,[1]!Table49[[#All],[name]:[USAGE / DAY]],19,FALSE),1)</f>
        <v>9.9999999999999992E-2</v>
      </c>
      <c r="Y411" s="4">
        <f>IFERROR((Table50[[#This Row],[USAGE / DAY]]-Table50[[#This Row],[USAGE / DAY 2]])/Table50[[#This Row],[USAGE / DAY 2]],0)</f>
        <v>3.2</v>
      </c>
      <c r="Z411" s="15">
        <f t="shared" si="18"/>
        <v>14</v>
      </c>
      <c r="AA411" s="15">
        <f t="shared" si="19"/>
        <v>9.311854181734148</v>
      </c>
      <c r="AB411" s="15">
        <f>IFERROR(IF(Table50[[#This Row],[ccnt]]="BEV",$AB$2,IF(Table50[[#This Row],[ccnt]]="FOOD",$AC$2,"ENTER # FROM LAST COUNT")),"ENTER # FROM LAST COUNT")</f>
        <v>5</v>
      </c>
      <c r="AC411" s="15">
        <f>(Table50[[#This Row],[OpeningQty]]+Table50[[#This Row],[ClosingQty]])/2</f>
        <v>2.355</v>
      </c>
      <c r="AD411" s="15">
        <f>IFERROR(Table50[[#This Row],[UsageQty]]/Table50[[#This Row],[AVE INVENTORY]],0)</f>
        <v>2.4670912951167727</v>
      </c>
      <c r="AE411" s="15">
        <f>IFERROR(Table50[[#This Row],[DATA POINT]]/Table50[[#This Row],[Inventory Turnover Rate]],0)</f>
        <v>5.6746987951807233</v>
      </c>
      <c r="AF411" s="15">
        <f>Table50[[#This Row],[ClosingQty]]/Table50[[#This Row],[USAGE / DAY]]</f>
        <v>5.8333333333333339</v>
      </c>
      <c r="AG411" s="15">
        <f>Table50[[#This Row],[USAGE / DAY]]*7</f>
        <v>2.94</v>
      </c>
      <c r="AH411" s="15">
        <f>Table50[[#This Row],[USAGE / DAY]]*3</f>
        <v>1.26</v>
      </c>
      <c r="AI411" s="15">
        <f>IF(Table50[[#This Row],[FORECASTED DEMAND]]+Table50[[#This Row],[SAFETY STOCK]]-Table50[[#This Row],[ClosingQty]]&gt;0,Table50[[#This Row],[FORECASTED DEMAND]]+Table50[[#This Row],[SAFETY STOCK]]-Table50[[#This Row],[ClosingQty]],"NO ORDER")</f>
        <v>1.75</v>
      </c>
      <c r="AJ411" s="15">
        <f>IFERROR(Table50[[#This Row],[ORDER QTY2]]*Table50[[#This Row],[COST PRICE]],0)</f>
        <v>39.30598398651496</v>
      </c>
      <c r="AK411" s="15">
        <f>(Table50[[#This Row],[REORDER POINT]]*Table50[[#This Row],[COST PRICE]])+Table50[[#This Row],[ORDER COST]]</f>
        <v>97.703445909337191</v>
      </c>
      <c r="AL411" s="15">
        <f t="shared" si="20"/>
        <v>100</v>
      </c>
      <c r="AM411" s="15">
        <f>IFERROR((Table50[[#This Row],[REORDER POINT]]+Table50[[#This Row],[ORDER QTY]])/(Table50[[#This Row],[USAGE / DAY]]*Table50[[#This Row],[DEMAND %]]),Table50[[#This Row],[REORDER POINT]]/Table50[[#This Row],[USAGE / DAY]])</f>
        <v>0.10357142857142856</v>
      </c>
    </row>
    <row r="412" spans="1:39" x14ac:dyDescent="0.25">
      <c r="A412" t="s">
        <v>324</v>
      </c>
      <c r="B412" t="s">
        <v>510</v>
      </c>
      <c r="C412" t="s">
        <v>528</v>
      </c>
      <c r="D412" t="s">
        <v>126</v>
      </c>
      <c r="E412">
        <v>1.25</v>
      </c>
      <c r="F412">
        <v>106.88</v>
      </c>
      <c r="G412">
        <v>0</v>
      </c>
      <c r="H412">
        <v>0</v>
      </c>
      <c r="I412">
        <v>1.35</v>
      </c>
      <c r="J412">
        <v>115.43</v>
      </c>
      <c r="K412">
        <f>Table50[[#This Row],[OpeningQty]]+Table50[[#This Row],[PurchasesQty]]-Table50[[#This Row],[ClosingQty]]</f>
        <v>-0.10000000000000009</v>
      </c>
      <c r="L412">
        <v>-8.5500000000000007</v>
      </c>
      <c r="M412" s="14">
        <f>Table50[[#This Row],[Usage]]/$L$1</f>
        <v>-1.2985734828560963E-5</v>
      </c>
      <c r="N412" s="15">
        <f>IFERROR(Table50[[#This Row],[Opening]]/Table50[[#This Row],[OpeningQty]],0)</f>
        <v>85.503999999999991</v>
      </c>
      <c r="O412" s="15">
        <f>IFERROR(Table50[[#This Row],[Purchases]]/Table50[[#This Row],[PurchasesQty]],0)</f>
        <v>0</v>
      </c>
      <c r="P412" s="15">
        <f>IFERROR(Table50[[#This Row],[Closing]]/Table50[[#This Row],[ClosingQty]],0)</f>
        <v>85.503703703703707</v>
      </c>
      <c r="Q412" s="15">
        <f>IFERROR(AVERAGEIF(Table50[[#This Row],[OPENING COST PRICE]:[CLOSING COST PRICE]],"&gt;0"),0)</f>
        <v>85.503851851851849</v>
      </c>
      <c r="R412" s="15">
        <f>IFERROR(Table50[[#This Row],[COST PRICE]]-IFERROR(Table50[[#This Row],[Usage]]/Table50[[#This Row],[UsageQty]],Table50[[#This Row],[COST PRICE]]),0)</f>
        <v>3.8518518519197187E-3</v>
      </c>
      <c r="S412" s="16">
        <f>IFERROR(Table50[[#This Row],[COST PRICE CHANGE]]/Table50[[#This Row],[OPENING COST PRICE]],0)</f>
        <v>4.5048791307070067E-5</v>
      </c>
      <c r="T412" s="15">
        <f>Table50[[#This Row],[ClosingQty]]-(Table50[[#This Row],[USAGE / DAY]]*(IF(Table50[[#This Row],[ccnt]]="BEV",Table50[[#This Row],[DELIVERY DAY]],Table50[[#This Row],[DELIVERY DAY]])))</f>
        <v>1.4000000000000001</v>
      </c>
      <c r="U412" s="15">
        <f>ROUNDUP(Table50[[#This Row],[UsageQty]]/Table50[[#This Row],[DATA POINT]],2)</f>
        <v>-0.01</v>
      </c>
      <c r="V412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12" s="15">
        <f>IFERROR(Table50[[#This Row],[ORDER QTY]]*Table50[[#This Row],[COST PRICE]],0)</f>
        <v>0</v>
      </c>
      <c r="X412" s="15">
        <f>IFERROR(VLOOKUP(C412,[1]!Table49[[#All],[name]:[USAGE / DAY]],19,FALSE),1)</f>
        <v>-0.03</v>
      </c>
      <c r="Y412" s="4">
        <f>IFERROR((Table50[[#This Row],[USAGE / DAY]]-Table50[[#This Row],[USAGE / DAY 2]])/Table50[[#This Row],[USAGE / DAY 2]],0)</f>
        <v>-0.66666666666666663</v>
      </c>
      <c r="Z412" s="15">
        <f t="shared" si="18"/>
        <v>14</v>
      </c>
      <c r="AA412" s="15">
        <f t="shared" si="19"/>
        <v>9.311854181734148</v>
      </c>
      <c r="AB412" s="15">
        <f>IFERROR(IF(Table50[[#This Row],[ccnt]]="BEV",$AB$2,IF(Table50[[#This Row],[ccnt]]="FOOD",$AC$2,"ENTER # FROM LAST COUNT")),"ENTER # FROM LAST COUNT")</f>
        <v>5</v>
      </c>
      <c r="AC412" s="15">
        <f>(Table50[[#This Row],[OpeningQty]]+Table50[[#This Row],[ClosingQty]])/2</f>
        <v>1.3</v>
      </c>
      <c r="AD412" s="15">
        <f>IFERROR(Table50[[#This Row],[UsageQty]]/Table50[[#This Row],[AVE INVENTORY]],0)</f>
        <v>-7.6923076923076983E-2</v>
      </c>
      <c r="AE412" s="15">
        <f>IFERROR(Table50[[#This Row],[DATA POINT]]/Table50[[#This Row],[Inventory Turnover Rate]],0)</f>
        <v>-181.99999999999986</v>
      </c>
      <c r="AF412" s="15">
        <f>Table50[[#This Row],[ClosingQty]]/Table50[[#This Row],[USAGE / DAY]]</f>
        <v>-135</v>
      </c>
      <c r="AG412" s="15">
        <f>Table50[[#This Row],[USAGE / DAY]]*7</f>
        <v>-7.0000000000000007E-2</v>
      </c>
      <c r="AH412" s="15">
        <f>Table50[[#This Row],[USAGE / DAY]]*3</f>
        <v>-0.03</v>
      </c>
      <c r="AI412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12" s="15">
        <f>IFERROR(Table50[[#This Row],[ORDER QTY2]]*Table50[[#This Row],[COST PRICE]],0)</f>
        <v>0</v>
      </c>
      <c r="AK412" s="15">
        <f>(Table50[[#This Row],[REORDER POINT]]*Table50[[#This Row],[COST PRICE]])+Table50[[#This Row],[ORDER COST]]</f>
        <v>119.7053925925926</v>
      </c>
      <c r="AL412" s="15">
        <f t="shared" si="20"/>
        <v>100</v>
      </c>
      <c r="AM412" s="15">
        <f>IFERROR((Table50[[#This Row],[REORDER POINT]]+Table50[[#This Row],[ORDER QTY]])/(Table50[[#This Row],[USAGE / DAY]]*Table50[[#This Row],[DEMAND %]]),Table50[[#This Row],[REORDER POINT]]/Table50[[#This Row],[USAGE / DAY]])</f>
        <v>-140</v>
      </c>
    </row>
    <row r="413" spans="1:39" x14ac:dyDescent="0.25">
      <c r="A413" t="s">
        <v>324</v>
      </c>
      <c r="B413" t="s">
        <v>510</v>
      </c>
      <c r="C413" t="s">
        <v>529</v>
      </c>
      <c r="D413" t="s">
        <v>126</v>
      </c>
      <c r="E413">
        <v>0.01</v>
      </c>
      <c r="F413">
        <v>6.5</v>
      </c>
      <c r="G413">
        <v>0.4</v>
      </c>
      <c r="H413">
        <v>12.99</v>
      </c>
      <c r="I413">
        <v>0.01</v>
      </c>
      <c r="J413">
        <v>6.5</v>
      </c>
      <c r="K413">
        <f>Table50[[#This Row],[OpeningQty]]+Table50[[#This Row],[PurchasesQty]]-Table50[[#This Row],[ClosingQty]]</f>
        <v>0.4</v>
      </c>
      <c r="L413">
        <v>12.99</v>
      </c>
      <c r="M413" s="14">
        <f>Table50[[#This Row],[Usage]]/$L$1</f>
        <v>1.9729204143041742E-5</v>
      </c>
      <c r="N413" s="15">
        <f>IFERROR(Table50[[#This Row],[Opening]]/Table50[[#This Row],[OpeningQty]],0)</f>
        <v>650</v>
      </c>
      <c r="O413" s="15">
        <f>IFERROR(Table50[[#This Row],[Purchases]]/Table50[[#This Row],[PurchasesQty]],0)</f>
        <v>32.475000000000001</v>
      </c>
      <c r="P413" s="15">
        <f>IFERROR(Table50[[#This Row],[Closing]]/Table50[[#This Row],[ClosingQty]],0)</f>
        <v>650</v>
      </c>
      <c r="Q413" s="15">
        <f>IFERROR(AVERAGEIF(Table50[[#This Row],[OPENING COST PRICE]:[CLOSING COST PRICE]],"&gt;0"),0)</f>
        <v>444.1583333333333</v>
      </c>
      <c r="R413" s="15">
        <f>IFERROR(Table50[[#This Row],[COST PRICE]]-IFERROR(Table50[[#This Row],[Usage]]/Table50[[#This Row],[UsageQty]],Table50[[#This Row],[COST PRICE]]),0)</f>
        <v>411.68333333333328</v>
      </c>
      <c r="S413" s="16">
        <f>IFERROR(Table50[[#This Row],[COST PRICE CHANGE]]/Table50[[#This Row],[OPENING COST PRICE]],0)</f>
        <v>0.63335897435897426</v>
      </c>
      <c r="T413" s="15">
        <f>Table50[[#This Row],[ClosingQty]]-(Table50[[#This Row],[USAGE / DAY]]*(IF(Table50[[#This Row],[ccnt]]="BEV",Table50[[#This Row],[DELIVERY DAY]],Table50[[#This Row],[DELIVERY DAY]])))</f>
        <v>-0.13999999999999999</v>
      </c>
      <c r="U413" s="15">
        <f>ROUNDUP(Table50[[#This Row],[UsageQty]]/Table50[[#This Row],[DATA POINT]],2)</f>
        <v>0.03</v>
      </c>
      <c r="V413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413" s="15">
        <f>IFERROR(Table50[[#This Row],[ORDER QTY]]*Table50[[#This Row],[COST PRICE]],0)</f>
        <v>444.1583333333333</v>
      </c>
      <c r="X413" s="15">
        <f>IFERROR(VLOOKUP(C413,[1]!Table49[[#All],[name]:[USAGE / DAY]],19,FALSE),1)</f>
        <v>0.02</v>
      </c>
      <c r="Y413" s="4">
        <f>IFERROR((Table50[[#This Row],[USAGE / DAY]]-Table50[[#This Row],[USAGE / DAY 2]])/Table50[[#This Row],[USAGE / DAY 2]],0)</f>
        <v>0.49999999999999989</v>
      </c>
      <c r="Z413" s="15">
        <f t="shared" si="18"/>
        <v>14</v>
      </c>
      <c r="AA413" s="15">
        <f t="shared" si="19"/>
        <v>9.311854181734148</v>
      </c>
      <c r="AB413" s="15">
        <f>IFERROR(IF(Table50[[#This Row],[ccnt]]="BEV",$AB$2,IF(Table50[[#This Row],[ccnt]]="FOOD",$AC$2,"ENTER # FROM LAST COUNT")),"ENTER # FROM LAST COUNT")</f>
        <v>5</v>
      </c>
      <c r="AC413" s="15">
        <f>(Table50[[#This Row],[OpeningQty]]+Table50[[#This Row],[ClosingQty]])/2</f>
        <v>0.01</v>
      </c>
      <c r="AD413" s="15">
        <f>IFERROR(Table50[[#This Row],[UsageQty]]/Table50[[#This Row],[AVE INVENTORY]],0)</f>
        <v>40</v>
      </c>
      <c r="AE413" s="15">
        <f>IFERROR(Table50[[#This Row],[DATA POINT]]/Table50[[#This Row],[Inventory Turnover Rate]],0)</f>
        <v>0.35</v>
      </c>
      <c r="AF413" s="15">
        <f>Table50[[#This Row],[ClosingQty]]/Table50[[#This Row],[USAGE / DAY]]</f>
        <v>0.33333333333333337</v>
      </c>
      <c r="AG413" s="15">
        <f>Table50[[#This Row],[USAGE / DAY]]*7</f>
        <v>0.21</v>
      </c>
      <c r="AH413" s="15">
        <f>Table50[[#This Row],[USAGE / DAY]]*3</f>
        <v>0.09</v>
      </c>
      <c r="AI413" s="15">
        <f>IF(Table50[[#This Row],[FORECASTED DEMAND]]+Table50[[#This Row],[SAFETY STOCK]]-Table50[[#This Row],[ClosingQty]]&gt;0,Table50[[#This Row],[FORECASTED DEMAND]]+Table50[[#This Row],[SAFETY STOCK]]-Table50[[#This Row],[ClosingQty]],"NO ORDER")</f>
        <v>0.28999999999999998</v>
      </c>
      <c r="AJ413" s="15">
        <f>IFERROR(Table50[[#This Row],[ORDER QTY2]]*Table50[[#This Row],[COST PRICE]],0)</f>
        <v>128.80591666666666</v>
      </c>
      <c r="AK413" s="15">
        <f>(Table50[[#This Row],[REORDER POINT]]*Table50[[#This Row],[COST PRICE]])+Table50[[#This Row],[ORDER COST]]</f>
        <v>381.97616666666664</v>
      </c>
      <c r="AL413" s="15">
        <f t="shared" si="20"/>
        <v>100</v>
      </c>
      <c r="AM413" s="15">
        <f>IFERROR((Table50[[#This Row],[REORDER POINT]]+Table50[[#This Row],[ORDER QTY]])/(Table50[[#This Row],[USAGE / DAY]]*Table50[[#This Row],[DEMAND %]]),Table50[[#This Row],[REORDER POINT]]/Table50[[#This Row],[USAGE / DAY]])</f>
        <v>0.28666666666666668</v>
      </c>
    </row>
    <row r="414" spans="1:39" x14ac:dyDescent="0.25">
      <c r="A414" t="s">
        <v>324</v>
      </c>
      <c r="B414" t="s">
        <v>510</v>
      </c>
      <c r="C414" t="s">
        <v>530</v>
      </c>
      <c r="D414" t="s">
        <v>126</v>
      </c>
      <c r="E414">
        <v>3.2</v>
      </c>
      <c r="F414">
        <v>123.46</v>
      </c>
      <c r="G414">
        <v>10.5</v>
      </c>
      <c r="H414">
        <v>499.8</v>
      </c>
      <c r="I414">
        <v>6.69</v>
      </c>
      <c r="J414">
        <v>318.44</v>
      </c>
      <c r="K414">
        <f>Table50[[#This Row],[OpeningQty]]+Table50[[#This Row],[PurchasesQty]]-Table50[[#This Row],[ClosingQty]]</f>
        <v>7.0099999999999989</v>
      </c>
      <c r="L414">
        <v>304.82</v>
      </c>
      <c r="M414" s="14">
        <f>Table50[[#This Row],[Usage]]/$L$1</f>
        <v>4.6296043163063764E-4</v>
      </c>
      <c r="N414" s="15">
        <f>IFERROR(Table50[[#This Row],[Opening]]/Table50[[#This Row],[OpeningQty]],0)</f>
        <v>38.581249999999997</v>
      </c>
      <c r="O414" s="15">
        <f>IFERROR(Table50[[#This Row],[Purchases]]/Table50[[#This Row],[PurchasesQty]],0)</f>
        <v>47.6</v>
      </c>
      <c r="P414" s="15">
        <f>IFERROR(Table50[[#This Row],[Closing]]/Table50[[#This Row],[ClosingQty]],0)</f>
        <v>47.599402092675632</v>
      </c>
      <c r="Q414" s="15">
        <f>IFERROR(AVERAGEIF(Table50[[#This Row],[OPENING COST PRICE]:[CLOSING COST PRICE]],"&gt;0"),0)</f>
        <v>44.593550697558548</v>
      </c>
      <c r="R414" s="15">
        <f>IFERROR(Table50[[#This Row],[COST PRICE]]-IFERROR(Table50[[#This Row],[Usage]]/Table50[[#This Row],[UsageQty]],Table50[[#This Row],[COST PRICE]]),0)</f>
        <v>1.1099558330792263</v>
      </c>
      <c r="S414" s="16">
        <f>IFERROR(Table50[[#This Row],[COST PRICE CHANGE]]/Table50[[#This Row],[OPENING COST PRICE]],0)</f>
        <v>2.876930719142657E-2</v>
      </c>
      <c r="T414" s="15">
        <f>Table50[[#This Row],[ClosingQty]]-(Table50[[#This Row],[USAGE / DAY]]*(IF(Table50[[#This Row],[ccnt]]="BEV",Table50[[#This Row],[DELIVERY DAY]],Table50[[#This Row],[DELIVERY DAY]])))</f>
        <v>4.1400000000000006</v>
      </c>
      <c r="U414" s="15">
        <f>ROUNDUP(Table50[[#This Row],[UsageQty]]/Table50[[#This Row],[DATA POINT]],2)</f>
        <v>0.51</v>
      </c>
      <c r="V414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414" s="15">
        <f>IFERROR(Table50[[#This Row],[ORDER QTY]]*Table50[[#This Row],[COST PRICE]],0)</f>
        <v>44.593550697558548</v>
      </c>
      <c r="X414" s="15">
        <f>IFERROR(VLOOKUP(C414,[1]!Table49[[#All],[name]:[USAGE / DAY]],19,FALSE),1)</f>
        <v>0.47000000000000003</v>
      </c>
      <c r="Y414" s="4">
        <f>IFERROR((Table50[[#This Row],[USAGE / DAY]]-Table50[[#This Row],[USAGE / DAY 2]])/Table50[[#This Row],[USAGE / DAY 2]],0)</f>
        <v>8.5106382978723361E-2</v>
      </c>
      <c r="Z414" s="15">
        <f t="shared" si="18"/>
        <v>14</v>
      </c>
      <c r="AA414" s="15">
        <f t="shared" si="19"/>
        <v>9.311854181734148</v>
      </c>
      <c r="AB414" s="15">
        <f>IFERROR(IF(Table50[[#This Row],[ccnt]]="BEV",$AB$2,IF(Table50[[#This Row],[ccnt]]="FOOD",$AC$2,"ENTER # FROM LAST COUNT")),"ENTER # FROM LAST COUNT")</f>
        <v>5</v>
      </c>
      <c r="AC414" s="15">
        <f>(Table50[[#This Row],[OpeningQty]]+Table50[[#This Row],[ClosingQty]])/2</f>
        <v>4.9450000000000003</v>
      </c>
      <c r="AD414" s="15">
        <f>IFERROR(Table50[[#This Row],[UsageQty]]/Table50[[#This Row],[AVE INVENTORY]],0)</f>
        <v>1.4175935288169865</v>
      </c>
      <c r="AE414" s="15">
        <f>IFERROR(Table50[[#This Row],[DATA POINT]]/Table50[[#This Row],[Inventory Turnover Rate]],0)</f>
        <v>9.8758915834522139</v>
      </c>
      <c r="AF414" s="15">
        <f>Table50[[#This Row],[ClosingQty]]/Table50[[#This Row],[USAGE / DAY]]</f>
        <v>13.117647058823531</v>
      </c>
      <c r="AG414" s="15">
        <f>Table50[[#This Row],[USAGE / DAY]]*7</f>
        <v>3.5700000000000003</v>
      </c>
      <c r="AH414" s="15">
        <f>Table50[[#This Row],[USAGE / DAY]]*3</f>
        <v>1.53</v>
      </c>
      <c r="AI414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14" s="15">
        <f>IFERROR(Table50[[#This Row],[ORDER QTY2]]*Table50[[#This Row],[COST PRICE]],0)</f>
        <v>0</v>
      </c>
      <c r="AK414" s="15">
        <f>(Table50[[#This Row],[REORDER POINT]]*Table50[[#This Row],[COST PRICE]])+Table50[[#This Row],[ORDER COST]]</f>
        <v>229.21085058545097</v>
      </c>
      <c r="AL414" s="15">
        <f t="shared" si="20"/>
        <v>100</v>
      </c>
      <c r="AM414" s="15">
        <f>IFERROR((Table50[[#This Row],[REORDER POINT]]+Table50[[#This Row],[ORDER QTY]])/(Table50[[#This Row],[USAGE / DAY]]*Table50[[#This Row],[DEMAND %]]),Table50[[#This Row],[REORDER POINT]]/Table50[[#This Row],[USAGE / DAY]])</f>
        <v>0.10078431372549021</v>
      </c>
    </row>
    <row r="415" spans="1:39" x14ac:dyDescent="0.25">
      <c r="A415" t="s">
        <v>324</v>
      </c>
      <c r="B415" t="s">
        <v>510</v>
      </c>
      <c r="C415" t="s">
        <v>531</v>
      </c>
      <c r="D415" t="s">
        <v>126</v>
      </c>
      <c r="E415">
        <v>0.15</v>
      </c>
      <c r="F415">
        <v>1.29</v>
      </c>
      <c r="G415">
        <v>0</v>
      </c>
      <c r="H415">
        <v>0</v>
      </c>
      <c r="I415">
        <v>0.11</v>
      </c>
      <c r="J415">
        <v>0.95</v>
      </c>
      <c r="K415">
        <f>Table50[[#This Row],[OpeningQty]]+Table50[[#This Row],[PurchasesQty]]-Table50[[#This Row],[ClosingQty]]</f>
        <v>3.9999999999999994E-2</v>
      </c>
      <c r="L415">
        <v>0.34</v>
      </c>
      <c r="M415" s="14">
        <f>Table50[[#This Row],[Usage]]/$L$1</f>
        <v>5.1639179435213185E-7</v>
      </c>
      <c r="N415" s="15">
        <f>IFERROR(Table50[[#This Row],[Opening]]/Table50[[#This Row],[OpeningQty]],0)</f>
        <v>8.6000000000000014</v>
      </c>
      <c r="O415" s="15">
        <f>IFERROR(Table50[[#This Row],[Purchases]]/Table50[[#This Row],[PurchasesQty]],0)</f>
        <v>0</v>
      </c>
      <c r="P415" s="15">
        <f>IFERROR(Table50[[#This Row],[Closing]]/Table50[[#This Row],[ClosingQty]],0)</f>
        <v>8.6363636363636367</v>
      </c>
      <c r="Q415" s="15">
        <f>IFERROR(AVERAGEIF(Table50[[#This Row],[OPENING COST PRICE]:[CLOSING COST PRICE]],"&gt;0"),0)</f>
        <v>8.6181818181818191</v>
      </c>
      <c r="R415" s="15">
        <f>IFERROR(Table50[[#This Row],[COST PRICE]]-IFERROR(Table50[[#This Row],[Usage]]/Table50[[#This Row],[UsageQty]],Table50[[#This Row],[COST PRICE]]),0)</f>
        <v>0.11818181818181728</v>
      </c>
      <c r="S415" s="16">
        <f>IFERROR(Table50[[#This Row],[COST PRICE CHANGE]]/Table50[[#This Row],[OPENING COST PRICE]],0)</f>
        <v>1.3742071881606657E-2</v>
      </c>
      <c r="T415" s="15">
        <f>Table50[[#This Row],[ClosingQty]]-(Table50[[#This Row],[USAGE / DAY]]*(IF(Table50[[#This Row],[ccnt]]="BEV",Table50[[#This Row],[DELIVERY DAY]],Table50[[#This Row],[DELIVERY DAY]])))</f>
        <v>0.06</v>
      </c>
      <c r="U415" s="15">
        <f>ROUNDUP(Table50[[#This Row],[UsageQty]]/Table50[[#This Row],[DATA POINT]],2)</f>
        <v>0.01</v>
      </c>
      <c r="V415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415" s="15">
        <f>IFERROR(Table50[[#This Row],[ORDER QTY]]*Table50[[#This Row],[COST PRICE]],0)</f>
        <v>8.6181818181818191</v>
      </c>
      <c r="X415" s="15">
        <f>IFERROR(VLOOKUP(C415,[1]!Table49[[#All],[name]:[USAGE / DAY]],19,FALSE),1)</f>
        <v>0.01</v>
      </c>
      <c r="Y415" s="4">
        <f>IFERROR((Table50[[#This Row],[USAGE / DAY]]-Table50[[#This Row],[USAGE / DAY 2]])/Table50[[#This Row],[USAGE / DAY 2]],0)</f>
        <v>0</v>
      </c>
      <c r="Z415" s="15">
        <f t="shared" si="18"/>
        <v>14</v>
      </c>
      <c r="AA415" s="15">
        <f t="shared" si="19"/>
        <v>9.311854181734148</v>
      </c>
      <c r="AB415" s="15">
        <f>IFERROR(IF(Table50[[#This Row],[ccnt]]="BEV",$AB$2,IF(Table50[[#This Row],[ccnt]]="FOOD",$AC$2,"ENTER # FROM LAST COUNT")),"ENTER # FROM LAST COUNT")</f>
        <v>5</v>
      </c>
      <c r="AC415" s="15">
        <f>(Table50[[#This Row],[OpeningQty]]+Table50[[#This Row],[ClosingQty]])/2</f>
        <v>0.13</v>
      </c>
      <c r="AD415" s="15">
        <f>IFERROR(Table50[[#This Row],[UsageQty]]/Table50[[#This Row],[AVE INVENTORY]],0)</f>
        <v>0.30769230769230765</v>
      </c>
      <c r="AE415" s="15">
        <f>IFERROR(Table50[[#This Row],[DATA POINT]]/Table50[[#This Row],[Inventory Turnover Rate]],0)</f>
        <v>45.500000000000007</v>
      </c>
      <c r="AF415" s="15">
        <f>Table50[[#This Row],[ClosingQty]]/Table50[[#This Row],[USAGE / DAY]]</f>
        <v>11</v>
      </c>
      <c r="AG415" s="15">
        <f>Table50[[#This Row],[USAGE / DAY]]*7</f>
        <v>7.0000000000000007E-2</v>
      </c>
      <c r="AH415" s="15">
        <f>Table50[[#This Row],[USAGE / DAY]]*3</f>
        <v>0.03</v>
      </c>
      <c r="AI415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15" s="15">
        <f>IFERROR(Table50[[#This Row],[ORDER QTY2]]*Table50[[#This Row],[COST PRICE]],0)</f>
        <v>0</v>
      </c>
      <c r="AK415" s="15">
        <f>(Table50[[#This Row],[REORDER POINT]]*Table50[[#This Row],[COST PRICE]])+Table50[[#This Row],[ORDER COST]]</f>
        <v>9.1352727272727279</v>
      </c>
      <c r="AL415" s="15">
        <f t="shared" si="20"/>
        <v>100</v>
      </c>
      <c r="AM415" s="15">
        <f>IFERROR((Table50[[#This Row],[REORDER POINT]]+Table50[[#This Row],[ORDER QTY]])/(Table50[[#This Row],[USAGE / DAY]]*Table50[[#This Row],[DEMAND %]]),Table50[[#This Row],[REORDER POINT]]/Table50[[#This Row],[USAGE / DAY]])</f>
        <v>1.06</v>
      </c>
    </row>
    <row r="416" spans="1:39" x14ac:dyDescent="0.25">
      <c r="A416" t="s">
        <v>324</v>
      </c>
      <c r="B416" t="s">
        <v>510</v>
      </c>
      <c r="C416" t="s">
        <v>532</v>
      </c>
      <c r="D416" t="s">
        <v>126</v>
      </c>
      <c r="E416">
        <v>0</v>
      </c>
      <c r="F416">
        <v>0</v>
      </c>
      <c r="G416">
        <v>10</v>
      </c>
      <c r="H416">
        <v>418.5</v>
      </c>
      <c r="I416">
        <v>8.6</v>
      </c>
      <c r="J416">
        <v>359.91</v>
      </c>
      <c r="K416">
        <f>Table50[[#This Row],[OpeningQty]]+Table50[[#This Row],[PurchasesQty]]-Table50[[#This Row],[ClosingQty]]</f>
        <v>1.4000000000000004</v>
      </c>
      <c r="L416">
        <v>58.59</v>
      </c>
      <c r="M416" s="14">
        <f>Table50[[#This Row],[Usage]]/$L$1</f>
        <v>8.8986456562033532E-5</v>
      </c>
      <c r="N416" s="15">
        <f>IFERROR(Table50[[#This Row],[Opening]]/Table50[[#This Row],[OpeningQty]],0)</f>
        <v>0</v>
      </c>
      <c r="O416" s="15">
        <f>IFERROR(Table50[[#This Row],[Purchases]]/Table50[[#This Row],[PurchasesQty]],0)</f>
        <v>41.85</v>
      </c>
      <c r="P416" s="15">
        <f>IFERROR(Table50[[#This Row],[Closing]]/Table50[[#This Row],[ClosingQty]],0)</f>
        <v>41.85</v>
      </c>
      <c r="Q416" s="15">
        <f>IFERROR(AVERAGEIF(Table50[[#This Row],[OPENING COST PRICE]:[CLOSING COST PRICE]],"&gt;0"),0)</f>
        <v>41.85</v>
      </c>
      <c r="R416" s="15">
        <f>IFERROR(Table50[[#This Row],[COST PRICE]]-IFERROR(Table50[[#This Row],[Usage]]/Table50[[#This Row],[UsageQty]],Table50[[#This Row],[COST PRICE]]),0)</f>
        <v>7.1054273576010019E-15</v>
      </c>
      <c r="S416" s="16">
        <f>IFERROR(Table50[[#This Row],[COST PRICE CHANGE]]/Table50[[#This Row],[OPENING COST PRICE]],0)</f>
        <v>0</v>
      </c>
      <c r="T416" s="15">
        <f>Table50[[#This Row],[ClosingQty]]-(Table50[[#This Row],[USAGE / DAY]]*(IF(Table50[[#This Row],[ccnt]]="BEV",Table50[[#This Row],[DELIVERY DAY]],Table50[[#This Row],[DELIVERY DAY]])))</f>
        <v>8.1</v>
      </c>
      <c r="U416" s="15">
        <f>ROUNDUP(Table50[[#This Row],[UsageQty]]/Table50[[#This Row],[DATA POINT]],2)</f>
        <v>0.1</v>
      </c>
      <c r="V416" s="15" t="str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NO ORDER</v>
      </c>
      <c r="W416" s="15">
        <f>IFERROR(Table50[[#This Row],[ORDER QTY]]*Table50[[#This Row],[COST PRICE]],0)</f>
        <v>0</v>
      </c>
      <c r="X416" s="15">
        <f>IFERROR(VLOOKUP(C416,[1]!Table49[[#All],[name]:[USAGE / DAY]],19,FALSE),1)</f>
        <v>1</v>
      </c>
      <c r="Y416" s="4">
        <f>IFERROR((Table50[[#This Row],[USAGE / DAY]]-Table50[[#This Row],[USAGE / DAY 2]])/Table50[[#This Row],[USAGE / DAY 2]],0)</f>
        <v>-0.9</v>
      </c>
      <c r="Z416" s="15">
        <f t="shared" si="18"/>
        <v>14</v>
      </c>
      <c r="AA416" s="15">
        <f t="shared" si="19"/>
        <v>9.311854181734148</v>
      </c>
      <c r="AB416" s="15">
        <f>IFERROR(IF(Table50[[#This Row],[ccnt]]="BEV",$AB$2,IF(Table50[[#This Row],[ccnt]]="FOOD",$AC$2,"ENTER # FROM LAST COUNT")),"ENTER # FROM LAST COUNT")</f>
        <v>5</v>
      </c>
      <c r="AC416" s="15">
        <f>(Table50[[#This Row],[OpeningQty]]+Table50[[#This Row],[ClosingQty]])/2</f>
        <v>4.3</v>
      </c>
      <c r="AD416" s="15">
        <f>IFERROR(Table50[[#This Row],[UsageQty]]/Table50[[#This Row],[AVE INVENTORY]],0)</f>
        <v>0.32558139534883729</v>
      </c>
      <c r="AE416" s="15">
        <f>IFERROR(Table50[[#This Row],[DATA POINT]]/Table50[[#This Row],[Inventory Turnover Rate]],0)</f>
        <v>42.999999999999993</v>
      </c>
      <c r="AF416" s="15">
        <f>Table50[[#This Row],[ClosingQty]]/Table50[[#This Row],[USAGE / DAY]]</f>
        <v>85.999999999999986</v>
      </c>
      <c r="AG416" s="15">
        <f>Table50[[#This Row],[USAGE / DAY]]*7</f>
        <v>0.70000000000000007</v>
      </c>
      <c r="AH416" s="15">
        <f>Table50[[#This Row],[USAGE / DAY]]*3</f>
        <v>0.30000000000000004</v>
      </c>
      <c r="AI416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16" s="15">
        <f>IFERROR(Table50[[#This Row],[ORDER QTY2]]*Table50[[#This Row],[COST PRICE]],0)</f>
        <v>0</v>
      </c>
      <c r="AK416" s="15">
        <f>(Table50[[#This Row],[REORDER POINT]]*Table50[[#This Row],[COST PRICE]])+Table50[[#This Row],[ORDER COST]]</f>
        <v>338.98500000000001</v>
      </c>
      <c r="AL416" s="15">
        <f t="shared" si="20"/>
        <v>100</v>
      </c>
      <c r="AM416" s="15">
        <f>IFERROR((Table50[[#This Row],[REORDER POINT]]+Table50[[#This Row],[ORDER QTY]])/(Table50[[#This Row],[USAGE / DAY]]*Table50[[#This Row],[DEMAND %]]),Table50[[#This Row],[REORDER POINT]]/Table50[[#This Row],[USAGE / DAY]])</f>
        <v>80.999999999999986</v>
      </c>
    </row>
    <row r="417" spans="1:39" x14ac:dyDescent="0.25">
      <c r="A417" t="s">
        <v>324</v>
      </c>
      <c r="B417" t="s">
        <v>510</v>
      </c>
      <c r="C417" t="s">
        <v>533</v>
      </c>
      <c r="D417" t="s">
        <v>95</v>
      </c>
      <c r="E417">
        <v>1.1200000000000001</v>
      </c>
      <c r="F417">
        <v>61.32</v>
      </c>
      <c r="G417">
        <v>3.1</v>
      </c>
      <c r="H417">
        <v>153.30000000000001</v>
      </c>
      <c r="I417">
        <v>2</v>
      </c>
      <c r="J417">
        <v>109.5</v>
      </c>
      <c r="K417">
        <f>Table50[[#This Row],[OpeningQty]]+Table50[[#This Row],[PurchasesQty]]-Table50[[#This Row],[ClosingQty]]</f>
        <v>2.2200000000000006</v>
      </c>
      <c r="L417">
        <v>105.12</v>
      </c>
      <c r="M417" s="14">
        <f>Table50[[#This Row],[Usage]]/$L$1</f>
        <v>1.5965619241851793E-4</v>
      </c>
      <c r="N417" s="15">
        <f>IFERROR(Table50[[#This Row],[Opening]]/Table50[[#This Row],[OpeningQty]],0)</f>
        <v>54.749999999999993</v>
      </c>
      <c r="O417" s="15">
        <f>IFERROR(Table50[[#This Row],[Purchases]]/Table50[[#This Row],[PurchasesQty]],0)</f>
        <v>49.451612903225808</v>
      </c>
      <c r="P417" s="15">
        <f>IFERROR(Table50[[#This Row],[Closing]]/Table50[[#This Row],[ClosingQty]],0)</f>
        <v>54.75</v>
      </c>
      <c r="Q417" s="15">
        <f>IFERROR(AVERAGEIF(Table50[[#This Row],[OPENING COST PRICE]:[CLOSING COST PRICE]],"&gt;0"),0)</f>
        <v>52.983870967741929</v>
      </c>
      <c r="R417" s="15">
        <f>IFERROR(Table50[[#This Row],[COST PRICE]]-IFERROR(Table50[[#This Row],[Usage]]/Table50[[#This Row],[UsageQty]],Table50[[#This Row],[COST PRICE]]),0)</f>
        <v>5.6325196163905886</v>
      </c>
      <c r="S417" s="16">
        <f>IFERROR(Table50[[#This Row],[COST PRICE CHANGE]]/Table50[[#This Row],[OPENING COST PRICE]],0)</f>
        <v>0.10287707061900619</v>
      </c>
      <c r="T417" s="15">
        <f>Table50[[#This Row],[ClosingQty]]-(Table50[[#This Row],[USAGE / DAY]]*(IF(Table50[[#This Row],[ccnt]]="BEV",Table50[[#This Row],[DELIVERY DAY]],Table50[[#This Row],[DELIVERY DAY]])))</f>
        <v>1.2</v>
      </c>
      <c r="U417" s="15">
        <f>ROUNDUP(Table50[[#This Row],[UsageQty]]/Table50[[#This Row],[DATA POINT]],2)</f>
        <v>0.16</v>
      </c>
      <c r="V417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1</v>
      </c>
      <c r="W417" s="15">
        <f>IFERROR(Table50[[#This Row],[ORDER QTY]]*Table50[[#This Row],[COST PRICE]],0)</f>
        <v>52.983870967741929</v>
      </c>
      <c r="X417" s="15">
        <f>IFERROR(VLOOKUP(C417,[1]!Table49[[#All],[name]:[USAGE / DAY]],19,FALSE),1)</f>
        <v>0.15</v>
      </c>
      <c r="Y417" s="4">
        <f>IFERROR((Table50[[#This Row],[USAGE / DAY]]-Table50[[#This Row],[USAGE / DAY 2]])/Table50[[#This Row],[USAGE / DAY 2]],0)</f>
        <v>6.6666666666666735E-2</v>
      </c>
      <c r="Z417" s="15">
        <f t="shared" si="18"/>
        <v>14</v>
      </c>
      <c r="AA417" s="15">
        <f t="shared" si="19"/>
        <v>9.311854181734148</v>
      </c>
      <c r="AB417" s="15">
        <f>IFERROR(IF(Table50[[#This Row],[ccnt]]="BEV",$AB$2,IF(Table50[[#This Row],[ccnt]]="FOOD",$AC$2,"ENTER # FROM LAST COUNT")),"ENTER # FROM LAST COUNT")</f>
        <v>5</v>
      </c>
      <c r="AC417" s="15">
        <f>(Table50[[#This Row],[OpeningQty]]+Table50[[#This Row],[ClosingQty]])/2</f>
        <v>1.56</v>
      </c>
      <c r="AD417" s="15">
        <f>IFERROR(Table50[[#This Row],[UsageQty]]/Table50[[#This Row],[AVE INVENTORY]],0)</f>
        <v>1.4230769230769234</v>
      </c>
      <c r="AE417" s="15">
        <f>IFERROR(Table50[[#This Row],[DATA POINT]]/Table50[[#This Row],[Inventory Turnover Rate]],0)</f>
        <v>9.8378378378378368</v>
      </c>
      <c r="AF417" s="15">
        <f>Table50[[#This Row],[ClosingQty]]/Table50[[#This Row],[USAGE / DAY]]</f>
        <v>12.5</v>
      </c>
      <c r="AG417" s="15">
        <f>Table50[[#This Row],[USAGE / DAY]]*7</f>
        <v>1.1200000000000001</v>
      </c>
      <c r="AH417" s="15">
        <f>Table50[[#This Row],[USAGE / DAY]]*3</f>
        <v>0.48</v>
      </c>
      <c r="AI417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17" s="15">
        <f>IFERROR(Table50[[#This Row],[ORDER QTY2]]*Table50[[#This Row],[COST PRICE]],0)</f>
        <v>0</v>
      </c>
      <c r="AK417" s="15">
        <f>(Table50[[#This Row],[REORDER POINT]]*Table50[[#This Row],[COST PRICE]])+Table50[[#This Row],[ORDER COST]]</f>
        <v>116.56451612903224</v>
      </c>
      <c r="AL417" s="15">
        <f t="shared" si="20"/>
        <v>100</v>
      </c>
      <c r="AM417" s="15">
        <f>IFERROR((Table50[[#This Row],[REORDER POINT]]+Table50[[#This Row],[ORDER QTY]])/(Table50[[#This Row],[USAGE / DAY]]*Table50[[#This Row],[DEMAND %]]),Table50[[#This Row],[REORDER POINT]]/Table50[[#This Row],[USAGE / DAY]])</f>
        <v>0.13750000000000001</v>
      </c>
    </row>
    <row r="418" spans="1:39" x14ac:dyDescent="0.25">
      <c r="A418" t="s">
        <v>324</v>
      </c>
      <c r="B418" t="s">
        <v>510</v>
      </c>
      <c r="C418" t="s">
        <v>534</v>
      </c>
      <c r="D418" t="s">
        <v>126</v>
      </c>
      <c r="E418">
        <v>35.700000000000003</v>
      </c>
      <c r="F418">
        <v>1343.03</v>
      </c>
      <c r="G418">
        <v>30</v>
      </c>
      <c r="H418">
        <v>749.5</v>
      </c>
      <c r="I418">
        <v>32</v>
      </c>
      <c r="J418">
        <v>1203.8399999999999</v>
      </c>
      <c r="K418">
        <f>Table50[[#This Row],[OpeningQty]]+Table50[[#This Row],[PurchasesQty]]-Table50[[#This Row],[ClosingQty]]</f>
        <v>33.700000000000003</v>
      </c>
      <c r="L418">
        <v>888.69</v>
      </c>
      <c r="M418" s="14">
        <f>Table50[[#This Row],[Usage]]/$L$1</f>
        <v>1.3497418344788118E-3</v>
      </c>
      <c r="N418" s="15">
        <f>IFERROR(Table50[[#This Row],[Opening]]/Table50[[#This Row],[OpeningQty]],0)</f>
        <v>37.619887955182072</v>
      </c>
      <c r="O418" s="15">
        <f>IFERROR(Table50[[#This Row],[Purchases]]/Table50[[#This Row],[PurchasesQty]],0)</f>
        <v>24.983333333333334</v>
      </c>
      <c r="P418" s="15">
        <f>IFERROR(Table50[[#This Row],[Closing]]/Table50[[#This Row],[ClosingQty]],0)</f>
        <v>37.619999999999997</v>
      </c>
      <c r="Q418" s="15">
        <f>IFERROR(AVERAGEIF(Table50[[#This Row],[OPENING COST PRICE]:[CLOSING COST PRICE]],"&gt;0"),0)</f>
        <v>33.407740429505132</v>
      </c>
      <c r="R418" s="15">
        <f>IFERROR(Table50[[#This Row],[COST PRICE]]-IFERROR(Table50[[#This Row],[Usage]]/Table50[[#This Row],[UsageQty]],Table50[[#This Row],[COST PRICE]]),0)</f>
        <v>7.0371172841045393</v>
      </c>
      <c r="S418" s="16">
        <f>IFERROR(Table50[[#This Row],[COST PRICE CHANGE]]/Table50[[#This Row],[OPENING COST PRICE]],0)</f>
        <v>0.18705843282914905</v>
      </c>
      <c r="T418" s="15">
        <f>Table50[[#This Row],[ClosingQty]]-(Table50[[#This Row],[USAGE / DAY]]*(IF(Table50[[#This Row],[ccnt]]="BEV",Table50[[#This Row],[DELIVERY DAY]],Table50[[#This Row],[DELIVERY DAY]])))</f>
        <v>19.950000000000003</v>
      </c>
      <c r="U418" s="15">
        <f>ROUNDUP(Table50[[#This Row],[UsageQty]]/Table50[[#This Row],[DATA POINT]],2)</f>
        <v>2.4099999999999997</v>
      </c>
      <c r="V418" s="15">
        <f>IF(Table50[[#This Row],[USAGE / DAY]]*Table50[[#This Row],[EXPECTED DEMAND]]&gt;Table50[[#This Row],[REORDER POINT]],_xlfn.CEILING.MATH((Table50[[#This Row],[USAGE / DAY]]*Table50[[#This Row],[EXPECTED DEMAND]])-Table50[[#This Row],[REORDER POINT]],1),"NO ORDER")</f>
        <v>3</v>
      </c>
      <c r="W418" s="15">
        <f>IFERROR(Table50[[#This Row],[ORDER QTY]]*Table50[[#This Row],[COST PRICE]],0)</f>
        <v>100.22322128851539</v>
      </c>
      <c r="X418" s="15">
        <f>IFERROR(VLOOKUP(C418,[1]!Table49[[#All],[name]:[USAGE / DAY]],19,FALSE),1)</f>
        <v>1.7</v>
      </c>
      <c r="Y418" s="4">
        <f>IFERROR((Table50[[#This Row],[USAGE / DAY]]-Table50[[#This Row],[USAGE / DAY 2]])/Table50[[#This Row],[USAGE / DAY 2]],0)</f>
        <v>0.41764705882352926</v>
      </c>
      <c r="Z418" s="15">
        <f t="shared" si="18"/>
        <v>14</v>
      </c>
      <c r="AA418" s="15">
        <f t="shared" si="19"/>
        <v>9.311854181734148</v>
      </c>
      <c r="AB418" s="15">
        <f>IFERROR(IF(Table50[[#This Row],[ccnt]]="BEV",$AB$2,IF(Table50[[#This Row],[ccnt]]="FOOD",$AC$2,"ENTER # FROM LAST COUNT")),"ENTER # FROM LAST COUNT")</f>
        <v>5</v>
      </c>
      <c r="AC418" s="15">
        <f>(Table50[[#This Row],[OpeningQty]]+Table50[[#This Row],[ClosingQty]])/2</f>
        <v>33.85</v>
      </c>
      <c r="AD418" s="15">
        <f>IFERROR(Table50[[#This Row],[UsageQty]]/Table50[[#This Row],[AVE INVENTORY]],0)</f>
        <v>0.99556868537666177</v>
      </c>
      <c r="AE418" s="15">
        <f>IFERROR(Table50[[#This Row],[DATA POINT]]/Table50[[#This Row],[Inventory Turnover Rate]],0)</f>
        <v>14.062314540059347</v>
      </c>
      <c r="AF418" s="15">
        <f>Table50[[#This Row],[ClosingQty]]/Table50[[#This Row],[USAGE / DAY]]</f>
        <v>13.278008298755188</v>
      </c>
      <c r="AG418" s="15">
        <f>Table50[[#This Row],[USAGE / DAY]]*7</f>
        <v>16.869999999999997</v>
      </c>
      <c r="AH418" s="15">
        <f>Table50[[#This Row],[USAGE / DAY]]*3</f>
        <v>7.2299999999999986</v>
      </c>
      <c r="AI418" s="15" t="str">
        <f>IF(Table50[[#This Row],[FORECASTED DEMAND]]+Table50[[#This Row],[SAFETY STOCK]]-Table50[[#This Row],[ClosingQty]]&gt;0,Table50[[#This Row],[FORECASTED DEMAND]]+Table50[[#This Row],[SAFETY STOCK]]-Table50[[#This Row],[ClosingQty]],"NO ORDER")</f>
        <v>NO ORDER</v>
      </c>
      <c r="AJ418" s="15">
        <f>IFERROR(Table50[[#This Row],[ORDER QTY2]]*Table50[[#This Row],[COST PRICE]],0)</f>
        <v>0</v>
      </c>
      <c r="AK418" s="15">
        <f>(Table50[[#This Row],[REORDER POINT]]*Table50[[#This Row],[COST PRICE]])+Table50[[#This Row],[ORDER COST]]</f>
        <v>766.7076428571429</v>
      </c>
      <c r="AL418" s="15">
        <f t="shared" si="20"/>
        <v>100</v>
      </c>
      <c r="AM418" s="15">
        <f>IFERROR((Table50[[#This Row],[REORDER POINT]]+Table50[[#This Row],[ORDER QTY]])/(Table50[[#This Row],[USAGE / DAY]]*Table50[[#This Row],[DEMAND %]]),Table50[[#This Row],[REORDER POINT]]/Table50[[#This Row],[USAGE / DAY]])</f>
        <v>9.5228215767634877E-2</v>
      </c>
    </row>
    <row r="419" spans="1:39" x14ac:dyDescent="0.25">
      <c r="E419">
        <f>SUBTOTAL(109,Table50[OpeningQty])</f>
        <v>8090.2999999999947</v>
      </c>
      <c r="F419">
        <f>SUBTOTAL(109,Table50[Opening])</f>
        <v>173079.84999999998</v>
      </c>
      <c r="G419">
        <f>SUBTOTAL(109,Table50[PurchasesQty])</f>
        <v>8436.1200000000008</v>
      </c>
      <c r="H419">
        <f>SUBTOTAL(109,Table50[Purchases])</f>
        <v>288238.08000000002</v>
      </c>
      <c r="I419">
        <f>SUBTOTAL(109,Table50[ClosingQty])</f>
        <v>8951.7000000000007</v>
      </c>
      <c r="J419">
        <f>SUBTOTAL(109,Table50[Closing])</f>
        <v>213343.1999999999</v>
      </c>
      <c r="K419">
        <f>SUBTOTAL(109,Table50[UsageQty])</f>
        <v>7574.7200000000012</v>
      </c>
      <c r="L419">
        <f>SUBTOTAL(109,Table50[Usage])</f>
        <v>247974.72999999986</v>
      </c>
      <c r="M419" s="17">
        <f>SUBTOTAL(109,Table50[USAGE %])</f>
        <v>0.37662386993730995</v>
      </c>
      <c r="N419" s="15">
        <f>SUBTOTAL(109,Table50[OPENING COST PRICE])</f>
        <v>21482.56797391038</v>
      </c>
      <c r="O419" s="15">
        <f>SUBTOTAL(109,Table50[PURCHASE COST PRICE])</f>
        <v>11076.586709492824</v>
      </c>
      <c r="P419" s="15">
        <f>SUBTOTAL(109,Table50[CLOSING COST PRICE])</f>
        <v>22108.998617211164</v>
      </c>
      <c r="Q419" s="15">
        <f>SUBTOTAL(109,Table50[COST PRICE])</f>
        <v>23217.449332300032</v>
      </c>
      <c r="R419" s="15">
        <f>SUBTOTAL(109,Table50[COST PRICE CHANGE])</f>
        <v>9477.6637976335296</v>
      </c>
      <c r="S419" s="18">
        <f>SUBTOTAL(109,Table50[CP INCREASE %])</f>
        <v>43.407820844158216</v>
      </c>
      <c r="T419" s="15">
        <f>SUBTOTAL(109,Table50[REORDER POINT])</f>
        <v>6669.8499999999967</v>
      </c>
      <c r="U419" s="15">
        <f>SUBTOTAL(109,Table50[USAGE / DAY])</f>
        <v>542.09000000000026</v>
      </c>
      <c r="V419" s="15">
        <f>SUBTOTAL(109,Table50[ORDER QTY])</f>
        <v>3006</v>
      </c>
      <c r="W419" s="15">
        <f>SUBTOTAL(109,Table50[ORDER COST])</f>
        <v>104263.86003151405</v>
      </c>
      <c r="X419" s="15">
        <f>SUBTOTAL(109,Table50[USAGE / DAY 2])</f>
        <v>590.57999999999981</v>
      </c>
      <c r="Y419" s="19">
        <f>SUBTOTAL(101,Table50[USAGE INCREASE])</f>
        <v>-0.10966911146516659</v>
      </c>
      <c r="Z419" s="15">
        <f>SUBTOTAL(109,Table50[DATA POINT])</f>
        <v>4718</v>
      </c>
      <c r="AA419" s="15">
        <f>SUBTOTAL(109,Table50[EXPECTED DEMAND])</f>
        <v>3138.0948592444302</v>
      </c>
      <c r="AB419" s="15">
        <f>SUBTOTAL(109,Table50[DELIVERY DAY])</f>
        <v>1385</v>
      </c>
      <c r="AC419" s="15">
        <f>SUBTOTAL(109,Table50[AVE INVENTORY])</f>
        <v>8520.9999999999945</v>
      </c>
      <c r="AD419" s="15">
        <f>SUBTOTAL(109,Table50[Inventory Turnover Rate])</f>
        <v>788.78364603173588</v>
      </c>
      <c r="AE419" s="15">
        <f>SUBTOTAL(109,Table50[Days of Inventory Remaining])</f>
        <v>6425.8801131468617</v>
      </c>
      <c r="AF419" s="15" t="e">
        <f>SUBTOTAL(109,Table50[INVENTORY DAYS REM])</f>
        <v>#DIV/0!</v>
      </c>
      <c r="AG419" s="15">
        <f>SUBTOTAL(109,Table50[FORECASTED DEMAND])</f>
        <v>3794.6300000000028</v>
      </c>
      <c r="AH419" s="15">
        <f>SUBTOTAL(109,Table50[SAFETY STOCK])</f>
        <v>1626.2699999999995</v>
      </c>
      <c r="AI419" s="15">
        <f>SUBTOTAL(109,Table50[ORDER QTY2])</f>
        <v>1390.95</v>
      </c>
      <c r="AJ419" s="15">
        <f>SUBTOTAL(109,Table50[ORDER QTY2 COST])</f>
        <v>40792.251435542552</v>
      </c>
      <c r="AK419" s="15">
        <f>SUBTOTAL(109,Table50[re-order cost])</f>
        <v>238583.6988896532</v>
      </c>
      <c r="AL419" s="15">
        <f>SUBTOTAL(109,Table50[DEMAND %])</f>
        <v>33700</v>
      </c>
      <c r="AM419" s="15" t="e">
        <f>SUBTOTAL(109,Table50[DAYS OF INVENTORY])</f>
        <v>#DIV/0!</v>
      </c>
    </row>
  </sheetData>
  <conditionalFormatting sqref="M4:M418">
    <cfRule type="cellIs" dxfId="45" priority="4" operator="lessThan">
      <formula>0</formula>
    </cfRule>
  </conditionalFormatting>
  <conditionalFormatting sqref="R3:S3">
    <cfRule type="cellIs" dxfId="44" priority="11" operator="greaterThan">
      <formula>10</formula>
    </cfRule>
  </conditionalFormatting>
  <conditionalFormatting sqref="R4:S418">
    <cfRule type="cellIs" dxfId="43" priority="5" operator="greaterThan">
      <formula>0</formula>
    </cfRule>
    <cfRule type="cellIs" dxfId="42" priority="6" operator="lessThan">
      <formula>0</formula>
    </cfRule>
  </conditionalFormatting>
  <conditionalFormatting sqref="T3:T418">
    <cfRule type="cellIs" dxfId="41" priority="8" operator="lessThan">
      <formula>0</formula>
    </cfRule>
  </conditionalFormatting>
  <conditionalFormatting sqref="V3">
    <cfRule type="cellIs" dxfId="40" priority="10" operator="greaterThan">
      <formula>0</formula>
    </cfRule>
    <cfRule type="containsText" dxfId="39" priority="12" operator="containsText" text="no">
      <formula>NOT(ISERROR(SEARCH("no",V3)))</formula>
    </cfRule>
    <cfRule type="cellIs" dxfId="38" priority="13" operator="lessThan">
      <formula>0</formula>
    </cfRule>
    <cfRule type="containsText" dxfId="37" priority="14" operator="containsText" text="no">
      <formula>NOT(ISERROR(SEARCH("no",V3)))</formula>
    </cfRule>
    <cfRule type="containsText" dxfId="36" priority="15" operator="containsText" text="NO">
      <formula>NOT(ISERROR(SEARCH("NO",V3)))</formula>
    </cfRule>
    <cfRule type="cellIs" dxfId="35" priority="16" operator="greaterThan">
      <formula>0</formula>
    </cfRule>
    <cfRule type="containsText" dxfId="34" priority="17" operator="containsText" text="NO">
      <formula>NOT(ISERROR(SEARCH("NO",V3)))</formula>
    </cfRule>
    <cfRule type="containsText" dxfId="33" priority="18" operator="containsText" text="no">
      <formula>NOT(ISERROR(SEARCH("no",V3)))</formula>
    </cfRule>
  </conditionalFormatting>
  <conditionalFormatting sqref="V3:V418">
    <cfRule type="containsText" dxfId="32" priority="9" operator="containsText" text="no">
      <formula>NOT(ISERROR(SEARCH("no",V3)))</formula>
    </cfRule>
  </conditionalFormatting>
  <conditionalFormatting sqref="V4:V418">
    <cfRule type="containsText" dxfId="31" priority="1" operator="containsText" text="no">
      <formula>NOT(ISERROR(SEARCH("no",V4)))</formula>
    </cfRule>
    <cfRule type="cellIs" dxfId="30" priority="7" operator="greaterThan">
      <formula>0</formula>
    </cfRule>
  </conditionalFormatting>
  <conditionalFormatting sqref="Y4:Y418">
    <cfRule type="cellIs" dxfId="29" priority="2" operator="lessThan">
      <formula>0</formula>
    </cfRule>
    <cfRule type="cellIs" dxfId="28" priority="3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Usage 08 - 22 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Katsouris</dc:creator>
  <cp:lastModifiedBy>Andreas Katsouris</cp:lastModifiedBy>
  <dcterms:created xsi:type="dcterms:W3CDTF">2025-03-25T10:29:24Z</dcterms:created>
  <dcterms:modified xsi:type="dcterms:W3CDTF">2025-03-25T10:33:19Z</dcterms:modified>
</cp:coreProperties>
</file>