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9" i="1"/>
  <c r="D31" i="1"/>
  <c r="D35" i="1"/>
  <c r="D22" i="1"/>
  <c r="D10" i="1"/>
  <c r="D11" i="1"/>
  <c r="D12" i="1"/>
  <c r="D13" i="1"/>
  <c r="D14" i="1"/>
  <c r="D15" i="1"/>
  <c r="D9" i="1"/>
  <c r="J30" i="1"/>
  <c r="J34" i="1"/>
  <c r="J25" i="1"/>
  <c r="F32" i="1"/>
  <c r="F29" i="1"/>
  <c r="J10" i="1"/>
  <c r="J11" i="1"/>
  <c r="J12" i="1"/>
  <c r="J13" i="1"/>
  <c r="J14" i="1"/>
  <c r="J15" i="1"/>
  <c r="J9" i="1"/>
  <c r="F15" i="1"/>
  <c r="F10" i="1"/>
  <c r="F11" i="1"/>
  <c r="F12" i="1"/>
  <c r="F13" i="1"/>
  <c r="F14" i="1"/>
  <c r="F9" i="1"/>
  <c r="I35" i="1"/>
  <c r="I34" i="1"/>
  <c r="I33" i="1"/>
  <c r="J33" i="1" s="1"/>
  <c r="I32" i="1"/>
  <c r="J32" i="1" s="1"/>
  <c r="I31" i="1"/>
  <c r="I30" i="1"/>
  <c r="I29" i="1"/>
  <c r="J29" i="1" s="1"/>
  <c r="G35" i="1"/>
  <c r="H30" i="1" s="1"/>
  <c r="G34" i="1"/>
  <c r="G33" i="1"/>
  <c r="G32" i="1"/>
  <c r="G31" i="1"/>
  <c r="J31" i="1" s="1"/>
  <c r="G30" i="1"/>
  <c r="G29" i="1"/>
  <c r="E35" i="1"/>
  <c r="F35" i="1" s="1"/>
  <c r="E34" i="1"/>
  <c r="F34" i="1" s="1"/>
  <c r="E33" i="1"/>
  <c r="E32" i="1"/>
  <c r="E31" i="1"/>
  <c r="F31" i="1" s="1"/>
  <c r="E30" i="1"/>
  <c r="F30" i="1" s="1"/>
  <c r="E29" i="1"/>
  <c r="C35" i="1"/>
  <c r="D33" i="1" s="1"/>
  <c r="C34" i="1"/>
  <c r="C33" i="1"/>
  <c r="F33" i="1" s="1"/>
  <c r="C32" i="1"/>
  <c r="C31" i="1"/>
  <c r="C30" i="1"/>
  <c r="C29" i="1"/>
  <c r="I25" i="1"/>
  <c r="I24" i="1"/>
  <c r="J24" i="1" s="1"/>
  <c r="I23" i="1"/>
  <c r="J23" i="1" s="1"/>
  <c r="I22" i="1"/>
  <c r="J22" i="1" s="1"/>
  <c r="I21" i="1"/>
  <c r="I20" i="1"/>
  <c r="J20" i="1" s="1"/>
  <c r="I19" i="1"/>
  <c r="J19" i="1" s="1"/>
  <c r="G25" i="1"/>
  <c r="H21" i="1" s="1"/>
  <c r="G24" i="1"/>
  <c r="G23" i="1"/>
  <c r="G22" i="1"/>
  <c r="G21" i="1"/>
  <c r="J21" i="1" s="1"/>
  <c r="G20" i="1"/>
  <c r="G19" i="1"/>
  <c r="E25" i="1"/>
  <c r="F25" i="1" s="1"/>
  <c r="E24" i="1"/>
  <c r="F24" i="1" s="1"/>
  <c r="E23" i="1"/>
  <c r="E22" i="1"/>
  <c r="F22" i="1" s="1"/>
  <c r="E21" i="1"/>
  <c r="F21" i="1" s="1"/>
  <c r="E20" i="1"/>
  <c r="F20" i="1" s="1"/>
  <c r="E19" i="1"/>
  <c r="F19" i="1" s="1"/>
  <c r="C25" i="1"/>
  <c r="D20" i="1" s="1"/>
  <c r="C24" i="1"/>
  <c r="C23" i="1"/>
  <c r="F23" i="1" s="1"/>
  <c r="C22" i="1"/>
  <c r="C21" i="1"/>
  <c r="C20" i="1"/>
  <c r="C19" i="1"/>
  <c r="D19" i="1" s="1"/>
  <c r="J35" i="1" l="1"/>
  <c r="D23" i="1"/>
  <c r="D29" i="1"/>
  <c r="D32" i="1"/>
  <c r="H24" i="1"/>
  <c r="H20" i="1"/>
  <c r="H33" i="1"/>
  <c r="H23" i="1"/>
  <c r="H29" i="1"/>
  <c r="H32" i="1"/>
  <c r="D25" i="1"/>
  <c r="D21" i="1"/>
  <c r="D34" i="1"/>
  <c r="D30" i="1"/>
  <c r="H19" i="1"/>
  <c r="H22" i="1"/>
  <c r="H35" i="1"/>
  <c r="H31" i="1"/>
  <c r="D24" i="1"/>
  <c r="H25" i="1"/>
  <c r="H34" i="1"/>
</calcChain>
</file>

<file path=xl/sharedStrings.xml><?xml version="1.0" encoding="utf-8"?>
<sst xmlns="http://schemas.openxmlformats.org/spreadsheetml/2006/main" count="42" uniqueCount="21">
  <si>
    <t>Women</t>
  </si>
  <si>
    <t>Age of Matches</t>
  </si>
  <si>
    <t>Individuals</t>
  </si>
  <si>
    <t>Men</t>
  </si>
  <si>
    <t>Deaths</t>
  </si>
  <si>
    <t>No.</t>
  </si>
  <si>
    <t>50--54</t>
  </si>
  <si>
    <t>55--59</t>
  </si>
  <si>
    <t>60--64</t>
  </si>
  <si>
    <t>65--69</t>
  </si>
  <si>
    <t>70--74</t>
  </si>
  <si>
    <t>75--79</t>
  </si>
  <si>
    <t>Hospitalized Population</t>
  </si>
  <si>
    <t>Risk in %</t>
  </si>
  <si>
    <t>Share in %</t>
  </si>
  <si>
    <t>General Population*</t>
  </si>
  <si>
    <t>Non-Hospitalized Population*</t>
  </si>
  <si>
    <t>* the number of deaths and the risk of dying refer to the average of 100 matching results</t>
  </si>
  <si>
    <t xml:space="preserve">Age at Hospital </t>
  </si>
  <si>
    <t>Admission /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</si>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</sst>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/>
    <xf numFmtId="2" fontId="1" fillId="0" borderId="3" xfId="0" applyNumberFormat="1" applyFont="1" applyBorder="1"/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/>
    <xf numFmtId="2" fontId="1" fillId="0" borderId="0" xfId="0" applyNumberFormat="1" applyFont="1" applyBorder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6"/>
  <sheetViews>
    <sheetView tabSelected="1" workbookViewId="0">
      <selection activeCell="P5" sqref="P5"/>
    </sheetView>
  </sheetViews>
  <sheetFormatPr defaultRowHeight="15" x14ac:dyDescent="0.25"/>
  <cols>
    <col min="2" max="2" width="14.28515625" customWidth="1"/>
    <col min="3" max="3" width="7" customWidth="1"/>
    <col min="4" max="4" width="9.85546875" style="2" customWidth="1"/>
    <col min="5" max="5" width="6.5703125" customWidth="1"/>
    <col min="6" max="6" width="8.7109375" style="2" customWidth="1"/>
    <col min="7" max="7" width="7.140625" customWidth="1"/>
    <col min="8" max="8" width="10" style="2" customWidth="1"/>
    <col min="9" max="9" width="5.28515625" customWidth="1"/>
    <col min="10" max="10" width="8.5703125" style="2" customWidth="1"/>
  </cols>
  <sheetData>
    <row r="3" spans="2:10" x14ac:dyDescent="0.25">
      <c r="B3" s="14" t="s">
        <v>18</v>
      </c>
      <c r="C3" s="15" t="s">
        <v>3</v>
      </c>
      <c r="D3" s="15"/>
      <c r="E3" s="15"/>
      <c r="F3" s="15"/>
      <c r="G3" s="15" t="s">
        <v>0</v>
      </c>
      <c r="H3" s="15"/>
      <c r="I3" s="15"/>
      <c r="J3" s="15"/>
    </row>
    <row r="4" spans="2:10" x14ac:dyDescent="0.25">
      <c r="B4" s="9" t="s">
        <v>19</v>
      </c>
      <c r="C4" s="16" t="s">
        <v>2</v>
      </c>
      <c r="D4" s="16"/>
      <c r="E4" s="16" t="s">
        <v>4</v>
      </c>
      <c r="F4" s="16"/>
      <c r="G4" s="16" t="s">
        <v>2</v>
      </c>
      <c r="H4" s="16"/>
      <c r="I4" s="16" t="s">
        <v>4</v>
      </c>
      <c r="J4" s="16"/>
    </row>
    <row r="5" spans="2:10" x14ac:dyDescent="0.25">
      <c r="B5" s="17" t="s">
        <v>1</v>
      </c>
      <c r="C5" s="17" t="s">
        <v>5</v>
      </c>
      <c r="D5" s="18" t="s">
        <v>14</v>
      </c>
      <c r="E5" s="17" t="s">
        <v>5</v>
      </c>
      <c r="F5" s="18" t="s">
        <v>13</v>
      </c>
      <c r="G5" s="17" t="s">
        <v>5</v>
      </c>
      <c r="H5" s="18" t="s">
        <v>14</v>
      </c>
      <c r="I5" s="17" t="s">
        <v>5</v>
      </c>
      <c r="J5" s="18" t="s">
        <v>13</v>
      </c>
    </row>
    <row r="6" spans="2:10" x14ac:dyDescent="0.25">
      <c r="E6" s="1"/>
      <c r="G6" s="1"/>
    </row>
    <row r="7" spans="2:10" x14ac:dyDescent="0.25">
      <c r="C7" s="13" t="s">
        <v>12</v>
      </c>
      <c r="D7" s="13"/>
      <c r="E7" s="13"/>
      <c r="F7" s="13"/>
      <c r="G7" s="13"/>
      <c r="H7" s="13"/>
      <c r="I7" s="13"/>
      <c r="J7" s="13"/>
    </row>
    <row r="8" spans="2:10" x14ac:dyDescent="0.25">
      <c r="C8" s="1"/>
      <c r="E8" s="1"/>
      <c r="G8" s="1"/>
    </row>
    <row r="9" spans="2:10" x14ac:dyDescent="0.25">
      <c r="B9" s="4" t="s">
        <v>6</v>
      </c>
      <c r="C9" s="1">
        <v>18397</v>
      </c>
      <c r="D9" s="2">
        <f>(100/$C$15)*C9</f>
        <v>28.903831953369259</v>
      </c>
      <c r="E9">
        <v>906</v>
      </c>
      <c r="F9" s="2">
        <f>(E9/C9)*100</f>
        <v>4.9247159863021146</v>
      </c>
      <c r="G9" s="1">
        <v>19569</v>
      </c>
      <c r="H9" s="2">
        <f>(100/$G$15)*G9</f>
        <v>30.579907177347522</v>
      </c>
      <c r="I9">
        <v>622</v>
      </c>
      <c r="J9" s="2">
        <f>(I9/G9)*100</f>
        <v>3.1784966017681029</v>
      </c>
    </row>
    <row r="10" spans="2:10" x14ac:dyDescent="0.25">
      <c r="B10" s="4" t="s">
        <v>7</v>
      </c>
      <c r="C10" s="1">
        <v>12392</v>
      </c>
      <c r="D10" s="2">
        <f t="shared" ref="D10:D15" si="0">(100/$C$15)*C10</f>
        <v>19.469276815032444</v>
      </c>
      <c r="E10" s="1">
        <v>898</v>
      </c>
      <c r="F10" s="2">
        <f t="shared" ref="F10:F14" si="1">(E10/C10)*100</f>
        <v>7.2466107165913494</v>
      </c>
      <c r="G10" s="1">
        <v>11432</v>
      </c>
      <c r="H10" s="2">
        <f t="shared" ref="H10:H15" si="2">(100/$G$15)*G10</f>
        <v>17.864453924648007</v>
      </c>
      <c r="I10">
        <v>514</v>
      </c>
      <c r="J10" s="2">
        <f t="shared" ref="J10:J15" si="3">(I10/G10)*100</f>
        <v>4.4961511546536039</v>
      </c>
    </row>
    <row r="11" spans="2:10" x14ac:dyDescent="0.25">
      <c r="B11" s="4" t="s">
        <v>8</v>
      </c>
      <c r="C11" s="1">
        <v>10493</v>
      </c>
      <c r="D11" s="2">
        <f t="shared" si="0"/>
        <v>16.485726405756573</v>
      </c>
      <c r="E11" s="1">
        <v>1074</v>
      </c>
      <c r="F11" s="2">
        <f t="shared" si="1"/>
        <v>10.235395025254931</v>
      </c>
      <c r="G11" s="1">
        <v>9244</v>
      </c>
      <c r="H11" s="2">
        <f t="shared" si="2"/>
        <v>14.445329957964152</v>
      </c>
      <c r="I11">
        <v>655</v>
      </c>
      <c r="J11" s="2">
        <f t="shared" si="3"/>
        <v>7.0856771960190397</v>
      </c>
    </row>
    <row r="12" spans="2:10" x14ac:dyDescent="0.25">
      <c r="B12" s="4" t="s">
        <v>9</v>
      </c>
      <c r="C12" s="1">
        <v>9030</v>
      </c>
      <c r="D12" s="2">
        <f t="shared" si="0"/>
        <v>14.187182830837877</v>
      </c>
      <c r="E12" s="1">
        <v>1320</v>
      </c>
      <c r="F12" s="2">
        <f t="shared" si="1"/>
        <v>14.61794019933555</v>
      </c>
      <c r="G12" s="1">
        <v>8508</v>
      </c>
      <c r="H12" s="2">
        <f t="shared" si="2"/>
        <v>13.295204162955322</v>
      </c>
      <c r="I12">
        <v>844</v>
      </c>
      <c r="J12" s="2">
        <f t="shared" si="3"/>
        <v>9.9200752233192286</v>
      </c>
    </row>
    <row r="13" spans="2:10" x14ac:dyDescent="0.25">
      <c r="B13" s="4" t="s">
        <v>10</v>
      </c>
      <c r="C13" s="1">
        <v>7623</v>
      </c>
      <c r="D13" s="2">
        <f t="shared" si="0"/>
        <v>11.976621785102672</v>
      </c>
      <c r="E13" s="1">
        <v>1432</v>
      </c>
      <c r="F13" s="2">
        <f t="shared" si="1"/>
        <v>18.785255148891515</v>
      </c>
      <c r="G13" s="1">
        <v>7967</v>
      </c>
      <c r="H13" s="2">
        <f t="shared" si="2"/>
        <v>12.449799196787147</v>
      </c>
      <c r="I13" s="1">
        <v>1046</v>
      </c>
      <c r="J13" s="2">
        <f t="shared" si="3"/>
        <v>13.129157775825279</v>
      </c>
    </row>
    <row r="14" spans="2:10" x14ac:dyDescent="0.25">
      <c r="B14" s="4" t="s">
        <v>11</v>
      </c>
      <c r="C14" s="1">
        <v>5714</v>
      </c>
      <c r="D14" s="2">
        <f t="shared" si="0"/>
        <v>8.9773602099011764</v>
      </c>
      <c r="E14" s="1">
        <v>1457</v>
      </c>
      <c r="F14" s="2">
        <f t="shared" si="1"/>
        <v>25.498774938746937</v>
      </c>
      <c r="G14" s="1">
        <v>7273</v>
      </c>
      <c r="H14" s="2">
        <f t="shared" si="2"/>
        <v>11.365305580297845</v>
      </c>
      <c r="I14" s="1">
        <v>1261</v>
      </c>
      <c r="J14" s="2">
        <f t="shared" si="3"/>
        <v>17.338099821256701</v>
      </c>
    </row>
    <row r="15" spans="2:10" s="5" customFormat="1" x14ac:dyDescent="0.25">
      <c r="B15" s="9" t="s">
        <v>20</v>
      </c>
      <c r="C15" s="10">
        <v>63649</v>
      </c>
      <c r="D15" s="11">
        <f t="shared" si="0"/>
        <v>100</v>
      </c>
      <c r="E15" s="10">
        <v>7087</v>
      </c>
      <c r="F15" s="11">
        <f>(E15/C15)*100</f>
        <v>11.134503291489262</v>
      </c>
      <c r="G15" s="10">
        <v>63993</v>
      </c>
      <c r="H15" s="11">
        <f t="shared" si="2"/>
        <v>100</v>
      </c>
      <c r="I15" s="10">
        <v>4942</v>
      </c>
      <c r="J15" s="11">
        <f t="shared" si="3"/>
        <v>7.7227196724641765</v>
      </c>
    </row>
    <row r="16" spans="2:10" x14ac:dyDescent="0.25">
      <c r="B16" s="3"/>
      <c r="C16" s="1"/>
      <c r="E16" s="1"/>
      <c r="G16" s="1"/>
    </row>
    <row r="17" spans="2:10" x14ac:dyDescent="0.25">
      <c r="C17" s="13" t="s">
        <v>15</v>
      </c>
      <c r="D17" s="13"/>
      <c r="E17" s="13"/>
      <c r="F17" s="13"/>
      <c r="G17" s="13"/>
      <c r="H17" s="13"/>
      <c r="I17" s="13"/>
      <c r="J17" s="13"/>
    </row>
    <row r="18" spans="2:10" x14ac:dyDescent="0.25">
      <c r="C18" s="1"/>
      <c r="E18" s="1"/>
      <c r="G18" s="1"/>
    </row>
    <row r="19" spans="2:10" x14ac:dyDescent="0.25">
      <c r="B19" s="4" t="s">
        <v>6</v>
      </c>
      <c r="C19" s="1">
        <f>1839994/100</f>
        <v>18399.939999999999</v>
      </c>
      <c r="D19" s="2">
        <f>(100/$C$25)*C19</f>
        <v>28.908451036151391</v>
      </c>
      <c r="E19" s="1">
        <f>12432/100</f>
        <v>124.32</v>
      </c>
      <c r="F19" s="2">
        <f>(E19/C19)*100</f>
        <v>0.67565437713383847</v>
      </c>
      <c r="G19" s="1">
        <f>1955827/100</f>
        <v>19558.27</v>
      </c>
      <c r="H19" s="2">
        <f>(100/$G$25)*G19</f>
        <v>30.563139718406699</v>
      </c>
      <c r="I19" s="1">
        <f>8799/100</f>
        <v>87.99</v>
      </c>
      <c r="J19" s="2">
        <f>(I19/G19)*100</f>
        <v>0.44988641633436899</v>
      </c>
    </row>
    <row r="20" spans="2:10" x14ac:dyDescent="0.25">
      <c r="B20" s="4" t="s">
        <v>7</v>
      </c>
      <c r="C20" s="1">
        <f>1239441/100</f>
        <v>12394.41</v>
      </c>
      <c r="D20" s="2">
        <f t="shared" ref="D20:D25" si="4">(100/$C$25)*C20</f>
        <v>19.47306320602052</v>
      </c>
      <c r="E20" s="1">
        <f>14511/100</f>
        <v>145.11000000000001</v>
      </c>
      <c r="F20" s="2">
        <f t="shared" ref="F20:F25" si="5">(E20/C20)*100</f>
        <v>1.1707697260297185</v>
      </c>
      <c r="G20" s="1">
        <f>1145232/100</f>
        <v>11452.32</v>
      </c>
      <c r="H20" s="2">
        <f t="shared" ref="H20:H25" si="6">(100/$G$25)*G20</f>
        <v>17.896207397684119</v>
      </c>
      <c r="I20" s="1">
        <f>8020/100</f>
        <v>80.2</v>
      </c>
      <c r="J20" s="2">
        <f t="shared" ref="J20:J25" si="7">(I20/G20)*100</f>
        <v>0.70029478743171691</v>
      </c>
    </row>
    <row r="21" spans="2:10" x14ac:dyDescent="0.25">
      <c r="B21" s="4" t="s">
        <v>8</v>
      </c>
      <c r="C21" s="1">
        <f>1048585/100</f>
        <v>10485.85</v>
      </c>
      <c r="D21" s="2">
        <f t="shared" si="4"/>
        <v>16.474492922119751</v>
      </c>
      <c r="E21" s="1">
        <f>19522/100</f>
        <v>195.22</v>
      </c>
      <c r="F21" s="2">
        <f t="shared" si="5"/>
        <v>1.8617470209854232</v>
      </c>
      <c r="G21" s="1">
        <f>923129/100</f>
        <v>9231.2900000000009</v>
      </c>
      <c r="H21" s="2">
        <f t="shared" si="6"/>
        <v>14.425468410607412</v>
      </c>
      <c r="I21" s="1">
        <f>9991/100</f>
        <v>99.91</v>
      </c>
      <c r="J21" s="2">
        <f t="shared" si="7"/>
        <v>1.082297273728807</v>
      </c>
    </row>
    <row r="22" spans="2:10" x14ac:dyDescent="0.25">
      <c r="B22" s="4" t="s">
        <v>9</v>
      </c>
      <c r="C22" s="1">
        <f>904227/100</f>
        <v>9042.27</v>
      </c>
      <c r="D22" s="2">
        <f t="shared" si="4"/>
        <v>14.206460431428617</v>
      </c>
      <c r="E22" s="1">
        <f>26843/100</f>
        <v>268.43</v>
      </c>
      <c r="F22" s="2">
        <f t="shared" si="5"/>
        <v>2.9686129699732478</v>
      </c>
      <c r="G22" s="1">
        <f>852011/100</f>
        <v>8520.11</v>
      </c>
      <c r="H22" s="2">
        <f t="shared" si="6"/>
        <v>13.314128107761787</v>
      </c>
      <c r="I22" s="1">
        <f>15345/100</f>
        <v>153.44999999999999</v>
      </c>
      <c r="J22" s="2">
        <f t="shared" si="7"/>
        <v>1.8010330852535938</v>
      </c>
    </row>
    <row r="23" spans="2:10" x14ac:dyDescent="0.25">
      <c r="B23" s="4" t="s">
        <v>10</v>
      </c>
      <c r="C23" s="1">
        <f>761207/100</f>
        <v>7612.07</v>
      </c>
      <c r="D23" s="2">
        <f t="shared" si="4"/>
        <v>11.959449480745965</v>
      </c>
      <c r="E23" s="1">
        <f>36907/100</f>
        <v>369.07</v>
      </c>
      <c r="F23" s="2">
        <f t="shared" si="5"/>
        <v>4.8484840523011483</v>
      </c>
      <c r="G23" s="1">
        <f>796068/100</f>
        <v>7960.68</v>
      </c>
      <c r="H23" s="2">
        <f t="shared" si="6"/>
        <v>12.439923116590878</v>
      </c>
      <c r="I23" s="1">
        <f>21818/100</f>
        <v>218.18</v>
      </c>
      <c r="J23" s="2">
        <f t="shared" si="7"/>
        <v>2.7407206419552099</v>
      </c>
    </row>
    <row r="24" spans="2:10" x14ac:dyDescent="0.25">
      <c r="B24" s="4" t="s">
        <v>11</v>
      </c>
      <c r="C24" s="1">
        <f>571446/100</f>
        <v>5714.46</v>
      </c>
      <c r="D24" s="2">
        <f t="shared" si="4"/>
        <v>8.9780829235337549</v>
      </c>
      <c r="E24" s="1">
        <f>44850/100</f>
        <v>448.5</v>
      </c>
      <c r="F24" s="2">
        <f t="shared" si="5"/>
        <v>7.8485106204260777</v>
      </c>
      <c r="G24" s="1">
        <f>727033/100</f>
        <v>7270.33</v>
      </c>
      <c r="H24" s="2">
        <f t="shared" si="6"/>
        <v>11.361133248949104</v>
      </c>
      <c r="I24" s="1">
        <f>33422/100</f>
        <v>334.22</v>
      </c>
      <c r="J24" s="2">
        <f t="shared" si="7"/>
        <v>4.5970402994086932</v>
      </c>
    </row>
    <row r="25" spans="2:10" s="5" customFormat="1" x14ac:dyDescent="0.25">
      <c r="B25" s="9" t="s">
        <v>20</v>
      </c>
      <c r="C25" s="10">
        <f>6364900/100</f>
        <v>63649</v>
      </c>
      <c r="D25" s="11">
        <f t="shared" si="4"/>
        <v>100</v>
      </c>
      <c r="E25" s="10">
        <f>155065/100</f>
        <v>1550.65</v>
      </c>
      <c r="F25" s="11">
        <f t="shared" si="5"/>
        <v>2.4362519442567834</v>
      </c>
      <c r="G25" s="10">
        <f>6399300/100</f>
        <v>63993</v>
      </c>
      <c r="H25" s="11">
        <f t="shared" si="6"/>
        <v>100</v>
      </c>
      <c r="I25" s="10">
        <f>97395/100</f>
        <v>973.95</v>
      </c>
      <c r="J25" s="11">
        <f t="shared" si="7"/>
        <v>1.5219633397402841</v>
      </c>
    </row>
    <row r="27" spans="2:10" x14ac:dyDescent="0.25">
      <c r="C27" s="13" t="s">
        <v>16</v>
      </c>
      <c r="D27" s="13"/>
      <c r="E27" s="13"/>
      <c r="F27" s="13"/>
      <c r="G27" s="13"/>
      <c r="H27" s="13"/>
      <c r="I27" s="13"/>
      <c r="J27" s="13"/>
    </row>
    <row r="28" spans="2:10" x14ac:dyDescent="0.25">
      <c r="C28" s="1"/>
      <c r="E28" s="1"/>
      <c r="G28" s="1"/>
    </row>
    <row r="29" spans="2:10" x14ac:dyDescent="0.25">
      <c r="B29" s="4" t="s">
        <v>6</v>
      </c>
      <c r="C29" s="1">
        <f>1839985/100</f>
        <v>18399.849999999999</v>
      </c>
      <c r="D29" s="2">
        <f>(100/$C$35)*C29</f>
        <v>28.90830963565806</v>
      </c>
      <c r="E29" s="1">
        <f>5708/100</f>
        <v>57.08</v>
      </c>
      <c r="F29" s="2">
        <f>(E29/C29)*100</f>
        <v>0.31021992027108919</v>
      </c>
      <c r="G29" s="1">
        <f>1955813/100</f>
        <v>19558.13</v>
      </c>
      <c r="H29" s="2">
        <f>(100/$G$35)*G29</f>
        <v>30.562920944478304</v>
      </c>
      <c r="I29" s="1">
        <f>2738/100</f>
        <v>27.38</v>
      </c>
      <c r="J29" s="2">
        <f>(I29/G29)*100</f>
        <v>0.13999293388478345</v>
      </c>
    </row>
    <row r="30" spans="2:10" x14ac:dyDescent="0.25">
      <c r="B30" s="4" t="s">
        <v>7</v>
      </c>
      <c r="C30" s="1">
        <f>1239343/100</f>
        <v>12393.43</v>
      </c>
      <c r="D30" s="2">
        <f t="shared" ref="D30:D35" si="8">(100/$C$35)*C30</f>
        <v>19.471523511759809</v>
      </c>
      <c r="E30" s="1">
        <f>5311/100</f>
        <v>53.11</v>
      </c>
      <c r="F30" s="2">
        <f t="shared" ref="F30:F35" si="9">(E30/C30)*100</f>
        <v>0.42853350525237965</v>
      </c>
      <c r="G30" s="1">
        <f>1145233/100</f>
        <v>11452.33</v>
      </c>
      <c r="H30" s="2">
        <f t="shared" ref="H30:H35" si="10">(100/$G$35)*G30</f>
        <v>17.896223024393294</v>
      </c>
      <c r="I30" s="1">
        <f>2053/100</f>
        <v>20.53</v>
      </c>
      <c r="J30" s="2">
        <f t="shared" ref="J30:J35" si="11">(I30/G30)*100</f>
        <v>0.17926483082481906</v>
      </c>
    </row>
    <row r="31" spans="2:10" x14ac:dyDescent="0.25">
      <c r="B31" s="4" t="s">
        <v>8</v>
      </c>
      <c r="C31" s="1">
        <f>1048829/100</f>
        <v>10488.29</v>
      </c>
      <c r="D31" s="2">
        <f t="shared" si="8"/>
        <v>16.478326446605603</v>
      </c>
      <c r="E31" s="1">
        <f>7591/100</f>
        <v>75.91</v>
      </c>
      <c r="F31" s="2">
        <f t="shared" si="9"/>
        <v>0.72375954516894547</v>
      </c>
      <c r="G31" s="1">
        <f>923184/100</f>
        <v>9231.84</v>
      </c>
      <c r="H31" s="2">
        <f t="shared" si="10"/>
        <v>14.426327879611833</v>
      </c>
      <c r="I31" s="1">
        <f>3154/100</f>
        <v>31.54</v>
      </c>
      <c r="J31" s="2">
        <f t="shared" si="11"/>
        <v>0.34164370266382432</v>
      </c>
    </row>
    <row r="32" spans="2:10" x14ac:dyDescent="0.25">
      <c r="B32" s="4" t="s">
        <v>9</v>
      </c>
      <c r="C32" s="1">
        <f>904155/100</f>
        <v>9041.5499999999993</v>
      </c>
      <c r="D32" s="2">
        <f t="shared" si="8"/>
        <v>14.20532922748197</v>
      </c>
      <c r="E32" s="1">
        <f>10834/100</f>
        <v>108.34</v>
      </c>
      <c r="F32" s="2">
        <f t="shared" si="9"/>
        <v>1.1982458759836534</v>
      </c>
      <c r="G32" s="1">
        <f>852106/100</f>
        <v>8521.06</v>
      </c>
      <c r="H32" s="2">
        <f t="shared" si="10"/>
        <v>13.31561264513306</v>
      </c>
      <c r="I32" s="1">
        <f>5208/100</f>
        <v>52.08</v>
      </c>
      <c r="J32" s="2">
        <f t="shared" si="11"/>
        <v>0.61119156536862784</v>
      </c>
    </row>
    <row r="33" spans="2:10" x14ac:dyDescent="0.25">
      <c r="B33" s="4" t="s">
        <v>10</v>
      </c>
      <c r="C33" s="1">
        <f>761245/100</f>
        <v>7612.45</v>
      </c>
      <c r="D33" s="2">
        <f t="shared" si="8"/>
        <v>11.960046505051139</v>
      </c>
      <c r="E33" s="1">
        <f>15031/100</f>
        <v>150.31</v>
      </c>
      <c r="F33" s="2">
        <f t="shared" si="9"/>
        <v>1.9745285683321401</v>
      </c>
      <c r="G33" s="1">
        <f>795832/100</f>
        <v>7958.32</v>
      </c>
      <c r="H33" s="2">
        <f t="shared" si="10"/>
        <v>12.436235213226446</v>
      </c>
      <c r="I33" s="1">
        <f>8349/100</f>
        <v>83.49</v>
      </c>
      <c r="J33" s="2">
        <f t="shared" si="11"/>
        <v>1.0490907628745765</v>
      </c>
    </row>
    <row r="34" spans="2:10" x14ac:dyDescent="0.25">
      <c r="B34" s="4" t="s">
        <v>11</v>
      </c>
      <c r="C34" s="1">
        <f>571343/100</f>
        <v>5713.43</v>
      </c>
      <c r="D34" s="2">
        <f t="shared" si="8"/>
        <v>8.9764646734434166</v>
      </c>
      <c r="E34" s="1">
        <f>15031/100</f>
        <v>150.31</v>
      </c>
      <c r="F34" s="2">
        <f t="shared" si="9"/>
        <v>2.6308189651400298</v>
      </c>
      <c r="G34" s="1">
        <f>727132/100</f>
        <v>7271.32</v>
      </c>
      <c r="H34" s="2">
        <f t="shared" si="10"/>
        <v>11.362680293157062</v>
      </c>
      <c r="I34" s="1">
        <f>15434/100</f>
        <v>154.34</v>
      </c>
      <c r="J34" s="2">
        <f t="shared" si="11"/>
        <v>2.1225857203368852</v>
      </c>
    </row>
    <row r="35" spans="2:10" s="5" customFormat="1" ht="15.75" thickBot="1" x14ac:dyDescent="0.3">
      <c r="B35" s="6" t="s">
        <v>20</v>
      </c>
      <c r="C35" s="7">
        <f>6364900/100</f>
        <v>63649</v>
      </c>
      <c r="D35" s="8">
        <f t="shared" si="8"/>
        <v>100</v>
      </c>
      <c r="E35" s="7">
        <f>65599/100</f>
        <v>655.99</v>
      </c>
      <c r="F35" s="8">
        <f t="shared" si="9"/>
        <v>1.0306367735549655</v>
      </c>
      <c r="G35" s="7">
        <f>6399300/100</f>
        <v>63993</v>
      </c>
      <c r="H35" s="8">
        <f t="shared" si="10"/>
        <v>100</v>
      </c>
      <c r="I35" s="7">
        <f>36936/100</f>
        <v>369.36</v>
      </c>
      <c r="J35" s="8">
        <f t="shared" si="11"/>
        <v>0.57718812995171342</v>
      </c>
    </row>
    <row r="36" spans="2:10" ht="15.75" thickTop="1" x14ac:dyDescent="0.25">
      <c r="B36" s="12" t="s">
        <v>17</v>
      </c>
      <c r="C36" s="12"/>
      <c r="D36" s="12"/>
      <c r="E36" s="12"/>
      <c r="F36" s="12"/>
      <c r="G36" s="12"/>
      <c r="H36" s="12"/>
      <c r="I36" s="12"/>
      <c r="J36" s="12"/>
    </row>
  </sheetData>
  <mergeCells count="10">
    <mergeCell ref="B36:J36"/>
    <mergeCell ref="C7:J7"/>
    <mergeCell ref="C17:J17"/>
    <mergeCell ref="C27:J27"/>
    <mergeCell ref="C3:F3"/>
    <mergeCell ref="C4:D4"/>
    <mergeCell ref="E4:F4"/>
    <mergeCell ref="G3:J3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2018-11-15T12:49:33Z</dcterms:modified>
</cp:coreProperties>
</file>