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3">
      <text>
        <t xml:space="preserve">equipment list as ATAPL-58320, but that is too short
	-Dan Mergens</t>
      </text>
    </comment>
    <comment authorId="0" ref="F3">
      <text>
        <t xml:space="preserve">equipment list shows 137
bulk load has 215
	-Dan Mergens</t>
      </text>
    </comment>
    <comment authorId="0" ref="E50">
      <text>
        <t xml:space="preserve">missing from bulk load
	-Dan Mergens</t>
      </text>
    </comment>
    <comment authorId="0" ref="E41">
      <text>
        <t xml:space="preserve">missing from bulk load
	-Dan Mergens</t>
      </text>
    </comment>
    <comment authorId="0" ref="E32">
      <text>
        <t xml:space="preserve">missing from bulk load
	-Dan Mergens</t>
      </text>
    </comment>
    <comment authorId="0" ref="H32">
      <text>
        <t xml:space="preserve">not sure if these calibration values were for the first or second deployment - just duplicated them - applies to all instruments
	-Dan Mergens</t>
      </text>
    </comment>
    <comment authorId="0" ref="E20">
      <text>
        <t xml:space="preserve">missing from bulk load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C2">
      <text>
        <t xml:space="preserve">no data, so it doesn't show up in the UI with a name :(
	-Dan Mergens</t>
      </text>
    </comment>
  </commentList>
</comments>
</file>

<file path=xl/sharedStrings.xml><?xml version="1.0" encoding="utf-8"?>
<sst xmlns="http://schemas.openxmlformats.org/spreadsheetml/2006/main" count="245" uniqueCount="86">
  <si>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</si>
  <si>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</si>
  <si>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</si>
  <si>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</si>
  <si>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</si>
  <si>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</si>
  <si>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</si>
  <si>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</si>
  <si>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</si>
  <si>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</si>
  <si>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</si>
  <si>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</si>
  <si>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ATAPL-71403-00004</t>
  </si>
  <si>
    <t>CE04OSPD-DP01B</t>
  </si>
  <si>
    <t>CE04OSPD-DP01B-00001</t>
  </si>
  <si>
    <t>44° 22.0986'N</t>
  </si>
  <si>
    <t>124° 57.1656'W</t>
  </si>
  <si>
    <t>TN-313</t>
  </si>
  <si>
    <t>profiler stopped working after docking station overcurrent</t>
  </si>
  <si>
    <t>ATAPL-67977-00003</t>
  </si>
  <si>
    <t>CE04OSPD-DP01B-01-CTDPFL105</t>
  </si>
  <si>
    <t>5277187-0138</t>
  </si>
  <si>
    <t>ATAPL-58346-00003</t>
  </si>
  <si>
    <t>CE04OSPD-DP01B-02-VEL3DA105</t>
  </si>
  <si>
    <t>ATAPL-70111-00003</t>
  </si>
  <si>
    <t>CE04OSPD-DP01B-03-FLCDRA103</t>
  </si>
  <si>
    <t>ATAPL-70110-00003</t>
  </si>
  <si>
    <t>CE04OSPD-DP01B-04-FLNTUA103</t>
  </si>
  <si>
    <t>A00175</t>
  </si>
  <si>
    <t>CE04OSPD-DP01B-06-DOSTAD105</t>
  </si>
  <si>
    <t>ATAPL-71403-00005</t>
  </si>
  <si>
    <t>44° 22.0975' N</t>
  </si>
  <si>
    <t>124° 57.1678' W</t>
  </si>
  <si>
    <t>TN-326</t>
  </si>
  <si>
    <t>"8/6/15 - Not communicating over wifi
9/9/15 - At dock, troubleshooting communications issues
11/2/2015 - Profiler restarted and comms established
10/2/2015 - plan is to let it discharge then restart it (worked for DP01A)
1/6/2016 - No data received since 12/23/2015, profiler is unresponsive."</t>
  </si>
  <si>
    <t>ATAPL-67977-00006</t>
  </si>
  <si>
    <t>52-0146</t>
  </si>
  <si>
    <t>9/9/2015 - no new data due to vehicle troubleshooting</t>
  </si>
  <si>
    <t>ATAPL-58346-00007</t>
  </si>
  <si>
    <t>ATAPL-70111-00006</t>
  </si>
  <si>
    <t>ATAPL-70110-00006</t>
  </si>
  <si>
    <t>9/9/2015 - no new data due to vehicle troubleshooting
12/2/2015 - no FLNTU data after profiler restart</t>
  </si>
  <si>
    <t>ATOSU-58320-00018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</si>
  <si>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</si>
  <si>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</si>
  <si>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</si>
  <si>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</si>
  <si>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</si>
  <si>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</si>
  <si>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</si>
  <si>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CC_csv</t>
  </si>
  <si>
    <t>[3.15934E-03, 1.32965E-04, 2.60588E-06, 2.32883E02, -3.21171E-01, -5.61414E01, 4.55182E00]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</si>
  <si>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</si>
  <si>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</si>
  <si>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</si>
  <si>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</si>
  <si>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</si>
  <si>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</si>
  <si>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</si>
  <si>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</si>
  <si>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CC_dark_counts_cdom</t>
  </si>
  <si>
    <t>CC_scale_factor_cdom</t>
  </si>
  <si>
    <t>CC_hdg_cal</t>
  </si>
  <si>
    <t>[335.0, 20.0, 65.0, 110.0, 155.0, 200.0, 245.0, 290.0]</t>
  </si>
  <si>
    <t>CC_hx_cal</t>
  </si>
  <si>
    <t>[0.29, 0.32, 0.17, -0.07, -0.27, -0.33, -0.19, 0.07]</t>
  </si>
  <si>
    <t>CC_hy_cal</t>
  </si>
  <si>
    <t>[-0.18, 0.07, 0.28, 0.34, 0.21, -0.04, -0.25, -0.32]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</si>
  <si>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</si>
  <si>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</si>
  <si>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</si>
  <si>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</si>
  <si>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</si>
  <si>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</si>
  <si>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</si>
  <si>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</si>
  <si>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</si>
  <si>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</si>
  <si>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</si>
  <si>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</si>
  <si>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</si>
  <si>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</si>
  <si>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no</t>
  </si>
  <si>
    <t>2/2</t>
  </si>
  <si>
    <t>-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</si>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</sst>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#,##0.000000000"/>
    <numFmt numFmtId="166" formatCode="m&quot;/&quot;d&quot;/&quot;yyyy"/>
  </numFmts>
  <fonts count="8">
    <font>
      <sz val="10.0"/>
      <color rgb="FF000000"/>
      <name val="Arial"/>
    </font>
    <font>
      <sz val="11.0"/>
      <name val="Calibri"/>
    </font>
    <font>
      <sz val="11.0"/>
      <color rgb="FF999999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name val="Calibri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1" numFmtId="20" xfId="0" applyAlignment="1" applyBorder="1" applyFont="1" applyNumberForma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3" numFmtId="15" xfId="0" applyAlignment="1" applyFont="1" applyNumberFormat="1">
      <alignment horizontal="center" vertical="center"/>
    </xf>
    <xf borderId="0" fillId="0" fontId="3" numFmtId="20" xfId="0" applyAlignment="1" applyFont="1" applyNumberFormat="1">
      <alignment horizontal="center" vertical="center"/>
    </xf>
    <xf borderId="0" fillId="0" fontId="3" numFmtId="15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/>
    </xf>
    <xf borderId="0" fillId="0" fontId="4" numFmtId="0" xfId="0" applyAlignment="1" applyFont="1">
      <alignment vertical="center"/>
    </xf>
    <xf borderId="0" fillId="3" fontId="1" numFmtId="0" xfId="0" applyAlignment="1" applyFill="1" applyFont="1">
      <alignment horizont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vertical="center"/>
    </xf>
    <xf borderId="0" fillId="0" fontId="1" numFmtId="15" xfId="0" applyAlignment="1" applyFont="1" applyNumberFormat="1">
      <alignment horizontal="center" vertical="center"/>
    </xf>
    <xf borderId="0" fillId="0" fontId="4" numFmtId="20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4" numFmtId="20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3" fontId="1" numFmtId="0" xfId="0" applyFont="1"/>
    <xf borderId="0" fillId="0" fontId="2" numFmtId="0" xfId="0" applyAlignment="1" applyFont="1">
      <alignment horizontal="center"/>
    </xf>
    <xf borderId="0" fillId="0" fontId="1" numFmtId="0" xfId="0" applyFont="1"/>
    <xf borderId="0" fillId="3" fontId="1" numFmtId="165" xfId="0" applyAlignment="1" applyFont="1" applyNumberFormat="1">
      <alignment horizontal="right"/>
    </xf>
    <xf borderId="0" fillId="0" fontId="4" numFmtId="0" xfId="0" applyFont="1"/>
    <xf borderId="0" fillId="0" fontId="4" numFmtId="165" xfId="0" applyAlignment="1" applyFont="1" applyNumberFormat="1">
      <alignment horizontal="right" vertical="center"/>
    </xf>
    <xf borderId="0" fillId="3" fontId="1" numFmtId="0" xfId="0" applyAlignment="1" applyFont="1">
      <alignment horizontal="center"/>
    </xf>
    <xf borderId="0" fillId="3" fontId="3" numFmtId="0" xfId="0" applyFont="1"/>
    <xf borderId="0" fillId="3" fontId="3" numFmtId="0" xfId="0" applyAlignment="1" applyFont="1">
      <alignment horizontal="center"/>
    </xf>
    <xf borderId="0" fillId="0" fontId="3" numFmtId="0" xfId="0" applyFont="1"/>
    <xf borderId="0" fillId="3" fontId="3" numFmtId="165" xfId="0" applyAlignment="1" applyFont="1" applyNumberFormat="1">
      <alignment horizontal="right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right" vertical="center"/>
    </xf>
    <xf borderId="0" fillId="3" fontId="1" numFmtId="0" xfId="0" applyAlignment="1" applyFont="1">
      <alignment horizontal="left"/>
    </xf>
    <xf borderId="0" fillId="3" fontId="4" numFmtId="165" xfId="0" applyAlignment="1" applyFont="1" applyNumberFormat="1">
      <alignment horizontal="right" vertical="center"/>
    </xf>
    <xf borderId="0" fillId="3" fontId="3" numFmtId="0" xfId="0" applyAlignment="1" applyFont="1">
      <alignment horizontal="left"/>
    </xf>
    <xf borderId="0" fillId="3" fontId="1" numFmtId="165" xfId="0" applyFont="1" applyNumberFormat="1"/>
    <xf borderId="0" fillId="3" fontId="3" numFmtId="0" xfId="0" applyAlignment="1" applyFont="1">
      <alignment horizontal="left"/>
    </xf>
    <xf borderId="0" fillId="4" fontId="1" numFmtId="165" xfId="0" applyAlignment="1" applyFill="1" applyFont="1" applyNumberFormat="1">
      <alignment horizontal="right"/>
    </xf>
    <xf borderId="0" fillId="4" fontId="3" numFmtId="165" xfId="0" applyAlignment="1" applyFont="1" applyNumberFormat="1">
      <alignment horizontal="right"/>
    </xf>
    <xf borderId="0" fillId="3" fontId="3" numFmtId="165" xfId="0" applyAlignment="1" applyFont="1" applyNumberFormat="1">
      <alignment horizontal="right" vertical="center"/>
    </xf>
    <xf borderId="1" fillId="2" fontId="1" numFmtId="0" xfId="0" applyAlignment="1" applyBorder="1" applyFont="1">
      <alignment horizontal="center" wrapText="1"/>
    </xf>
    <xf borderId="2" fillId="2" fontId="1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166" xfId="0" applyAlignment="1" applyFont="1" applyNumberFormat="1">
      <alignment horizontal="right"/>
    </xf>
    <xf borderId="0" fillId="5" fontId="5" numFmtId="0" xfId="0" applyAlignment="1" applyFill="1" applyFont="1">
      <alignment horizontal="left"/>
    </xf>
    <xf borderId="0" fillId="5" fontId="5" numFmtId="0" xfId="0" applyAlignment="1" applyFont="1">
      <alignment horizontal="center"/>
    </xf>
    <xf borderId="0" fillId="5" fontId="5" numFmtId="0" xfId="0" applyAlignment="1" applyFont="1">
      <alignment horizontal="center"/>
    </xf>
    <xf borderId="0" fillId="5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0.29"/>
    <col customWidth="1" min="2" max="2" width="33.14"/>
    <col customWidth="1" min="3" max="3" width="24.57"/>
    <col customWidth="1" min="4" max="7" width="12.0"/>
    <col customWidth="1" min="8" max="11" width="14.43"/>
    <col customWidth="1" min="12" max="12" width="18.14"/>
    <col customWidth="1" min="13" max="14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</row>
    <row r="2" ht="15.75" customHeight="1">
      <c r="A2" s="4" t="s">
        <v>12</v>
      </c>
      <c r="B2" s="5" t="s">
        <v>13</v>
      </c>
      <c r="C2" s="5" t="s">
        <v>14</v>
      </c>
      <c r="D2" s="6">
        <v>1.0</v>
      </c>
      <c r="E2" s="7">
        <v>41867.0</v>
      </c>
      <c r="F2" s="8">
        <v>0.9791666666666666</v>
      </c>
      <c r="G2" s="9"/>
      <c r="H2" s="10" t="s">
        <v>15</v>
      </c>
      <c r="I2" s="10" t="s">
        <v>16</v>
      </c>
      <c r="J2" s="11">
        <v>582.0</v>
      </c>
      <c r="K2" s="6" t="s">
        <v>17</v>
      </c>
      <c r="L2" s="12" t="s">
        <v>18</v>
      </c>
      <c r="M2" s="13" t="str">
        <f t="shared" ref="M2:M7" si="1">((LEFT(H2,(FIND("°",H2,1)-1)))+(MID(H2,(FIND("°",H2,1)+1),(FIND("'",H2,1))-(FIND("°",H2,1)+1))/60))*(IF(RIGHT(H2,1)="N",1,-1))</f>
        <v>44.36831</v>
      </c>
      <c r="N2" s="13" t="str">
        <f t="shared" ref="N2:N7" si="2">((LEFT(I2,(FIND("°",I2,1)-1)))+(MID(I2,(FIND("°",I2,1)+1),(FIND("'",I2,1))-(FIND("°",I2,1)+1))/60))*(IF(RIGHT(I2,1)="E",1,-1))</f>
        <v>-124.95276</v>
      </c>
    </row>
    <row r="3" ht="15.75" customHeight="1">
      <c r="A3" s="14" t="s">
        <v>19</v>
      </c>
      <c r="B3" s="15" t="s">
        <v>20</v>
      </c>
      <c r="C3" s="16" t="s">
        <v>21</v>
      </c>
      <c r="D3" s="6">
        <v>1.0</v>
      </c>
      <c r="E3" s="7">
        <v>41867.0</v>
      </c>
      <c r="F3" s="8">
        <v>0.9791666666666666</v>
      </c>
      <c r="G3" s="9"/>
      <c r="H3" s="17" t="s">
        <v>15</v>
      </c>
      <c r="I3" s="17" t="s">
        <v>16</v>
      </c>
      <c r="J3" s="11">
        <v>582.0</v>
      </c>
      <c r="K3" s="6" t="s">
        <v>17</v>
      </c>
      <c r="L3" s="12" t="s">
        <v>18</v>
      </c>
      <c r="M3" s="13" t="str">
        <f t="shared" si="1"/>
        <v>44.36831</v>
      </c>
      <c r="N3" s="13" t="str">
        <f t="shared" si="2"/>
        <v>-124.95276</v>
      </c>
    </row>
    <row r="4" ht="15.75" customHeight="1">
      <c r="A4" s="14" t="s">
        <v>22</v>
      </c>
      <c r="B4" s="15" t="s">
        <v>23</v>
      </c>
      <c r="C4" s="16">
        <v>1131.0</v>
      </c>
      <c r="D4" s="6">
        <v>1.0</v>
      </c>
      <c r="E4" s="7">
        <v>41867.0</v>
      </c>
      <c r="F4" s="8">
        <v>0.9791666666666666</v>
      </c>
      <c r="G4" s="9"/>
      <c r="H4" s="17" t="s">
        <v>15</v>
      </c>
      <c r="I4" s="17" t="s">
        <v>16</v>
      </c>
      <c r="J4" s="11">
        <v>582.0</v>
      </c>
      <c r="K4" s="6" t="s">
        <v>17</v>
      </c>
      <c r="L4" s="12" t="s">
        <v>18</v>
      </c>
      <c r="M4" s="13" t="str">
        <f t="shared" si="1"/>
        <v>44.36831</v>
      </c>
      <c r="N4" s="13" t="str">
        <f t="shared" si="2"/>
        <v>-124.95276</v>
      </c>
    </row>
    <row r="5" ht="15.75" customHeight="1">
      <c r="A5" s="4" t="s">
        <v>24</v>
      </c>
      <c r="B5" s="15" t="s">
        <v>25</v>
      </c>
      <c r="C5" s="16">
        <v>3400.0</v>
      </c>
      <c r="D5" s="6">
        <v>1.0</v>
      </c>
      <c r="E5" s="7">
        <v>41867.0</v>
      </c>
      <c r="F5" s="8">
        <v>0.9791666666666666</v>
      </c>
      <c r="G5" s="9"/>
      <c r="H5" s="17" t="s">
        <v>15</v>
      </c>
      <c r="I5" s="17" t="s">
        <v>16</v>
      </c>
      <c r="J5" s="11">
        <v>582.0</v>
      </c>
      <c r="K5" s="6" t="s">
        <v>17</v>
      </c>
      <c r="L5" s="12" t="s">
        <v>18</v>
      </c>
      <c r="M5" s="13" t="str">
        <f t="shared" si="1"/>
        <v>44.36831</v>
      </c>
      <c r="N5" s="13" t="str">
        <f t="shared" si="2"/>
        <v>-124.95276</v>
      </c>
    </row>
    <row r="6" ht="15.75" customHeight="1">
      <c r="A6" s="4" t="s">
        <v>26</v>
      </c>
      <c r="B6" s="15" t="s">
        <v>27</v>
      </c>
      <c r="C6" s="16">
        <v>3398.0</v>
      </c>
      <c r="D6" s="6">
        <v>1.0</v>
      </c>
      <c r="E6" s="7">
        <v>41867.0</v>
      </c>
      <c r="F6" s="8">
        <v>0.9791666666666666</v>
      </c>
      <c r="G6" s="9"/>
      <c r="H6" s="17" t="s">
        <v>15</v>
      </c>
      <c r="I6" s="17" t="s">
        <v>16</v>
      </c>
      <c r="J6" s="11">
        <v>582.0</v>
      </c>
      <c r="K6" s="6" t="s">
        <v>17</v>
      </c>
      <c r="L6" s="12" t="s">
        <v>18</v>
      </c>
      <c r="M6" s="13" t="str">
        <f t="shared" si="1"/>
        <v>44.36831</v>
      </c>
      <c r="N6" s="13" t="str">
        <f t="shared" si="2"/>
        <v>-124.95276</v>
      </c>
    </row>
    <row r="7" ht="15.75" customHeight="1">
      <c r="A7" s="4" t="s">
        <v>28</v>
      </c>
      <c r="B7" s="15" t="s">
        <v>29</v>
      </c>
      <c r="C7" s="18">
        <v>137.0</v>
      </c>
      <c r="D7" s="6">
        <v>1.0</v>
      </c>
      <c r="E7" s="7">
        <v>41867.0</v>
      </c>
      <c r="F7" s="8">
        <v>0.9791666666666666</v>
      </c>
      <c r="G7" s="9"/>
      <c r="H7" s="10" t="s">
        <v>15</v>
      </c>
      <c r="I7" s="10" t="s">
        <v>16</v>
      </c>
      <c r="J7" s="11">
        <v>582.0</v>
      </c>
      <c r="K7" s="6" t="s">
        <v>17</v>
      </c>
      <c r="L7" s="12" t="s">
        <v>18</v>
      </c>
      <c r="M7" s="13" t="str">
        <f t="shared" si="1"/>
        <v>44.36831</v>
      </c>
      <c r="N7" s="13" t="str">
        <f t="shared" si="2"/>
        <v>-124.95276</v>
      </c>
    </row>
    <row r="8" ht="15.75" customHeight="1">
      <c r="A8" s="19"/>
      <c r="B8" s="5"/>
      <c r="C8" s="5"/>
      <c r="D8" s="6"/>
      <c r="E8" s="20"/>
      <c r="F8" s="21"/>
      <c r="G8" s="20"/>
      <c r="H8" s="6"/>
      <c r="I8" s="6"/>
      <c r="J8" s="11"/>
      <c r="K8" s="6"/>
      <c r="L8" s="22"/>
      <c r="M8" s="13"/>
      <c r="N8" s="13"/>
    </row>
    <row r="9" ht="15.75" customHeight="1">
      <c r="A9" s="23" t="s">
        <v>30</v>
      </c>
      <c r="B9" s="24" t="s">
        <v>13</v>
      </c>
      <c r="C9" s="24" t="s">
        <v>14</v>
      </c>
      <c r="D9" s="10">
        <v>2.0</v>
      </c>
      <c r="E9" s="9">
        <v>42209.0</v>
      </c>
      <c r="F9" s="8">
        <v>0.8263888888888888</v>
      </c>
      <c r="G9" s="9"/>
      <c r="H9" s="10" t="s">
        <v>31</v>
      </c>
      <c r="I9" s="10" t="s">
        <v>32</v>
      </c>
      <c r="J9" s="17">
        <v>582.0</v>
      </c>
      <c r="K9" s="10" t="s">
        <v>33</v>
      </c>
      <c r="L9" s="12" t="s">
        <v>34</v>
      </c>
      <c r="M9" s="13" t="str">
        <f t="shared" ref="M9:M14" si="3">((LEFT(H9,(FIND("°",H9,1)-1)))+(MID(H9,(FIND("°",H9,1)+1),(FIND("'",H9,1))-(FIND("°",H9,1)+1))/60))*(IF(RIGHT(H9,1)="N",1,-1))</f>
        <v>44.36829167</v>
      </c>
      <c r="N9" s="13" t="str">
        <f t="shared" ref="N9:N14" si="4">((LEFT(I9,(FIND("°",I9,1)-1)))+(MID(I9,(FIND("°",I9,1)+1),(FIND("'",I9,1))-(FIND("°",I9,1)+1))/60))*(IF(RIGHT(I9,1)="E",1,-1))</f>
        <v>-124.9527967</v>
      </c>
    </row>
    <row r="10" ht="12.75" customHeight="1">
      <c r="A10" s="23" t="s">
        <v>35</v>
      </c>
      <c r="B10" s="12" t="s">
        <v>20</v>
      </c>
      <c r="C10" s="10" t="s">
        <v>36</v>
      </c>
      <c r="D10" s="10">
        <v>2.0</v>
      </c>
      <c r="E10" s="9">
        <v>42209.0</v>
      </c>
      <c r="F10" s="8">
        <v>0.8263888888888888</v>
      </c>
      <c r="G10" s="9"/>
      <c r="H10" s="17" t="s">
        <v>31</v>
      </c>
      <c r="I10" s="17" t="s">
        <v>32</v>
      </c>
      <c r="J10" s="17">
        <v>582.0</v>
      </c>
      <c r="K10" s="10" t="s">
        <v>33</v>
      </c>
      <c r="L10" s="23" t="s">
        <v>37</v>
      </c>
      <c r="M10" s="13" t="str">
        <f t="shared" si="3"/>
        <v>44.36829167</v>
      </c>
      <c r="N10" s="13" t="str">
        <f t="shared" si="4"/>
        <v>-124.9527967</v>
      </c>
    </row>
    <row r="11" ht="12.75" customHeight="1">
      <c r="A11" s="23" t="s">
        <v>38</v>
      </c>
      <c r="B11" s="12" t="s">
        <v>23</v>
      </c>
      <c r="C11" s="10">
        <v>1216.0</v>
      </c>
      <c r="D11" s="10">
        <v>2.0</v>
      </c>
      <c r="E11" s="9">
        <v>42209.0</v>
      </c>
      <c r="F11" s="8">
        <v>0.8263888888888888</v>
      </c>
      <c r="G11" s="9"/>
      <c r="H11" s="17" t="s">
        <v>31</v>
      </c>
      <c r="I11" s="17" t="s">
        <v>32</v>
      </c>
      <c r="J11" s="17">
        <v>582.0</v>
      </c>
      <c r="K11" s="10" t="s">
        <v>33</v>
      </c>
      <c r="L11" s="23" t="s">
        <v>37</v>
      </c>
      <c r="M11" s="13" t="str">
        <f t="shared" si="3"/>
        <v>44.36829167</v>
      </c>
      <c r="N11" s="13" t="str">
        <f t="shared" si="4"/>
        <v>-124.9527967</v>
      </c>
    </row>
    <row r="12" ht="12.75" customHeight="1">
      <c r="A12" s="23" t="s">
        <v>39</v>
      </c>
      <c r="B12" s="12" t="s">
        <v>25</v>
      </c>
      <c r="C12" s="10">
        <v>3717.0</v>
      </c>
      <c r="D12" s="10">
        <v>2.0</v>
      </c>
      <c r="E12" s="9">
        <v>42209.0</v>
      </c>
      <c r="F12" s="8">
        <v>0.8263888888888888</v>
      </c>
      <c r="G12" s="9"/>
      <c r="H12" s="17" t="s">
        <v>31</v>
      </c>
      <c r="I12" s="17" t="s">
        <v>32</v>
      </c>
      <c r="J12" s="17">
        <v>582.0</v>
      </c>
      <c r="K12" s="10" t="s">
        <v>33</v>
      </c>
      <c r="L12" s="23" t="s">
        <v>37</v>
      </c>
      <c r="M12" s="13" t="str">
        <f t="shared" si="3"/>
        <v>44.36829167</v>
      </c>
      <c r="N12" s="13" t="str">
        <f t="shared" si="4"/>
        <v>-124.9527967</v>
      </c>
    </row>
    <row r="13" ht="12.75" customHeight="1">
      <c r="A13" s="23" t="s">
        <v>40</v>
      </c>
      <c r="B13" s="12" t="s">
        <v>27</v>
      </c>
      <c r="C13" s="10">
        <v>3762.0</v>
      </c>
      <c r="D13" s="10">
        <v>2.0</v>
      </c>
      <c r="E13" s="9">
        <v>42209.0</v>
      </c>
      <c r="F13" s="8">
        <v>0.8263888888888888</v>
      </c>
      <c r="G13" s="9"/>
      <c r="H13" s="17" t="s">
        <v>31</v>
      </c>
      <c r="I13" s="17" t="s">
        <v>32</v>
      </c>
      <c r="J13" s="17">
        <v>582.0</v>
      </c>
      <c r="K13" s="10" t="s">
        <v>33</v>
      </c>
      <c r="L13" s="23" t="s">
        <v>41</v>
      </c>
      <c r="M13" s="13" t="str">
        <f t="shared" si="3"/>
        <v>44.36829167</v>
      </c>
      <c r="N13" s="13" t="str">
        <f t="shared" si="4"/>
        <v>-124.9527967</v>
      </c>
    </row>
    <row r="14" ht="12.75" customHeight="1">
      <c r="A14" s="23" t="s">
        <v>42</v>
      </c>
      <c r="B14" s="12" t="s">
        <v>29</v>
      </c>
      <c r="C14" s="10">
        <v>317.0</v>
      </c>
      <c r="D14" s="10">
        <v>2.0</v>
      </c>
      <c r="E14" s="9">
        <v>42209.0</v>
      </c>
      <c r="F14" s="8">
        <v>0.8263888888888888</v>
      </c>
      <c r="G14" s="9"/>
      <c r="H14" s="10" t="s">
        <v>31</v>
      </c>
      <c r="I14" s="10" t="s">
        <v>32</v>
      </c>
      <c r="J14" s="17">
        <v>582.0</v>
      </c>
      <c r="K14" s="10" t="s">
        <v>33</v>
      </c>
      <c r="L14" s="23" t="s">
        <v>37</v>
      </c>
      <c r="M14" s="13" t="str">
        <f t="shared" si="3"/>
        <v>44.36829167</v>
      </c>
      <c r="N14" s="13" t="str">
        <f t="shared" si="4"/>
        <v>-124.9527967</v>
      </c>
    </row>
    <row r="15" ht="12.75" customHeight="1">
      <c r="A15" s="19"/>
      <c r="B15" s="25"/>
      <c r="C15" s="25"/>
      <c r="D15" s="19"/>
      <c r="E15" s="20"/>
      <c r="F15" s="26"/>
      <c r="G15" s="20"/>
      <c r="H15" s="27"/>
      <c r="I15" s="27"/>
      <c r="J15" s="27"/>
      <c r="K15" s="19"/>
      <c r="L15" s="19"/>
      <c r="M15" s="28"/>
      <c r="N15" s="28"/>
    </row>
    <row r="16" ht="12.75" customHeight="1">
      <c r="A16" s="19"/>
      <c r="B16" s="25"/>
      <c r="C16" s="25"/>
      <c r="D16" s="19"/>
      <c r="E16" s="20"/>
      <c r="F16" s="26"/>
      <c r="G16" s="20"/>
      <c r="H16" s="27"/>
      <c r="I16" s="27"/>
      <c r="J16" s="27"/>
      <c r="K16" s="19"/>
      <c r="L16" s="19"/>
      <c r="M16" s="28"/>
      <c r="N16" s="28"/>
    </row>
    <row r="17" ht="12.75" customHeight="1">
      <c r="A17" s="19"/>
      <c r="B17" s="25"/>
      <c r="C17" s="25"/>
      <c r="D17" s="19"/>
      <c r="E17" s="20"/>
      <c r="F17" s="26"/>
      <c r="G17" s="20"/>
      <c r="H17" s="27"/>
      <c r="I17" s="27"/>
      <c r="J17" s="27"/>
      <c r="K17" s="19"/>
      <c r="L17" s="19"/>
      <c r="M17" s="28"/>
      <c r="N17" s="28"/>
    </row>
    <row r="18" ht="12.75" customHeight="1">
      <c r="A18" s="19"/>
      <c r="B18" s="25"/>
      <c r="C18" s="25"/>
      <c r="D18" s="19"/>
      <c r="E18" s="20"/>
      <c r="F18" s="26"/>
      <c r="G18" s="20"/>
      <c r="H18" s="27"/>
      <c r="I18" s="27"/>
      <c r="J18" s="27"/>
      <c r="K18" s="19"/>
      <c r="L18" s="19"/>
      <c r="M18" s="28"/>
      <c r="N18" s="28"/>
    </row>
    <row r="19" ht="12.75" customHeight="1">
      <c r="A19" s="19"/>
      <c r="B19" s="25"/>
      <c r="C19" s="25"/>
      <c r="D19" s="19"/>
      <c r="E19" s="20"/>
      <c r="F19" s="26"/>
      <c r="G19" s="20"/>
      <c r="H19" s="27"/>
      <c r="I19" s="27"/>
      <c r="J19" s="27"/>
      <c r="K19" s="19"/>
      <c r="L19" s="19"/>
      <c r="M19" s="28"/>
      <c r="N19" s="28"/>
    </row>
    <row r="20" ht="12.75" customHeight="1">
      <c r="A20" s="19"/>
      <c r="B20" s="25"/>
      <c r="C20" s="25"/>
      <c r="D20" s="19"/>
      <c r="E20" s="20"/>
      <c r="F20" s="26"/>
      <c r="G20" s="20"/>
      <c r="H20" s="27"/>
      <c r="I20" s="27"/>
      <c r="J20" s="27"/>
      <c r="K20" s="19"/>
      <c r="L20" s="19"/>
      <c r="M20" s="28"/>
      <c r="N2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86"/>
    <col customWidth="1" min="2" max="2" width="19.86"/>
    <col customWidth="1" min="3" max="3" width="23.57"/>
    <col customWidth="1" min="4" max="4" width="13.14"/>
    <col customWidth="1" min="5" max="5" width="20.43"/>
    <col customWidth="1" min="6" max="6" width="14.29"/>
    <col customWidth="1" min="7" max="7" width="29.86"/>
    <col customWidth="1" min="8" max="8" width="59.29"/>
    <col customWidth="1" min="9" max="9" width="15.71"/>
  </cols>
  <sheetData>
    <row r="1" ht="26.25" customHeight="1">
      <c r="A1" s="1" t="s">
        <v>1</v>
      </c>
      <c r="B1" s="1" t="s">
        <v>0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29" t="s">
        <v>11</v>
      </c>
    </row>
    <row r="2" ht="15.75" customHeight="1">
      <c r="A2" s="30"/>
      <c r="B2" s="30" t="str">
        <f>IFERROR(__xludf.DUMMYFUNCTION("if(isblank(A2),"""",filter(Moorings!A:A,Moorings!B:B=left(A2,14),Moorings!D:D=D2))"),"")</f>
        <v/>
      </c>
      <c r="C2" s="30" t="str">
        <f>IFERROR(__xludf.DUMMYFUNCTION("if(isblank(A2),"""",filter(Moorings!C:C,Moorings!B:B=left(A2,14),Moorings!D:D=D2))"),"")</f>
        <v/>
      </c>
      <c r="D2" s="30"/>
      <c r="E2" s="30" t="str">
        <f>IFERROR(__xludf.DUMMYFUNCTION("if(isblank(A2),"""",filter(Moorings!A:A,Moorings!B:B=A2,Moorings!D:D=D2))"),"")</f>
        <v/>
      </c>
      <c r="F2" s="30" t="str">
        <f>IFERROR(__xludf.DUMMYFUNCTION("if(isblank(A2),"""",filter(Moorings!C:C,Moorings!B:B=A2,Moorings!D:D=D2))"),"")</f>
        <v/>
      </c>
      <c r="G2" s="30"/>
      <c r="H2" s="31"/>
      <c r="I2" s="32"/>
    </row>
    <row r="3" ht="15.75" customHeight="1">
      <c r="A3" s="33" t="s">
        <v>29</v>
      </c>
      <c r="B3" s="34" t="str">
        <f>IFERROR(__xludf.DUMMYFUNCTION("if(isblank(A3),"""",filter(Moorings!A:A,Moorings!B:B=left(A3,14),Moorings!D:D=D3))"),"ATAPL-71403-00004")</f>
        <v>ATAPL-71403-00004</v>
      </c>
      <c r="C3" s="34" t="str">
        <f>IFERROR(__xludf.DUMMYFUNCTION("if(isblank(A3),"""",filter(Moorings!C:C,Moorings!B:B=left(A3,14),Moorings!D:D=D3))"),"CE04OSPD-DP01B-00001")</f>
        <v>CE04OSPD-DP01B-00001</v>
      </c>
      <c r="D3" s="16">
        <v>1.0</v>
      </c>
      <c r="E3" s="34" t="str">
        <f>IFERROR(__xludf.DUMMYFUNCTION("if(isblank(A3),"""",filter(Moorings!A:A,Moorings!B:B=A3,Moorings!D:D=D3))"),"A00175")</f>
        <v>A00175</v>
      </c>
      <c r="F3" s="34" t="str">
        <f>IFERROR(__xludf.DUMMYFUNCTION("if(isblank(A3),"""",filter(Moorings!C:C,Moorings!B:B=A3,Moorings!D:D=D3))"),"137")</f>
        <v>137</v>
      </c>
      <c r="G3" s="35" t="s">
        <v>48</v>
      </c>
      <c r="H3" s="36">
        <v>44.3682766666666</v>
      </c>
      <c r="I3" s="37"/>
    </row>
    <row r="4" ht="15.75" customHeight="1">
      <c r="A4" s="33" t="s">
        <v>29</v>
      </c>
      <c r="B4" s="34" t="str">
        <f>IFERROR(__xludf.DUMMYFUNCTION("if(isblank(A4),"""",filter(Moorings!A:A,Moorings!B:B=left(A4,14),Moorings!D:D=D4))"),"ATAPL-71403-00004")</f>
        <v>ATAPL-71403-00004</v>
      </c>
      <c r="C4" s="34" t="str">
        <f>IFERROR(__xludf.DUMMYFUNCTION("if(isblank(A4),"""",filter(Moorings!C:C,Moorings!B:B=left(A4,14),Moorings!D:D=D4))"),"CE04OSPD-DP01B-00001")</f>
        <v>CE04OSPD-DP01B-00001</v>
      </c>
      <c r="D4" s="16">
        <v>1.0</v>
      </c>
      <c r="E4" s="34" t="str">
        <f>IFERROR(__xludf.DUMMYFUNCTION("if(isblank(A4),"""",filter(Moorings!A:A,Moorings!B:B=A4,Moorings!D:D=D4))"),"A00175")</f>
        <v>A00175</v>
      </c>
      <c r="F4" s="34" t="str">
        <f>IFERROR(__xludf.DUMMYFUNCTION("if(isblank(A4),"""",filter(Moorings!C:C,Moorings!B:B=A4,Moorings!D:D=D4))"),"137")</f>
        <v>137</v>
      </c>
      <c r="G4" s="35" t="s">
        <v>49</v>
      </c>
      <c r="H4" s="36">
        <v>-124.952751666666</v>
      </c>
      <c r="I4" s="37"/>
    </row>
    <row r="5" ht="15.75" customHeight="1">
      <c r="A5" s="33" t="s">
        <v>29</v>
      </c>
      <c r="B5" s="34" t="str">
        <f>IFERROR(__xludf.DUMMYFUNCTION("if(isblank(A5),"""",filter(Moorings!A:A,Moorings!B:B=left(A5,14),Moorings!D:D=D5))"),"ATAPL-71403-00004")</f>
        <v>ATAPL-71403-00004</v>
      </c>
      <c r="C5" s="34" t="str">
        <f>IFERROR(__xludf.DUMMYFUNCTION("if(isblank(A5),"""",filter(Moorings!C:C,Moorings!B:B=left(A5,14),Moorings!D:D=D5))"),"CE04OSPD-DP01B-00001")</f>
        <v>CE04OSPD-DP01B-00001</v>
      </c>
      <c r="D5" s="16">
        <v>1.0</v>
      </c>
      <c r="E5" s="34" t="str">
        <f>IFERROR(__xludf.DUMMYFUNCTION("if(isblank(A5),"""",filter(Moorings!A:A,Moorings!B:B=A5,Moorings!D:D=D5))"),"A00175")</f>
        <v>A00175</v>
      </c>
      <c r="F5" s="34" t="str">
        <f>IFERROR(__xludf.DUMMYFUNCTION("if(isblank(A5),"""",filter(Moorings!C:C,Moorings!B:B=A5,Moorings!D:D=D5))"),"137")</f>
        <v>137</v>
      </c>
      <c r="G5" s="35" t="s">
        <v>50</v>
      </c>
      <c r="H5" s="38" t="s">
        <v>51</v>
      </c>
      <c r="I5" s="37"/>
    </row>
    <row r="6" ht="15.75" customHeight="1">
      <c r="A6" s="33"/>
      <c r="B6" s="30" t="str">
        <f>IFERROR(__xludf.DUMMYFUNCTION("if(isblank(A6),"""",filter(Moorings!A:A,Moorings!B:B=left(A6,14),Moorings!D:D=D6))"),"")</f>
        <v/>
      </c>
      <c r="C6" s="30" t="str">
        <f>IFERROR(__xludf.DUMMYFUNCTION("if(isblank(A6),"""",filter(Moorings!C:C,Moorings!B:B=left(A6,14),Moorings!D:D=D6))"),"")</f>
        <v/>
      </c>
      <c r="D6" s="39"/>
      <c r="E6" s="30" t="str">
        <f>IFERROR(__xludf.DUMMYFUNCTION("if(isblank(A6),"""",filter(Moorings!A:A,Moorings!B:B=A6,Moorings!D:D=D6))"),"")</f>
        <v/>
      </c>
      <c r="F6" s="30" t="str">
        <f>IFERROR(__xludf.DUMMYFUNCTION("if(isblank(A6),"""",filter(Moorings!C:C,Moorings!B:B=A6,Moorings!D:D=D6))"),"")</f>
        <v/>
      </c>
      <c r="G6" s="35"/>
      <c r="H6" s="36"/>
      <c r="I6" s="37"/>
    </row>
    <row r="7" ht="15.75" customHeight="1">
      <c r="A7" s="40" t="s">
        <v>29</v>
      </c>
      <c r="B7" s="34" t="str">
        <f>IFERROR(__xludf.DUMMYFUNCTION("if(isblank(A7),"""",filter(Moorings!A:A,Moorings!B:B=left(A7,14),Moorings!D:D=D7))"),"ATAPL-71403-00005")</f>
        <v>ATAPL-71403-00005</v>
      </c>
      <c r="C7" s="34" t="str">
        <f>IFERROR(__xludf.DUMMYFUNCTION("if(isblank(A7),"""",filter(Moorings!C:C,Moorings!B:B=left(A7,14),Moorings!D:D=D7))"),"CE04OSPD-DP01B-00001")</f>
        <v>CE04OSPD-DP01B-00001</v>
      </c>
      <c r="D7" s="41">
        <v>2.0</v>
      </c>
      <c r="E7" s="34" t="str">
        <f>IFERROR(__xludf.DUMMYFUNCTION("if(isblank(A7),"""",filter(Moorings!A:A,Moorings!B:B=A7,Moorings!D:D=D7))"),"ATOSU-58320-00018")</f>
        <v>ATOSU-58320-00018</v>
      </c>
      <c r="F7" s="34" t="str">
        <f>IFERROR(__xludf.DUMMYFUNCTION("if(isblank(A7),"""",filter(Moorings!C:C,Moorings!B:B=A7,Moorings!D:D=D7))"),"317")</f>
        <v>317</v>
      </c>
      <c r="G7" s="42" t="s">
        <v>48</v>
      </c>
      <c r="H7" s="43">
        <v>44.3682766666666</v>
      </c>
      <c r="I7" s="44"/>
    </row>
    <row r="8" ht="15.75" customHeight="1">
      <c r="A8" s="40" t="s">
        <v>29</v>
      </c>
      <c r="B8" s="34" t="str">
        <f>IFERROR(__xludf.DUMMYFUNCTION("if(isblank(A8),"""",filter(Moorings!A:A,Moorings!B:B=left(A8,14),Moorings!D:D=D8))"),"ATAPL-71403-00005")</f>
        <v>ATAPL-71403-00005</v>
      </c>
      <c r="C8" s="34" t="str">
        <f>IFERROR(__xludf.DUMMYFUNCTION("if(isblank(A8),"""",filter(Moorings!C:C,Moorings!B:B=left(A8,14),Moorings!D:D=D8))"),"CE04OSPD-DP01B-00001")</f>
        <v>CE04OSPD-DP01B-00001</v>
      </c>
      <c r="D8" s="41">
        <v>2.0</v>
      </c>
      <c r="E8" s="34" t="str">
        <f>IFERROR(__xludf.DUMMYFUNCTION("if(isblank(A8),"""",filter(Moorings!A:A,Moorings!B:B=A8,Moorings!D:D=D8))"),"ATOSU-58320-00018")</f>
        <v>ATOSU-58320-00018</v>
      </c>
      <c r="F8" s="34" t="str">
        <f>IFERROR(__xludf.DUMMYFUNCTION("if(isblank(A8),"""",filter(Moorings!C:C,Moorings!B:B=A8,Moorings!D:D=D8))"),"317")</f>
        <v>317</v>
      </c>
      <c r="G8" s="42" t="s">
        <v>49</v>
      </c>
      <c r="H8" s="43">
        <v>-124.952751666666</v>
      </c>
      <c r="I8" s="44"/>
    </row>
    <row r="9" ht="15.75" customHeight="1">
      <c r="A9" s="42" t="s">
        <v>29</v>
      </c>
      <c r="B9" s="34" t="str">
        <f>IFERROR(__xludf.DUMMYFUNCTION("if(isblank(A9),"""",filter(Moorings!A:A,Moorings!B:B=left(A9,14),Moorings!D:D=D9))"),"ATAPL-71403-00005")</f>
        <v>ATAPL-71403-00005</v>
      </c>
      <c r="C9" s="34" t="str">
        <f>IFERROR(__xludf.DUMMYFUNCTION("if(isblank(A9),"""",filter(Moorings!C:C,Moorings!B:B=left(A9,14),Moorings!D:D=D9))"),"CE04OSPD-DP01B-00001")</f>
        <v>CE04OSPD-DP01B-00001</v>
      </c>
      <c r="D9" s="45">
        <v>2.0</v>
      </c>
      <c r="E9" s="34" t="str">
        <f>IFERROR(__xludf.DUMMYFUNCTION("if(isblank(A9),"""",filter(Moorings!A:A,Moorings!B:B=A9,Moorings!D:D=D9))"),"ATOSU-58320-00018")</f>
        <v>ATOSU-58320-00018</v>
      </c>
      <c r="F9" s="34" t="str">
        <f>IFERROR(__xludf.DUMMYFUNCTION("if(isblank(A9),"""",filter(Moorings!C:C,Moorings!B:B=A9,Moorings!D:D=D9))"),"317")</f>
        <v>317</v>
      </c>
      <c r="G9" s="42" t="s">
        <v>50</v>
      </c>
      <c r="H9" s="46" t="s">
        <v>51</v>
      </c>
      <c r="I9" s="42"/>
    </row>
    <row r="10" ht="15.75" customHeight="1">
      <c r="A10" s="47"/>
      <c r="B10" s="30" t="str">
        <f>IFERROR(__xludf.DUMMYFUNCTION("if(isblank(A10),"""",filter(Moorings!A:A,Moorings!B:B=left(A10,14),Moorings!D:D=D10))"),"")</f>
        <v/>
      </c>
      <c r="C10" s="30" t="str">
        <f>IFERROR(__xludf.DUMMYFUNCTION("if(isblank(A10),"""",filter(Moorings!C:C,Moorings!B:B=left(A10,14),Moorings!D:D=D10))"),"")</f>
        <v/>
      </c>
      <c r="D10" s="16"/>
      <c r="E10" s="30" t="str">
        <f>IFERROR(__xludf.DUMMYFUNCTION("if(isblank(A10),"""",filter(Moorings!A:A,Moorings!B:B=A10,Moorings!D:D=D10))"),"")</f>
        <v/>
      </c>
      <c r="F10" s="30" t="str">
        <f>IFERROR(__xludf.DUMMYFUNCTION("if(isblank(A10),"""",filter(Moorings!C:C,Moorings!B:B=A10,Moorings!D:D=D10))"),"")</f>
        <v/>
      </c>
      <c r="G10" s="35"/>
      <c r="H10" s="48"/>
      <c r="I10" s="37"/>
    </row>
    <row r="11" ht="15.75" customHeight="1">
      <c r="A11" s="47" t="s">
        <v>27</v>
      </c>
      <c r="B11" s="34" t="str">
        <f>IFERROR(__xludf.DUMMYFUNCTION("if(isblank(A11),"""",filter(Moorings!A:A,Moorings!B:B=left(A11,14),Moorings!D:D=D11))"),"ATAPL-71403-00004")</f>
        <v>ATAPL-71403-00004</v>
      </c>
      <c r="C11" s="34" t="str">
        <f>IFERROR(__xludf.DUMMYFUNCTION("if(isblank(A11),"""",filter(Moorings!C:C,Moorings!B:B=left(A11,14),Moorings!D:D=D11))"),"CE04OSPD-DP01B-00001")</f>
        <v>CE04OSPD-DP01B-00001</v>
      </c>
      <c r="D11" s="16">
        <v>1.0</v>
      </c>
      <c r="E11" s="34" t="str">
        <f>IFERROR(__xludf.DUMMYFUNCTION("if(isblank(A11),"""",filter(Moorings!A:A,Moorings!B:B=A11,Moorings!D:D=D11))"),"ATAPL-70110-00003")</f>
        <v>ATAPL-70110-00003</v>
      </c>
      <c r="F11" s="34" t="str">
        <f>IFERROR(__xludf.DUMMYFUNCTION("if(isblank(A11),"""",filter(Moorings!C:C,Moorings!B:B=A11,Moorings!D:D=D11))"),"3398")</f>
        <v>3398</v>
      </c>
      <c r="G11" s="33" t="s">
        <v>52</v>
      </c>
      <c r="H11" s="36">
        <v>21.0</v>
      </c>
      <c r="I11" s="37"/>
    </row>
    <row r="12" ht="15.75" customHeight="1">
      <c r="A12" s="47" t="s">
        <v>27</v>
      </c>
      <c r="B12" s="34" t="str">
        <f>IFERROR(__xludf.DUMMYFUNCTION("if(isblank(A12),"""",filter(Moorings!A:A,Moorings!B:B=left(A12,14),Moorings!D:D=D12))"),"ATAPL-71403-00004")</f>
        <v>ATAPL-71403-00004</v>
      </c>
      <c r="C12" s="34" t="str">
        <f>IFERROR(__xludf.DUMMYFUNCTION("if(isblank(A12),"""",filter(Moorings!C:C,Moorings!B:B=left(A12,14),Moorings!D:D=D12))"),"CE04OSPD-DP01B-00001")</f>
        <v>CE04OSPD-DP01B-00001</v>
      </c>
      <c r="D12" s="16">
        <v>1.0</v>
      </c>
      <c r="E12" s="34" t="str">
        <f>IFERROR(__xludf.DUMMYFUNCTION("if(isblank(A12),"""",filter(Moorings!A:A,Moorings!B:B=A12,Moorings!D:D=D12))"),"ATAPL-70110-00003")</f>
        <v>ATAPL-70110-00003</v>
      </c>
      <c r="F12" s="34" t="str">
        <f>IFERROR(__xludf.DUMMYFUNCTION("if(isblank(A12),"""",filter(Moorings!C:C,Moorings!B:B=A12,Moorings!D:D=D12))"),"3398")</f>
        <v>3398</v>
      </c>
      <c r="G12" s="33" t="s">
        <v>53</v>
      </c>
      <c r="H12" s="36">
        <v>0.0061</v>
      </c>
      <c r="I12" s="37"/>
    </row>
    <row r="13" ht="15.75" customHeight="1">
      <c r="A13" s="47" t="s">
        <v>27</v>
      </c>
      <c r="B13" s="34" t="str">
        <f>IFERROR(__xludf.DUMMYFUNCTION("if(isblank(A13),"""",filter(Moorings!A:A,Moorings!B:B=left(A13,14),Moorings!D:D=D13))"),"ATAPL-71403-00004")</f>
        <v>ATAPL-71403-00004</v>
      </c>
      <c r="C13" s="34" t="str">
        <f>IFERROR(__xludf.DUMMYFUNCTION("if(isblank(A13),"""",filter(Moorings!C:C,Moorings!B:B=left(A13,14),Moorings!D:D=D13))"),"CE04OSPD-DP01B-00001")</f>
        <v>CE04OSPD-DP01B-00001</v>
      </c>
      <c r="D13" s="16">
        <v>1.0</v>
      </c>
      <c r="E13" s="34" t="str">
        <f>IFERROR(__xludf.DUMMYFUNCTION("if(isblank(A13),"""",filter(Moorings!A:A,Moorings!B:B=A13,Moorings!D:D=D13))"),"ATAPL-70110-00003")</f>
        <v>ATAPL-70110-00003</v>
      </c>
      <c r="F13" s="34" t="str">
        <f>IFERROR(__xludf.DUMMYFUNCTION("if(isblank(A13),"""",filter(Moorings!C:C,Moorings!B:B=A13,Moorings!D:D=D13))"),"3398")</f>
        <v>3398</v>
      </c>
      <c r="G13" s="33" t="s">
        <v>54</v>
      </c>
      <c r="H13" s="36">
        <v>50.0</v>
      </c>
      <c r="I13" s="37"/>
    </row>
    <row r="14" ht="15.75" customHeight="1">
      <c r="A14" s="47" t="s">
        <v>27</v>
      </c>
      <c r="B14" s="34" t="str">
        <f>IFERROR(__xludf.DUMMYFUNCTION("if(isblank(A14),"""",filter(Moorings!A:A,Moorings!B:B=left(A14,14),Moorings!D:D=D14))"),"ATAPL-71403-00004")</f>
        <v>ATAPL-71403-00004</v>
      </c>
      <c r="C14" s="34" t="str">
        <f>IFERROR(__xludf.DUMMYFUNCTION("if(isblank(A14),"""",filter(Moorings!C:C,Moorings!B:B=left(A14,14),Moorings!D:D=D14))"),"CE04OSPD-DP01B-00001")</f>
        <v>CE04OSPD-DP01B-00001</v>
      </c>
      <c r="D14" s="16">
        <v>1.0</v>
      </c>
      <c r="E14" s="34" t="str">
        <f>IFERROR(__xludf.DUMMYFUNCTION("if(isblank(A14),"""",filter(Moorings!A:A,Moorings!B:B=A14,Moorings!D:D=D14))"),"ATAPL-70110-00003")</f>
        <v>ATAPL-70110-00003</v>
      </c>
      <c r="F14" s="34" t="str">
        <f>IFERROR(__xludf.DUMMYFUNCTION("if(isblank(A14),"""",filter(Moorings!C:C,Moorings!B:B=A14,Moorings!D:D=D14))"),"3398")</f>
        <v>3398</v>
      </c>
      <c r="G14" s="33" t="s">
        <v>55</v>
      </c>
      <c r="H14" s="36">
        <v>0.0121</v>
      </c>
      <c r="I14" s="37"/>
    </row>
    <row r="15" ht="15.75" customHeight="1">
      <c r="A15" s="47" t="s">
        <v>27</v>
      </c>
      <c r="B15" s="34" t="str">
        <f>IFERROR(__xludf.DUMMYFUNCTION("if(isblank(A15),"""",filter(Moorings!A:A,Moorings!B:B=left(A15,14),Moorings!D:D=D15))"),"ATAPL-71403-00004")</f>
        <v>ATAPL-71403-00004</v>
      </c>
      <c r="C15" s="34" t="str">
        <f>IFERROR(__xludf.DUMMYFUNCTION("if(isblank(A15),"""",filter(Moorings!C:C,Moorings!B:B=left(A15,14),Moorings!D:D=D15))"),"CE04OSPD-DP01B-00001")</f>
        <v>CE04OSPD-DP01B-00001</v>
      </c>
      <c r="D15" s="16">
        <v>1.0</v>
      </c>
      <c r="E15" s="34" t="str">
        <f>IFERROR(__xludf.DUMMYFUNCTION("if(isblank(A15),"""",filter(Moorings!A:A,Moorings!B:B=A15,Moorings!D:D=D15))"),"ATAPL-70110-00003")</f>
        <v>ATAPL-70110-00003</v>
      </c>
      <c r="F15" s="34" t="str">
        <f>IFERROR(__xludf.DUMMYFUNCTION("if(isblank(A15),"""",filter(Moorings!C:C,Moorings!B:B=A15,Moorings!D:D=D15))"),"3398")</f>
        <v>3398</v>
      </c>
      <c r="G15" s="33" t="s">
        <v>56</v>
      </c>
      <c r="H15" s="36">
        <v>117.0</v>
      </c>
      <c r="I15" s="37"/>
    </row>
    <row r="16" ht="15.75" customHeight="1">
      <c r="A16" s="47" t="s">
        <v>27</v>
      </c>
      <c r="B16" s="34" t="str">
        <f>IFERROR(__xludf.DUMMYFUNCTION("if(isblank(A16),"""",filter(Moorings!A:A,Moorings!B:B=left(A16,14),Moorings!D:D=D16))"),"ATAPL-71403-00004")</f>
        <v>ATAPL-71403-00004</v>
      </c>
      <c r="C16" s="34" t="str">
        <f>IFERROR(__xludf.DUMMYFUNCTION("if(isblank(A16),"""",filter(Moorings!C:C,Moorings!B:B=left(A16,14),Moorings!D:D=D16))"),"CE04OSPD-DP01B-00001")</f>
        <v>CE04OSPD-DP01B-00001</v>
      </c>
      <c r="D16" s="16">
        <v>1.0</v>
      </c>
      <c r="E16" s="34" t="str">
        <f>IFERROR(__xludf.DUMMYFUNCTION("if(isblank(A16),"""",filter(Moorings!A:A,Moorings!B:B=A16,Moorings!D:D=D16))"),"ATAPL-70110-00003")</f>
        <v>ATAPL-70110-00003</v>
      </c>
      <c r="F16" s="34" t="str">
        <f>IFERROR(__xludf.DUMMYFUNCTION("if(isblank(A16),"""",filter(Moorings!C:C,Moorings!B:B=A16,Moorings!D:D=D16))"),"3398")</f>
        <v>3398</v>
      </c>
      <c r="G16" s="33" t="s">
        <v>57</v>
      </c>
      <c r="H16" s="36">
        <v>700.0</v>
      </c>
      <c r="I16" s="37"/>
    </row>
    <row r="17" ht="15.75" customHeight="1">
      <c r="A17" s="47" t="s">
        <v>27</v>
      </c>
      <c r="B17" s="34" t="str">
        <f>IFERROR(__xludf.DUMMYFUNCTION("if(isblank(A17),"""",filter(Moorings!A:A,Moorings!B:B=left(A17,14),Moorings!D:D=D17))"),"ATAPL-71403-00004")</f>
        <v>ATAPL-71403-00004</v>
      </c>
      <c r="C17" s="34" t="str">
        <f>IFERROR(__xludf.DUMMYFUNCTION("if(isblank(A17),"""",filter(Moorings!C:C,Moorings!B:B=left(A17,14),Moorings!D:D=D17))"),"CE04OSPD-DP01B-00001")</f>
        <v>CE04OSPD-DP01B-00001</v>
      </c>
      <c r="D17" s="16">
        <v>1.0</v>
      </c>
      <c r="E17" s="34" t="str">
        <f>IFERROR(__xludf.DUMMYFUNCTION("if(isblank(A17),"""",filter(Moorings!A:A,Moorings!B:B=A17,Moorings!D:D=D17))"),"ATAPL-70110-00003")</f>
        <v>ATAPL-70110-00003</v>
      </c>
      <c r="F17" s="34" t="str">
        <f>IFERROR(__xludf.DUMMYFUNCTION("if(isblank(A17),"""",filter(Moorings!C:C,Moorings!B:B=A17,Moorings!D:D=D17))"),"3398")</f>
        <v>3398</v>
      </c>
      <c r="G17" s="33" t="s">
        <v>58</v>
      </c>
      <c r="H17" s="36">
        <v>1.08</v>
      </c>
      <c r="I17" s="37"/>
    </row>
    <row r="18" ht="15.75" customHeight="1">
      <c r="A18" s="47" t="s">
        <v>27</v>
      </c>
      <c r="B18" s="34" t="str">
        <f>IFERROR(__xludf.DUMMYFUNCTION("if(isblank(A18),"""",filter(Moorings!A:A,Moorings!B:B=left(A18,14),Moorings!D:D=D18))"),"ATAPL-71403-00004")</f>
        <v>ATAPL-71403-00004</v>
      </c>
      <c r="C18" s="34" t="str">
        <f>IFERROR(__xludf.DUMMYFUNCTION("if(isblank(A18),"""",filter(Moorings!C:C,Moorings!B:B=left(A18,14),Moorings!D:D=D18))"),"CE04OSPD-DP01B-00001")</f>
        <v>CE04OSPD-DP01B-00001</v>
      </c>
      <c r="D18" s="16">
        <v>1.0</v>
      </c>
      <c r="E18" s="34" t="str">
        <f>IFERROR(__xludf.DUMMYFUNCTION("if(isblank(A18),"""",filter(Moorings!A:A,Moorings!B:B=A18,Moorings!D:D=D18))"),"ATAPL-70110-00003")</f>
        <v>ATAPL-70110-00003</v>
      </c>
      <c r="F18" s="34" t="str">
        <f>IFERROR(__xludf.DUMMYFUNCTION("if(isblank(A18),"""",filter(Moorings!C:C,Moorings!B:B=A18,Moorings!D:D=D18))"),"3398")</f>
        <v>3398</v>
      </c>
      <c r="G18" s="33" t="s">
        <v>59</v>
      </c>
      <c r="H18" s="36">
        <v>0.039</v>
      </c>
      <c r="I18" s="37"/>
    </row>
    <row r="19" ht="15.75" customHeight="1">
      <c r="A19" s="47"/>
      <c r="B19" s="30" t="str">
        <f>IFERROR(__xludf.DUMMYFUNCTION("if(isblank(A19),"""",filter(Moorings!A:A,Moorings!B:B=left(A19,14),Moorings!D:D=D19))"),"")</f>
        <v/>
      </c>
      <c r="C19" s="30" t="str">
        <f>IFERROR(__xludf.DUMMYFUNCTION("if(isblank(A19),"""",filter(Moorings!C:C,Moorings!B:B=left(A19,14),Moorings!D:D=D19))"),"")</f>
        <v/>
      </c>
      <c r="D19" s="16"/>
      <c r="E19" s="30" t="str">
        <f>IFERROR(__xludf.DUMMYFUNCTION("if(isblank(A19),"""",filter(Moorings!A:A,Moorings!B:B=A19,Moorings!D:D=D19))"),"")</f>
        <v/>
      </c>
      <c r="F19" s="30" t="str">
        <f>IFERROR(__xludf.DUMMYFUNCTION("if(isblank(A19),"""",filter(Moorings!C:C,Moorings!B:B=A19,Moorings!D:D=D19))"),"")</f>
        <v/>
      </c>
      <c r="G19" s="33"/>
      <c r="H19" s="36"/>
      <c r="I19" s="37"/>
    </row>
    <row r="20" ht="15.75" customHeight="1">
      <c r="A20" s="49" t="s">
        <v>27</v>
      </c>
      <c r="B20" s="34" t="str">
        <f>IFERROR(__xludf.DUMMYFUNCTION("if(isblank(A20),"""",filter(Moorings!A:A,Moorings!B:B=left(A20,14),Moorings!D:D=D20))"),"ATAPL-71403-00005")</f>
        <v>ATAPL-71403-00005</v>
      </c>
      <c r="C20" s="34" t="str">
        <f>IFERROR(__xludf.DUMMYFUNCTION("if(isblank(A20),"""",filter(Moorings!C:C,Moorings!B:B=left(A20,14),Moorings!D:D=D20))"),"CE04OSPD-DP01B-00001")</f>
        <v>CE04OSPD-DP01B-00001</v>
      </c>
      <c r="D20" s="41">
        <v>2.0</v>
      </c>
      <c r="E20" s="34" t="str">
        <f>IFERROR(__xludf.DUMMYFUNCTION("if(isblank(A20),"""",filter(Moorings!A:A,Moorings!B:B=A20,Moorings!D:D=D20))"),"ATAPL-70110-00006")</f>
        <v>ATAPL-70110-00006</v>
      </c>
      <c r="F20" s="34" t="str">
        <f>IFERROR(__xludf.DUMMYFUNCTION("if(isblank(A20),"""",filter(Moorings!C:C,Moorings!B:B=A20,Moorings!D:D=D20))"),"3762")</f>
        <v>3762</v>
      </c>
      <c r="G20" s="40" t="s">
        <v>52</v>
      </c>
      <c r="H20" s="43">
        <v>21.0</v>
      </c>
      <c r="I20" s="44"/>
    </row>
    <row r="21" ht="15.75" customHeight="1">
      <c r="A21" s="49" t="s">
        <v>27</v>
      </c>
      <c r="B21" s="34" t="str">
        <f>IFERROR(__xludf.DUMMYFUNCTION("if(isblank(A21),"""",filter(Moorings!A:A,Moorings!B:B=left(A21,14),Moorings!D:D=D21))"),"ATAPL-71403-00005")</f>
        <v>ATAPL-71403-00005</v>
      </c>
      <c r="C21" s="34" t="str">
        <f>IFERROR(__xludf.DUMMYFUNCTION("if(isblank(A21),"""",filter(Moorings!C:C,Moorings!B:B=left(A21,14),Moorings!D:D=D21))"),"CE04OSPD-DP01B-00001")</f>
        <v>CE04OSPD-DP01B-00001</v>
      </c>
      <c r="D21" s="41">
        <v>2.0</v>
      </c>
      <c r="E21" s="34" t="str">
        <f>IFERROR(__xludf.DUMMYFUNCTION("if(isblank(A21),"""",filter(Moorings!A:A,Moorings!B:B=A21,Moorings!D:D=D21))"),"ATAPL-70110-00006")</f>
        <v>ATAPL-70110-00006</v>
      </c>
      <c r="F21" s="34" t="str">
        <f>IFERROR(__xludf.DUMMYFUNCTION("if(isblank(A21),"""",filter(Moorings!C:C,Moorings!B:B=A21,Moorings!D:D=D21))"),"3762")</f>
        <v>3762</v>
      </c>
      <c r="G21" s="40" t="s">
        <v>53</v>
      </c>
      <c r="H21" s="43">
        <v>0.0061</v>
      </c>
      <c r="I21" s="44"/>
    </row>
    <row r="22" ht="15.75" customHeight="1">
      <c r="A22" s="49" t="s">
        <v>27</v>
      </c>
      <c r="B22" s="34" t="str">
        <f>IFERROR(__xludf.DUMMYFUNCTION("if(isblank(A22),"""",filter(Moorings!A:A,Moorings!B:B=left(A22,14),Moorings!D:D=D22))"),"ATAPL-71403-00005")</f>
        <v>ATAPL-71403-00005</v>
      </c>
      <c r="C22" s="34" t="str">
        <f>IFERROR(__xludf.DUMMYFUNCTION("if(isblank(A22),"""",filter(Moorings!C:C,Moorings!B:B=left(A22,14),Moorings!D:D=D22))"),"CE04OSPD-DP01B-00001")</f>
        <v>CE04OSPD-DP01B-00001</v>
      </c>
      <c r="D22" s="41">
        <v>2.0</v>
      </c>
      <c r="E22" s="34" t="str">
        <f>IFERROR(__xludf.DUMMYFUNCTION("if(isblank(A22),"""",filter(Moorings!A:A,Moorings!B:B=A22,Moorings!D:D=D22))"),"ATAPL-70110-00006")</f>
        <v>ATAPL-70110-00006</v>
      </c>
      <c r="F22" s="34" t="str">
        <f>IFERROR(__xludf.DUMMYFUNCTION("if(isblank(A22),"""",filter(Moorings!C:C,Moorings!B:B=A22,Moorings!D:D=D22))"),"3762")</f>
        <v>3762</v>
      </c>
      <c r="G22" s="40" t="s">
        <v>54</v>
      </c>
      <c r="H22" s="43">
        <v>50.0</v>
      </c>
      <c r="I22" s="44"/>
    </row>
    <row r="23" ht="15.75" customHeight="1">
      <c r="A23" s="49" t="s">
        <v>27</v>
      </c>
      <c r="B23" s="34" t="str">
        <f>IFERROR(__xludf.DUMMYFUNCTION("if(isblank(A23),"""",filter(Moorings!A:A,Moorings!B:B=left(A23,14),Moorings!D:D=D23))"),"ATAPL-71403-00005")</f>
        <v>ATAPL-71403-00005</v>
      </c>
      <c r="C23" s="34" t="str">
        <f>IFERROR(__xludf.DUMMYFUNCTION("if(isblank(A23),"""",filter(Moorings!C:C,Moorings!B:B=left(A23,14),Moorings!D:D=D23))"),"CE04OSPD-DP01B-00001")</f>
        <v>CE04OSPD-DP01B-00001</v>
      </c>
      <c r="D23" s="41">
        <v>2.0</v>
      </c>
      <c r="E23" s="34" t="str">
        <f>IFERROR(__xludf.DUMMYFUNCTION("if(isblank(A23),"""",filter(Moorings!A:A,Moorings!B:B=A23,Moorings!D:D=D23))"),"ATAPL-70110-00006")</f>
        <v>ATAPL-70110-00006</v>
      </c>
      <c r="F23" s="34" t="str">
        <f>IFERROR(__xludf.DUMMYFUNCTION("if(isblank(A23),"""",filter(Moorings!C:C,Moorings!B:B=A23,Moorings!D:D=D23))"),"3762")</f>
        <v>3762</v>
      </c>
      <c r="G23" s="40" t="s">
        <v>55</v>
      </c>
      <c r="H23" s="43">
        <v>0.0121</v>
      </c>
      <c r="I23" s="44"/>
    </row>
    <row r="24" ht="15.75" customHeight="1">
      <c r="A24" s="49" t="s">
        <v>27</v>
      </c>
      <c r="B24" s="34" t="str">
        <f>IFERROR(__xludf.DUMMYFUNCTION("if(isblank(A24),"""",filter(Moorings!A:A,Moorings!B:B=left(A24,14),Moorings!D:D=D24))"),"ATAPL-71403-00005")</f>
        <v>ATAPL-71403-00005</v>
      </c>
      <c r="C24" s="34" t="str">
        <f>IFERROR(__xludf.DUMMYFUNCTION("if(isblank(A24),"""",filter(Moorings!C:C,Moorings!B:B=left(A24,14),Moorings!D:D=D24))"),"CE04OSPD-DP01B-00001")</f>
        <v>CE04OSPD-DP01B-00001</v>
      </c>
      <c r="D24" s="41">
        <v>2.0</v>
      </c>
      <c r="E24" s="34" t="str">
        <f>IFERROR(__xludf.DUMMYFUNCTION("if(isblank(A24),"""",filter(Moorings!A:A,Moorings!B:B=A24,Moorings!D:D=D24))"),"ATAPL-70110-00006")</f>
        <v>ATAPL-70110-00006</v>
      </c>
      <c r="F24" s="34" t="str">
        <f>IFERROR(__xludf.DUMMYFUNCTION("if(isblank(A24),"""",filter(Moorings!C:C,Moorings!B:B=A24,Moorings!D:D=D24))"),"3762")</f>
        <v>3762</v>
      </c>
      <c r="G24" s="40" t="s">
        <v>56</v>
      </c>
      <c r="H24" s="43">
        <v>117.0</v>
      </c>
      <c r="I24" s="44"/>
    </row>
    <row r="25" ht="15.75" customHeight="1">
      <c r="A25" s="49" t="s">
        <v>27</v>
      </c>
      <c r="B25" s="34" t="str">
        <f>IFERROR(__xludf.DUMMYFUNCTION("if(isblank(A25),"""",filter(Moorings!A:A,Moorings!B:B=left(A25,14),Moorings!D:D=D25))"),"ATAPL-71403-00005")</f>
        <v>ATAPL-71403-00005</v>
      </c>
      <c r="C25" s="34" t="str">
        <f>IFERROR(__xludf.DUMMYFUNCTION("if(isblank(A25),"""",filter(Moorings!C:C,Moorings!B:B=left(A25,14),Moorings!D:D=D25))"),"CE04OSPD-DP01B-00001")</f>
        <v>CE04OSPD-DP01B-00001</v>
      </c>
      <c r="D25" s="41">
        <v>2.0</v>
      </c>
      <c r="E25" s="34" t="str">
        <f>IFERROR(__xludf.DUMMYFUNCTION("if(isblank(A25),"""",filter(Moorings!A:A,Moorings!B:B=A25,Moorings!D:D=D25))"),"ATAPL-70110-00006")</f>
        <v>ATAPL-70110-00006</v>
      </c>
      <c r="F25" s="34" t="str">
        <f>IFERROR(__xludf.DUMMYFUNCTION("if(isblank(A25),"""",filter(Moorings!C:C,Moorings!B:B=A25,Moorings!D:D=D25))"),"3762")</f>
        <v>3762</v>
      </c>
      <c r="G25" s="40" t="s">
        <v>57</v>
      </c>
      <c r="H25" s="43">
        <v>700.0</v>
      </c>
      <c r="I25" s="44"/>
    </row>
    <row r="26" ht="15.75" customHeight="1">
      <c r="A26" s="49" t="s">
        <v>27</v>
      </c>
      <c r="B26" s="34" t="str">
        <f>IFERROR(__xludf.DUMMYFUNCTION("if(isblank(A26),"""",filter(Moorings!A:A,Moorings!B:B=left(A26,14),Moorings!D:D=D26))"),"ATAPL-71403-00005")</f>
        <v>ATAPL-71403-00005</v>
      </c>
      <c r="C26" s="34" t="str">
        <f>IFERROR(__xludf.DUMMYFUNCTION("if(isblank(A26),"""",filter(Moorings!C:C,Moorings!B:B=left(A26,14),Moorings!D:D=D26))"),"CE04OSPD-DP01B-00001")</f>
        <v>CE04OSPD-DP01B-00001</v>
      </c>
      <c r="D26" s="41">
        <v>2.0</v>
      </c>
      <c r="E26" s="34" t="str">
        <f>IFERROR(__xludf.DUMMYFUNCTION("if(isblank(A26),"""",filter(Moorings!A:A,Moorings!B:B=A26,Moorings!D:D=D26))"),"ATAPL-70110-00006")</f>
        <v>ATAPL-70110-00006</v>
      </c>
      <c r="F26" s="34" t="str">
        <f>IFERROR(__xludf.DUMMYFUNCTION("if(isblank(A26),"""",filter(Moorings!C:C,Moorings!B:B=A26,Moorings!D:D=D26))"),"3762")</f>
        <v>3762</v>
      </c>
      <c r="G26" s="40" t="s">
        <v>58</v>
      </c>
      <c r="H26" s="43">
        <v>1.08</v>
      </c>
      <c r="I26" s="44"/>
    </row>
    <row r="27" ht="15.75" customHeight="1">
      <c r="A27" s="49" t="s">
        <v>27</v>
      </c>
      <c r="B27" s="34" t="str">
        <f>IFERROR(__xludf.DUMMYFUNCTION("if(isblank(A27),"""",filter(Moorings!A:A,Moorings!B:B=left(A27,14),Moorings!D:D=D27))"),"ATAPL-71403-00005")</f>
        <v>ATAPL-71403-00005</v>
      </c>
      <c r="C27" s="34" t="str">
        <f>IFERROR(__xludf.DUMMYFUNCTION("if(isblank(A27),"""",filter(Moorings!C:C,Moorings!B:B=left(A27,14),Moorings!D:D=D27))"),"CE04OSPD-DP01B-00001")</f>
        <v>CE04OSPD-DP01B-00001</v>
      </c>
      <c r="D27" s="41">
        <v>2.0</v>
      </c>
      <c r="E27" s="34" t="str">
        <f>IFERROR(__xludf.DUMMYFUNCTION("if(isblank(A27),"""",filter(Moorings!A:A,Moorings!B:B=A27,Moorings!D:D=D27))"),"ATAPL-70110-00006")</f>
        <v>ATAPL-70110-00006</v>
      </c>
      <c r="F27" s="34" t="str">
        <f>IFERROR(__xludf.DUMMYFUNCTION("if(isblank(A27),"""",filter(Moorings!C:C,Moorings!B:B=A27,Moorings!D:D=D27))"),"3762")</f>
        <v>3762</v>
      </c>
      <c r="G27" s="40" t="s">
        <v>59</v>
      </c>
      <c r="H27" s="43">
        <v>0.039</v>
      </c>
      <c r="I27" s="44"/>
    </row>
    <row r="28" ht="15.75" customHeight="1">
      <c r="A28" s="33"/>
      <c r="B28" s="30" t="str">
        <f>IFERROR(__xludf.DUMMYFUNCTION("if(isblank(A28),"""",filter(Moorings!A:A,Moorings!B:B=left(A28,14),Moorings!D:D=D28))"),"")</f>
        <v/>
      </c>
      <c r="C28" s="30" t="str">
        <f>IFERROR(__xludf.DUMMYFUNCTION("if(isblank(A28),"""",filter(Moorings!C:C,Moorings!B:B=left(A28,14),Moorings!D:D=D28))"),"")</f>
        <v/>
      </c>
      <c r="D28" s="33"/>
      <c r="E28" s="30" t="str">
        <f>IFERROR(__xludf.DUMMYFUNCTION("if(isblank(A28),"""",filter(Moorings!A:A,Moorings!B:B=A28,Moorings!D:D=D28))"),"")</f>
        <v/>
      </c>
      <c r="F28" s="30" t="str">
        <f>IFERROR(__xludf.DUMMYFUNCTION("if(isblank(A28),"""",filter(Moorings!C:C,Moorings!B:B=A28,Moorings!D:D=D28))"),"")</f>
        <v/>
      </c>
      <c r="G28" s="33"/>
      <c r="H28" s="50"/>
      <c r="I28" s="37"/>
    </row>
    <row r="29" ht="15.75" customHeight="1">
      <c r="A29" s="51" t="s">
        <v>25</v>
      </c>
      <c r="B29" s="34" t="str">
        <f>IFERROR(__xludf.DUMMYFUNCTION("if(isblank(A29),"""",filter(Moorings!A:A,Moorings!B:B=left(A29,14),Moorings!D:D=D29))"),"ATAPL-71403-00004")</f>
        <v>ATAPL-71403-00004</v>
      </c>
      <c r="C29" s="34" t="str">
        <f>IFERROR(__xludf.DUMMYFUNCTION("if(isblank(A29),"""",filter(Moorings!C:C,Moorings!B:B=left(A29,14),Moorings!D:D=D29))"),"CE04OSPD-DP01B-00001")</f>
        <v>CE04OSPD-DP01B-00001</v>
      </c>
      <c r="D29" s="16">
        <v>1.0</v>
      </c>
      <c r="E29" s="34" t="str">
        <f>IFERROR(__xludf.DUMMYFUNCTION("if(isblank(A29),"""",filter(Moorings!A:A,Moorings!B:B=A29,Moorings!D:D=D29))"),"ATAPL-70111-00003")</f>
        <v>ATAPL-70111-00003</v>
      </c>
      <c r="F29" s="34" t="str">
        <f>IFERROR(__xludf.DUMMYFUNCTION("if(isblank(A29),"""",filter(Moorings!C:C,Moorings!B:B=A29,Moorings!D:D=D29))"),"3400")</f>
        <v>3400</v>
      </c>
      <c r="G29" s="33" t="s">
        <v>60</v>
      </c>
      <c r="H29" s="52">
        <v>39.0</v>
      </c>
      <c r="I29" s="37"/>
    </row>
    <row r="30" ht="15.75" customHeight="1">
      <c r="A30" s="51" t="s">
        <v>25</v>
      </c>
      <c r="B30" s="34" t="str">
        <f>IFERROR(__xludf.DUMMYFUNCTION("if(isblank(A30),"""",filter(Moorings!A:A,Moorings!B:B=left(A30,14),Moorings!D:D=D30))"),"ATAPL-71403-00004")</f>
        <v>ATAPL-71403-00004</v>
      </c>
      <c r="C30" s="34" t="str">
        <f>IFERROR(__xludf.DUMMYFUNCTION("if(isblank(A30),"""",filter(Moorings!C:C,Moorings!B:B=left(A30,14),Moorings!D:D=D30))"),"CE04OSPD-DP01B-00001")</f>
        <v>CE04OSPD-DP01B-00001</v>
      </c>
      <c r="D30" s="16">
        <v>1.0</v>
      </c>
      <c r="E30" s="34" t="str">
        <f>IFERROR(__xludf.DUMMYFUNCTION("if(isblank(A30),"""",filter(Moorings!A:A,Moorings!B:B=A30,Moorings!D:D=D30))"),"ATAPL-70111-00003")</f>
        <v>ATAPL-70111-00003</v>
      </c>
      <c r="F30" s="34" t="str">
        <f>IFERROR(__xludf.DUMMYFUNCTION("if(isblank(A30),"""",filter(Moorings!C:C,Moorings!B:B=A30,Moorings!D:D=D30))"),"3400")</f>
        <v>3400</v>
      </c>
      <c r="G30" s="33" t="s">
        <v>61</v>
      </c>
      <c r="H30" s="52">
        <v>0.0303</v>
      </c>
      <c r="I30" s="37"/>
    </row>
    <row r="31" ht="15.75" customHeight="1">
      <c r="A31" s="49"/>
      <c r="B31" s="30" t="str">
        <f>IFERROR(__xludf.DUMMYFUNCTION("if(isblank(A31),"""",filter(Moorings!A:A,Moorings!B:B=left(A31,14),Moorings!D:D=D31))"),"")</f>
        <v/>
      </c>
      <c r="C31" s="30" t="str">
        <f>IFERROR(__xludf.DUMMYFUNCTION("if(isblank(A31),"""",filter(Moorings!C:C,Moorings!B:B=left(A31,14),Moorings!D:D=D31))"),"")</f>
        <v/>
      </c>
      <c r="D31" s="16"/>
      <c r="E31" s="30" t="str">
        <f>IFERROR(__xludf.DUMMYFUNCTION("if(isblank(A31),"""",filter(Moorings!A:A,Moorings!B:B=A31,Moorings!D:D=D31))"),"")</f>
        <v/>
      </c>
      <c r="F31" s="30" t="str">
        <f>IFERROR(__xludf.DUMMYFUNCTION("if(isblank(A31),"""",filter(Moorings!C:C,Moorings!B:B=A31,Moorings!D:D=D31))"),"")</f>
        <v/>
      </c>
      <c r="G31" s="33"/>
      <c r="H31" s="36"/>
      <c r="I31" s="37"/>
    </row>
    <row r="32" ht="15.75" customHeight="1">
      <c r="A32" s="51" t="s">
        <v>25</v>
      </c>
      <c r="B32" s="34" t="str">
        <f>IFERROR(__xludf.DUMMYFUNCTION("if(isblank(A32),"""",filter(Moorings!A:A,Moorings!B:B=left(A32,14),Moorings!D:D=D32))"),"ATAPL-71403-00005")</f>
        <v>ATAPL-71403-00005</v>
      </c>
      <c r="C32" s="34" t="str">
        <f>IFERROR(__xludf.DUMMYFUNCTION("if(isblank(A32),"""",filter(Moorings!C:C,Moorings!B:B=left(A32,14),Moorings!D:D=D32))"),"CE04OSPD-DP01B-00001")</f>
        <v>CE04OSPD-DP01B-00001</v>
      </c>
      <c r="D32" s="41">
        <v>2.0</v>
      </c>
      <c r="E32" s="34" t="str">
        <f>IFERROR(__xludf.DUMMYFUNCTION("if(isblank(A32),"""",filter(Moorings!A:A,Moorings!B:B=A32,Moorings!D:D=D32))"),"ATAPL-70111-00006")</f>
        <v>ATAPL-70111-00006</v>
      </c>
      <c r="F32" s="34" t="str">
        <f>IFERROR(__xludf.DUMMYFUNCTION("if(isblank(A32),"""",filter(Moorings!C:C,Moorings!B:B=A32,Moorings!D:D=D32))"),"3717")</f>
        <v>3717</v>
      </c>
      <c r="G32" s="40" t="s">
        <v>60</v>
      </c>
      <c r="H32" s="53">
        <v>39.0</v>
      </c>
      <c r="I32" s="44"/>
    </row>
    <row r="33" ht="15.75" customHeight="1">
      <c r="A33" s="51" t="s">
        <v>25</v>
      </c>
      <c r="B33" s="34" t="str">
        <f>IFERROR(__xludf.DUMMYFUNCTION("if(isblank(A33),"""",filter(Moorings!A:A,Moorings!B:B=left(A33,14),Moorings!D:D=D33))"),"ATAPL-71403-00005")</f>
        <v>ATAPL-71403-00005</v>
      </c>
      <c r="C33" s="34" t="str">
        <f>IFERROR(__xludf.DUMMYFUNCTION("if(isblank(A33),"""",filter(Moorings!C:C,Moorings!B:B=left(A33,14),Moorings!D:D=D33))"),"CE04OSPD-DP01B-00001")</f>
        <v>CE04OSPD-DP01B-00001</v>
      </c>
      <c r="D33" s="41">
        <v>2.0</v>
      </c>
      <c r="E33" s="34" t="str">
        <f>IFERROR(__xludf.DUMMYFUNCTION("if(isblank(A33),"""",filter(Moorings!A:A,Moorings!B:B=A33,Moorings!D:D=D33))"),"ATAPL-70111-00006")</f>
        <v>ATAPL-70111-00006</v>
      </c>
      <c r="F33" s="34" t="str">
        <f>IFERROR(__xludf.DUMMYFUNCTION("if(isblank(A33),"""",filter(Moorings!C:C,Moorings!B:B=A33,Moorings!D:D=D33))"),"3717")</f>
        <v>3717</v>
      </c>
      <c r="G33" s="40" t="s">
        <v>61</v>
      </c>
      <c r="H33" s="53">
        <v>0.0303</v>
      </c>
      <c r="I33" s="44"/>
    </row>
    <row r="34" ht="15.75" customHeight="1">
      <c r="A34" s="47"/>
      <c r="B34" s="30" t="str">
        <f>IFERROR(__xludf.DUMMYFUNCTION("if(isblank(A34),"""",filter(Moorings!A:A,Moorings!B:B=left(A34,14),Moorings!D:D=D34))"),"")</f>
        <v/>
      </c>
      <c r="C34" s="30" t="str">
        <f>IFERROR(__xludf.DUMMYFUNCTION("if(isblank(A34),"""",filter(Moorings!C:C,Moorings!B:B=left(A34,14),Moorings!D:D=D34))"),"")</f>
        <v/>
      </c>
      <c r="D34" s="16"/>
      <c r="E34" s="30" t="str">
        <f>IFERROR(__xludf.DUMMYFUNCTION("if(isblank(A34),"""",filter(Moorings!A:A,Moorings!B:B=A34,Moorings!D:D=D34))"),"")</f>
        <v/>
      </c>
      <c r="F34" s="30" t="str">
        <f>IFERROR(__xludf.DUMMYFUNCTION("if(isblank(A34),"""",filter(Moorings!C:C,Moorings!B:B=A34,Moorings!D:D=D34))"),"")</f>
        <v/>
      </c>
      <c r="G34" s="33"/>
      <c r="H34" s="36"/>
      <c r="I34" s="37"/>
    </row>
    <row r="35" ht="15.75" customHeight="1">
      <c r="A35" s="33" t="s">
        <v>23</v>
      </c>
      <c r="B35" s="34" t="str">
        <f>IFERROR(__xludf.DUMMYFUNCTION("if(isblank(A35),"""",filter(Moorings!A:A,Moorings!B:B=left(A35,14),Moorings!D:D=D35))"),"ATAPL-71403-00004")</f>
        <v>ATAPL-71403-00004</v>
      </c>
      <c r="C35" s="34" t="str">
        <f>IFERROR(__xludf.DUMMYFUNCTION("if(isblank(A35),"""",filter(Moorings!C:C,Moorings!B:B=left(A35,14),Moorings!D:D=D35))"),"CE04OSPD-DP01B-00001")</f>
        <v>CE04OSPD-DP01B-00001</v>
      </c>
      <c r="D35" s="16">
        <v>1.0</v>
      </c>
      <c r="E35" s="34" t="str">
        <f>IFERROR(__xludf.DUMMYFUNCTION("if(isblank(A35),"""",filter(Moorings!A:A,Moorings!B:B=A35,Moorings!D:D=D35))"),"ATAPL-58346-00003")</f>
        <v>ATAPL-58346-00003</v>
      </c>
      <c r="F35" s="34" t="str">
        <f>IFERROR(__xludf.DUMMYFUNCTION("if(isblank(A35),"""",filter(Moorings!C:C,Moorings!B:B=A35,Moorings!D:D=D35))"),"1131")</f>
        <v>1131</v>
      </c>
      <c r="G35" s="35" t="s">
        <v>62</v>
      </c>
      <c r="H35" s="36" t="s">
        <v>63</v>
      </c>
      <c r="I35" s="37"/>
    </row>
    <row r="36" ht="15.75" customHeight="1">
      <c r="A36" s="33" t="s">
        <v>23</v>
      </c>
      <c r="B36" s="34" t="str">
        <f>IFERROR(__xludf.DUMMYFUNCTION("if(isblank(A36),"""",filter(Moorings!A:A,Moorings!B:B=left(A36,14),Moorings!D:D=D36))"),"ATAPL-71403-00004")</f>
        <v>ATAPL-71403-00004</v>
      </c>
      <c r="C36" s="34" t="str">
        <f>IFERROR(__xludf.DUMMYFUNCTION("if(isblank(A36),"""",filter(Moorings!C:C,Moorings!B:B=left(A36,14),Moorings!D:D=D36))"),"CE04OSPD-DP01B-00001")</f>
        <v>CE04OSPD-DP01B-00001</v>
      </c>
      <c r="D36" s="16">
        <v>1.0</v>
      </c>
      <c r="E36" s="34" t="str">
        <f>IFERROR(__xludf.DUMMYFUNCTION("if(isblank(A36),"""",filter(Moorings!A:A,Moorings!B:B=A36,Moorings!D:D=D36))"),"ATAPL-58346-00003")</f>
        <v>ATAPL-58346-00003</v>
      </c>
      <c r="F36" s="34" t="str">
        <f>IFERROR(__xludf.DUMMYFUNCTION("if(isblank(A36),"""",filter(Moorings!C:C,Moorings!B:B=A36,Moorings!D:D=D36))"),"1131")</f>
        <v>1131</v>
      </c>
      <c r="G36" s="35" t="s">
        <v>64</v>
      </c>
      <c r="H36" s="36" t="s">
        <v>65</v>
      </c>
      <c r="I36" s="37"/>
    </row>
    <row r="37" ht="15.75" customHeight="1">
      <c r="A37" s="33" t="s">
        <v>23</v>
      </c>
      <c r="B37" s="34" t="str">
        <f>IFERROR(__xludf.DUMMYFUNCTION("if(isblank(A37),"""",filter(Moorings!A:A,Moorings!B:B=left(A37,14),Moorings!D:D=D37))"),"ATAPL-71403-00004")</f>
        <v>ATAPL-71403-00004</v>
      </c>
      <c r="C37" s="34" t="str">
        <f>IFERROR(__xludf.DUMMYFUNCTION("if(isblank(A37),"""",filter(Moorings!C:C,Moorings!B:B=left(A37,14),Moorings!D:D=D37))"),"CE04OSPD-DP01B-00001")</f>
        <v>CE04OSPD-DP01B-00001</v>
      </c>
      <c r="D37" s="16">
        <v>1.0</v>
      </c>
      <c r="E37" s="34" t="str">
        <f>IFERROR(__xludf.DUMMYFUNCTION("if(isblank(A37),"""",filter(Moorings!A:A,Moorings!B:B=A37,Moorings!D:D=D37))"),"ATAPL-58346-00003")</f>
        <v>ATAPL-58346-00003</v>
      </c>
      <c r="F37" s="34" t="str">
        <f>IFERROR(__xludf.DUMMYFUNCTION("if(isblank(A37),"""",filter(Moorings!C:C,Moorings!B:B=A37,Moorings!D:D=D37))"),"1131")</f>
        <v>1131</v>
      </c>
      <c r="G37" s="33" t="s">
        <v>66</v>
      </c>
      <c r="H37" s="36" t="s">
        <v>67</v>
      </c>
      <c r="I37" s="37"/>
    </row>
    <row r="38" ht="15.75" customHeight="1">
      <c r="A38" s="33" t="s">
        <v>23</v>
      </c>
      <c r="B38" s="34" t="str">
        <f>IFERROR(__xludf.DUMMYFUNCTION("if(isblank(A38),"""",filter(Moorings!A:A,Moorings!B:B=left(A38,14),Moorings!D:D=D38))"),"ATAPL-71403-00004")</f>
        <v>ATAPL-71403-00004</v>
      </c>
      <c r="C38" s="34" t="str">
        <f>IFERROR(__xludf.DUMMYFUNCTION("if(isblank(A38),"""",filter(Moorings!C:C,Moorings!B:B=left(A38,14),Moorings!D:D=D38))"),"CE04OSPD-DP01B-00001")</f>
        <v>CE04OSPD-DP01B-00001</v>
      </c>
      <c r="D38" s="16">
        <v>1.0</v>
      </c>
      <c r="E38" s="34" t="str">
        <f>IFERROR(__xludf.DUMMYFUNCTION("if(isblank(A38),"""",filter(Moorings!A:A,Moorings!B:B=A38,Moorings!D:D=D38))"),"ATAPL-58346-00003")</f>
        <v>ATAPL-58346-00003</v>
      </c>
      <c r="F38" s="34" t="str">
        <f>IFERROR(__xludf.DUMMYFUNCTION("if(isblank(A38),"""",filter(Moorings!C:C,Moorings!B:B=A38,Moorings!D:D=D38))"),"1131")</f>
        <v>1131</v>
      </c>
      <c r="G38" s="33" t="s">
        <v>48</v>
      </c>
      <c r="H38" s="36">
        <v>44.3682766666666</v>
      </c>
      <c r="I38" s="37"/>
    </row>
    <row r="39" ht="15.75" customHeight="1">
      <c r="A39" s="33" t="s">
        <v>23</v>
      </c>
      <c r="B39" s="34" t="str">
        <f>IFERROR(__xludf.DUMMYFUNCTION("if(isblank(A39),"""",filter(Moorings!A:A,Moorings!B:B=left(A39,14),Moorings!D:D=D39))"),"ATAPL-71403-00004")</f>
        <v>ATAPL-71403-00004</v>
      </c>
      <c r="C39" s="34" t="str">
        <f>IFERROR(__xludf.DUMMYFUNCTION("if(isblank(A39),"""",filter(Moorings!C:C,Moorings!B:B=left(A39,14),Moorings!D:D=D39))"),"CE04OSPD-DP01B-00001")</f>
        <v>CE04OSPD-DP01B-00001</v>
      </c>
      <c r="D39" s="16">
        <v>1.0</v>
      </c>
      <c r="E39" s="34" t="str">
        <f>IFERROR(__xludf.DUMMYFUNCTION("if(isblank(A39),"""",filter(Moorings!A:A,Moorings!B:B=A39,Moorings!D:D=D39))"),"ATAPL-58346-00003")</f>
        <v>ATAPL-58346-00003</v>
      </c>
      <c r="F39" s="34" t="str">
        <f>IFERROR(__xludf.DUMMYFUNCTION("if(isblank(A39),"""",filter(Moorings!C:C,Moorings!B:B=A39,Moorings!D:D=D39))"),"1131")</f>
        <v>1131</v>
      </c>
      <c r="G39" s="33" t="s">
        <v>49</v>
      </c>
      <c r="H39" s="36">
        <v>-124.952751666666</v>
      </c>
      <c r="I39" s="37"/>
    </row>
    <row r="40" ht="15.75" customHeight="1">
      <c r="A40" s="47"/>
      <c r="B40" s="30" t="str">
        <f>IFERROR(__xludf.DUMMYFUNCTION("if(isblank(A40),"""",filter(Moorings!A:A,Moorings!B:B=left(A40,14),Moorings!D:D=D40))"),"")</f>
        <v/>
      </c>
      <c r="C40" s="30" t="str">
        <f>IFERROR(__xludf.DUMMYFUNCTION("if(isblank(A40),"""",filter(Moorings!C:C,Moorings!B:B=left(A40,14),Moorings!D:D=D40))"),"")</f>
        <v/>
      </c>
      <c r="D40" s="16"/>
      <c r="E40" s="30" t="str">
        <f>IFERROR(__xludf.DUMMYFUNCTION("if(isblank(A40),"""",filter(Moorings!A:A,Moorings!B:B=A40,Moorings!D:D=D40))"),"")</f>
        <v/>
      </c>
      <c r="F40" s="30" t="str">
        <f>IFERROR(__xludf.DUMMYFUNCTION("if(isblank(A40),"""",filter(Moorings!C:C,Moorings!B:B=A40,Moorings!D:D=D40))"),"")</f>
        <v/>
      </c>
      <c r="G40" s="33"/>
      <c r="H40" s="48"/>
      <c r="I40" s="37"/>
    </row>
    <row r="41" ht="15.75" customHeight="1">
      <c r="A41" s="40" t="s">
        <v>23</v>
      </c>
      <c r="B41" s="34" t="str">
        <f>IFERROR(__xludf.DUMMYFUNCTION("if(isblank(A41),"""",filter(Moorings!A:A,Moorings!B:B=left(A41,14),Moorings!D:D=D41))"),"ATAPL-71403-00005")</f>
        <v>ATAPL-71403-00005</v>
      </c>
      <c r="C41" s="34" t="str">
        <f>IFERROR(__xludf.DUMMYFUNCTION("if(isblank(A41),"""",filter(Moorings!C:C,Moorings!B:B=left(A41,14),Moorings!D:D=D41))"),"CE04OSPD-DP01B-00001")</f>
        <v>CE04OSPD-DP01B-00001</v>
      </c>
      <c r="D41" s="41">
        <v>2.0</v>
      </c>
      <c r="E41" s="34" t="str">
        <f>IFERROR(__xludf.DUMMYFUNCTION("if(isblank(A41),"""",filter(Moorings!A:A,Moorings!B:B=A41,Moorings!D:D=D41))"),"ATAPL-58346-00007")</f>
        <v>ATAPL-58346-00007</v>
      </c>
      <c r="F41" s="34" t="str">
        <f>IFERROR(__xludf.DUMMYFUNCTION("if(isblank(A41),"""",filter(Moorings!C:C,Moorings!B:B=A41,Moorings!D:D=D41))"),"1216")</f>
        <v>1216</v>
      </c>
      <c r="G41" s="42" t="s">
        <v>62</v>
      </c>
      <c r="H41" s="43" t="s">
        <v>63</v>
      </c>
      <c r="I41" s="44"/>
    </row>
    <row r="42" ht="15.75" customHeight="1">
      <c r="A42" s="40" t="s">
        <v>23</v>
      </c>
      <c r="B42" s="34" t="str">
        <f>IFERROR(__xludf.DUMMYFUNCTION("if(isblank(A42),"""",filter(Moorings!A:A,Moorings!B:B=left(A42,14),Moorings!D:D=D42))"),"ATAPL-71403-00005")</f>
        <v>ATAPL-71403-00005</v>
      </c>
      <c r="C42" s="34" t="str">
        <f>IFERROR(__xludf.DUMMYFUNCTION("if(isblank(A42),"""",filter(Moorings!C:C,Moorings!B:B=left(A42,14),Moorings!D:D=D42))"),"CE04OSPD-DP01B-00001")</f>
        <v>CE04OSPD-DP01B-00001</v>
      </c>
      <c r="D42" s="41">
        <v>2.0</v>
      </c>
      <c r="E42" s="34" t="str">
        <f>IFERROR(__xludf.DUMMYFUNCTION("if(isblank(A42),"""",filter(Moorings!A:A,Moorings!B:B=A42,Moorings!D:D=D42))"),"ATAPL-58346-00007")</f>
        <v>ATAPL-58346-00007</v>
      </c>
      <c r="F42" s="34" t="str">
        <f>IFERROR(__xludf.DUMMYFUNCTION("if(isblank(A42),"""",filter(Moorings!C:C,Moorings!B:B=A42,Moorings!D:D=D42))"),"1216")</f>
        <v>1216</v>
      </c>
      <c r="G42" s="42" t="s">
        <v>64</v>
      </c>
      <c r="H42" s="43" t="s">
        <v>65</v>
      </c>
      <c r="I42" s="44"/>
    </row>
    <row r="43" ht="15.75" customHeight="1">
      <c r="A43" s="40" t="s">
        <v>23</v>
      </c>
      <c r="B43" s="34" t="str">
        <f>IFERROR(__xludf.DUMMYFUNCTION("if(isblank(A43),"""",filter(Moorings!A:A,Moorings!B:B=left(A43,14),Moorings!D:D=D43))"),"ATAPL-71403-00005")</f>
        <v>ATAPL-71403-00005</v>
      </c>
      <c r="C43" s="34" t="str">
        <f>IFERROR(__xludf.DUMMYFUNCTION("if(isblank(A43),"""",filter(Moorings!C:C,Moorings!B:B=left(A43,14),Moorings!D:D=D43))"),"CE04OSPD-DP01B-00001")</f>
        <v>CE04OSPD-DP01B-00001</v>
      </c>
      <c r="D43" s="41">
        <v>2.0</v>
      </c>
      <c r="E43" s="34" t="str">
        <f>IFERROR(__xludf.DUMMYFUNCTION("if(isblank(A43),"""",filter(Moorings!A:A,Moorings!B:B=A43,Moorings!D:D=D43))"),"ATAPL-58346-00007")</f>
        <v>ATAPL-58346-00007</v>
      </c>
      <c r="F43" s="34" t="str">
        <f>IFERROR(__xludf.DUMMYFUNCTION("if(isblank(A43),"""",filter(Moorings!C:C,Moorings!B:B=A43,Moorings!D:D=D43))"),"1216")</f>
        <v>1216</v>
      </c>
      <c r="G43" s="40" t="s">
        <v>66</v>
      </c>
      <c r="H43" s="43" t="s">
        <v>67</v>
      </c>
      <c r="I43" s="44"/>
    </row>
    <row r="44" ht="15.75" customHeight="1">
      <c r="A44" s="40" t="s">
        <v>23</v>
      </c>
      <c r="B44" s="34" t="str">
        <f>IFERROR(__xludf.DUMMYFUNCTION("if(isblank(A44),"""",filter(Moorings!A:A,Moorings!B:B=left(A44,14),Moorings!D:D=D44))"),"ATAPL-71403-00005")</f>
        <v>ATAPL-71403-00005</v>
      </c>
      <c r="C44" s="34" t="str">
        <f>IFERROR(__xludf.DUMMYFUNCTION("if(isblank(A44),"""",filter(Moorings!C:C,Moorings!B:B=left(A44,14),Moorings!D:D=D44))"),"CE04OSPD-DP01B-00001")</f>
        <v>CE04OSPD-DP01B-00001</v>
      </c>
      <c r="D44" s="41">
        <v>2.0</v>
      </c>
      <c r="E44" s="34" t="str">
        <f>IFERROR(__xludf.DUMMYFUNCTION("if(isblank(A44),"""",filter(Moorings!A:A,Moorings!B:B=A44,Moorings!D:D=D44))"),"ATAPL-58346-00007")</f>
        <v>ATAPL-58346-00007</v>
      </c>
      <c r="F44" s="34" t="str">
        <f>IFERROR(__xludf.DUMMYFUNCTION("if(isblank(A44),"""",filter(Moorings!C:C,Moorings!B:B=A44,Moorings!D:D=D44))"),"1216")</f>
        <v>1216</v>
      </c>
      <c r="G44" s="40" t="s">
        <v>48</v>
      </c>
      <c r="H44" s="43">
        <v>44.3682766666666</v>
      </c>
      <c r="I44" s="44"/>
    </row>
    <row r="45" ht="15.75" customHeight="1">
      <c r="A45" s="40" t="s">
        <v>23</v>
      </c>
      <c r="B45" s="34" t="str">
        <f>IFERROR(__xludf.DUMMYFUNCTION("if(isblank(A45),"""",filter(Moorings!A:A,Moorings!B:B=left(A45,14),Moorings!D:D=D45))"),"ATAPL-71403-00005")</f>
        <v>ATAPL-71403-00005</v>
      </c>
      <c r="C45" s="34" t="str">
        <f>IFERROR(__xludf.DUMMYFUNCTION("if(isblank(A45),"""",filter(Moorings!C:C,Moorings!B:B=left(A45,14),Moorings!D:D=D45))"),"CE04OSPD-DP01B-00001")</f>
        <v>CE04OSPD-DP01B-00001</v>
      </c>
      <c r="D45" s="41">
        <v>2.0</v>
      </c>
      <c r="E45" s="34" t="str">
        <f>IFERROR(__xludf.DUMMYFUNCTION("if(isblank(A45),"""",filter(Moorings!A:A,Moorings!B:B=A45,Moorings!D:D=D45))"),"ATAPL-58346-00007")</f>
        <v>ATAPL-58346-00007</v>
      </c>
      <c r="F45" s="34" t="str">
        <f>IFERROR(__xludf.DUMMYFUNCTION("if(isblank(A45),"""",filter(Moorings!C:C,Moorings!B:B=A45,Moorings!D:D=D45))"),"1216")</f>
        <v>1216</v>
      </c>
      <c r="G45" s="40" t="s">
        <v>49</v>
      </c>
      <c r="H45" s="43">
        <v>-124.952751666666</v>
      </c>
      <c r="I45" s="44"/>
    </row>
    <row r="46" ht="15.75" customHeight="1">
      <c r="A46" s="47"/>
      <c r="B46" s="30" t="str">
        <f>IFERROR(__xludf.DUMMYFUNCTION("if(isblank(A46),"""",filter(Moorings!A:A,Moorings!B:B=left(A46,14),Moorings!D:D=D46))"),"")</f>
        <v/>
      </c>
      <c r="C46" s="30" t="str">
        <f>IFERROR(__xludf.DUMMYFUNCTION("if(isblank(A46),"""",filter(Moorings!C:C,Moorings!B:B=left(A46,14),Moorings!D:D=D46))"),"")</f>
        <v/>
      </c>
      <c r="D46" s="16"/>
      <c r="E46" s="30" t="str">
        <f>IFERROR(__xludf.DUMMYFUNCTION("if(isblank(A46),"""",filter(Moorings!A:A,Moorings!B:B=A46,Moorings!D:D=D46))"),"")</f>
        <v/>
      </c>
      <c r="F46" s="30" t="str">
        <f>IFERROR(__xludf.DUMMYFUNCTION("if(isblank(A46),"""",filter(Moorings!C:C,Moorings!B:B=A46,Moorings!D:D=D46))"),"")</f>
        <v/>
      </c>
      <c r="G46" s="33"/>
      <c r="H46" s="48"/>
      <c r="I46" s="37"/>
    </row>
    <row r="47" ht="15.75" customHeight="1">
      <c r="A47" s="33" t="s">
        <v>20</v>
      </c>
      <c r="B47" s="34" t="str">
        <f>IFERROR(__xludf.DUMMYFUNCTION("if(isblank(A47),"""",filter(Moorings!A:A,Moorings!B:B=left(A47,14),Moorings!D:D=D47))"),"ATAPL-71403-00004")</f>
        <v>ATAPL-71403-00004</v>
      </c>
      <c r="C47" s="34" t="str">
        <f>IFERROR(__xludf.DUMMYFUNCTION("if(isblank(A47),"""",filter(Moorings!C:C,Moorings!B:B=left(A47,14),Moorings!D:D=D47))"),"CE04OSPD-DP01B-00001")</f>
        <v>CE04OSPD-DP01B-00001</v>
      </c>
      <c r="D47" s="16">
        <v>1.0</v>
      </c>
      <c r="E47" s="34" t="str">
        <f>IFERROR(__xludf.DUMMYFUNCTION("if(isblank(A47),"""",filter(Moorings!A:A,Moorings!B:B=A47,Moorings!D:D=D47))"),"ATAPL-67977-00003")</f>
        <v>ATAPL-67977-00003</v>
      </c>
      <c r="F47" s="34" t="str">
        <f>IFERROR(__xludf.DUMMYFUNCTION("if(isblank(A47),"""",filter(Moorings!C:C,Moorings!B:B=A47,Moorings!D:D=D47))"),"5277187-0138")</f>
        <v>5277187-0138</v>
      </c>
      <c r="G47" s="33" t="s">
        <v>48</v>
      </c>
      <c r="H47" s="48">
        <v>44.3682766666666</v>
      </c>
      <c r="I47" s="37"/>
    </row>
    <row r="48" ht="15.75" customHeight="1">
      <c r="A48" s="33" t="s">
        <v>20</v>
      </c>
      <c r="B48" s="34" t="str">
        <f>IFERROR(__xludf.DUMMYFUNCTION("if(isblank(A48),"""",filter(Moorings!A:A,Moorings!B:B=left(A48,14),Moorings!D:D=D48))"),"ATAPL-71403-00004")</f>
        <v>ATAPL-71403-00004</v>
      </c>
      <c r="C48" s="34" t="str">
        <f>IFERROR(__xludf.DUMMYFUNCTION("if(isblank(A48),"""",filter(Moorings!C:C,Moorings!B:B=left(A48,14),Moorings!D:D=D48))"),"CE04OSPD-DP01B-00001")</f>
        <v>CE04OSPD-DP01B-00001</v>
      </c>
      <c r="D48" s="16">
        <v>1.0</v>
      </c>
      <c r="E48" s="34" t="str">
        <f>IFERROR(__xludf.DUMMYFUNCTION("if(isblank(A48),"""",filter(Moorings!A:A,Moorings!B:B=A48,Moorings!D:D=D48))"),"ATAPL-67977-00003")</f>
        <v>ATAPL-67977-00003</v>
      </c>
      <c r="F48" s="34" t="str">
        <f>IFERROR(__xludf.DUMMYFUNCTION("if(isblank(A48),"""",filter(Moorings!C:C,Moorings!B:B=A48,Moorings!D:D=D48))"),"5277187-0138")</f>
        <v>5277187-0138</v>
      </c>
      <c r="G48" s="33" t="s">
        <v>49</v>
      </c>
      <c r="H48" s="36">
        <v>-124.952751666666</v>
      </c>
      <c r="I48" s="37"/>
    </row>
    <row r="49" ht="15.75" customHeight="1">
      <c r="A49" s="47"/>
      <c r="B49" s="30" t="str">
        <f>IFERROR(__xludf.DUMMYFUNCTION("if(isblank(A49),"""",filter(Moorings!A:A,Moorings!B:B=left(A49,14),Moorings!D:D=D49))"),"")</f>
        <v/>
      </c>
      <c r="C49" s="30" t="str">
        <f>IFERROR(__xludf.DUMMYFUNCTION("if(isblank(A49),"""",filter(Moorings!C:C,Moorings!B:B=left(A49,14),Moorings!D:D=D49))"),"")</f>
        <v/>
      </c>
      <c r="D49" s="16"/>
      <c r="E49" s="30" t="str">
        <f>IFERROR(__xludf.DUMMYFUNCTION("if(isblank(A49),"""",filter(Moorings!A:A,Moorings!B:B=A49,Moorings!D:D=D49))"),"")</f>
        <v/>
      </c>
      <c r="F49" s="30" t="str">
        <f>IFERROR(__xludf.DUMMYFUNCTION("if(isblank(A49),"""",filter(Moorings!C:C,Moorings!B:B=A49,Moorings!D:D=D49))"),"")</f>
        <v/>
      </c>
      <c r="G49" s="33"/>
      <c r="H49" s="36"/>
      <c r="I49" s="37"/>
    </row>
    <row r="50" ht="15.75" customHeight="1">
      <c r="A50" s="40" t="s">
        <v>20</v>
      </c>
      <c r="B50" s="34" t="str">
        <f>IFERROR(__xludf.DUMMYFUNCTION("if(isblank(A50),"""",filter(Moorings!A:A,Moorings!B:B=left(A50,14),Moorings!D:D=D50))"),"ATAPL-71403-00005")</f>
        <v>ATAPL-71403-00005</v>
      </c>
      <c r="C50" s="34" t="str">
        <f>IFERROR(__xludf.DUMMYFUNCTION("if(isblank(A50),"""",filter(Moorings!C:C,Moorings!B:B=left(A50,14),Moorings!D:D=D50))"),"CE04OSPD-DP01B-00001")</f>
        <v>CE04OSPD-DP01B-00001</v>
      </c>
      <c r="D50" s="41">
        <v>2.0</v>
      </c>
      <c r="E50" s="34" t="str">
        <f>IFERROR(__xludf.DUMMYFUNCTION("if(isblank(A50),"""",filter(Moorings!A:A,Moorings!B:B=A50,Moorings!D:D=D50))"),"ATAPL-67977-00006")</f>
        <v>ATAPL-67977-00006</v>
      </c>
      <c r="F50" s="34" t="str">
        <f>IFERROR(__xludf.DUMMYFUNCTION("if(isblank(A50),"""",filter(Moorings!C:C,Moorings!B:B=A50,Moorings!D:D=D50))"),"52-0146")</f>
        <v>52-0146</v>
      </c>
      <c r="G50" s="40" t="s">
        <v>48</v>
      </c>
      <c r="H50" s="54">
        <v>44.3682766666666</v>
      </c>
      <c r="I50" s="44"/>
    </row>
    <row r="51" ht="15.75" customHeight="1">
      <c r="A51" s="40" t="s">
        <v>20</v>
      </c>
      <c r="B51" s="34" t="str">
        <f>IFERROR(__xludf.DUMMYFUNCTION("if(isblank(A51),"""",filter(Moorings!A:A,Moorings!B:B=left(A51,14),Moorings!D:D=D51))"),"ATAPL-71403-00005")</f>
        <v>ATAPL-71403-00005</v>
      </c>
      <c r="C51" s="34" t="str">
        <f>IFERROR(__xludf.DUMMYFUNCTION("if(isblank(A51),"""",filter(Moorings!C:C,Moorings!B:B=left(A51,14),Moorings!D:D=D51))"),"CE04OSPD-DP01B-00001")</f>
        <v>CE04OSPD-DP01B-00001</v>
      </c>
      <c r="D51" s="41">
        <v>2.0</v>
      </c>
      <c r="E51" s="34" t="str">
        <f>IFERROR(__xludf.DUMMYFUNCTION("if(isblank(A51),"""",filter(Moorings!A:A,Moorings!B:B=A51,Moorings!D:D=D51))"),"ATAPL-67977-00006")</f>
        <v>ATAPL-67977-00006</v>
      </c>
      <c r="F51" s="34" t="str">
        <f>IFERROR(__xludf.DUMMYFUNCTION("if(isblank(A51),"""",filter(Moorings!C:C,Moorings!B:B=A51,Moorings!D:D=D51))"),"52-0146")</f>
        <v>52-0146</v>
      </c>
      <c r="G51" s="40" t="s">
        <v>49</v>
      </c>
      <c r="H51" s="43">
        <v>-124.952751666666</v>
      </c>
      <c r="I51" s="44"/>
    </row>
    <row r="52" ht="15.75" customHeight="1">
      <c r="A52" s="47"/>
      <c r="B52" s="30" t="str">
        <f>IFERROR(__xludf.DUMMYFUNCTION("if(isblank(A52),"""",filter(Moorings!A:A,Moorings!B:B=left(A52,14),Moorings!D:D=D52))"),"")</f>
        <v/>
      </c>
      <c r="C52" s="30" t="str">
        <f>IFERROR(__xludf.DUMMYFUNCTION("if(isblank(A52),"""",filter(Moorings!C:C,Moorings!B:B=left(A52,14),Moorings!D:D=D52))"),"")</f>
        <v/>
      </c>
      <c r="D52" s="16"/>
      <c r="E52" s="30" t="str">
        <f>IFERROR(__xludf.DUMMYFUNCTION("if(isblank(A52),"""",filter(Moorings!A:A,Moorings!B:B=A52,Moorings!D:D=D52))"),"")</f>
        <v/>
      </c>
      <c r="F52" s="30" t="str">
        <f>IFERROR(__xludf.DUMMYFUNCTION("if(isblank(A52),"""",filter(Moorings!C:C,Moorings!B:B=A52,Moorings!D:D=D52))"),"")</f>
        <v/>
      </c>
      <c r="G52" s="33"/>
      <c r="H52" s="36"/>
      <c r="I52" s="37"/>
    </row>
    <row r="53" ht="15.75" customHeight="1">
      <c r="A53" s="47"/>
      <c r="B53" s="30" t="str">
        <f>IFERROR(__xludf.DUMMYFUNCTION("if(isblank(A53),"""",filter(Moorings!A:A,Moorings!B:B=left(A53,14),Moorings!D:D=D53))"),"")</f>
        <v/>
      </c>
      <c r="C53" s="30" t="str">
        <f>IFERROR(__xludf.DUMMYFUNCTION("if(isblank(A53),"""",filter(Moorings!C:C,Moorings!B:B=left(A53,14),Moorings!D:D=D53))"),"")</f>
        <v/>
      </c>
      <c r="D53" s="16"/>
      <c r="E53" s="30" t="str">
        <f>IFERROR(__xludf.DUMMYFUNCTION("if(isblank(A53),"""",filter(Moorings!A:A,Moorings!B:B=A53,Moorings!D:D=D53))"),"")</f>
        <v/>
      </c>
      <c r="F53" s="30" t="str">
        <f>IFERROR(__xludf.DUMMYFUNCTION("if(isblank(A53),"""",filter(Moorings!C:C,Moorings!B:B=A53,Moorings!D:D=D53))"),"")</f>
        <v/>
      </c>
      <c r="G53" s="33"/>
      <c r="H53" s="36"/>
      <c r="I53" s="3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21.71"/>
    <col customWidth="1" min="6" max="6" width="9.86"/>
    <col customWidth="1" min="7" max="7" width="11.43"/>
  </cols>
  <sheetData>
    <row r="1">
      <c r="A1" s="55" t="s">
        <v>68</v>
      </c>
      <c r="B1" s="56" t="s">
        <v>69</v>
      </c>
      <c r="C1" s="56" t="s">
        <v>70</v>
      </c>
      <c r="D1" s="56" t="s">
        <v>71</v>
      </c>
      <c r="E1" s="56" t="s">
        <v>72</v>
      </c>
      <c r="F1" s="56" t="s">
        <v>73</v>
      </c>
      <c r="G1" s="56" t="s">
        <v>74</v>
      </c>
    </row>
    <row r="2">
      <c r="A2" s="57" t="str">
        <f>Moorings!A2</f>
        <v>ATAPL-71403-00004</v>
      </c>
      <c r="B2" s="57" t="str">
        <f>if(D2="Mooring",Moorings!B2,"")</f>
        <v>CE04OSPD-DP01B</v>
      </c>
      <c r="C2" s="58" t="str">
        <f>if(D2="Sensor",Moorings!B2,"")</f>
        <v/>
      </c>
      <c r="D2" s="30" t="str">
        <f>if(ISBLANK(Moorings!B2),"",if(len(Moorings!B2)&gt;14,"Sensor","Mooring"))</f>
        <v>Mooring</v>
      </c>
      <c r="E2" s="34" t="str">
        <f>Moorings!C2</f>
        <v>CE04OSPD-DP01B-00001</v>
      </c>
      <c r="F2" s="59" t="str">
        <f>if(D2="Mooring",Moorings!E2,"")</f>
        <v>8/16/2014</v>
      </c>
      <c r="G2" s="58"/>
    </row>
    <row r="3">
      <c r="A3" s="57" t="str">
        <f>Moorings!A3</f>
        <v>ATAPL-67977-00003</v>
      </c>
      <c r="B3" s="57" t="str">
        <f>if(D3="Mooring",Moorings!B3,"")</f>
        <v/>
      </c>
      <c r="C3" s="57" t="str">
        <f>if(D3="Sensor",Moorings!B3,"")</f>
        <v>CE04OSPD-DP01B-01-CTDPFL105</v>
      </c>
      <c r="D3" s="30" t="str">
        <f>if(ISBLANK(Moorings!B3),"",if(len(Moorings!B3)&gt;14,"Sensor","Mooring"))</f>
        <v>Sensor</v>
      </c>
      <c r="E3" s="34" t="str">
        <f>Moorings!C3</f>
        <v>5277187-0138</v>
      </c>
      <c r="F3" s="59" t="str">
        <f>if(D3="Mooring",Moorings!E3,"")</f>
        <v/>
      </c>
      <c r="G3" s="58"/>
    </row>
    <row r="4">
      <c r="A4" s="57" t="str">
        <f>Moorings!A4</f>
        <v>ATAPL-58346-00003</v>
      </c>
      <c r="B4" s="57" t="str">
        <f>if(D4="Mooring",Moorings!B4,"")</f>
        <v/>
      </c>
      <c r="C4" s="57" t="str">
        <f>if(D4="Sensor",Moorings!B4,"")</f>
        <v>CE04OSPD-DP01B-02-VEL3DA105</v>
      </c>
      <c r="D4" s="30" t="str">
        <f>if(ISBLANK(Moorings!B4),"",if(len(Moorings!B4)&gt;14,"Sensor","Mooring"))</f>
        <v>Sensor</v>
      </c>
      <c r="E4" s="34" t="str">
        <f>Moorings!C4</f>
        <v>1131</v>
      </c>
      <c r="F4" s="59" t="str">
        <f>if(D4="Mooring",Moorings!E4,"")</f>
        <v/>
      </c>
      <c r="G4" s="58"/>
    </row>
    <row r="5">
      <c r="A5" s="57" t="str">
        <f>Moorings!A5</f>
        <v>ATAPL-70111-00003</v>
      </c>
      <c r="B5" s="57" t="str">
        <f>if(D5="Mooring",Moorings!B5,"")</f>
        <v/>
      </c>
      <c r="C5" s="57" t="str">
        <f>if(D5="Sensor",Moorings!B5,"")</f>
        <v>CE04OSPD-DP01B-03-FLCDRA103</v>
      </c>
      <c r="D5" s="30" t="str">
        <f>if(ISBLANK(Moorings!B5),"",if(len(Moorings!B5)&gt;14,"Sensor","Mooring"))</f>
        <v>Sensor</v>
      </c>
      <c r="E5" s="34" t="str">
        <f>Moorings!C5</f>
        <v>3400</v>
      </c>
      <c r="F5" s="59" t="str">
        <f>if(D5="Mooring",Moorings!E5,"")</f>
        <v/>
      </c>
      <c r="G5" s="58"/>
    </row>
    <row r="6">
      <c r="A6" s="57" t="str">
        <f>Moorings!A6</f>
        <v>ATAPL-70110-00003</v>
      </c>
      <c r="B6" s="57" t="str">
        <f>if(D6="Mooring",Moorings!B6,"")</f>
        <v/>
      </c>
      <c r="C6" s="57" t="str">
        <f>if(D6="Sensor",Moorings!B6,"")</f>
        <v>CE04OSPD-DP01B-04-FLNTUA103</v>
      </c>
      <c r="D6" s="30" t="str">
        <f>if(ISBLANK(Moorings!B6),"",if(len(Moorings!B6)&gt;14,"Sensor","Mooring"))</f>
        <v>Sensor</v>
      </c>
      <c r="E6" s="34" t="str">
        <f>Moorings!C6</f>
        <v>3398</v>
      </c>
      <c r="F6" s="59" t="str">
        <f>if(D6="Mooring",Moorings!E6,"")</f>
        <v/>
      </c>
      <c r="G6" s="58"/>
    </row>
    <row r="7">
      <c r="A7" s="57" t="str">
        <f>Moorings!A7</f>
        <v>A00175</v>
      </c>
      <c r="B7" s="57" t="str">
        <f>if(D7="Mooring",Moorings!B7,"")</f>
        <v/>
      </c>
      <c r="C7" s="57" t="str">
        <f>if(D7="Sensor",Moorings!B7,"")</f>
        <v>CE04OSPD-DP01B-06-DOSTAD105</v>
      </c>
      <c r="D7" s="30" t="str">
        <f>if(ISBLANK(Moorings!B7),"",if(len(Moorings!B7)&gt;14,"Sensor","Mooring"))</f>
        <v>Sensor</v>
      </c>
      <c r="E7" s="34" t="str">
        <f>Moorings!C7</f>
        <v>137</v>
      </c>
      <c r="F7" s="59" t="str">
        <f>if(D7="Mooring",Moorings!E7,"")</f>
        <v/>
      </c>
      <c r="G7" s="58"/>
    </row>
    <row r="8">
      <c r="A8" s="57" t="str">
        <f>Moorings!A8</f>
        <v/>
      </c>
      <c r="B8" s="57" t="str">
        <f>if(D8="Mooring",Moorings!B8,"")</f>
        <v/>
      </c>
      <c r="C8" s="58" t="str">
        <f>if(D8="Sensor",Moorings!B8,"")</f>
        <v/>
      </c>
      <c r="D8" s="30" t="str">
        <f>if(ISBLANK(Moorings!B8),"",if(len(Moorings!B8)&gt;14,"Sensor","Mooring"))</f>
        <v/>
      </c>
      <c r="E8" s="34" t="str">
        <f>Moorings!C8</f>
        <v/>
      </c>
      <c r="F8" s="59" t="str">
        <f>if(D8="Mooring",Moorings!E8,"")</f>
        <v/>
      </c>
      <c r="G8" s="58"/>
    </row>
    <row r="9">
      <c r="A9" s="57" t="str">
        <f>Moorings!A9</f>
        <v>ATAPL-71403-00005</v>
      </c>
      <c r="B9" s="57" t="str">
        <f>if(D9="Mooring",Moorings!B9,"")</f>
        <v>CE04OSPD-DP01B</v>
      </c>
      <c r="C9" s="58" t="str">
        <f>if(D9="Sensor",Moorings!B9,"")</f>
        <v/>
      </c>
      <c r="D9" s="30" t="str">
        <f>if(ISBLANK(Moorings!B9),"",if(len(Moorings!B9)&gt;14,"Sensor","Mooring"))</f>
        <v>Mooring</v>
      </c>
      <c r="E9" s="34" t="str">
        <f>Moorings!C9</f>
        <v>CE04OSPD-DP01B-00001</v>
      </c>
      <c r="F9" s="59" t="str">
        <f>if(D9="Mooring",Moorings!E9,"")</f>
        <v>7/24/2015</v>
      </c>
      <c r="G9" s="58"/>
    </row>
    <row r="10">
      <c r="A10" s="57" t="str">
        <f>Moorings!A10</f>
        <v>ATAPL-67977-00006</v>
      </c>
      <c r="B10" s="57" t="str">
        <f>if(D10="Mooring",Moorings!B10,"")</f>
        <v/>
      </c>
      <c r="C10" s="57" t="str">
        <f>if(D10="Sensor",Moorings!B10,"")</f>
        <v>CE04OSPD-DP01B-01-CTDPFL105</v>
      </c>
      <c r="D10" s="30" t="str">
        <f>if(ISBLANK(Moorings!B10),"",if(len(Moorings!B10)&gt;14,"Sensor","Mooring"))</f>
        <v>Sensor</v>
      </c>
      <c r="E10" s="34" t="str">
        <f>Moorings!C10</f>
        <v>52-0146</v>
      </c>
      <c r="F10" s="59" t="str">
        <f>if(D10="Mooring",Moorings!E10,"")</f>
        <v/>
      </c>
      <c r="G10" s="58"/>
    </row>
    <row r="11">
      <c r="A11" s="57" t="str">
        <f>Moorings!A11</f>
        <v>ATAPL-58346-00007</v>
      </c>
      <c r="B11" s="57" t="str">
        <f>if(D11="Mooring",Moorings!B11,"")</f>
        <v/>
      </c>
      <c r="C11" s="57" t="str">
        <f>if(D11="Sensor",Moorings!B11,"")</f>
        <v>CE04OSPD-DP01B-02-VEL3DA105</v>
      </c>
      <c r="D11" s="30" t="str">
        <f>if(ISBLANK(Moorings!B11),"",if(len(Moorings!B11)&gt;14,"Sensor","Mooring"))</f>
        <v>Sensor</v>
      </c>
      <c r="E11" s="34" t="str">
        <f>Moorings!C11</f>
        <v>1216</v>
      </c>
      <c r="F11" s="59" t="str">
        <f>if(D11="Mooring",Moorings!E11,"")</f>
        <v/>
      </c>
      <c r="G11" s="58"/>
    </row>
    <row r="12">
      <c r="A12" s="57" t="str">
        <f>Moorings!A12</f>
        <v>ATAPL-70111-00006</v>
      </c>
      <c r="B12" s="57" t="str">
        <f>if(D12="Mooring",Moorings!B12,"")</f>
        <v/>
      </c>
      <c r="C12" s="57" t="str">
        <f>if(D12="Sensor",Moorings!B12,"")</f>
        <v>CE04OSPD-DP01B-03-FLCDRA103</v>
      </c>
      <c r="D12" s="30" t="str">
        <f>if(ISBLANK(Moorings!B12),"",if(len(Moorings!B12)&gt;14,"Sensor","Mooring"))</f>
        <v>Sensor</v>
      </c>
      <c r="E12" s="34" t="str">
        <f>Moorings!C12</f>
        <v>3717</v>
      </c>
      <c r="F12" s="59" t="str">
        <f>if(D12="Mooring",Moorings!E12,"")</f>
        <v/>
      </c>
      <c r="G12" s="58"/>
    </row>
    <row r="13">
      <c r="A13" s="57" t="str">
        <f>Moorings!A13</f>
        <v>ATAPL-70110-00006</v>
      </c>
      <c r="B13" s="57" t="str">
        <f>if(D13="Mooring",Moorings!B13,"")</f>
        <v/>
      </c>
      <c r="C13" s="57" t="str">
        <f>if(D13="Sensor",Moorings!B13,"")</f>
        <v>CE04OSPD-DP01B-04-FLNTUA103</v>
      </c>
      <c r="D13" s="30" t="str">
        <f>if(ISBLANK(Moorings!B13),"",if(len(Moorings!B13)&gt;14,"Sensor","Mooring"))</f>
        <v>Sensor</v>
      </c>
      <c r="E13" s="34" t="str">
        <f>Moorings!C13</f>
        <v>3762</v>
      </c>
      <c r="F13" s="59" t="str">
        <f>if(D13="Mooring",Moorings!E13,"")</f>
        <v/>
      </c>
      <c r="G13" s="58"/>
    </row>
    <row r="14">
      <c r="A14" s="57" t="str">
        <f>Moorings!A14</f>
        <v>ATOSU-58320-00018</v>
      </c>
      <c r="B14" s="57" t="str">
        <f>if(D14="Mooring",Moorings!B14,"")</f>
        <v/>
      </c>
      <c r="C14" s="57" t="str">
        <f>if(D14="Sensor",Moorings!B14,"")</f>
        <v>CE04OSPD-DP01B-06-DOSTAD105</v>
      </c>
      <c r="D14" s="30" t="str">
        <f>if(ISBLANK(Moorings!B14),"",if(len(Moorings!B14)&gt;14,"Sensor","Mooring"))</f>
        <v>Sensor</v>
      </c>
      <c r="E14" s="34" t="str">
        <f>Moorings!C14</f>
        <v>317</v>
      </c>
      <c r="F14" s="59" t="str">
        <f>if(D14="Mooring",Moorings!E14,"")</f>
        <v/>
      </c>
      <c r="G14" s="58"/>
    </row>
    <row r="15">
      <c r="A15" s="57" t="str">
        <f>Moorings!A15</f>
        <v/>
      </c>
      <c r="B15" s="57" t="str">
        <f>if(D15="Mooring",Moorings!B15,"")</f>
        <v/>
      </c>
      <c r="C15" s="58" t="str">
        <f>if(D15="Sensor",Moorings!B15,"")</f>
        <v/>
      </c>
      <c r="D15" s="30" t="str">
        <f>if(ISBLANK(Moorings!B15),"",if(len(Moorings!B15)&gt;14,"Sensor","Mooring"))</f>
        <v/>
      </c>
      <c r="E15" s="34" t="str">
        <f>Moorings!C15</f>
        <v/>
      </c>
      <c r="F15" s="59" t="str">
        <f>if(D15="Mooring",Moorings!E15,"")</f>
        <v/>
      </c>
      <c r="G15" s="58"/>
    </row>
    <row r="16">
      <c r="A16" s="57" t="str">
        <f>Moorings!A16</f>
        <v/>
      </c>
      <c r="B16" s="57" t="str">
        <f>if(D16="Mooring",Moorings!B16,"")</f>
        <v/>
      </c>
      <c r="C16" s="58" t="str">
        <f>if(D16="Sensor",Moorings!B16,"")</f>
        <v/>
      </c>
      <c r="D16" s="30" t="str">
        <f>if(ISBLANK(Moorings!B16),"",if(len(Moorings!B16)&gt;14,"Sensor","Mooring"))</f>
        <v/>
      </c>
      <c r="E16" s="34" t="str">
        <f>Moorings!C16</f>
        <v/>
      </c>
      <c r="F16" s="59" t="str">
        <f>if(D16="Mooring",Moorings!E16,"")</f>
        <v/>
      </c>
      <c r="G16" s="5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1.57"/>
    <col customWidth="1" min="3" max="3" width="14.86"/>
    <col customWidth="1" min="4" max="6" width="11.0"/>
    <col customWidth="1" min="7" max="7" width="5.71"/>
    <col customWidth="1" min="8" max="8" width="16.0"/>
    <col customWidth="1" min="9" max="9" width="19.43"/>
    <col customWidth="1" min="10" max="10" width="11.0"/>
  </cols>
  <sheetData>
    <row r="1">
      <c r="A1" s="60" t="s">
        <v>1</v>
      </c>
      <c r="B1" s="61" t="s">
        <v>75</v>
      </c>
      <c r="C1" s="62" t="s">
        <v>76</v>
      </c>
      <c r="D1" s="63" t="s">
        <v>77</v>
      </c>
      <c r="E1" s="63" t="s">
        <v>78</v>
      </c>
      <c r="F1" s="63" t="s">
        <v>79</v>
      </c>
      <c r="G1" s="63"/>
      <c r="H1" s="63" t="s">
        <v>80</v>
      </c>
      <c r="I1" s="62" t="s">
        <v>76</v>
      </c>
      <c r="J1" s="63" t="s">
        <v>79</v>
      </c>
    </row>
    <row r="2">
      <c r="A2" t="s">
        <v>13</v>
      </c>
      <c r="B2" s="64" t="s">
        <v>81</v>
      </c>
      <c r="C2" s="65" t="s">
        <v>82</v>
      </c>
      <c r="D2" s="64" t="s">
        <v>83</v>
      </c>
      <c r="E2" s="64" t="s">
        <v>84</v>
      </c>
      <c r="F2" s="66"/>
      <c r="G2" s="66"/>
      <c r="H2" s="64"/>
      <c r="I2" s="67"/>
      <c r="J2" s="66"/>
    </row>
    <row r="3">
      <c r="A3" t="s">
        <v>20</v>
      </c>
      <c r="B3" s="64" t="s">
        <v>81</v>
      </c>
      <c r="C3" s="65" t="s">
        <v>82</v>
      </c>
      <c r="D3" s="64" t="s">
        <v>83</v>
      </c>
      <c r="E3" s="64" t="s">
        <v>83</v>
      </c>
      <c r="F3" s="64"/>
      <c r="G3" s="64"/>
      <c r="H3" s="66"/>
      <c r="I3" s="68"/>
      <c r="J3" s="64"/>
    </row>
    <row r="4">
      <c r="A4" t="s">
        <v>23</v>
      </c>
      <c r="B4" s="64" t="s">
        <v>81</v>
      </c>
      <c r="C4" s="65" t="s">
        <v>82</v>
      </c>
      <c r="D4" s="64" t="s">
        <v>83</v>
      </c>
      <c r="E4" s="64" t="s">
        <v>83</v>
      </c>
      <c r="F4" s="66"/>
      <c r="G4" s="66"/>
      <c r="H4" s="66"/>
      <c r="I4" s="68"/>
      <c r="J4" s="66"/>
    </row>
    <row r="5">
      <c r="A5" t="s">
        <v>25</v>
      </c>
      <c r="B5" s="64" t="s">
        <v>81</v>
      </c>
      <c r="C5" s="65" t="s">
        <v>82</v>
      </c>
      <c r="D5" s="64" t="s">
        <v>83</v>
      </c>
      <c r="E5" s="64" t="s">
        <v>83</v>
      </c>
      <c r="F5" s="66"/>
      <c r="G5" s="66"/>
      <c r="H5" s="66"/>
      <c r="I5" s="67"/>
      <c r="J5" s="66"/>
    </row>
    <row r="6">
      <c r="A6" t="s">
        <v>27</v>
      </c>
      <c r="B6" s="64" t="s">
        <v>81</v>
      </c>
      <c r="C6" s="65" t="s">
        <v>82</v>
      </c>
      <c r="D6" s="64" t="s">
        <v>83</v>
      </c>
      <c r="E6" s="64" t="s">
        <v>83</v>
      </c>
      <c r="F6" s="64"/>
      <c r="G6" s="66"/>
      <c r="H6" s="66"/>
      <c r="I6" s="68"/>
      <c r="J6" s="66"/>
    </row>
    <row r="7">
      <c r="A7" t="s">
        <v>29</v>
      </c>
      <c r="B7" s="64" t="s">
        <v>81</v>
      </c>
      <c r="C7" s="65" t="s">
        <v>82</v>
      </c>
      <c r="D7" s="64" t="s">
        <v>83</v>
      </c>
      <c r="E7" s="64" t="s">
        <v>83</v>
      </c>
      <c r="F7" s="66"/>
      <c r="G7" s="66"/>
      <c r="H7" s="66"/>
      <c r="I7" s="68"/>
      <c r="J7" s="66"/>
    </row>
    <row r="8">
      <c r="B8" s="69"/>
      <c r="C8" s="69"/>
      <c r="D8" s="70"/>
      <c r="E8" s="70"/>
      <c r="F8" s="66"/>
      <c r="G8" s="66"/>
      <c r="H8" s="66"/>
      <c r="I8" s="67"/>
      <c r="J8" s="66"/>
    </row>
    <row r="9">
      <c r="B9" s="64"/>
      <c r="C9" s="65"/>
      <c r="D9" s="64"/>
      <c r="E9" s="64"/>
      <c r="F9" s="66"/>
      <c r="G9" s="66"/>
      <c r="H9" s="66"/>
      <c r="I9" s="68"/>
      <c r="J9" s="66"/>
    </row>
    <row r="10">
      <c r="B10" s="64"/>
      <c r="C10" s="65"/>
      <c r="D10" s="64"/>
      <c r="E10" s="64"/>
      <c r="F10" s="66"/>
      <c r="G10" s="66"/>
      <c r="H10" s="66"/>
      <c r="I10" s="68"/>
      <c r="J10" s="66"/>
    </row>
    <row r="11">
      <c r="B11" s="64"/>
      <c r="C11" s="71"/>
      <c r="D11" s="66"/>
      <c r="E11" s="64"/>
      <c r="F11" s="66"/>
      <c r="G11" s="66"/>
      <c r="H11" s="64"/>
      <c r="I11" s="67"/>
      <c r="J11" s="66"/>
    </row>
    <row r="12">
      <c r="B12" s="64"/>
      <c r="C12" s="65"/>
      <c r="D12" s="64"/>
      <c r="E12" s="64"/>
      <c r="F12" s="66"/>
      <c r="G12" s="66"/>
      <c r="H12" s="66"/>
      <c r="I12" s="72"/>
      <c r="J12" s="64" t="s">
        <v>85</v>
      </c>
    </row>
    <row r="13">
      <c r="B13" s="64"/>
      <c r="C13" s="71"/>
      <c r="D13" s="64"/>
      <c r="E13" s="64"/>
      <c r="F13" s="66"/>
      <c r="G13" s="66"/>
      <c r="H13" s="66"/>
      <c r="I13" s="68"/>
      <c r="J13" s="64"/>
      <c r="K13" s="73" t="s">
        <v>85</v>
      </c>
    </row>
    <row r="14">
      <c r="B14" s="64"/>
      <c r="C14" s="65"/>
      <c r="D14" s="64"/>
      <c r="E14" s="64"/>
      <c r="F14" s="66"/>
      <c r="G14" s="66"/>
      <c r="H14" s="66"/>
      <c r="I14" s="68"/>
      <c r="J14" s="64"/>
      <c r="K14" s="73" t="s">
        <v>85</v>
      </c>
    </row>
    <row r="15">
      <c r="B15" s="64"/>
      <c r="C15" s="65"/>
      <c r="D15" s="64"/>
      <c r="E15" s="64"/>
      <c r="F15" s="66"/>
      <c r="G15" s="66"/>
      <c r="H15" s="66"/>
      <c r="I15" s="68"/>
      <c r="J15" s="64"/>
      <c r="K15" s="73" t="s">
        <v>85</v>
      </c>
    </row>
    <row r="16">
      <c r="B16" s="64"/>
      <c r="C16" s="65"/>
      <c r="D16" s="64"/>
      <c r="E16" s="64"/>
      <c r="F16" s="66"/>
      <c r="G16" s="66"/>
      <c r="H16" s="66"/>
      <c r="I16" s="68"/>
      <c r="J16" s="64"/>
      <c r="K16" s="73" t="s">
        <v>85</v>
      </c>
    </row>
    <row r="17">
      <c r="B17" s="64"/>
      <c r="C17" s="65"/>
      <c r="D17" s="64"/>
      <c r="E17" s="64"/>
      <c r="F17" s="66"/>
      <c r="G17" s="66"/>
      <c r="H17" s="66"/>
      <c r="I17" s="68"/>
      <c r="J17" s="66"/>
      <c r="K17" s="73" t="s">
        <v>85</v>
      </c>
    </row>
    <row r="18">
      <c r="B18" s="64"/>
      <c r="C18" s="65"/>
      <c r="D18" s="64"/>
      <c r="E18" s="64"/>
      <c r="F18" s="66"/>
      <c r="G18" s="66"/>
      <c r="H18" s="66"/>
      <c r="I18" s="68"/>
      <c r="J18" s="66"/>
      <c r="K18" s="73" t="s">
        <v>85</v>
      </c>
    </row>
    <row r="19">
      <c r="B19" s="64"/>
      <c r="C19" s="65"/>
      <c r="D19" s="64"/>
      <c r="E19" s="64"/>
      <c r="F19" s="66"/>
      <c r="G19" s="66"/>
      <c r="H19" s="66"/>
      <c r="I19" s="68"/>
      <c r="J19" s="66"/>
      <c r="K19" s="73" t="s">
        <v>85</v>
      </c>
    </row>
    <row r="20">
      <c r="B20" s="69" t="str">
        <f>concatenate(countif(B2:B19,"yes"),"/",counta(B2:B19))</f>
        <v>6/6</v>
      </c>
      <c r="C20" s="69" t="str">
        <f>concatenate("'",countif(C2:C19,"yes"),"/",counta(C2:C19))</f>
        <v>'0/6</v>
      </c>
      <c r="D20" s="70" t="str">
        <f t="shared" ref="D20:E20" si="1">concatenate("'",countif(D2:D19,"1/*")+countif(D2:D19,"2/*")*2,"/",countif(D2:D19,"*/1")+countif(D2:D19,"*/2")*2)</f>
        <v>'12/12</v>
      </c>
      <c r="E20" s="70" t="str">
        <f t="shared" si="1"/>
        <v>'10/10</v>
      </c>
      <c r="F20" s="66"/>
      <c r="G20" s="66"/>
      <c r="H20" s="66"/>
      <c r="I20" s="68"/>
      <c r="J20" s="66"/>
      <c r="K20" s="73" t="s">
        <v>85</v>
      </c>
    </row>
    <row r="21">
      <c r="B21" s="66"/>
      <c r="C21" s="65"/>
      <c r="D21" s="64"/>
      <c r="E21" s="64"/>
      <c r="F21" s="66"/>
      <c r="G21" s="66"/>
      <c r="H21" s="66"/>
      <c r="I21" s="68"/>
      <c r="J21" s="66"/>
      <c r="K21" s="73" t="s">
        <v>85</v>
      </c>
    </row>
    <row r="22">
      <c r="B22" s="66"/>
      <c r="C22" s="71"/>
      <c r="D22" s="66"/>
      <c r="E22" s="66"/>
      <c r="F22" s="66"/>
      <c r="G22" s="66"/>
      <c r="H22" s="66"/>
      <c r="I22" s="68"/>
      <c r="J22" s="66"/>
      <c r="K22" s="73" t="s">
        <v>85</v>
      </c>
    </row>
    <row r="23">
      <c r="B23" s="66"/>
      <c r="C23" s="71"/>
      <c r="D23" s="66"/>
      <c r="E23" s="66"/>
      <c r="F23" s="66"/>
      <c r="G23" s="66"/>
      <c r="H23" s="66"/>
      <c r="I23" s="68"/>
      <c r="J23" s="66"/>
      <c r="K23" s="73" t="s">
        <v>85</v>
      </c>
    </row>
    <row r="24">
      <c r="B24" s="66"/>
      <c r="C24" s="71"/>
      <c r="D24" s="66"/>
      <c r="E24" s="66"/>
      <c r="F24" s="66"/>
      <c r="G24" s="66"/>
      <c r="H24" s="66"/>
      <c r="I24" s="68"/>
      <c r="J24" s="66"/>
      <c r="K24" s="73" t="s">
        <v>85</v>
      </c>
    </row>
    <row r="25">
      <c r="B25" s="66"/>
      <c r="C25" s="71"/>
      <c r="D25" s="66"/>
      <c r="E25" s="66"/>
      <c r="F25" s="66"/>
      <c r="G25" s="66"/>
      <c r="H25" s="66"/>
      <c r="I25" s="68"/>
      <c r="J25" s="64"/>
      <c r="K25" s="73" t="s">
        <v>85</v>
      </c>
    </row>
  </sheetData>
  <drawing r:id="rId2"/>
  <legacyDrawing r:id="rId3"/>
</worksheet>
</file>