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3ECCFC3-05C7-4186-A9B8-60C8E2584957}" xr6:coauthVersionLast="44" xr6:coauthVersionMax="44" xr10:uidLastSave="{00000000-0000-0000-0000-000000000000}"/>
  <bookViews>
    <workbookView xWindow="-28920" yWindow="-234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61" i="2" l="1"/>
  <c r="U61" i="2"/>
  <c r="V61" i="2"/>
  <c r="W61" i="2"/>
  <c r="S61" i="2"/>
  <c r="T60" i="2"/>
  <c r="U60" i="2"/>
  <c r="V60" i="2"/>
  <c r="W60" i="2"/>
  <c r="S60" i="2"/>
  <c r="T59" i="2"/>
  <c r="U59" i="2"/>
  <c r="V59" i="2"/>
  <c r="W59" i="2"/>
  <c r="S59" i="2"/>
  <c r="T58" i="2"/>
  <c r="U58" i="2"/>
  <c r="V58" i="2"/>
  <c r="W58" i="2"/>
  <c r="S58" i="2"/>
  <c r="T57" i="2"/>
  <c r="U57" i="2"/>
  <c r="V57" i="2"/>
  <c r="W57" i="2"/>
  <c r="S57" i="2"/>
  <c r="T56" i="2"/>
  <c r="U56" i="2"/>
  <c r="V56" i="2"/>
  <c r="W56" i="2"/>
  <c r="S56" i="2"/>
  <c r="T55" i="2"/>
  <c r="U55" i="2"/>
  <c r="V55" i="2"/>
  <c r="W55" i="2"/>
  <c r="S55" i="2"/>
  <c r="T54" i="2"/>
  <c r="U54" i="2"/>
  <c r="V54" i="2"/>
  <c r="W54" i="2"/>
  <c r="S54" i="2"/>
  <c r="T53" i="2"/>
  <c r="U53" i="2"/>
  <c r="V53" i="2"/>
  <c r="W53" i="2"/>
  <c r="S53" i="2"/>
  <c r="T52" i="2"/>
  <c r="U52" i="2"/>
  <c r="V52" i="2"/>
  <c r="W52" i="2"/>
  <c r="S52" i="2"/>
  <c r="I87" i="2" l="1"/>
  <c r="I86" i="2"/>
  <c r="I12" i="2"/>
  <c r="I14" i="2"/>
  <c r="I88" i="2" l="1"/>
  <c r="I89" i="2" s="1"/>
  <c r="I90" i="2" s="1"/>
  <c r="I91" i="2" s="1"/>
  <c r="I15" i="2"/>
  <c r="I16" i="2" s="1"/>
  <c r="I17" i="2" s="1"/>
  <c r="J120" i="1"/>
  <c r="I33" i="2"/>
  <c r="D5" i="2"/>
  <c r="P37" i="2" s="1"/>
  <c r="D6" i="2"/>
  <c r="D7" i="2"/>
  <c r="D8" i="2"/>
  <c r="D9" i="2"/>
  <c r="D10" i="2"/>
  <c r="D11" i="2"/>
  <c r="D12" i="2"/>
  <c r="D13" i="2"/>
  <c r="D4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6" i="1"/>
  <c r="D37" i="1"/>
  <c r="D38" i="1"/>
  <c r="D39" i="1"/>
  <c r="D40" i="1"/>
  <c r="D41" i="1"/>
  <c r="D43" i="1"/>
  <c r="D44" i="1"/>
  <c r="D45" i="1"/>
  <c r="D47" i="1"/>
  <c r="D48" i="1"/>
  <c r="D49" i="1"/>
  <c r="D50" i="1"/>
  <c r="D51" i="1"/>
  <c r="D52" i="1"/>
  <c r="D53" i="1"/>
  <c r="D54" i="1"/>
  <c r="D55" i="1"/>
  <c r="D56" i="1"/>
  <c r="D57" i="1"/>
  <c r="K3" i="1"/>
  <c r="M3" i="1"/>
  <c r="K5" i="1"/>
  <c r="M5" i="1" s="1"/>
  <c r="J6" i="1"/>
  <c r="L6" i="1"/>
  <c r="K36" i="1"/>
  <c r="L36" i="1"/>
  <c r="M36" i="1"/>
  <c r="K92" i="1"/>
  <c r="L92" i="1"/>
  <c r="M92" i="1"/>
  <c r="D2" i="1" l="1"/>
  <c r="L12" i="1" s="1"/>
  <c r="K37" i="1" s="1"/>
  <c r="K51" i="1" s="1"/>
  <c r="M6" i="1"/>
  <c r="M38" i="1" s="1"/>
  <c r="M39" i="1" s="1"/>
  <c r="K6" i="1"/>
  <c r="I26" i="2"/>
  <c r="K38" i="1"/>
  <c r="K39" i="1" s="1"/>
  <c r="L38" i="1"/>
  <c r="L39" i="1" s="1"/>
  <c r="L13" i="1"/>
  <c r="I34" i="2" l="1"/>
  <c r="I36" i="2" s="1"/>
  <c r="J26" i="2"/>
  <c r="I27" i="2"/>
  <c r="L37" i="1"/>
  <c r="L51" i="1" s="1"/>
  <c r="M37" i="1"/>
  <c r="M51" i="1" s="1"/>
  <c r="I21" i="2"/>
  <c r="L17" i="1"/>
  <c r="L16" i="1"/>
  <c r="L14" i="1"/>
  <c r="J27" i="2" l="1"/>
  <c r="I28" i="2" s="1"/>
  <c r="R39" i="2"/>
  <c r="R38" i="2"/>
  <c r="Q39" i="2"/>
  <c r="Q37" i="2"/>
  <c r="Q38" i="2"/>
  <c r="R37" i="2"/>
  <c r="I37" i="2"/>
  <c r="I39" i="2" s="1"/>
  <c r="I35" i="2"/>
  <c r="L15" i="1"/>
  <c r="K41" i="1"/>
  <c r="M41" i="1"/>
  <c r="L41" i="1"/>
  <c r="K42" i="1"/>
  <c r="L42" i="1"/>
  <c r="M42" i="1"/>
  <c r="L28" i="2" l="1"/>
  <c r="I29" i="2"/>
  <c r="I38" i="2"/>
  <c r="K40" i="1"/>
  <c r="L40" i="1"/>
  <c r="M40" i="1"/>
  <c r="K101" i="1"/>
  <c r="K109" i="1" s="1"/>
  <c r="L18" i="1"/>
  <c r="I30" i="2" l="1"/>
  <c r="I40" i="2" s="1"/>
  <c r="L19" i="1"/>
  <c r="M43" i="1"/>
  <c r="L43" i="1" l="1"/>
  <c r="L20" i="1"/>
  <c r="K43" i="1"/>
  <c r="K102" i="1"/>
  <c r="K110" i="1" l="1"/>
  <c r="K82" i="1"/>
  <c r="K23" i="1"/>
  <c r="K24" i="1" s="1"/>
  <c r="L82" i="1"/>
  <c r="N58" i="1"/>
  <c r="K66" i="1" s="1"/>
  <c r="K44" i="1"/>
  <c r="N60" i="1" s="1"/>
  <c r="M66" i="1" s="1"/>
  <c r="L44" i="1"/>
  <c r="N59" i="1" s="1"/>
  <c r="L66" i="1" s="1"/>
  <c r="M44" i="1"/>
  <c r="M82" i="1"/>
  <c r="K103" i="1" l="1"/>
  <c r="K45" i="1"/>
  <c r="L120" i="1"/>
  <c r="L121" i="1" s="1"/>
  <c r="M120" i="1"/>
  <c r="K113" i="1"/>
  <c r="K104" i="1"/>
  <c r="K105" i="1" s="1"/>
  <c r="K115" i="1" s="1"/>
  <c r="L81" i="1"/>
  <c r="L83" i="1" s="1"/>
  <c r="M81" i="1"/>
  <c r="M45" i="1"/>
  <c r="M50" i="1" s="1"/>
  <c r="K25" i="1"/>
  <c r="L45" i="1"/>
  <c r="K81" i="1"/>
  <c r="K83" i="1" s="1"/>
  <c r="M58" i="1"/>
  <c r="K65" i="1" s="1"/>
  <c r="K67" i="1" s="1"/>
  <c r="M122" i="1" l="1"/>
  <c r="M121" i="1"/>
  <c r="L122" i="1"/>
  <c r="K49" i="1"/>
  <c r="M60" i="1"/>
  <c r="M65" i="1" s="1"/>
  <c r="M67" i="1" s="1"/>
  <c r="K50" i="1"/>
  <c r="K68" i="1"/>
  <c r="K69" i="1"/>
  <c r="K73" i="1" s="1"/>
  <c r="L73" i="1" s="1"/>
  <c r="K84" i="1"/>
  <c r="K85" i="1"/>
  <c r="M59" i="1"/>
  <c r="L65" i="1" s="1"/>
  <c r="L67" i="1" s="1"/>
  <c r="L50" i="1"/>
  <c r="M83" i="1"/>
  <c r="K108" i="1"/>
  <c r="K120" i="1" s="1"/>
  <c r="L84" i="1"/>
  <c r="L85" i="1" s="1"/>
  <c r="L91" i="1" l="1"/>
  <c r="L93" i="1"/>
  <c r="K111" i="1"/>
  <c r="K112" i="1" s="1"/>
  <c r="K114" i="1" s="1"/>
  <c r="M84" i="1"/>
  <c r="M85" i="1" s="1"/>
  <c r="K91" i="1"/>
  <c r="K93" i="1"/>
  <c r="L68" i="1"/>
  <c r="L69" i="1"/>
  <c r="K74" i="1" s="1"/>
  <c r="L74" i="1" s="1"/>
  <c r="M68" i="1"/>
  <c r="M69" i="1"/>
  <c r="K75" i="1" s="1"/>
  <c r="L75" i="1" s="1"/>
  <c r="K52" i="1"/>
  <c r="K90" i="1" s="1"/>
  <c r="M93" i="1" l="1"/>
  <c r="M91" i="1"/>
  <c r="K94" i="1"/>
  <c r="L95" i="1" s="1"/>
  <c r="M95" i="1" l="1"/>
</calcChain>
</file>

<file path=xl/sharedStrings.xml><?xml version="1.0" encoding="utf-8"?>
<sst xmlns="http://schemas.openxmlformats.org/spreadsheetml/2006/main" count="379" uniqueCount="265">
  <si>
    <t>элементы</t>
  </si>
  <si>
    <t>цена (руб.)</t>
  </si>
  <si>
    <t>штуки</t>
  </si>
  <si>
    <t>финал</t>
  </si>
  <si>
    <t>насос</t>
  </si>
  <si>
    <t>предохранительный клапан</t>
  </si>
  <si>
    <t>пневмо замки</t>
  </si>
  <si>
    <t xml:space="preserve">бак мерный </t>
  </si>
  <si>
    <t>реле давления</t>
  </si>
  <si>
    <t>вентиль</t>
  </si>
  <si>
    <t>элементы для пневматики</t>
  </si>
  <si>
    <t>пульт управления</t>
  </si>
  <si>
    <t>элементы для пульта управления</t>
  </si>
  <si>
    <t>счётчик времени</t>
  </si>
  <si>
    <t>ПЛК 160[М02]</t>
  </si>
  <si>
    <t>профиль 100x100</t>
  </si>
  <si>
    <t>ссылки</t>
  </si>
  <si>
    <t>https://owen.ru/product/plk160</t>
  </si>
  <si>
    <t>https://www.electronpribor.ru/catalog/5/schet-2.htm</t>
  </si>
  <si>
    <t>https://ummachine.ru/alyuminievye-profili-s-pazami/100-ya-seriya-profilya/profil-100x100-product</t>
  </si>
  <si>
    <t>https://proconsim.ru/catalog/truboprovodnaya_armatura/ventili/ventil_latunnyy_15b1p_baz_do_200s_du_40_0257/</t>
  </si>
  <si>
    <t>итог</t>
  </si>
  <si>
    <t>себестоимость</t>
  </si>
  <si>
    <t>https://bambi-russia.ru/</t>
  </si>
  <si>
    <t>Калькуляция себестоимости</t>
  </si>
  <si>
    <t>Материальные затраты</t>
  </si>
  <si>
    <t>Основная зп</t>
  </si>
  <si>
    <t>Доп зп</t>
  </si>
  <si>
    <t>Ед соц стр</t>
  </si>
  <si>
    <t>Обще пр расх</t>
  </si>
  <si>
    <t>Обще хоз</t>
  </si>
  <si>
    <t>Произв себест</t>
  </si>
  <si>
    <t>Коммерч р</t>
  </si>
  <si>
    <t>Полн себест</t>
  </si>
  <si>
    <t>М</t>
  </si>
  <si>
    <t>З</t>
  </si>
  <si>
    <t>Д=З*0,4</t>
  </si>
  <si>
    <t>ЕССС=(З+Д)*0,3</t>
  </si>
  <si>
    <t>С</t>
  </si>
  <si>
    <t>РК=С*0,05</t>
  </si>
  <si>
    <t>СП=С+РК</t>
  </si>
  <si>
    <t>руб</t>
  </si>
  <si>
    <t>Табл 2,4</t>
  </si>
  <si>
    <t>https://fluid-line.ru/ps2000w</t>
  </si>
  <si>
    <t>Камоци догов. Цена</t>
  </si>
  <si>
    <t>крепления для рабочей зоны стенда</t>
  </si>
  <si>
    <t>Категория персонала</t>
  </si>
  <si>
    <t>Численность, человек</t>
  </si>
  <si>
    <t>Трудоемкость изготовления одного продукта, час</t>
  </si>
  <si>
    <t>Суммарная заработная плата, руб</t>
  </si>
  <si>
    <t>в штуках</t>
  </si>
  <si>
    <t xml:space="preserve">Инженер для сборки </t>
  </si>
  <si>
    <t>Инженер для языка РКС</t>
  </si>
  <si>
    <t xml:space="preserve">Оплата труда за 1 час, руб. </t>
  </si>
  <si>
    <t>Итог</t>
  </si>
  <si>
    <t>Позиционер  CC600L</t>
  </si>
  <si>
    <t>пневмопривод DAN</t>
  </si>
  <si>
    <t>вентиль длня пневмопривода DN40PN10-16</t>
  </si>
  <si>
    <t>фитинги</t>
  </si>
  <si>
    <t>труба металлопластиковая</t>
  </si>
  <si>
    <t>https://msk.specarmatura.ru/catalog/raskhodomer_ultrazvukovoy_karat_520_/raskhodomer_karat_520_40/?r1=yandext&amp;r2=&amp;utm_campaign=99712134&amp;utm_content=price_145029_raskhodomer&amp;utm_medium=referral&amp;utm_source=rostov.pulscen.ru&amp;utm_terms=158893523_20210228125744</t>
  </si>
  <si>
    <t>расходомер Ультразвуковой расходомер КАРАТ-520-40-0-Т150</t>
  </si>
  <si>
    <t>35 за метр</t>
  </si>
  <si>
    <t>https://rostov.pulscen.ru/products/truba_dlya_vnutrennego_vodoprovoda_12kh1_6_mm_133106018</t>
  </si>
  <si>
    <t>надо 8 метров</t>
  </si>
  <si>
    <t>https://rostov.pulscen.ru/products/troynik_du_40_otsinkovanny_i_ne_otsinkovanny_157910910</t>
  </si>
  <si>
    <t>тройник ду 40</t>
  </si>
  <si>
    <t>привод DAN</t>
  </si>
  <si>
    <t>клапан отсечной JF105</t>
  </si>
  <si>
    <t>распределители (пневмозамки). VP14</t>
  </si>
  <si>
    <t>дисковый затвор 385</t>
  </si>
  <si>
    <t xml:space="preserve">кран шаровый серия 100 </t>
  </si>
  <si>
    <t>сэлектро привод QH220VAC</t>
  </si>
  <si>
    <t>пневмо распределители EV20</t>
  </si>
  <si>
    <t>пневмо распределители EV54</t>
  </si>
  <si>
    <t>отвод 90 с внут. Резьбой</t>
  </si>
  <si>
    <t>https://rostov.pulscen.ru/products/otvod_dlinny_s_rezboy_du_40_152785021</t>
  </si>
  <si>
    <t>https://product-selection.grundfos.com/ru/products/cm-cme/cm/cm-10-3-96806946?tab=variant-drawings</t>
  </si>
  <si>
    <t>ПР=З*3,5</t>
  </si>
  <si>
    <t>ХР=З*1,5</t>
  </si>
  <si>
    <t>Стенд</t>
  </si>
  <si>
    <t xml:space="preserve">Мой стенд </t>
  </si>
  <si>
    <t>ЭЛБ-030.010.01.</t>
  </si>
  <si>
    <t>хрень</t>
  </si>
  <si>
    <t>чуть лучше хрени</t>
  </si>
  <si>
    <t>ЛАБОРАТОРНАЯ УСТАНОВКА ПО ИССЛЕДОВАНИЮ РАБОТЫ ЗАПОРНОЙ АРМАТУРЫ</t>
  </si>
  <si>
    <t xml:space="preserve">Возможность менять элементы </t>
  </si>
  <si>
    <t>Проведение лабораторных работ с жидкой средой</t>
  </si>
  <si>
    <t xml:space="preserve">Проведение лабораторных работ с пневмоуправлением </t>
  </si>
  <si>
    <t xml:space="preserve">элементы модульного исполнения. И типо всё съёмное </t>
  </si>
  <si>
    <t>лабы с пневматикой</t>
  </si>
  <si>
    <t>Габариты</t>
  </si>
  <si>
    <t>Презентабельность</t>
  </si>
  <si>
    <t>у моего супер вид (будет)</t>
  </si>
  <si>
    <t>Возможность улучшить стенд</t>
  </si>
  <si>
    <t>лабы с гидравликой. Переключение режимов ручное полуавтоматика</t>
  </si>
  <si>
    <t>П=CП*(60/100)</t>
  </si>
  <si>
    <t>Дополнительная заработная плата, руб.</t>
  </si>
  <si>
    <t>Коммерческие расходы, руб.</t>
  </si>
  <si>
    <t>Полная себестоимость, руб.</t>
  </si>
  <si>
    <t>Объем продаж по оптовой цене, руб.</t>
  </si>
  <si>
    <t>1-й год выпуска</t>
  </si>
  <si>
    <t>2-й год выпуска</t>
  </si>
  <si>
    <t>3-й год выпуска</t>
  </si>
  <si>
    <t>Смета затрат на производство и реализацию инновационного продукта в калькуляционном разрезе</t>
  </si>
  <si>
    <t>Цо=П+СП</t>
  </si>
  <si>
    <t xml:space="preserve">N годовая продажа </t>
  </si>
  <si>
    <t>Прибыль от реализации продукта П=QПР-С</t>
  </si>
  <si>
    <t>Налог на прибыль Нпр (20% от П)</t>
  </si>
  <si>
    <t>Чистая прибыль Пч=П-Нпр</t>
  </si>
  <si>
    <t xml:space="preserve">Единый социальный страховой сбор (30%), руб. </t>
  </si>
  <si>
    <t xml:space="preserve">? Типо надо ли это </t>
  </si>
  <si>
    <t>? По элементам и типо чё это и как</t>
  </si>
  <si>
    <t>количество за год на ништяк</t>
  </si>
  <si>
    <t>(0,6*Себестоимость)+себестоимость</t>
  </si>
  <si>
    <t>1й год</t>
  </si>
  <si>
    <t>Табл 2,3</t>
  </si>
  <si>
    <t>Табл 2,2</t>
  </si>
  <si>
    <t>Затраты на НИОКР и технологическую подготовку производства 5% от объема продаж</t>
  </si>
  <si>
    <t>Затраты на маркетинг 3-5% от объема продаж</t>
  </si>
  <si>
    <t>Табл 2,5</t>
  </si>
  <si>
    <t>Табл 2,6</t>
  </si>
  <si>
    <t>Объем продаж, руб. QПР=Цо•N</t>
  </si>
  <si>
    <t>Объем продаж шт.</t>
  </si>
  <si>
    <t>Материальные затраты руб</t>
  </si>
  <si>
    <t>Основная заработная плата руб</t>
  </si>
  <si>
    <t>З*(10%-20%)/100</t>
  </si>
  <si>
    <t>Табл 2,10</t>
  </si>
  <si>
    <t>-</t>
  </si>
  <si>
    <t>Потребность в оборотных средствах 10% от материальных затрат</t>
  </si>
  <si>
    <t>Общая потребность в капитальных вложениях</t>
  </si>
  <si>
    <t>типо сумма всего</t>
  </si>
  <si>
    <t>Сценарий</t>
  </si>
  <si>
    <t>Вероятность наступления, %</t>
  </si>
  <si>
    <t>Наиболее вероятный</t>
  </si>
  <si>
    <t>Наилучший</t>
  </si>
  <si>
    <t>Определяется оптовая цена продукта</t>
  </si>
  <si>
    <t>прибыль</t>
  </si>
  <si>
    <t xml:space="preserve">Свободная отпускная цена (цена продажи) </t>
  </si>
  <si>
    <t>Цпр=0,2*Цо</t>
  </si>
  <si>
    <t>Оптовая цена продукта, руб.</t>
  </si>
  <si>
    <t>Полная себестоимость продукта, руб.</t>
  </si>
  <si>
    <t>Наихудший</t>
  </si>
  <si>
    <t>Объем продаж инновационного продукта, шт. (за первый год выпуска)</t>
  </si>
  <si>
    <t>сценарий</t>
  </si>
  <si>
    <t>Табл 2,7</t>
  </si>
  <si>
    <t>Сценарии</t>
  </si>
  <si>
    <t>Показатели</t>
  </si>
  <si>
    <t>Выручка от продажи продукции</t>
  </si>
  <si>
    <t>Себестоимость продукции</t>
  </si>
  <si>
    <t>Валовая прибыль</t>
  </si>
  <si>
    <t>Налог на прибыль (20%)</t>
  </si>
  <si>
    <t>Чистая прибыль</t>
  </si>
  <si>
    <t>Табл 2,8</t>
  </si>
  <si>
    <t>Чистая прибыль, руб.</t>
  </si>
  <si>
    <t>Вероятность</t>
  </si>
  <si>
    <t xml:space="preserve">Математическое ожидание прибыли, руб. </t>
  </si>
  <si>
    <t>Табл 2,9</t>
  </si>
  <si>
    <t>Сумма капитальных вложений, руб.</t>
  </si>
  <si>
    <t>Ожидаемая чистая прибыль, руб.</t>
  </si>
  <si>
    <t>Коэффициент дисконтирования</t>
  </si>
  <si>
    <t>Дисконтированная чистая прибыль, руб.</t>
  </si>
  <si>
    <t>Непогашенный остаток капитальных вложений на конец периода, руб.</t>
  </si>
  <si>
    <t>Остаток чистой прибыли после погашения капитальных вложений, руб.</t>
  </si>
  <si>
    <t>Табл 2,11</t>
  </si>
  <si>
    <t>Года</t>
  </si>
  <si>
    <t>V=М+З+Д+ЕСС</t>
  </si>
  <si>
    <t xml:space="preserve">Переменные затраты </t>
  </si>
  <si>
    <t xml:space="preserve">К постоянным затратам </t>
  </si>
  <si>
    <t>W=ХР+ПР+РК</t>
  </si>
  <si>
    <t>Штуки</t>
  </si>
  <si>
    <t>Объем безубыточности (в натуральном измерении)</t>
  </si>
  <si>
    <t xml:space="preserve">Запас финансовой прочности рассчитывается </t>
  </si>
  <si>
    <t>ЗФП=N-Qб/уб</t>
  </si>
  <si>
    <t>Коэффициент запаса финансовой прочности</t>
  </si>
  <si>
    <t>Kзфп=(ЗФП/N)*100%</t>
  </si>
  <si>
    <t>%</t>
  </si>
  <si>
    <t>Ед. измерения</t>
  </si>
  <si>
    <t>Объем продаж</t>
  </si>
  <si>
    <t>руб.</t>
  </si>
  <si>
    <t>Условно-переменные затраты</t>
  </si>
  <si>
    <t>Условно-постоянные затраты</t>
  </si>
  <si>
    <t>Удельный вес переменных затрат в объеме продаж</t>
  </si>
  <si>
    <t>Объем безубыточности (порог рентабельности)</t>
  </si>
  <si>
    <t>Объем безубыточности</t>
  </si>
  <si>
    <t>шт.</t>
  </si>
  <si>
    <t>Запас финансовой прочности</t>
  </si>
  <si>
    <t>бак сливной  Емкость Экопром ЭВП 100 112.0100.001.0 (100 литров)</t>
  </si>
  <si>
    <t>https://rostov.vseinstrumenti.ru/sadovaya-tehnika/baki-i-emkosti/dlya-zhidkostej/ekoprom/evp-100-112-0100-001-0/</t>
  </si>
  <si>
    <t>Qб/уб=((W*N)/(Цо-V))</t>
  </si>
  <si>
    <t>3й год</t>
  </si>
  <si>
    <t>2й год</t>
  </si>
  <si>
    <t xml:space="preserve">3-й </t>
  </si>
  <si>
    <t>SWOTка</t>
  </si>
  <si>
    <t>Сильные стороны: съемные элементы и возможность менять принципиальную схему, несколько рабочих сред жидкости и воздух, на стенде можно поводить различные лабораторные и практические работы, функционал.</t>
  </si>
  <si>
    <t>Слабые стороны: масса габаритность, цена.</t>
  </si>
  <si>
    <t>Угрозы: появление конкурентов, отсутствие спроса.</t>
  </si>
  <si>
    <t>Возможности: последующее изменения стенда (т е его улечшение по различным параметрам), гибкая конструкция стенда (т е возможность перемещать основные элементы стенда).</t>
  </si>
  <si>
    <r>
      <t>Общепроизводственные расходы,</t>
    </r>
    <r>
      <rPr>
        <vertAlign val="subscript"/>
        <sz val="14"/>
        <color theme="1"/>
        <rFont val="Calibri"/>
        <family val="2"/>
        <charset val="204"/>
      </rPr>
      <t xml:space="preserve"> </t>
    </r>
    <r>
      <rPr>
        <sz val="14"/>
        <color theme="1"/>
        <rFont val="Calibri"/>
        <family val="2"/>
        <charset val="204"/>
      </rPr>
      <t>руб.</t>
    </r>
  </si>
  <si>
    <r>
      <t>Общехозяйственные расходы,</t>
    </r>
    <r>
      <rPr>
        <vertAlign val="subscript"/>
        <sz val="14"/>
        <color theme="1"/>
        <rFont val="Calibri"/>
        <family val="2"/>
        <charset val="204"/>
      </rPr>
      <t xml:space="preserve"> </t>
    </r>
    <r>
      <rPr>
        <sz val="14"/>
        <color theme="1"/>
        <rFont val="Calibri"/>
        <family val="2"/>
        <charset val="204"/>
      </rPr>
      <t>руб.</t>
    </r>
  </si>
  <si>
    <r>
      <t xml:space="preserve">Себестоимость выпуска продукции </t>
    </r>
    <r>
      <rPr>
        <vertAlign val="subscript"/>
        <sz val="14"/>
        <color theme="1"/>
        <rFont val="Calibri"/>
        <family val="2"/>
        <charset val="204"/>
      </rPr>
      <t xml:space="preserve">, </t>
    </r>
    <r>
      <rPr>
        <sz val="14"/>
        <color theme="1"/>
        <rFont val="Calibri"/>
        <family val="2"/>
        <charset val="204"/>
      </rPr>
      <t>руб. С=СП•N</t>
    </r>
  </si>
  <si>
    <t>без учета 5 штук</t>
  </si>
  <si>
    <t>В дальнейшем улучшитьстенд или убрать некоторые элементы. Это повлияет на цену и массу</t>
  </si>
  <si>
    <t>Конкуренты могут сделать аналог с более дешевыми элементами</t>
  </si>
  <si>
    <t>Можно на стенде собрать различную принципиальную схему и отработать разные лабы и пр.</t>
  </si>
  <si>
    <t>осталось сделать</t>
  </si>
  <si>
    <t xml:space="preserve">кружочки </t>
  </si>
  <si>
    <t>4й сл</t>
  </si>
  <si>
    <t>квадратики</t>
  </si>
  <si>
    <t>9й сл</t>
  </si>
  <si>
    <t xml:space="preserve">резюме </t>
  </si>
  <si>
    <t>вывод</t>
  </si>
  <si>
    <t xml:space="preserve"> таб 2,12</t>
  </si>
  <si>
    <t>Конкуренты могут сделать аналог с такимже функционалом. Это повлияет на спрос, но какойто процент спроса останется.</t>
  </si>
  <si>
    <t>мой стенд получился больше аналогов</t>
  </si>
  <si>
    <t>доработать, что то добавить, кароче тюнинг</t>
  </si>
  <si>
    <t>датчики ПД100 модели 3х1 датчики давления для ЖКХ и теплосетей</t>
  </si>
  <si>
    <t>https://owen.ru/product/preobrazovateli_dlya_zhkh_pd100/connection</t>
  </si>
  <si>
    <t>датчики температуры ДТСхх4 термосопротивления с кабельным выводом</t>
  </si>
  <si>
    <t>https://owen.ru/product/dtshh4_termosoprotivleniya_s_kabel_nim_vivodom</t>
  </si>
  <si>
    <t>Столбец1</t>
  </si>
  <si>
    <t>Общие затраты</t>
  </si>
  <si>
    <t>Постоянные затраты</t>
  </si>
  <si>
    <t>Выручка</t>
  </si>
  <si>
    <t>Обьем продаж, шт</t>
  </si>
  <si>
    <t>Шкаф управления</t>
  </si>
  <si>
    <t>Профильная панель для рабочей зоны</t>
  </si>
  <si>
    <t>Профильная панель для электрики</t>
  </si>
  <si>
    <t>компрессор BB24 производительность 50л</t>
  </si>
  <si>
    <t>Частотный преобразователь ПЧВ3-2К2-В</t>
  </si>
  <si>
    <t>https://owen-prom.ru/katalog/silovye-i-kommutatsionnye-ustroystva/preobrazovateli-chastoty/pchv3-preobrazovateli-chastoty-vektornye-dlya-nasosov-i-ventilyatorov/</t>
  </si>
  <si>
    <t>Объем продаж, статьи затрат</t>
  </si>
  <si>
    <t>2019г.</t>
  </si>
  <si>
    <t>1 п\г.</t>
  </si>
  <si>
    <t>2 п\г.</t>
  </si>
  <si>
    <t>Объем продаж, шт.</t>
  </si>
  <si>
    <t>Объем продаж, тыс. руб.</t>
  </si>
  <si>
    <r>
      <t>Материальные затраты М</t>
    </r>
    <r>
      <rPr>
        <vertAlign val="subscript"/>
        <sz val="8"/>
        <color theme="1"/>
        <rFont val="Tahoma"/>
        <family val="2"/>
        <charset val="204"/>
      </rPr>
      <t>О</t>
    </r>
    <r>
      <rPr>
        <sz val="8"/>
        <color theme="1"/>
        <rFont val="Tahoma"/>
        <family val="2"/>
        <charset val="204"/>
      </rPr>
      <t xml:space="preserve">, </t>
    </r>
    <r>
      <rPr>
        <sz val="8"/>
        <color rgb="FF000000"/>
        <rFont val="Tahoma"/>
        <family val="2"/>
        <charset val="204"/>
      </rPr>
      <t>тыс. руб.</t>
    </r>
  </si>
  <si>
    <r>
      <t>Основная заработная плата З</t>
    </r>
    <r>
      <rPr>
        <vertAlign val="subscript"/>
        <sz val="8"/>
        <color theme="1"/>
        <rFont val="Tahoma"/>
        <family val="2"/>
        <charset val="204"/>
      </rPr>
      <t>О</t>
    </r>
    <r>
      <rPr>
        <sz val="8"/>
        <color theme="1"/>
        <rFont val="Tahoma"/>
        <family val="2"/>
        <charset val="204"/>
      </rPr>
      <t>,</t>
    </r>
    <r>
      <rPr>
        <vertAlign val="subscript"/>
        <sz val="8"/>
        <color theme="1"/>
        <rFont val="Tahoma"/>
        <family val="2"/>
        <charset val="204"/>
      </rPr>
      <t xml:space="preserve"> </t>
    </r>
    <r>
      <rPr>
        <sz val="8"/>
        <color rgb="FF000000"/>
        <rFont val="Tahoma"/>
        <family val="2"/>
        <charset val="204"/>
      </rPr>
      <t>тыс. руб.</t>
    </r>
  </si>
  <si>
    <r>
      <t>Дополнительная заработная плата Д</t>
    </r>
    <r>
      <rPr>
        <vertAlign val="subscript"/>
        <sz val="8"/>
        <color theme="1"/>
        <rFont val="Tahoma"/>
        <family val="2"/>
        <charset val="204"/>
      </rPr>
      <t>О</t>
    </r>
    <r>
      <rPr>
        <sz val="8"/>
        <color rgb="FF000000"/>
        <rFont val="Tahoma"/>
        <family val="2"/>
        <charset val="204"/>
      </rPr>
      <t>, тыс. руб.</t>
    </r>
  </si>
  <si>
    <r>
      <t xml:space="preserve">Взносы в гос. внебюджетные фонды соц. назначения (30%), тыс. </t>
    </r>
    <r>
      <rPr>
        <sz val="8"/>
        <color rgb="FF000000"/>
        <rFont val="Tahoma"/>
        <family val="2"/>
        <charset val="204"/>
      </rPr>
      <t>руб.</t>
    </r>
  </si>
  <si>
    <r>
      <t>Общепроизводственные расходы Р</t>
    </r>
    <r>
      <rPr>
        <vertAlign val="subscript"/>
        <sz val="8"/>
        <color theme="1"/>
        <rFont val="Tahoma"/>
        <family val="2"/>
        <charset val="204"/>
      </rPr>
      <t xml:space="preserve">опр </t>
    </r>
    <r>
      <rPr>
        <sz val="8"/>
        <color theme="1"/>
        <rFont val="Tahoma"/>
        <family val="2"/>
        <charset val="204"/>
      </rPr>
      <t xml:space="preserve">, </t>
    </r>
    <r>
      <rPr>
        <sz val="8"/>
        <color rgb="FF000000"/>
        <rFont val="Tahoma"/>
        <family val="2"/>
        <charset val="204"/>
      </rPr>
      <t>тыс. руб.</t>
    </r>
  </si>
  <si>
    <r>
      <t>Общехозяйственные расходы Р</t>
    </r>
    <r>
      <rPr>
        <vertAlign val="subscript"/>
        <sz val="8"/>
        <color theme="1"/>
        <rFont val="Tahoma"/>
        <family val="2"/>
        <charset val="204"/>
      </rPr>
      <t xml:space="preserve">ох </t>
    </r>
    <r>
      <rPr>
        <sz val="8"/>
        <color theme="1"/>
        <rFont val="Tahoma"/>
        <family val="2"/>
        <charset val="204"/>
      </rPr>
      <t>,</t>
    </r>
    <r>
      <rPr>
        <vertAlign val="subscript"/>
        <sz val="8"/>
        <color theme="1"/>
        <rFont val="Tahoma"/>
        <family val="2"/>
        <charset val="204"/>
      </rPr>
      <t xml:space="preserve"> </t>
    </r>
    <r>
      <rPr>
        <sz val="8"/>
        <color rgb="FF000000"/>
        <rFont val="Tahoma"/>
        <family val="2"/>
        <charset val="204"/>
      </rPr>
      <t>тыс. руб.</t>
    </r>
  </si>
  <si>
    <r>
      <t>Коммерческие расходы К</t>
    </r>
    <r>
      <rPr>
        <vertAlign val="subscript"/>
        <sz val="8"/>
        <color rgb="FF000000"/>
        <rFont val="Tahoma"/>
        <family val="2"/>
        <charset val="204"/>
      </rPr>
      <t>омм</t>
    </r>
    <r>
      <rPr>
        <sz val="8"/>
        <color rgb="FF000000"/>
        <rFont val="Tahoma"/>
        <family val="2"/>
        <charset val="204"/>
      </rPr>
      <t>, тыс. руб.</t>
    </r>
  </si>
  <si>
    <r>
      <t>Полная себестоимость С</t>
    </r>
    <r>
      <rPr>
        <vertAlign val="subscript"/>
        <sz val="8"/>
        <color theme="1"/>
        <rFont val="Tahoma"/>
        <family val="2"/>
        <charset val="204"/>
      </rPr>
      <t xml:space="preserve">П </t>
    </r>
    <r>
      <rPr>
        <sz val="8"/>
        <color theme="1"/>
        <rFont val="Tahoma"/>
        <family val="2"/>
        <charset val="204"/>
      </rPr>
      <t>,</t>
    </r>
    <r>
      <rPr>
        <sz val="8"/>
        <color rgb="FF000000"/>
        <rFont val="Tahoma"/>
        <family val="2"/>
        <charset val="204"/>
      </rPr>
      <t xml:space="preserve">  тыс. руб.</t>
    </r>
  </si>
  <si>
    <t>шт</t>
  </si>
  <si>
    <t>Д</t>
  </si>
  <si>
    <t>2-й</t>
  </si>
  <si>
    <t>3-й</t>
  </si>
  <si>
    <t>1-й</t>
  </si>
  <si>
    <t>3 кв</t>
  </si>
  <si>
    <t>4 кв</t>
  </si>
  <si>
    <t>1 пг</t>
  </si>
  <si>
    <t>2 пг</t>
  </si>
  <si>
    <t>год</t>
  </si>
  <si>
    <t>объем продаж</t>
  </si>
  <si>
    <t>мат затраты</t>
  </si>
  <si>
    <t>доп зп</t>
  </si>
  <si>
    <t>единый соц</t>
  </si>
  <si>
    <t>общепр расход</t>
  </si>
  <si>
    <t>общехоз расход</t>
  </si>
  <si>
    <t>полная себест</t>
  </si>
  <si>
    <t>проивз себест</t>
  </si>
  <si>
    <t>коммерч расх</t>
  </si>
  <si>
    <t>опт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</si>
</sst>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rgb="FF008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vertAlign val="subscript"/>
      <sz val="14"/>
      <color theme="1"/>
      <name val="Calibri"/>
      <family val="2"/>
      <charset val="204"/>
    </font>
    <font>
      <sz val="14"/>
      <name val="Calibri"/>
      <family val="2"/>
      <charset val="204"/>
    </font>
    <font>
      <sz val="14"/>
      <name val="Calibri"/>
      <family val="2"/>
      <charset val="204"/>
      <scheme val="minor"/>
    </font>
    <font>
      <sz val="14"/>
      <color theme="1" tint="4.9989318521683403E-2"/>
      <name val="Calibri"/>
      <family val="2"/>
      <scheme val="minor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  <font>
      <vertAlign val="subscript"/>
      <sz val="8"/>
      <color theme="1"/>
      <name val="Tahoma"/>
      <family val="2"/>
      <charset val="204"/>
    </font>
    <font>
      <vertAlign val="subscript"/>
      <sz val="8"/>
      <color rgb="FF000000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4" fontId="0" fillId="0" borderId="1" xfId="0" applyNumberFormat="1" applyBorder="1"/>
    <xf numFmtId="4" fontId="0" fillId="0" borderId="0" xfId="0" applyNumberFormat="1"/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vertical="top"/>
    </xf>
    <xf numFmtId="4" fontId="1" fillId="0" borderId="1" xfId="1" applyNumberFormat="1" applyBorder="1"/>
    <xf numFmtId="4" fontId="0" fillId="0" borderId="0" xfId="0" applyNumberFormat="1" applyBorder="1" applyAlignment="1">
      <alignment horizontal="right"/>
    </xf>
    <xf numFmtId="4" fontId="0" fillId="3" borderId="0" xfId="0" applyNumberFormat="1" applyFill="1" applyBorder="1"/>
    <xf numFmtId="4" fontId="0" fillId="4" borderId="0" xfId="0" applyNumberFormat="1" applyFill="1" applyBorder="1"/>
    <xf numFmtId="4" fontId="0" fillId="6" borderId="0" xfId="0" applyNumberFormat="1" applyFill="1"/>
    <xf numFmtId="4" fontId="0" fillId="0" borderId="8" xfId="0" applyNumberFormat="1" applyBorder="1"/>
    <xf numFmtId="4" fontId="0" fillId="0" borderId="0" xfId="0" applyNumberFormat="1" applyBorder="1" applyAlignment="1">
      <alignment vertical="top"/>
    </xf>
    <xf numFmtId="4" fontId="3" fillId="0" borderId="0" xfId="0" applyNumberFormat="1" applyFont="1" applyBorder="1" applyAlignment="1">
      <alignment vertical="center" wrapText="1"/>
    </xf>
    <xf numFmtId="4" fontId="0" fillId="0" borderId="0" xfId="0" applyNumberFormat="1" applyBorder="1"/>
    <xf numFmtId="3" fontId="0" fillId="0" borderId="0" xfId="0" applyNumberFormat="1"/>
    <xf numFmtId="4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4" fontId="0" fillId="0" borderId="0" xfId="0" applyNumberFormat="1" applyFill="1"/>
    <xf numFmtId="4" fontId="4" fillId="0" borderId="0" xfId="0" applyNumberFormat="1" applyFont="1" applyBorder="1" applyAlignment="1">
      <alignment vertical="top"/>
    </xf>
    <xf numFmtId="4" fontId="4" fillId="0" borderId="0" xfId="0" applyNumberFormat="1" applyFont="1" applyAlignment="1">
      <alignment vertical="top"/>
    </xf>
    <xf numFmtId="4" fontId="4" fillId="0" borderId="0" xfId="0" applyNumberFormat="1" applyFont="1" applyBorder="1"/>
    <xf numFmtId="4" fontId="4" fillId="0" borderId="0" xfId="0" applyNumberFormat="1" applyFont="1"/>
    <xf numFmtId="4" fontId="3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3" fontId="4" fillId="0" borderId="1" xfId="0" applyNumberFormat="1" applyFont="1" applyBorder="1"/>
    <xf numFmtId="4" fontId="4" fillId="0" borderId="1" xfId="0" applyNumberFormat="1" applyFont="1" applyBorder="1" applyAlignment="1">
      <alignment vertical="top"/>
    </xf>
    <xf numFmtId="3" fontId="4" fillId="0" borderId="0" xfId="0" applyNumberFormat="1" applyFont="1"/>
    <xf numFmtId="4" fontId="4" fillId="5" borderId="1" xfId="0" applyNumberFormat="1" applyFont="1" applyFill="1" applyBorder="1"/>
    <xf numFmtId="4" fontId="4" fillId="2" borderId="1" xfId="0" applyNumberFormat="1" applyFont="1" applyFill="1" applyBorder="1" applyAlignment="1">
      <alignment vertical="top"/>
    </xf>
    <xf numFmtId="4" fontId="4" fillId="5" borderId="1" xfId="0" applyNumberFormat="1" applyFont="1" applyFill="1" applyBorder="1" applyAlignment="1">
      <alignment vertical="top"/>
    </xf>
    <xf numFmtId="4" fontId="4" fillId="0" borderId="0" xfId="0" applyNumberFormat="1" applyFont="1" applyAlignment="1"/>
    <xf numFmtId="4" fontId="4" fillId="0" borderId="5" xfId="0" applyNumberFormat="1" applyFont="1" applyBorder="1" applyAlignment="1">
      <alignment vertical="top"/>
    </xf>
    <xf numFmtId="4" fontId="4" fillId="0" borderId="8" xfId="0" applyNumberFormat="1" applyFont="1" applyBorder="1" applyAlignment="1">
      <alignment vertical="top"/>
    </xf>
    <xf numFmtId="4" fontId="4" fillId="0" borderId="8" xfId="0" applyNumberFormat="1" applyFont="1" applyBorder="1"/>
    <xf numFmtId="4" fontId="4" fillId="0" borderId="1" xfId="0" applyNumberFormat="1" applyFont="1" applyFill="1" applyBorder="1" applyAlignment="1">
      <alignment vertical="top"/>
    </xf>
    <xf numFmtId="3" fontId="4" fillId="0" borderId="0" xfId="0" applyNumberFormat="1" applyFont="1" applyBorder="1" applyAlignment="1">
      <alignment vertical="top"/>
    </xf>
    <xf numFmtId="4" fontId="6" fillId="0" borderId="1" xfId="0" applyNumberFormat="1" applyFont="1" applyBorder="1" applyAlignment="1">
      <alignment vertical="top"/>
    </xf>
    <xf numFmtId="4" fontId="7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 wrapText="1"/>
    </xf>
    <xf numFmtId="4" fontId="4" fillId="0" borderId="0" xfId="0" applyNumberFormat="1" applyFont="1" applyFill="1" applyBorder="1"/>
    <xf numFmtId="4" fontId="7" fillId="0" borderId="0" xfId="0" applyNumberFormat="1" applyFont="1" applyAlignment="1">
      <alignment vertical="center"/>
    </xf>
    <xf numFmtId="4" fontId="8" fillId="0" borderId="1" xfId="0" applyNumberFormat="1" applyFont="1" applyFill="1" applyBorder="1" applyAlignment="1">
      <alignment horizontal="left" vertical="center" wrapText="1"/>
    </xf>
    <xf numFmtId="4" fontId="8" fillId="0" borderId="1" xfId="0" applyNumberFormat="1" applyFont="1" applyBorder="1" applyAlignment="1">
      <alignment horizontal="left" vertical="center" wrapText="1"/>
    </xf>
    <xf numFmtId="4" fontId="8" fillId="0" borderId="2" xfId="0" applyNumberFormat="1" applyFont="1" applyBorder="1" applyAlignment="1">
      <alignment horizontal="left" vertical="center" wrapText="1"/>
    </xf>
    <xf numFmtId="4" fontId="4" fillId="0" borderId="2" xfId="0" applyNumberFormat="1" applyFont="1" applyBorder="1"/>
    <xf numFmtId="4" fontId="4" fillId="0" borderId="0" xfId="0" applyNumberFormat="1" applyFont="1" applyAlignment="1">
      <alignment wrapText="1"/>
    </xf>
    <xf numFmtId="4" fontId="10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wrapText="1"/>
    </xf>
    <xf numFmtId="4" fontId="4" fillId="0" borderId="1" xfId="0" applyNumberFormat="1" applyFont="1" applyFill="1" applyBorder="1" applyAlignment="1">
      <alignment wrapText="1"/>
    </xf>
    <xf numFmtId="4" fontId="7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Fill="1" applyBorder="1"/>
    <xf numFmtId="3" fontId="7" fillId="0" borderId="2" xfId="0" applyNumberFormat="1" applyFont="1" applyBorder="1" applyAlignment="1">
      <alignment vertical="center"/>
    </xf>
    <xf numFmtId="3" fontId="7" fillId="0" borderId="2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Border="1" applyAlignment="1">
      <alignment vertical="center" wrapText="1"/>
    </xf>
    <xf numFmtId="1" fontId="4" fillId="0" borderId="0" xfId="0" applyNumberFormat="1" applyFont="1"/>
    <xf numFmtId="0" fontId="7" fillId="7" borderId="1" xfId="0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center" vertical="center" wrapText="1"/>
    </xf>
    <xf numFmtId="4" fontId="4" fillId="0" borderId="0" xfId="0" applyNumberFormat="1" applyFont="1" applyFill="1"/>
    <xf numFmtId="3" fontId="7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vertical="top"/>
    </xf>
    <xf numFmtId="4" fontId="4" fillId="0" borderId="1" xfId="0" applyNumberFormat="1" applyFont="1" applyBorder="1" applyAlignment="1">
      <alignment horizontal="center"/>
    </xf>
    <xf numFmtId="4" fontId="4" fillId="0" borderId="5" xfId="0" applyNumberFormat="1" applyFont="1" applyBorder="1"/>
    <xf numFmtId="4" fontId="4" fillId="3" borderId="1" xfId="0" applyNumberFormat="1" applyFont="1" applyFill="1" applyBorder="1"/>
    <xf numFmtId="3" fontId="4" fillId="0" borderId="1" xfId="0" applyNumberFormat="1" applyFont="1" applyFill="1" applyBorder="1"/>
    <xf numFmtId="4" fontId="4" fillId="0" borderId="1" xfId="0" applyNumberFormat="1" applyFont="1" applyBorder="1" applyAlignment="1">
      <alignment horizontal="left"/>
    </xf>
    <xf numFmtId="4" fontId="12" fillId="0" borderId="0" xfId="0" applyNumberFormat="1" applyFont="1" applyFill="1"/>
    <xf numFmtId="0" fontId="7" fillId="8" borderId="1" xfId="0" applyFont="1" applyFill="1" applyBorder="1" applyAlignment="1">
      <alignment horizontal="center" vertical="center" wrapText="1"/>
    </xf>
    <xf numFmtId="4" fontId="4" fillId="8" borderId="1" xfId="0" applyNumberFormat="1" applyFont="1" applyFill="1" applyBorder="1" applyAlignment="1">
      <alignment horizontal="center"/>
    </xf>
    <xf numFmtId="4" fontId="7" fillId="8" borderId="1" xfId="0" applyNumberFormat="1" applyFont="1" applyFill="1" applyBorder="1" applyAlignment="1">
      <alignment horizontal="center" vertical="center" wrapText="1"/>
    </xf>
    <xf numFmtId="4" fontId="4" fillId="8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left" vertical="top" wrapText="1"/>
    </xf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7" xfId="0" applyBorder="1"/>
    <xf numFmtId="4" fontId="0" fillId="0" borderId="5" xfId="0" applyNumberFormat="1" applyBorder="1"/>
    <xf numFmtId="4" fontId="4" fillId="0" borderId="0" xfId="0" applyNumberFormat="1" applyFont="1" applyFill="1" applyAlignment="1">
      <alignment wrapText="1"/>
    </xf>
    <xf numFmtId="4" fontId="4" fillId="2" borderId="11" xfId="0" applyNumberFormat="1" applyFont="1" applyFill="1" applyBorder="1" applyAlignment="1">
      <alignment horizontal="right"/>
    </xf>
    <xf numFmtId="4" fontId="4" fillId="2" borderId="2" xfId="0" applyNumberFormat="1" applyFont="1" applyFill="1" applyBorder="1"/>
    <xf numFmtId="4" fontId="4" fillId="6" borderId="1" xfId="0" applyNumberFormat="1" applyFont="1" applyFill="1" applyBorder="1"/>
    <xf numFmtId="4" fontId="4" fillId="4" borderId="1" xfId="0" applyNumberFormat="1" applyFont="1" applyFill="1" applyBorder="1"/>
    <xf numFmtId="4" fontId="4" fillId="0" borderId="1" xfId="0" applyNumberFormat="1" applyFont="1" applyBorder="1" applyAlignment="1">
      <alignment horizontal="left" indent="3"/>
    </xf>
    <xf numFmtId="0" fontId="13" fillId="0" borderId="1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2" borderId="1" xfId="0" applyFill="1" applyBorder="1"/>
    <xf numFmtId="0" fontId="0" fillId="5" borderId="1" xfId="0" applyFill="1" applyBorder="1"/>
    <xf numFmtId="4" fontId="5" fillId="0" borderId="0" xfId="0" applyNumberFormat="1" applyFont="1" applyFill="1" applyBorder="1" applyAlignment="1">
      <alignment horizontal="center" vertical="top"/>
    </xf>
    <xf numFmtId="4" fontId="4" fillId="0" borderId="0" xfId="0" applyNumberFormat="1" applyFont="1" applyBorder="1" applyAlignment="1">
      <alignment horizontal="center" vertical="top"/>
    </xf>
    <xf numFmtId="4" fontId="4" fillId="0" borderId="4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Лист1!$R$3</c:f>
              <c:strCache>
                <c:ptCount val="1"/>
                <c:pt idx="0">
                  <c:v>Мой стенд 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Лист1!$S$2:$X$2</c:f>
              <c:strCache>
                <c:ptCount val="6"/>
                <c:pt idx="0">
                  <c:v>Возможность менять элементы </c:v>
                </c:pt>
                <c:pt idx="1">
                  <c:v>Проведение лабораторных работ с жидкой средой</c:v>
                </c:pt>
                <c:pt idx="2">
                  <c:v>Проведение лабораторных работ с пневмоуправлением </c:v>
                </c:pt>
                <c:pt idx="3">
                  <c:v>Габариты</c:v>
                </c:pt>
                <c:pt idx="4">
                  <c:v>Презентабельность</c:v>
                </c:pt>
                <c:pt idx="5">
                  <c:v>Возможность улучшить стенд</c:v>
                </c:pt>
              </c:strCache>
            </c:strRef>
          </c:cat>
          <c:val>
            <c:numRef>
              <c:f>Лист1!$S$3:$X$3</c:f>
              <c:numCache>
                <c:formatCode>#,##0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4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1-44A2-BB02-E3E384BCCC9A}"/>
            </c:ext>
          </c:extLst>
        </c:ser>
        <c:ser>
          <c:idx val="1"/>
          <c:order val="1"/>
          <c:tx>
            <c:strRef>
              <c:f>Лист1!$R$4</c:f>
              <c:strCache>
                <c:ptCount val="1"/>
                <c:pt idx="0">
                  <c:v>ЭЛБ-030.010.01.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Лист1!$S$2:$X$2</c:f>
              <c:strCache>
                <c:ptCount val="6"/>
                <c:pt idx="0">
                  <c:v>Возможность менять элементы </c:v>
                </c:pt>
                <c:pt idx="1">
                  <c:v>Проведение лабораторных работ с жидкой средой</c:v>
                </c:pt>
                <c:pt idx="2">
                  <c:v>Проведение лабораторных работ с пневмоуправлением </c:v>
                </c:pt>
                <c:pt idx="3">
                  <c:v>Габариты</c:v>
                </c:pt>
                <c:pt idx="4">
                  <c:v>Презентабельность</c:v>
                </c:pt>
                <c:pt idx="5">
                  <c:v>Возможность улучшить стенд</c:v>
                </c:pt>
              </c:strCache>
            </c:strRef>
          </c:cat>
          <c:val>
            <c:numRef>
              <c:f>Лист1!$S$4:$X$4</c:f>
              <c:numCache>
                <c:formatCode>#,##0</c:formatCode>
                <c:ptCount val="6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10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1-44A2-BB02-E3E384BCCC9A}"/>
            </c:ext>
          </c:extLst>
        </c:ser>
        <c:ser>
          <c:idx val="2"/>
          <c:order val="2"/>
          <c:tx>
            <c:strRef>
              <c:f>Лист1!$R$5</c:f>
              <c:strCache>
                <c:ptCount val="1"/>
                <c:pt idx="0">
                  <c:v>ЛАБОРАТОРНАЯ УСТАНОВКА ПО ИССЛЕДОВАНИЮ РАБОТЫ ЗАПОРНОЙ АРМАТУРЫ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Лист1!$S$2:$X$2</c:f>
              <c:strCache>
                <c:ptCount val="6"/>
                <c:pt idx="0">
                  <c:v>Возможность менять элементы </c:v>
                </c:pt>
                <c:pt idx="1">
                  <c:v>Проведение лабораторных работ с жидкой средой</c:v>
                </c:pt>
                <c:pt idx="2">
                  <c:v>Проведение лабораторных работ с пневмоуправлением </c:v>
                </c:pt>
                <c:pt idx="3">
                  <c:v>Габариты</c:v>
                </c:pt>
                <c:pt idx="4">
                  <c:v>Презентабельность</c:v>
                </c:pt>
                <c:pt idx="5">
                  <c:v>Возможность улучшить стенд</c:v>
                </c:pt>
              </c:strCache>
            </c:strRef>
          </c:cat>
          <c:val>
            <c:numRef>
              <c:f>Лист1!$S$5:$X$5</c:f>
              <c:numCache>
                <c:formatCode>#,##0</c:formatCode>
                <c:ptCount val="6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9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1-44A2-BB02-E3E384BCC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36664"/>
        <c:axId val="130137448"/>
      </c:radarChart>
      <c:catAx>
        <c:axId val="13013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37448"/>
        <c:crosses val="autoZero"/>
        <c:auto val="1"/>
        <c:lblAlgn val="ctr"/>
        <c:lblOffset val="100"/>
        <c:noMultiLvlLbl val="0"/>
      </c:catAx>
      <c:valAx>
        <c:axId val="13013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36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конкурент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Лист1!$R$3</c:f>
              <c:strCache>
                <c:ptCount val="1"/>
                <c:pt idx="0">
                  <c:v>Мой стенд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Лист1!$S$2:$X$2</c:f>
              <c:strCache>
                <c:ptCount val="6"/>
                <c:pt idx="0">
                  <c:v>Возможность менять элементы </c:v>
                </c:pt>
                <c:pt idx="1">
                  <c:v>Проведение лабораторных работ с жидкой средой</c:v>
                </c:pt>
                <c:pt idx="2">
                  <c:v>Проведение лабораторных работ с пневмоуправлением </c:v>
                </c:pt>
                <c:pt idx="3">
                  <c:v>Габариты</c:v>
                </c:pt>
                <c:pt idx="4">
                  <c:v>Презентабельность</c:v>
                </c:pt>
                <c:pt idx="5">
                  <c:v>Возможность улучшить стенд</c:v>
                </c:pt>
              </c:strCache>
            </c:strRef>
          </c:cat>
          <c:val>
            <c:numRef>
              <c:f>Лист1!$S$3:$X$3</c:f>
              <c:numCache>
                <c:formatCode>#,##0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4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3-4EF7-9F10-66F2EF6A3062}"/>
            </c:ext>
          </c:extLst>
        </c:ser>
        <c:ser>
          <c:idx val="1"/>
          <c:order val="1"/>
          <c:tx>
            <c:strRef>
              <c:f>Лист1!$R$4</c:f>
              <c:strCache>
                <c:ptCount val="1"/>
                <c:pt idx="0">
                  <c:v>ЭЛБ-030.010.01.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Лист1!$S$2:$X$2</c:f>
              <c:strCache>
                <c:ptCount val="6"/>
                <c:pt idx="0">
                  <c:v>Возможность менять элементы </c:v>
                </c:pt>
                <c:pt idx="1">
                  <c:v>Проведение лабораторных работ с жидкой средой</c:v>
                </c:pt>
                <c:pt idx="2">
                  <c:v>Проведение лабораторных работ с пневмоуправлением </c:v>
                </c:pt>
                <c:pt idx="3">
                  <c:v>Габариты</c:v>
                </c:pt>
                <c:pt idx="4">
                  <c:v>Презентабельность</c:v>
                </c:pt>
                <c:pt idx="5">
                  <c:v>Возможность улучшить стенд</c:v>
                </c:pt>
              </c:strCache>
            </c:strRef>
          </c:cat>
          <c:val>
            <c:numRef>
              <c:f>Лист1!$S$4:$X$4</c:f>
              <c:numCache>
                <c:formatCode>#,##0</c:formatCode>
                <c:ptCount val="6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10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3-4EF7-9F10-66F2EF6A3062}"/>
            </c:ext>
          </c:extLst>
        </c:ser>
        <c:ser>
          <c:idx val="2"/>
          <c:order val="2"/>
          <c:tx>
            <c:strRef>
              <c:f>Лист1!$R$5</c:f>
              <c:strCache>
                <c:ptCount val="1"/>
                <c:pt idx="0">
                  <c:v>ЛАБОРАТОРНАЯ УСТАНОВКА ПО ИССЛЕДОВАНИЮ РАБОТЫ ЗАПОРНОЙ АРМАТУРЫ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Лист1!$S$2:$X$2</c:f>
              <c:strCache>
                <c:ptCount val="6"/>
                <c:pt idx="0">
                  <c:v>Возможность менять элементы </c:v>
                </c:pt>
                <c:pt idx="1">
                  <c:v>Проведение лабораторных работ с жидкой средой</c:v>
                </c:pt>
                <c:pt idx="2">
                  <c:v>Проведение лабораторных работ с пневмоуправлением </c:v>
                </c:pt>
                <c:pt idx="3">
                  <c:v>Габариты</c:v>
                </c:pt>
                <c:pt idx="4">
                  <c:v>Презентабельность</c:v>
                </c:pt>
                <c:pt idx="5">
                  <c:v>Возможность улучшить стенд</c:v>
                </c:pt>
              </c:strCache>
            </c:strRef>
          </c:cat>
          <c:val>
            <c:numRef>
              <c:f>Лист1!$S$5:$X$5</c:f>
              <c:numCache>
                <c:formatCode>#,##0</c:formatCode>
                <c:ptCount val="6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9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3-4EF7-9F10-66F2EF6A3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34312"/>
        <c:axId val="130139408"/>
      </c:lineChart>
      <c:catAx>
        <c:axId val="130134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39408"/>
        <c:crosses val="autoZero"/>
        <c:auto val="1"/>
        <c:lblAlgn val="ctr"/>
        <c:lblOffset val="100"/>
        <c:noMultiLvlLbl val="0"/>
      </c:catAx>
      <c:valAx>
        <c:axId val="130139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343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Лист1!$K$72</c:f>
              <c:strCache>
                <c:ptCount val="1"/>
                <c:pt idx="0">
                  <c:v>Чистая прибыль, руб.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Лист1!$J$73:$J$75</c:f>
              <c:strCache>
                <c:ptCount val="3"/>
                <c:pt idx="0">
                  <c:v>Наихудший</c:v>
                </c:pt>
                <c:pt idx="1">
                  <c:v>Наиболее вероятный</c:v>
                </c:pt>
                <c:pt idx="2">
                  <c:v>Наилучший</c:v>
                </c:pt>
              </c:strCache>
            </c:strRef>
          </c:cat>
          <c:val>
            <c:numRef>
              <c:f>Лист1!$K$73:$K$75</c:f>
              <c:numCache>
                <c:formatCode>#,##0.00</c:formatCode>
                <c:ptCount val="3"/>
                <c:pt idx="0">
                  <c:v>271506.49847999995</c:v>
                </c:pt>
                <c:pt idx="1">
                  <c:v>2443558.4863199992</c:v>
                </c:pt>
                <c:pt idx="2">
                  <c:v>2715064.9848000007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7-4533-A59D-2DC2AF60D14B}"/>
            </c:ext>
          </c:extLst>
        </c:ser>
        <c:ser>
          <c:idx val="1"/>
          <c:order val="1"/>
          <c:tx>
            <c:strRef>
              <c:f>Лист1!$L$72</c:f>
              <c:strCache>
                <c:ptCount val="1"/>
                <c:pt idx="0">
                  <c:v>Математическое ожидание прибыли, руб.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Лист1!$J$73:$J$75</c:f>
              <c:strCache>
                <c:ptCount val="3"/>
                <c:pt idx="0">
                  <c:v>Наихудший</c:v>
                </c:pt>
                <c:pt idx="1">
                  <c:v>Наиболее вероятный</c:v>
                </c:pt>
                <c:pt idx="2">
                  <c:v>Наилучший</c:v>
                </c:pt>
              </c:strCache>
            </c:strRef>
          </c:cat>
          <c:val>
            <c:numRef>
              <c:f>Лист1!$L$73:$L$75</c:f>
              <c:numCache>
                <c:formatCode>General</c:formatCode>
                <c:ptCount val="3"/>
                <c:pt idx="0">
                  <c:v>86882.07951359998</c:v>
                </c:pt>
                <c:pt idx="1">
                  <c:v>952987.80966479972</c:v>
                </c:pt>
                <c:pt idx="2">
                  <c:v>787368.84559200017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7-4533-A59D-2DC2AF60D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33528"/>
        <c:axId val="130133136"/>
      </c:lineChart>
      <c:catAx>
        <c:axId val="13013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33136"/>
        <c:crosses val="autoZero"/>
        <c:auto val="1"/>
        <c:lblAlgn val="ctr"/>
        <c:lblOffset val="100"/>
        <c:noMultiLvlLbl val="0"/>
      </c:catAx>
      <c:valAx>
        <c:axId val="1301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13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Точка безубыточности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450807002136687E-2"/>
          <c:y val="9.4040671219873861E-2"/>
          <c:w val="0.92840857213192718"/>
          <c:h val="0.792912990494061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Лист1!$K$119</c:f>
              <c:strCache>
                <c:ptCount val="1"/>
                <c:pt idx="0">
                  <c:v>Выручка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Лист1!$J$120:$J$122</c:f>
              <c:numCache>
                <c:formatCode>General</c:formatCode>
                <c:ptCount val="3"/>
                <c:pt idx="0" formatCode="#,##0.00">
                  <c:v>5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Лист1!$K$120:$K$122</c:f>
              <c:numCache>
                <c:formatCode>General</c:formatCode>
                <c:ptCount val="3"/>
                <c:pt idx="0" formatCode="#,##0.00">
                  <c:v>4525108.3080000002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D-4A12-B254-EEA0E7E61481}"/>
            </c:ext>
          </c:extLst>
        </c:ser>
        <c:ser>
          <c:idx val="1"/>
          <c:order val="1"/>
          <c:tx>
            <c:strRef>
              <c:f>Лист1!$L$119</c:f>
              <c:strCache>
                <c:ptCount val="1"/>
                <c:pt idx="0">
                  <c:v>Постоянные затраты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Лист1!$J$120:$J$122</c:f>
              <c:numCache>
                <c:formatCode>General</c:formatCode>
                <c:ptCount val="3"/>
                <c:pt idx="0" formatCode="#,##0.00">
                  <c:v>5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Лист1!$L$120:$L$122</c:f>
              <c:numCache>
                <c:formatCode>General</c:formatCode>
                <c:ptCount val="3"/>
                <c:pt idx="0">
                  <c:v>984675.84250000003</c:v>
                </c:pt>
                <c:pt idx="1">
                  <c:v>984675.84250000003</c:v>
                </c:pt>
                <c:pt idx="2">
                  <c:v>984675.84250000003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D-4A12-B254-EEA0E7E61481}"/>
            </c:ext>
          </c:extLst>
        </c:ser>
        <c:ser>
          <c:idx val="2"/>
          <c:order val="2"/>
          <c:tx>
            <c:strRef>
              <c:f>Лист1!$M$119</c:f>
              <c:strCache>
                <c:ptCount val="1"/>
                <c:pt idx="0">
                  <c:v>Общие затраты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Лист1!$J$120:$J$122</c:f>
              <c:numCache>
                <c:formatCode>General</c:formatCode>
                <c:ptCount val="3"/>
                <c:pt idx="0" formatCode="#,##0.00">
                  <c:v>5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Лист1!$M$120:$M$122</c:f>
              <c:numCache>
                <c:formatCode>General</c:formatCode>
                <c:ptCount val="3"/>
                <c:pt idx="0" formatCode="#,##0.00">
                  <c:v>2828192.6924999999</c:v>
                </c:pt>
                <c:pt idx="1">
                  <c:v>984675.84250000003</c:v>
                </c:pt>
                <c:pt idx="2">
                  <c:v>984675.84250000003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1D-4A12-B254-EEA0E7E61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54528"/>
        <c:axId val="104956096"/>
      </c:scatterChart>
      <c:valAx>
        <c:axId val="1049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956096"/>
        <c:crosses val="autoZero"/>
        <c:crossBetween val="midCat"/>
      </c:valAx>
      <c:valAx>
        <c:axId val="1049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95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964548205793341"/>
          <c:y val="1.4375560189357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Лист2!$O$37:$O$39</c:f>
              <c:numCache>
                <c:formatCode>General</c:formatCode>
                <c:ptCount val="3"/>
                <c:pt idx="0" formatCode="#,##0.00">
                  <c:v>99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Лист2!$P$37:$P$39</c:f>
              <c:numCache>
                <c:formatCode>General</c:formatCode>
                <c:ptCount val="3"/>
                <c:pt idx="0" formatCode="#,##0.00">
                  <c:v>103400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3-4069-8EF9-E6293E7E4CA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Лист2!$O$37:$O$39</c:f>
              <c:numCache>
                <c:formatCode>General</c:formatCode>
                <c:ptCount val="3"/>
                <c:pt idx="0" formatCode="#,##0.00">
                  <c:v>99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Лист2!$Q$37:$Q$39</c:f>
              <c:numCache>
                <c:formatCode>#,##0.00</c:formatCode>
                <c:ptCount val="3"/>
                <c:pt idx="0">
                  <c:v>23641.4</c:v>
                </c:pt>
                <c:pt idx="1">
                  <c:v>23641.4</c:v>
                </c:pt>
                <c:pt idx="2">
                  <c:v>23641.4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F3-4069-8EF9-E6293E7E4CA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Лист2!$O$37:$O$39</c:f>
              <c:numCache>
                <c:formatCode>General</c:formatCode>
                <c:ptCount val="3"/>
                <c:pt idx="0" formatCode="#,##0.00">
                  <c:v>99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Лист2!$R$37:$R$39</c:f>
              <c:numCache>
                <c:formatCode>#,##0.00</c:formatCode>
                <c:ptCount val="3"/>
                <c:pt idx="0">
                  <c:v>125294.39999999999</c:v>
                </c:pt>
                <c:pt idx="1">
                  <c:v>23641.4</c:v>
                </c:pt>
                <c:pt idx="2">
                  <c:v>23641.4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3-4069-8EF9-E6293E7E4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37696"/>
        <c:axId val="588723584"/>
      </c:scatterChart>
      <c:valAx>
        <c:axId val="58873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723584"/>
        <c:crosses val="autoZero"/>
        <c:crossBetween val="midCat"/>
      </c:valAx>
      <c:valAx>
        <c:axId val="5887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73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6</xdr:row>
      <xdr:rowOff>114300</xdr:rowOff>
    </xdr:from>
    <xdr:to>
      <xdr:col>20</xdr:col>
      <xdr:colOff>441960</xdr:colOff>
      <xdr:row>31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487680</xdr:colOff>
      <xdr:row>6</xdr:row>
      <xdr:rowOff>129540</xdr:rowOff>
    </xdr:from>
    <xdr:to>
      <xdr:col>24</xdr:col>
      <xdr:colOff>15240</xdr:colOff>
      <xdr:row>30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60</xdr:row>
      <xdr:rowOff>185057</xdr:rowOff>
    </xdr:from>
    <xdr:to>
      <xdr:col>18</xdr:col>
      <xdr:colOff>1741714</xdr:colOff>
      <xdr:row>79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32657</xdr:colOff>
      <xdr:row>129</xdr:row>
      <xdr:rowOff>587829</xdr:rowOff>
    </xdr:from>
    <xdr:to>
      <xdr:col>8</xdr:col>
      <xdr:colOff>2516233</xdr:colOff>
      <xdr:row>145</xdr:row>
      <xdr:rowOff>76200</xdr:rowOff>
    </xdr:to>
    <xdr:grpSp>
      <xdr:nvGrpSpPr>
        <xdr:cNvPr id="22" name="Групп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/>
        </xdr:cNvGrpSpPr>
      </xdr:nvGrpSpPr>
      <xdr:grpSpPr bwMode="auto">
        <a:xfrm>
          <a:off x="11966922" y="40682476"/>
          <a:ext cx="6753017" cy="8878900"/>
          <a:chOff x="0" y="-170"/>
          <a:chExt cx="60408" cy="67661"/>
        </a:xfrm>
      </xdr:grpSpPr>
      <xdr:sp macro="" textlink="">
        <xdr:nvSpPr>
          <xdr:cNvPr id="23" name="Надпись 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/>
          </xdr:cNvSpPr>
        </xdr:nvSpPr>
        <xdr:spPr bwMode="auto">
          <a:xfrm>
            <a:off x="2880" y="5071"/>
            <a:ext cx="29425" cy="112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l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Philosophy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Наглядная демонстрация свойств жидкости и пневмоуправления.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Надпись 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>
            <a:spLocks/>
          </xdr:cNvSpPr>
        </xdr:nvSpPr>
        <xdr:spPr bwMode="auto">
          <a:xfrm>
            <a:off x="32184" y="5112"/>
            <a:ext cx="25241" cy="1129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People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ВУЗы с направлением гидро</a:t>
            </a:r>
            <a:r>
              <a:rPr lang="ru-RU" sz="1000" baseline="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и пневмо устройства</a:t>
            </a: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5" name="Надпись 2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>
            <a:spLocks/>
          </xdr:cNvSpPr>
        </xdr:nvSpPr>
        <xdr:spPr bwMode="auto">
          <a:xfrm>
            <a:off x="2880" y="16272"/>
            <a:ext cx="17620" cy="166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III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Product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Автоматизированный стенд с различными съёмными модульными элементами гидросистемы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6" name="Надпись 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>
            <a:spLocks/>
          </xdr:cNvSpPr>
        </xdr:nvSpPr>
        <xdr:spPr bwMode="auto">
          <a:xfrm>
            <a:off x="20376" y="16272"/>
            <a:ext cx="20539" cy="166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IV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Production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Дискретное управление стенда и от позиционера.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Надпись 4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>
            <a:spLocks/>
          </xdr:cNvSpPr>
        </xdr:nvSpPr>
        <xdr:spPr bwMode="auto">
          <a:xfrm>
            <a:off x="40680" y="16272"/>
            <a:ext cx="16755" cy="166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Price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Со стороны функционала не сравнится с аналогами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Надпись 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>
            <a:spLocks/>
          </xdr:cNvSpPr>
        </xdr:nvSpPr>
        <xdr:spPr bwMode="auto">
          <a:xfrm>
            <a:off x="2808" y="32904"/>
            <a:ext cx="54623" cy="60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Planning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Статистический анализ спроса, планирование МТБ,       Инновационное планирование       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Адаптация к изменениям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Надпись 2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>
            <a:spLocks/>
          </xdr:cNvSpPr>
        </xdr:nvSpPr>
        <xdr:spPr bwMode="auto">
          <a:xfrm>
            <a:off x="2808" y="38952"/>
            <a:ext cx="34340" cy="95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VII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Place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Выставки, конференции.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Надпись 2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>
            <a:spLocks/>
          </xdr:cNvSpPr>
        </xdr:nvSpPr>
        <xdr:spPr bwMode="auto">
          <a:xfrm>
            <a:off x="37152" y="38952"/>
            <a:ext cx="20279" cy="95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VIII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Promotion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Выставки, конференции.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Надпись 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>
            <a:spLocks/>
          </xdr:cNvSpPr>
        </xdr:nvSpPr>
        <xdr:spPr bwMode="auto">
          <a:xfrm>
            <a:off x="2880" y="48456"/>
            <a:ext cx="17591" cy="1640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l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IX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Provider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ru-RU" sz="1000">
                <a:solidFill>
                  <a:srgbClr val="000000"/>
                </a:solidFill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- Поиск аналогов;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ru-RU" sz="1000">
                <a:solidFill>
                  <a:srgbClr val="000000"/>
                </a:solidFill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- Осуществление продаж посредством сети Интернет;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" name="Надпись 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>
            <a:spLocks/>
          </xdr:cNvSpPr>
        </xdr:nvSpPr>
        <xdr:spPr bwMode="auto">
          <a:xfrm>
            <a:off x="20376" y="48384"/>
            <a:ext cx="20535" cy="1638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X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Processing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en-US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Mathcad</a:t>
            </a: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, </a:t>
            </a:r>
            <a:r>
              <a:rPr lang="en-US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mathlab</a:t>
            </a: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, компас 3</a:t>
            </a:r>
            <a:r>
              <a:rPr lang="en-US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</a:t>
            </a: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, язык программирования РКС.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Надпись 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>
            <a:spLocks/>
          </xdr:cNvSpPr>
        </xdr:nvSpPr>
        <xdr:spPr bwMode="auto">
          <a:xfrm>
            <a:off x="4104" y="792"/>
            <a:ext cx="53302" cy="419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spcAft>
                <a:spcPts val="0"/>
              </a:spcAft>
            </a:pP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КОМПЛЕКС ИНЖЕНЕРНОГО МАРКЕТИНГА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11P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ENGINEERING MARKETING MIX 11P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spcAft>
                <a:spcPts val="0"/>
              </a:spcAft>
            </a:pPr>
            <a:r>
              <a:rPr lang="en-US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spcAft>
                <a:spcPts val="0"/>
              </a:spcAft>
            </a:pPr>
            <a:r>
              <a:rPr lang="en-US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4" name="Прямая соединительная линия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cxnSpLocks/>
          </xdr:cNvCxnSpPr>
        </xdr:nvCxnSpPr>
        <xdr:spPr bwMode="auto">
          <a:xfrm>
            <a:off x="0" y="0"/>
            <a:ext cx="0" cy="67491"/>
          </a:xfrm>
          <a:prstGeom prst="line">
            <a:avLst/>
          </a:prstGeom>
          <a:noFill/>
          <a:ln w="63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5" name="Прямая соединительная линия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>
            <a:cxnSpLocks/>
          </xdr:cNvCxnSpPr>
        </xdr:nvCxnSpPr>
        <xdr:spPr bwMode="auto">
          <a:xfrm>
            <a:off x="60408" y="0"/>
            <a:ext cx="0" cy="67491"/>
          </a:xfrm>
          <a:prstGeom prst="line">
            <a:avLst/>
          </a:prstGeom>
          <a:noFill/>
          <a:ln w="63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6" name="Прямая соединительная линия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cxnSpLocks/>
          </xdr:cNvCxnSpPr>
        </xdr:nvCxnSpPr>
        <xdr:spPr bwMode="auto">
          <a:xfrm flipV="1">
            <a:off x="0" y="-170"/>
            <a:ext cx="60404" cy="85"/>
          </a:xfrm>
          <a:prstGeom prst="line">
            <a:avLst/>
          </a:prstGeom>
          <a:noFill/>
          <a:ln w="63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Прямая соединительная линия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>
            <a:cxnSpLocks/>
          </xdr:cNvCxnSpPr>
        </xdr:nvCxnSpPr>
        <xdr:spPr bwMode="auto">
          <a:xfrm>
            <a:off x="0" y="67464"/>
            <a:ext cx="60321" cy="0"/>
          </a:xfrm>
          <a:prstGeom prst="line">
            <a:avLst/>
          </a:prstGeom>
          <a:noFill/>
          <a:ln w="63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8" name="Надпись 11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>
            <a:spLocks/>
          </xdr:cNvSpPr>
        </xdr:nvSpPr>
        <xdr:spPr bwMode="auto">
          <a:xfrm>
            <a:off x="40608" y="48384"/>
            <a:ext cx="16814" cy="1638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XI</a:t>
            </a:r>
            <a:r>
              <a:rPr lang="ru-RU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. </a:t>
            </a:r>
            <a:r>
              <a:rPr lang="en-US" sz="1000" b="1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Public relations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spcAft>
                <a:spcPts val="0"/>
              </a:spcAft>
            </a:pPr>
            <a:r>
              <a:rPr lang="ru-RU" sz="1000">
                <a:effectLst/>
                <a:latin typeface="Arial" panose="020B060402020202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Публикации</a:t>
            </a:r>
            <a:endParaRPr lang="ru-RU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5443</xdr:colOff>
      <xdr:row>101</xdr:row>
      <xdr:rowOff>51708</xdr:rowOff>
    </xdr:from>
    <xdr:to>
      <xdr:col>18</xdr:col>
      <xdr:colOff>1730827</xdr:colOff>
      <xdr:row>122</xdr:row>
      <xdr:rowOff>167096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600074</xdr:colOff>
      <xdr:row>15</xdr:row>
      <xdr:rowOff>166686</xdr:rowOff>
    </xdr:from>
    <xdr:to>
      <xdr:col>23</xdr:col>
      <xdr:colOff>38099</xdr:colOff>
      <xdr:row>34</xdr:row>
      <xdr:rowOff>466724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J119:M123" totalsRowShown="0" headerRowDxfId="15" headerRowBorderDxfId="14" tableBorderDxfId="13" totalsRowBorderDxfId="12">
  <tableColumns count="4">
    <tableColumn id="1" xr3:uid="{00000000-0010-0000-0000-000001000000}" name="Столбец1" dataDxfId="11"/>
    <tableColumn id="2" xr3:uid="{00000000-0010-0000-0000-000002000000}" name="Выручка" dataDxfId="10"/>
    <tableColumn id="3" xr3:uid="{00000000-0010-0000-0000-000003000000}" name="Постоянные затраты" dataDxfId="9"/>
    <tableColumn id="4" xr3:uid="{00000000-0010-0000-0000-000004000000}" name="Общие затраты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3" displayName="Таблица13" ref="O36:R40" totalsRowShown="0" headerRowDxfId="7" headerRowBorderDxfId="6" tableBorderDxfId="5" totalsRowBorderDxfId="4">
  <tableColumns count="4">
    <tableColumn id="1" xr3:uid="{00000000-0010-0000-0100-000001000000}" name="Столбец1" dataDxfId="3"/>
    <tableColumn id="2" xr3:uid="{00000000-0010-0000-0100-000002000000}" name="Выручка" dataDxfId="2"/>
    <tableColumn id="3" xr3:uid="{00000000-0010-0000-0100-000003000000}" name="Постоянные затраты" dataDxfId="1"/>
    <tableColumn id="4" xr3:uid="{00000000-0010-0000-0100-000004000000}" name="Общие затраты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wen.ru/product/preobrazovateli_dlya_zhkh_pd100/connection" TargetMode="External"/><Relationship Id="rId13" Type="http://schemas.openxmlformats.org/officeDocument/2006/relationships/hyperlink" Target="https://www.electronpribor.ru/catalog/5/schet-2.htm" TargetMode="External"/><Relationship Id="rId3" Type="http://schemas.openxmlformats.org/officeDocument/2006/relationships/hyperlink" Target="https://product-selection.grundfos.com/ru/products/cm-cme/cm/cm-10-3-96806946?tab=variant-drawings" TargetMode="External"/><Relationship Id="rId7" Type="http://schemas.openxmlformats.org/officeDocument/2006/relationships/hyperlink" Target="https://rostov.vseinstrumenti.ru/sadovaya-tehnika/baki-i-emkosti/dlya-zhidkostej/ekoprom/evp-100-112-0100-001-0/" TargetMode="External"/><Relationship Id="rId12" Type="http://schemas.openxmlformats.org/officeDocument/2006/relationships/hyperlink" Target="https://ummachine.ru/alyuminievye-profili-s-pazami/100-ya-seriya-profilya/profil-100x100-product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owen.ru/product/dtshh4_termosoprotivleniya_s_kabel_nim_vivod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wen-prom.ru/katalog/silovye-i-kommutatsionnye-ustroystva/preobrazovateli-chastoty/pchv3-preobrazovateli-chastoty-vektornye-dlya-nasosov-i-ventilyatorov/" TargetMode="External"/><Relationship Id="rId6" Type="http://schemas.openxmlformats.org/officeDocument/2006/relationships/hyperlink" Target="https://rostov.pulscen.ru/products/truba_dlya_vnutrennego_vodoprovoda_12kh1_6_mm_133106018" TargetMode="External"/><Relationship Id="rId11" Type="http://schemas.openxmlformats.org/officeDocument/2006/relationships/hyperlink" Target="https://proconsim.ru/catalog/truboprovodnaya_armatura/ventili/ventil_latunnyy_15b1p_baz_do_200s_du_40_0257/" TargetMode="External"/><Relationship Id="rId5" Type="http://schemas.openxmlformats.org/officeDocument/2006/relationships/hyperlink" Target="https://rostov.pulscen.ru/products/otvod_dlinny_s_rezboy_du_40_15278502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mbi-russia.ru/" TargetMode="External"/><Relationship Id="rId4" Type="http://schemas.openxmlformats.org/officeDocument/2006/relationships/hyperlink" Target="https://rostov.pulscen.ru/products/troynik_du_40_otsinkovanny_i_ne_otsinkovanny_157910910" TargetMode="External"/><Relationship Id="rId9" Type="http://schemas.openxmlformats.org/officeDocument/2006/relationships/hyperlink" Target="https://fluid-line.ru/ps2000w" TargetMode="External"/><Relationship Id="rId14" Type="http://schemas.openxmlformats.org/officeDocument/2006/relationships/hyperlink" Target="https://owen.ru/product/plk16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"/>
  <sheetViews>
    <sheetView tabSelected="1" topLeftCell="E1" zoomScale="85" zoomScaleNormal="85" workbookViewId="0">
      <selection activeCell="L3" sqref="L3"/>
    </sheetView>
  </sheetViews>
  <sheetFormatPr defaultColWidth="8.85546875" defaultRowHeight="15" x14ac:dyDescent="0.25"/>
  <cols>
    <col min="1" max="1" width="60.28515625" style="2" bestFit="1" customWidth="1"/>
    <col min="2" max="2" width="11.5703125" style="2" bestFit="1" customWidth="1"/>
    <col min="3" max="3" width="10.28515625" style="2" customWidth="1"/>
    <col min="4" max="4" width="12.85546875" style="2" bestFit="1" customWidth="1"/>
    <col min="5" max="5" width="83.85546875" style="2" bestFit="1" customWidth="1"/>
    <col min="6" max="6" width="10.5703125" style="2" bestFit="1" customWidth="1"/>
    <col min="7" max="7" width="33" style="2" bestFit="1" customWidth="1"/>
    <col min="8" max="8" width="20.42578125" style="2" customWidth="1"/>
    <col min="9" max="9" width="60.140625" style="2" bestFit="1" customWidth="1"/>
    <col min="10" max="10" width="33.42578125" style="2" customWidth="1"/>
    <col min="11" max="11" width="25" style="2" customWidth="1"/>
    <col min="12" max="12" width="21.140625" style="2" bestFit="1" customWidth="1"/>
    <col min="13" max="13" width="23" style="2" bestFit="1" customWidth="1"/>
    <col min="14" max="14" width="15" style="2" customWidth="1"/>
    <col min="15" max="15" width="17" style="2" bestFit="1" customWidth="1"/>
    <col min="16" max="17" width="21.42578125" style="2" bestFit="1" customWidth="1"/>
    <col min="18" max="18" width="14.28515625" style="2" bestFit="1" customWidth="1"/>
    <col min="19" max="19" width="30" style="2" bestFit="1" customWidth="1"/>
    <col min="20" max="20" width="39.140625" style="2" customWidth="1"/>
    <col min="21" max="21" width="25.7109375" style="2" bestFit="1" customWidth="1"/>
    <col min="22" max="22" width="29" style="2" bestFit="1" customWidth="1"/>
    <col min="23" max="23" width="30.5703125" style="2" bestFit="1" customWidth="1"/>
    <col min="24" max="24" width="25.7109375" style="2" customWidth="1"/>
    <col min="25" max="25" width="28.5703125" style="2" customWidth="1"/>
    <col min="26" max="26" width="23.28515625" style="2" bestFit="1" customWidth="1"/>
    <col min="27" max="27" width="20.5703125" style="2" customWidth="1"/>
    <col min="28" max="16384" width="8.85546875" style="2"/>
  </cols>
  <sheetData>
    <row r="1" spans="1:24" ht="75.75" thickBot="1" x14ac:dyDescent="0.35">
      <c r="A1" s="22"/>
      <c r="B1" s="22" t="s">
        <v>117</v>
      </c>
      <c r="C1" s="22"/>
      <c r="D1" s="22"/>
      <c r="H1" s="2" t="s">
        <v>116</v>
      </c>
      <c r="I1" s="23" t="s">
        <v>46</v>
      </c>
      <c r="J1" s="23" t="s">
        <v>47</v>
      </c>
      <c r="K1" s="23" t="s">
        <v>53</v>
      </c>
      <c r="L1" s="23" t="s">
        <v>48</v>
      </c>
      <c r="M1" s="23" t="s">
        <v>49</v>
      </c>
      <c r="N1" s="22"/>
      <c r="O1" s="22"/>
      <c r="P1" s="22"/>
      <c r="Q1" s="22"/>
      <c r="R1" s="31"/>
      <c r="S1" s="46" t="s">
        <v>89</v>
      </c>
      <c r="T1" s="46" t="s">
        <v>95</v>
      </c>
      <c r="U1" s="31" t="s">
        <v>90</v>
      </c>
      <c r="V1" s="46" t="s">
        <v>214</v>
      </c>
      <c r="W1" s="31" t="s">
        <v>93</v>
      </c>
      <c r="X1" s="46" t="s">
        <v>215</v>
      </c>
    </row>
    <row r="2" spans="1:24" ht="93.75" x14ac:dyDescent="0.3">
      <c r="A2" s="22"/>
      <c r="B2" s="22"/>
      <c r="C2" s="98" t="s">
        <v>21</v>
      </c>
      <c r="D2" s="99">
        <f>SUM(D4:D71)</f>
        <v>306823.37</v>
      </c>
      <c r="E2" s="3" t="s">
        <v>41</v>
      </c>
      <c r="I2" s="22"/>
      <c r="J2" s="22"/>
      <c r="K2" s="22">
        <v>300</v>
      </c>
      <c r="L2" s="22"/>
      <c r="M2" s="22"/>
      <c r="N2" s="20"/>
      <c r="O2" s="20"/>
      <c r="P2" s="22"/>
      <c r="Q2" s="26" t="s">
        <v>80</v>
      </c>
      <c r="R2" s="24"/>
      <c r="S2" s="26" t="s">
        <v>86</v>
      </c>
      <c r="T2" s="51" t="s">
        <v>87</v>
      </c>
      <c r="U2" s="51" t="s">
        <v>88</v>
      </c>
      <c r="V2" s="24" t="s">
        <v>91</v>
      </c>
      <c r="W2" s="24" t="s">
        <v>92</v>
      </c>
      <c r="X2" s="51" t="s">
        <v>94</v>
      </c>
    </row>
    <row r="3" spans="1:24" ht="18.75" x14ac:dyDescent="0.3">
      <c r="A3" s="74" t="s">
        <v>22</v>
      </c>
      <c r="B3" s="74"/>
      <c r="C3" s="74"/>
      <c r="D3" s="74"/>
      <c r="E3" s="1"/>
      <c r="I3" s="24" t="s">
        <v>51</v>
      </c>
      <c r="J3" s="25">
        <v>3</v>
      </c>
      <c r="K3" s="24">
        <f>K2*J3</f>
        <v>900</v>
      </c>
      <c r="L3" s="25">
        <v>30</v>
      </c>
      <c r="M3" s="26">
        <f>K3*L3</f>
        <v>27000</v>
      </c>
      <c r="N3" s="20"/>
      <c r="O3" s="20"/>
      <c r="P3" s="22"/>
      <c r="Q3" s="22"/>
      <c r="R3" s="26" t="s">
        <v>81</v>
      </c>
      <c r="S3" s="73">
        <v>10</v>
      </c>
      <c r="T3" s="25">
        <v>10</v>
      </c>
      <c r="U3" s="25">
        <v>10</v>
      </c>
      <c r="V3" s="25">
        <v>4</v>
      </c>
      <c r="W3" s="25">
        <v>10</v>
      </c>
      <c r="X3" s="25">
        <v>10</v>
      </c>
    </row>
    <row r="4" spans="1:24" ht="18.75" x14ac:dyDescent="0.3">
      <c r="A4" s="24" t="s">
        <v>0</v>
      </c>
      <c r="B4" s="24" t="s">
        <v>1</v>
      </c>
      <c r="C4" s="24" t="s">
        <v>2</v>
      </c>
      <c r="D4" s="24" t="s">
        <v>3</v>
      </c>
      <c r="E4" s="1" t="s">
        <v>16</v>
      </c>
      <c r="I4" s="22"/>
      <c r="J4" s="27"/>
      <c r="K4" s="22">
        <v>350</v>
      </c>
      <c r="L4" s="27"/>
      <c r="M4" s="22"/>
      <c r="N4" s="22"/>
      <c r="O4" s="20"/>
      <c r="P4" s="22"/>
      <c r="Q4" s="22" t="s">
        <v>83</v>
      </c>
      <c r="R4" s="26" t="s">
        <v>82</v>
      </c>
      <c r="S4" s="73">
        <v>0</v>
      </c>
      <c r="T4" s="25">
        <v>8</v>
      </c>
      <c r="U4" s="25">
        <v>0</v>
      </c>
      <c r="V4" s="25">
        <v>10</v>
      </c>
      <c r="W4" s="25">
        <v>3</v>
      </c>
      <c r="X4" s="25">
        <v>0</v>
      </c>
    </row>
    <row r="5" spans="1:24" ht="18.75" x14ac:dyDescent="0.3">
      <c r="A5" s="24" t="s">
        <v>229</v>
      </c>
      <c r="B5" s="24">
        <v>29880</v>
      </c>
      <c r="C5" s="24">
        <v>1</v>
      </c>
      <c r="D5" s="24">
        <f>B5*C5</f>
        <v>29880</v>
      </c>
      <c r="E5" s="5" t="s">
        <v>230</v>
      </c>
      <c r="I5" s="24" t="s">
        <v>52</v>
      </c>
      <c r="J5" s="25">
        <v>1</v>
      </c>
      <c r="K5" s="24">
        <f>K4*J5</f>
        <v>350</v>
      </c>
      <c r="L5" s="25">
        <v>20</v>
      </c>
      <c r="M5" s="26">
        <f>L5*K5</f>
        <v>7000</v>
      </c>
      <c r="N5" s="22"/>
      <c r="O5" s="20"/>
      <c r="P5" s="22"/>
      <c r="Q5" s="22" t="s">
        <v>84</v>
      </c>
      <c r="R5" s="26" t="s">
        <v>85</v>
      </c>
      <c r="S5" s="73">
        <v>0</v>
      </c>
      <c r="T5" s="25">
        <v>9</v>
      </c>
      <c r="U5" s="25">
        <v>0</v>
      </c>
      <c r="V5" s="25">
        <v>9</v>
      </c>
      <c r="W5" s="25">
        <v>5</v>
      </c>
      <c r="X5" s="25">
        <v>0</v>
      </c>
    </row>
    <row r="6" spans="1:24" ht="18.75" x14ac:dyDescent="0.3">
      <c r="A6" s="24" t="s">
        <v>4</v>
      </c>
      <c r="B6" s="24">
        <v>42243.37</v>
      </c>
      <c r="C6" s="25">
        <v>1</v>
      </c>
      <c r="D6" s="24">
        <f>B6*C6</f>
        <v>42243.37</v>
      </c>
      <c r="E6" s="5" t="s">
        <v>77</v>
      </c>
      <c r="I6" s="24" t="s">
        <v>54</v>
      </c>
      <c r="J6" s="25">
        <f>J5+J3</f>
        <v>4</v>
      </c>
      <c r="K6" s="24">
        <f>K5+K3</f>
        <v>1250</v>
      </c>
      <c r="L6" s="25">
        <f>L5+L3</f>
        <v>50</v>
      </c>
      <c r="M6" s="28">
        <f>M5+M3</f>
        <v>34000</v>
      </c>
      <c r="N6" s="20"/>
      <c r="O6" s="20"/>
      <c r="P6" s="22"/>
      <c r="R6" s="4"/>
      <c r="S6" s="4"/>
    </row>
    <row r="7" spans="1:24" ht="18.75" x14ac:dyDescent="0.3">
      <c r="A7" s="24" t="s">
        <v>228</v>
      </c>
      <c r="B7" s="24">
        <v>64170</v>
      </c>
      <c r="C7" s="25">
        <v>1</v>
      </c>
      <c r="D7" s="24">
        <f t="shared" ref="D7:D10" si="0">B7*C7</f>
        <v>64170</v>
      </c>
      <c r="E7" s="5" t="s">
        <v>23</v>
      </c>
      <c r="I7" s="22"/>
      <c r="J7" s="22"/>
      <c r="K7" s="22"/>
      <c r="L7" s="22"/>
      <c r="M7" s="22"/>
      <c r="N7" s="20"/>
      <c r="O7" s="20"/>
      <c r="P7" s="22"/>
      <c r="R7" s="4"/>
      <c r="S7" s="4"/>
    </row>
    <row r="8" spans="1:24" ht="18.75" x14ac:dyDescent="0.3">
      <c r="A8" s="24" t="s">
        <v>73</v>
      </c>
      <c r="B8" s="76"/>
      <c r="C8" s="25">
        <v>4</v>
      </c>
      <c r="D8" s="24">
        <f t="shared" si="0"/>
        <v>0</v>
      </c>
      <c r="E8" s="1"/>
      <c r="I8" s="22"/>
      <c r="J8" s="22"/>
      <c r="K8" s="22"/>
      <c r="L8" s="22"/>
      <c r="M8" s="20"/>
      <c r="N8" s="20"/>
      <c r="O8" s="20"/>
      <c r="P8" s="22"/>
      <c r="R8" s="4"/>
      <c r="S8" s="4"/>
    </row>
    <row r="9" spans="1:24" ht="18.75" x14ac:dyDescent="0.3">
      <c r="A9" s="24" t="s">
        <v>69</v>
      </c>
      <c r="B9" s="76"/>
      <c r="C9" s="25">
        <v>2</v>
      </c>
      <c r="D9" s="24">
        <f t="shared" si="0"/>
        <v>0</v>
      </c>
      <c r="E9" s="1"/>
      <c r="I9" s="22"/>
      <c r="J9" s="22"/>
      <c r="K9" s="22"/>
      <c r="L9" s="22"/>
      <c r="M9" s="20"/>
      <c r="N9" s="20"/>
      <c r="O9" s="20"/>
      <c r="P9" s="22"/>
      <c r="R9" s="4"/>
      <c r="S9" s="4"/>
    </row>
    <row r="10" spans="1:24" ht="18.75" x14ac:dyDescent="0.3">
      <c r="A10" s="24" t="s">
        <v>74</v>
      </c>
      <c r="B10" s="76"/>
      <c r="C10" s="77">
        <v>1</v>
      </c>
      <c r="D10" s="57">
        <f t="shared" si="0"/>
        <v>0</v>
      </c>
      <c r="E10" s="1"/>
      <c r="I10" s="22"/>
      <c r="J10" s="113" t="s">
        <v>42</v>
      </c>
      <c r="K10" s="113"/>
      <c r="L10" s="113"/>
      <c r="M10" s="20"/>
      <c r="N10" s="20"/>
      <c r="O10" s="20"/>
      <c r="P10" s="22"/>
      <c r="R10" s="4"/>
      <c r="S10" s="4"/>
    </row>
    <row r="11" spans="1:24" ht="18.75" x14ac:dyDescent="0.3">
      <c r="A11" s="24" t="s">
        <v>6</v>
      </c>
      <c r="B11" s="76"/>
      <c r="C11" s="25">
        <v>2</v>
      </c>
      <c r="D11" s="24">
        <f>B11*C11</f>
        <v>0</v>
      </c>
      <c r="E11" s="1"/>
      <c r="I11" s="22"/>
      <c r="J11" s="114" t="s">
        <v>24</v>
      </c>
      <c r="K11" s="114"/>
      <c r="L11" s="114"/>
      <c r="M11" s="20"/>
      <c r="N11" s="20"/>
      <c r="O11" s="20"/>
      <c r="P11" s="22"/>
      <c r="R11" s="4"/>
      <c r="S11" s="4"/>
    </row>
    <row r="12" spans="1:24" ht="18.75" x14ac:dyDescent="0.3">
      <c r="A12" s="24" t="s">
        <v>5</v>
      </c>
      <c r="B12" s="76"/>
      <c r="C12" s="25">
        <v>1</v>
      </c>
      <c r="D12" s="24">
        <f>B12*C12</f>
        <v>0</v>
      </c>
      <c r="E12" s="1"/>
      <c r="I12" s="22"/>
      <c r="J12" s="26" t="s">
        <v>25</v>
      </c>
      <c r="K12" s="26" t="s">
        <v>34</v>
      </c>
      <c r="L12" s="29">
        <f>D2</f>
        <v>306823.37</v>
      </c>
      <c r="M12" s="20"/>
      <c r="N12" s="20"/>
      <c r="O12" s="20"/>
      <c r="P12" s="22"/>
      <c r="Q12" s="4"/>
      <c r="R12" s="4"/>
      <c r="S12" s="4"/>
    </row>
    <row r="13" spans="1:24" ht="18.75" x14ac:dyDescent="0.3">
      <c r="A13" s="24" t="s">
        <v>70</v>
      </c>
      <c r="B13" s="76"/>
      <c r="C13" s="25">
        <v>1</v>
      </c>
      <c r="D13" s="24">
        <f>B13*C13</f>
        <v>0</v>
      </c>
      <c r="E13" s="1"/>
      <c r="I13" s="20"/>
      <c r="J13" s="26" t="s">
        <v>26</v>
      </c>
      <c r="K13" s="26" t="s">
        <v>35</v>
      </c>
      <c r="L13" s="30">
        <f>M6</f>
        <v>34000</v>
      </c>
      <c r="M13" s="20"/>
      <c r="N13" s="20"/>
      <c r="O13" s="20"/>
      <c r="P13" s="22"/>
      <c r="Q13" s="4"/>
      <c r="R13" s="4"/>
      <c r="S13" s="4"/>
    </row>
    <row r="14" spans="1:24" ht="18.75" x14ac:dyDescent="0.3">
      <c r="A14" s="24" t="s">
        <v>67</v>
      </c>
      <c r="B14" s="76"/>
      <c r="C14" s="25">
        <v>1</v>
      </c>
      <c r="D14" s="24">
        <f t="shared" ref="D14:D16" si="1">B14*C14</f>
        <v>0</v>
      </c>
      <c r="E14" s="1"/>
      <c r="G14" s="6" t="s">
        <v>44</v>
      </c>
      <c r="H14" s="7"/>
      <c r="I14" s="20"/>
      <c r="J14" s="26" t="s">
        <v>27</v>
      </c>
      <c r="K14" s="26" t="s">
        <v>36</v>
      </c>
      <c r="L14" s="26">
        <f>L13*0.4</f>
        <v>13600</v>
      </c>
      <c r="M14" s="20"/>
      <c r="N14" s="20"/>
      <c r="O14" s="20"/>
      <c r="P14" s="22"/>
      <c r="Q14" s="4"/>
      <c r="R14" s="4"/>
      <c r="S14" s="4"/>
    </row>
    <row r="15" spans="1:24" ht="18.75" x14ac:dyDescent="0.3">
      <c r="A15" s="24" t="s">
        <v>55</v>
      </c>
      <c r="B15" s="76"/>
      <c r="C15" s="25">
        <v>1</v>
      </c>
      <c r="D15" s="24">
        <f t="shared" si="1"/>
        <v>0</v>
      </c>
      <c r="E15" s="1"/>
      <c r="G15" s="6" t="s">
        <v>112</v>
      </c>
      <c r="H15" s="8"/>
      <c r="I15" s="22"/>
      <c r="J15" s="26" t="s">
        <v>28</v>
      </c>
      <c r="K15" s="26" t="s">
        <v>37</v>
      </c>
      <c r="L15" s="26">
        <f>(L14+L13)*0.3</f>
        <v>14280</v>
      </c>
      <c r="M15" s="31"/>
      <c r="N15" s="20"/>
      <c r="O15" s="20"/>
      <c r="P15" s="22"/>
      <c r="Q15" s="4"/>
      <c r="R15" s="4"/>
      <c r="S15" s="4"/>
    </row>
    <row r="16" spans="1:24" ht="18.75" x14ac:dyDescent="0.3">
      <c r="A16" s="24" t="s">
        <v>68</v>
      </c>
      <c r="B16" s="76"/>
      <c r="C16" s="25">
        <v>1</v>
      </c>
      <c r="D16" s="24">
        <f t="shared" si="1"/>
        <v>0</v>
      </c>
      <c r="E16" s="1"/>
      <c r="G16" s="2" t="s">
        <v>111</v>
      </c>
      <c r="H16" s="9"/>
      <c r="I16" s="22"/>
      <c r="J16" s="26" t="s">
        <v>29</v>
      </c>
      <c r="K16" s="26" t="s">
        <v>78</v>
      </c>
      <c r="L16" s="26">
        <f>L13*3.5</f>
        <v>119000</v>
      </c>
      <c r="M16" s="20"/>
      <c r="N16" s="20"/>
      <c r="O16" s="20"/>
      <c r="P16" s="22"/>
      <c r="Q16" s="4"/>
      <c r="R16" s="4"/>
      <c r="S16" s="4"/>
    </row>
    <row r="17" spans="1:22" ht="18.75" x14ac:dyDescent="0.3">
      <c r="A17" s="24" t="s">
        <v>71</v>
      </c>
      <c r="B17" s="76"/>
      <c r="C17" s="25">
        <v>3</v>
      </c>
      <c r="D17" s="24">
        <f t="shared" ref="D17:D28" si="2">B17*C17</f>
        <v>0</v>
      </c>
      <c r="E17" s="1"/>
      <c r="I17" s="20"/>
      <c r="J17" s="26" t="s">
        <v>30</v>
      </c>
      <c r="K17" s="26" t="s">
        <v>79</v>
      </c>
      <c r="L17" s="26">
        <f>L13*1.5</f>
        <v>51000</v>
      </c>
      <c r="M17" s="20"/>
      <c r="N17" s="20"/>
      <c r="O17" s="20"/>
      <c r="P17" s="22"/>
      <c r="Q17" s="4"/>
      <c r="R17" s="4"/>
      <c r="S17" s="4"/>
    </row>
    <row r="18" spans="1:22" ht="18.75" x14ac:dyDescent="0.3">
      <c r="A18" s="57" t="s">
        <v>72</v>
      </c>
      <c r="B18" s="76"/>
      <c r="C18" s="25">
        <v>1</v>
      </c>
      <c r="D18" s="24">
        <f t="shared" si="2"/>
        <v>0</v>
      </c>
      <c r="E18" s="1"/>
      <c r="I18" s="20"/>
      <c r="J18" s="26" t="s">
        <v>31</v>
      </c>
      <c r="K18" s="26" t="s">
        <v>38</v>
      </c>
      <c r="L18" s="26">
        <f>L17+L16+L15+L14+L13+L12</f>
        <v>538703.37</v>
      </c>
      <c r="M18" s="20"/>
      <c r="N18" s="20"/>
      <c r="O18" s="20"/>
      <c r="P18" s="22"/>
      <c r="Q18" s="4"/>
      <c r="R18" s="4"/>
      <c r="S18" s="4"/>
    </row>
    <row r="19" spans="1:22" ht="18.75" x14ac:dyDescent="0.3">
      <c r="A19" s="24" t="s">
        <v>45</v>
      </c>
      <c r="B19" s="76"/>
      <c r="C19" s="25">
        <v>1</v>
      </c>
      <c r="D19" s="24">
        <f t="shared" si="2"/>
        <v>0</v>
      </c>
      <c r="E19" s="1"/>
      <c r="I19" s="20"/>
      <c r="J19" s="26" t="s">
        <v>32</v>
      </c>
      <c r="K19" s="26" t="s">
        <v>39</v>
      </c>
      <c r="L19" s="26">
        <f>L18*0.05</f>
        <v>26935.1685</v>
      </c>
      <c r="M19" s="20"/>
      <c r="N19" s="20"/>
      <c r="O19" s="20"/>
      <c r="P19" s="22"/>
      <c r="Q19" s="4"/>
      <c r="R19" s="4"/>
      <c r="S19" s="4"/>
    </row>
    <row r="20" spans="1:22" ht="18.75" x14ac:dyDescent="0.3">
      <c r="A20" s="78" t="s">
        <v>7</v>
      </c>
      <c r="B20" s="100"/>
      <c r="C20" s="25">
        <v>1</v>
      </c>
      <c r="D20" s="24">
        <f t="shared" si="2"/>
        <v>0</v>
      </c>
      <c r="E20" s="1"/>
      <c r="I20" s="20"/>
      <c r="J20" s="26" t="s">
        <v>33</v>
      </c>
      <c r="K20" s="26" t="s">
        <v>40</v>
      </c>
      <c r="L20" s="26">
        <f>L19+L18</f>
        <v>565638.53850000002</v>
      </c>
      <c r="M20" s="20" t="s">
        <v>41</v>
      </c>
      <c r="N20" s="20"/>
      <c r="O20" s="20"/>
      <c r="P20" s="22"/>
      <c r="Q20" s="4"/>
      <c r="R20" s="4"/>
      <c r="S20" s="4"/>
    </row>
    <row r="21" spans="1:22" ht="18.75" x14ac:dyDescent="0.3">
      <c r="A21" s="78" t="s">
        <v>187</v>
      </c>
      <c r="B21" s="57">
        <v>4155</v>
      </c>
      <c r="C21" s="25">
        <v>1</v>
      </c>
      <c r="D21" s="24">
        <f t="shared" si="2"/>
        <v>4155</v>
      </c>
      <c r="E21" s="5" t="s">
        <v>188</v>
      </c>
      <c r="I21" s="20"/>
      <c r="J21" s="22"/>
      <c r="K21" s="22"/>
      <c r="L21" s="22"/>
      <c r="M21" s="20"/>
      <c r="N21" s="20"/>
      <c r="O21" s="20"/>
      <c r="P21" s="22"/>
      <c r="Q21" s="4"/>
      <c r="R21" s="4"/>
      <c r="S21" s="4"/>
    </row>
    <row r="22" spans="1:22" ht="18.75" x14ac:dyDescent="0.3">
      <c r="A22" s="78" t="s">
        <v>8</v>
      </c>
      <c r="B22" s="24">
        <v>15200</v>
      </c>
      <c r="C22" s="25">
        <v>1</v>
      </c>
      <c r="D22" s="24">
        <f t="shared" si="2"/>
        <v>15200</v>
      </c>
      <c r="E22" s="5" t="s">
        <v>43</v>
      </c>
      <c r="I22" s="20"/>
      <c r="J22" s="20" t="s">
        <v>115</v>
      </c>
      <c r="K22" s="20" t="s">
        <v>115</v>
      </c>
      <c r="L22" s="20"/>
      <c r="M22" s="22"/>
      <c r="N22" s="22"/>
      <c r="O22" s="22"/>
      <c r="P22" s="22"/>
      <c r="Q22" s="4"/>
      <c r="R22" s="4"/>
      <c r="S22" s="4"/>
    </row>
    <row r="23" spans="1:22" ht="18.75" x14ac:dyDescent="0.3">
      <c r="A23" s="78" t="s">
        <v>9</v>
      </c>
      <c r="B23" s="24">
        <v>831</v>
      </c>
      <c r="C23" s="25">
        <v>1</v>
      </c>
      <c r="D23" s="24">
        <f t="shared" si="2"/>
        <v>831</v>
      </c>
      <c r="E23" s="5" t="s">
        <v>20</v>
      </c>
      <c r="I23" s="32" t="s">
        <v>137</v>
      </c>
      <c r="J23" s="33" t="s">
        <v>96</v>
      </c>
      <c r="K23" s="26">
        <f>L20*(60/100)</f>
        <v>339383.12310000003</v>
      </c>
      <c r="L23" s="19"/>
      <c r="M23" s="19"/>
      <c r="N23" s="19"/>
      <c r="O23" s="19"/>
      <c r="P23" s="21"/>
      <c r="Q23" s="4"/>
      <c r="R23" s="4"/>
      <c r="S23" s="4"/>
    </row>
    <row r="24" spans="1:22" ht="18.75" x14ac:dyDescent="0.3">
      <c r="A24" s="78" t="s">
        <v>57</v>
      </c>
      <c r="B24" s="76"/>
      <c r="C24" s="25">
        <v>1</v>
      </c>
      <c r="D24" s="24">
        <f t="shared" si="2"/>
        <v>0</v>
      </c>
      <c r="E24" s="1"/>
      <c r="I24" s="32" t="s">
        <v>136</v>
      </c>
      <c r="J24" s="33" t="s">
        <v>105</v>
      </c>
      <c r="K24" s="26">
        <f>L20+K23</f>
        <v>905021.66159999999</v>
      </c>
      <c r="L24" s="19"/>
      <c r="M24" s="19"/>
      <c r="N24" s="19"/>
      <c r="O24" s="19"/>
      <c r="P24" s="19"/>
      <c r="Q24" s="4"/>
      <c r="R24" s="4"/>
      <c r="S24" s="4"/>
    </row>
    <row r="25" spans="1:22" ht="18.75" x14ac:dyDescent="0.3">
      <c r="A25" s="78" t="s">
        <v>56</v>
      </c>
      <c r="B25" s="76"/>
      <c r="C25" s="25">
        <v>1</v>
      </c>
      <c r="D25" s="24">
        <f t="shared" si="2"/>
        <v>0</v>
      </c>
      <c r="E25" s="1"/>
      <c r="I25" s="32" t="s">
        <v>138</v>
      </c>
      <c r="J25" s="34" t="s">
        <v>139</v>
      </c>
      <c r="K25" s="24">
        <f>0.2*K24</f>
        <v>181004.33232000002</v>
      </c>
      <c r="L25" s="21"/>
      <c r="M25" s="19"/>
      <c r="N25" s="26" t="s">
        <v>191</v>
      </c>
      <c r="O25" s="19"/>
      <c r="P25" s="26" t="s">
        <v>190</v>
      </c>
      <c r="Q25" s="4"/>
      <c r="R25" s="4"/>
      <c r="S25" s="4"/>
    </row>
    <row r="26" spans="1:22" ht="18.75" x14ac:dyDescent="0.3">
      <c r="A26" s="78" t="s">
        <v>216</v>
      </c>
      <c r="B26" s="24">
        <v>3420</v>
      </c>
      <c r="C26" s="25">
        <v>5</v>
      </c>
      <c r="D26" s="24">
        <f t="shared" si="2"/>
        <v>17100</v>
      </c>
      <c r="E26" s="5" t="s">
        <v>217</v>
      </c>
      <c r="I26" s="20"/>
      <c r="J26" s="35" t="s">
        <v>106</v>
      </c>
      <c r="K26" s="25">
        <v>2</v>
      </c>
      <c r="L26" s="26" t="s">
        <v>50</v>
      </c>
      <c r="M26" s="26"/>
      <c r="N26" s="26">
        <v>3</v>
      </c>
      <c r="O26" s="26"/>
      <c r="P26" s="26">
        <v>5</v>
      </c>
      <c r="Q26" s="4"/>
      <c r="R26" s="4"/>
      <c r="S26" s="4"/>
    </row>
    <row r="27" spans="1:22" ht="18.75" x14ac:dyDescent="0.3">
      <c r="A27" s="78" t="s">
        <v>218</v>
      </c>
      <c r="B27" s="24">
        <v>516</v>
      </c>
      <c r="C27" s="25">
        <v>2</v>
      </c>
      <c r="D27" s="24">
        <f t="shared" si="2"/>
        <v>1032</v>
      </c>
      <c r="E27" s="5" t="s">
        <v>219</v>
      </c>
      <c r="I27" s="19"/>
      <c r="J27" s="19"/>
      <c r="K27" s="19"/>
      <c r="L27" s="19"/>
      <c r="M27" s="20"/>
      <c r="N27" s="20"/>
      <c r="O27" s="20"/>
      <c r="P27" s="20"/>
      <c r="Q27" s="4"/>
      <c r="R27" s="4"/>
      <c r="S27" s="4"/>
    </row>
    <row r="28" spans="1:22" ht="18.75" x14ac:dyDescent="0.3">
      <c r="A28" s="78" t="s">
        <v>61</v>
      </c>
      <c r="B28" s="24">
        <v>23000</v>
      </c>
      <c r="C28" s="25">
        <v>2</v>
      </c>
      <c r="D28" s="24">
        <f t="shared" si="2"/>
        <v>46000</v>
      </c>
      <c r="E28" s="5" t="s">
        <v>60</v>
      </c>
      <c r="G28" s="2">
        <v>1</v>
      </c>
      <c r="I28" s="19"/>
      <c r="J28" s="19"/>
      <c r="K28" s="19"/>
      <c r="L28" s="19"/>
      <c r="M28" s="22"/>
      <c r="N28" s="20"/>
      <c r="O28" s="20"/>
      <c r="P28" s="20"/>
      <c r="Q28" s="4"/>
      <c r="R28" s="4"/>
      <c r="S28" s="4"/>
    </row>
    <row r="29" spans="1:22" ht="18.75" x14ac:dyDescent="0.3">
      <c r="A29" s="78" t="s">
        <v>10</v>
      </c>
      <c r="B29" s="101"/>
      <c r="C29" s="25"/>
      <c r="D29" s="24"/>
      <c r="E29" s="1"/>
      <c r="I29" s="19"/>
      <c r="J29" s="19"/>
      <c r="K29" s="36"/>
      <c r="L29" s="19"/>
      <c r="M29" s="20"/>
      <c r="N29" s="20"/>
      <c r="O29" s="20"/>
      <c r="P29" s="20"/>
      <c r="Q29" s="4"/>
      <c r="R29" s="4"/>
      <c r="S29" s="4"/>
      <c r="T29" s="4"/>
      <c r="U29" s="4"/>
      <c r="V29" s="4"/>
    </row>
    <row r="30" spans="1:22" ht="18.75" x14ac:dyDescent="0.3">
      <c r="A30" s="102" t="s">
        <v>10</v>
      </c>
      <c r="B30" s="101"/>
      <c r="C30" s="25"/>
      <c r="D30" s="24">
        <f>B30*C30</f>
        <v>0</v>
      </c>
      <c r="E30" s="1"/>
      <c r="I30" s="19"/>
      <c r="J30" s="112"/>
      <c r="K30" s="112"/>
      <c r="L30" s="112"/>
      <c r="M30" s="20"/>
      <c r="N30" s="20"/>
      <c r="O30" s="20"/>
      <c r="P30" s="20"/>
      <c r="Q30" s="4"/>
      <c r="R30" s="4"/>
      <c r="S30" s="4"/>
      <c r="T30" s="4"/>
      <c r="U30" s="4"/>
      <c r="V30" s="4"/>
    </row>
    <row r="31" spans="1:22" ht="18.75" x14ac:dyDescent="0.3">
      <c r="A31" s="102" t="s">
        <v>10</v>
      </c>
      <c r="B31" s="101"/>
      <c r="C31" s="25"/>
      <c r="D31" s="24">
        <f>B31*C31</f>
        <v>0</v>
      </c>
      <c r="E31" s="1"/>
      <c r="I31" s="20"/>
      <c r="J31" s="20"/>
      <c r="K31" s="20"/>
      <c r="L31" s="20"/>
      <c r="M31" s="20"/>
      <c r="N31" s="20"/>
      <c r="O31" s="19"/>
      <c r="P31" s="19"/>
      <c r="Q31" s="11"/>
      <c r="R31" s="4"/>
      <c r="S31" s="4"/>
      <c r="T31" s="4"/>
      <c r="U31" s="4"/>
      <c r="V31" s="4"/>
    </row>
    <row r="32" spans="1:22" ht="18.75" x14ac:dyDescent="0.3">
      <c r="A32" s="102" t="s">
        <v>10</v>
      </c>
      <c r="B32" s="101"/>
      <c r="C32" s="25"/>
      <c r="D32" s="24">
        <f>B32*C32</f>
        <v>0</v>
      </c>
      <c r="E32" s="1"/>
      <c r="I32" s="20"/>
      <c r="J32" s="20"/>
      <c r="K32" s="20"/>
      <c r="L32" s="20"/>
      <c r="M32" s="20"/>
      <c r="N32" s="20"/>
      <c r="O32" s="19"/>
      <c r="P32" s="19"/>
      <c r="Q32" s="11"/>
      <c r="R32" s="4"/>
      <c r="S32" s="4"/>
      <c r="T32" s="4"/>
      <c r="U32" s="4"/>
      <c r="V32" s="4"/>
    </row>
    <row r="33" spans="1:22" ht="18.75" x14ac:dyDescent="0.3">
      <c r="A33" s="102" t="s">
        <v>10</v>
      </c>
      <c r="B33" s="101"/>
      <c r="C33" s="25"/>
      <c r="D33" s="24">
        <f>B33*C33</f>
        <v>0</v>
      </c>
      <c r="E33" s="1"/>
      <c r="I33" s="20"/>
      <c r="J33" s="20" t="s">
        <v>120</v>
      </c>
      <c r="K33" s="20"/>
      <c r="L33" s="20"/>
      <c r="M33" s="20"/>
      <c r="N33" s="20"/>
      <c r="O33" s="19"/>
      <c r="P33" s="19"/>
      <c r="Q33" s="11"/>
      <c r="R33" s="4"/>
      <c r="S33" s="4"/>
      <c r="T33" s="4"/>
      <c r="U33" s="4"/>
      <c r="V33" s="4"/>
    </row>
    <row r="34" spans="1:22" ht="18.75" x14ac:dyDescent="0.3">
      <c r="A34" s="78" t="s">
        <v>14</v>
      </c>
      <c r="B34" s="24">
        <v>33480</v>
      </c>
      <c r="C34" s="25">
        <v>1</v>
      </c>
      <c r="D34" s="24">
        <f>B34*C34</f>
        <v>33480</v>
      </c>
      <c r="E34" s="5" t="s">
        <v>17</v>
      </c>
      <c r="I34" s="20"/>
      <c r="J34" s="115" t="s">
        <v>104</v>
      </c>
      <c r="K34" s="115"/>
      <c r="L34" s="115"/>
      <c r="M34" s="115"/>
      <c r="N34" s="20"/>
      <c r="O34" s="19"/>
      <c r="P34" s="19"/>
      <c r="Q34" s="11"/>
      <c r="R34" s="4"/>
      <c r="S34" s="4"/>
      <c r="T34" s="4"/>
      <c r="U34" s="4"/>
      <c r="V34" s="4"/>
    </row>
    <row r="35" spans="1:22" ht="18.75" x14ac:dyDescent="0.3">
      <c r="A35" s="78" t="s">
        <v>11</v>
      </c>
      <c r="B35" s="101"/>
      <c r="C35" s="25"/>
      <c r="D35" s="24"/>
      <c r="E35" s="1"/>
      <c r="I35" s="20"/>
      <c r="J35" s="37"/>
      <c r="K35" s="38" t="s">
        <v>101</v>
      </c>
      <c r="L35" s="39" t="s">
        <v>102</v>
      </c>
      <c r="M35" s="39" t="s">
        <v>103</v>
      </c>
      <c r="N35" s="20"/>
      <c r="O35" s="19"/>
      <c r="P35" s="19"/>
      <c r="Q35" s="11"/>
      <c r="R35" s="4"/>
      <c r="S35" s="4"/>
      <c r="T35" s="4"/>
      <c r="U35" s="4"/>
      <c r="V35" s="4"/>
    </row>
    <row r="36" spans="1:22" ht="18.75" x14ac:dyDescent="0.3">
      <c r="A36" s="102" t="s">
        <v>12</v>
      </c>
      <c r="B36" s="101"/>
      <c r="C36" s="25"/>
      <c r="D36" s="24">
        <f t="shared" ref="D36:D41" si="3">B36*C36</f>
        <v>0</v>
      </c>
      <c r="E36" s="1"/>
      <c r="I36" s="40"/>
      <c r="J36" s="24" t="s">
        <v>123</v>
      </c>
      <c r="K36" s="24">
        <f>K26</f>
        <v>2</v>
      </c>
      <c r="L36" s="26">
        <f>N26</f>
        <v>3</v>
      </c>
      <c r="M36" s="26">
        <f>P26</f>
        <v>5</v>
      </c>
      <c r="N36" s="20"/>
      <c r="O36" s="19"/>
      <c r="P36" s="12"/>
      <c r="Q36" s="11"/>
      <c r="R36" s="4"/>
      <c r="S36" s="4"/>
      <c r="T36" s="4"/>
      <c r="U36" s="4"/>
      <c r="V36" s="4"/>
    </row>
    <row r="37" spans="1:22" ht="18.75" x14ac:dyDescent="0.3">
      <c r="A37" s="102" t="s">
        <v>12</v>
      </c>
      <c r="B37" s="101"/>
      <c r="C37" s="25"/>
      <c r="D37" s="24">
        <f t="shared" si="3"/>
        <v>0</v>
      </c>
      <c r="E37" s="1"/>
      <c r="I37" s="41"/>
      <c r="J37" s="24" t="s">
        <v>124</v>
      </c>
      <c r="K37" s="24">
        <f>L12*K26</f>
        <v>613646.74</v>
      </c>
      <c r="L37" s="24">
        <f>L12*L36</f>
        <v>920470.11</v>
      </c>
      <c r="M37" s="24">
        <f>L12*M36</f>
        <v>1534116.85</v>
      </c>
      <c r="N37" s="20"/>
      <c r="O37" s="19"/>
      <c r="P37" s="12"/>
      <c r="Q37" s="11"/>
      <c r="R37" s="4"/>
      <c r="S37" s="4"/>
      <c r="T37" s="4"/>
      <c r="U37" s="4"/>
      <c r="V37" s="4"/>
    </row>
    <row r="38" spans="1:22" ht="18.75" x14ac:dyDescent="0.3">
      <c r="A38" s="102" t="s">
        <v>12</v>
      </c>
      <c r="B38" s="101"/>
      <c r="C38" s="25"/>
      <c r="D38" s="24">
        <f t="shared" si="3"/>
        <v>0</v>
      </c>
      <c r="E38" s="1"/>
      <c r="I38" s="22"/>
      <c r="J38" s="24" t="s">
        <v>125</v>
      </c>
      <c r="K38" s="24">
        <f>K26*M6</f>
        <v>68000</v>
      </c>
      <c r="L38" s="24">
        <f>M6*L36</f>
        <v>102000</v>
      </c>
      <c r="M38" s="24">
        <f>M36*M6</f>
        <v>170000</v>
      </c>
      <c r="N38" s="20"/>
      <c r="O38" s="19"/>
      <c r="P38" s="12"/>
      <c r="Q38" s="11"/>
      <c r="R38" s="4"/>
      <c r="S38" s="4"/>
      <c r="T38" s="4"/>
      <c r="U38" s="4"/>
      <c r="V38" s="4"/>
    </row>
    <row r="39" spans="1:22" ht="37.5" x14ac:dyDescent="0.3">
      <c r="A39" s="102" t="s">
        <v>12</v>
      </c>
      <c r="B39" s="101"/>
      <c r="C39" s="25"/>
      <c r="D39" s="24">
        <f t="shared" si="3"/>
        <v>0</v>
      </c>
      <c r="E39" s="1"/>
      <c r="I39" s="41" t="s">
        <v>126</v>
      </c>
      <c r="J39" s="42" t="s">
        <v>97</v>
      </c>
      <c r="K39" s="35">
        <f>(K38*0.2)/100</f>
        <v>136</v>
      </c>
      <c r="L39" s="35">
        <f t="shared" ref="L39:M39" si="4">(L38*0.2)/100</f>
        <v>204</v>
      </c>
      <c r="M39" s="35">
        <f t="shared" si="4"/>
        <v>340</v>
      </c>
      <c r="N39" s="20"/>
      <c r="O39" s="19"/>
      <c r="P39" s="22"/>
      <c r="S39" s="4"/>
      <c r="T39" s="4"/>
      <c r="U39" s="4"/>
      <c r="V39" s="4"/>
    </row>
    <row r="40" spans="1:22" ht="37.5" x14ac:dyDescent="0.3">
      <c r="A40" s="78" t="s">
        <v>13</v>
      </c>
      <c r="B40" s="24">
        <v>12600</v>
      </c>
      <c r="C40" s="25">
        <v>1</v>
      </c>
      <c r="D40" s="24">
        <f t="shared" si="3"/>
        <v>12600</v>
      </c>
      <c r="E40" s="5" t="s">
        <v>18</v>
      </c>
      <c r="I40" s="41" t="s">
        <v>113</v>
      </c>
      <c r="J40" s="43" t="s">
        <v>110</v>
      </c>
      <c r="K40" s="24">
        <f>K26*L15</f>
        <v>28560</v>
      </c>
      <c r="L40" s="24">
        <f>L15*L36</f>
        <v>42840</v>
      </c>
      <c r="M40" s="24">
        <f>M36*L15</f>
        <v>71400</v>
      </c>
      <c r="N40" s="22"/>
      <c r="O40" s="21"/>
      <c r="P40" s="22"/>
    </row>
    <row r="41" spans="1:22" ht="39" x14ac:dyDescent="0.3">
      <c r="A41" s="78" t="s">
        <v>15</v>
      </c>
      <c r="B41" s="24">
        <v>4400</v>
      </c>
      <c r="C41" s="25">
        <v>9</v>
      </c>
      <c r="D41" s="24">
        <f t="shared" si="3"/>
        <v>39600</v>
      </c>
      <c r="E41" s="5" t="s">
        <v>19</v>
      </c>
      <c r="H41" s="15"/>
      <c r="I41" s="22"/>
      <c r="J41" s="43" t="s">
        <v>198</v>
      </c>
      <c r="K41" s="24">
        <f>K26*L16</f>
        <v>238000</v>
      </c>
      <c r="L41" s="24">
        <f>L16*L36</f>
        <v>357000</v>
      </c>
      <c r="M41" s="24">
        <f>M36*L16</f>
        <v>595000</v>
      </c>
      <c r="N41" s="22"/>
      <c r="O41" s="21"/>
      <c r="P41" s="22"/>
    </row>
    <row r="42" spans="1:22" ht="39" x14ac:dyDescent="0.3">
      <c r="A42" s="78" t="s">
        <v>58</v>
      </c>
      <c r="B42" s="24"/>
      <c r="C42" s="25"/>
      <c r="D42" s="24"/>
      <c r="E42" s="1"/>
      <c r="I42" s="22"/>
      <c r="J42" s="43" t="s">
        <v>199</v>
      </c>
      <c r="K42" s="24">
        <f>K26*L17</f>
        <v>102000</v>
      </c>
      <c r="L42" s="24">
        <f>L17*L36</f>
        <v>153000</v>
      </c>
      <c r="M42" s="24">
        <f>M36*L17</f>
        <v>255000</v>
      </c>
      <c r="N42" s="22"/>
      <c r="O42" s="21"/>
      <c r="P42" s="21"/>
      <c r="Q42" s="13"/>
    </row>
    <row r="43" spans="1:22" ht="37.5" x14ac:dyDescent="0.3">
      <c r="A43" s="78" t="s">
        <v>66</v>
      </c>
      <c r="B43" s="24">
        <v>41</v>
      </c>
      <c r="C43" s="25">
        <v>4</v>
      </c>
      <c r="D43" s="24">
        <f>B43*C43</f>
        <v>164</v>
      </c>
      <c r="E43" s="5" t="s">
        <v>65</v>
      </c>
      <c r="I43" s="22"/>
      <c r="J43" s="43" t="s">
        <v>98</v>
      </c>
      <c r="K43" s="24">
        <f>K26*L19</f>
        <v>53870.337</v>
      </c>
      <c r="L43" s="24">
        <f>L19*L36</f>
        <v>80805.505499999999</v>
      </c>
      <c r="M43" s="24">
        <f>M36*L18</f>
        <v>2693516.85</v>
      </c>
      <c r="N43" s="22"/>
      <c r="O43" s="21"/>
      <c r="P43" s="21"/>
      <c r="Q43" s="13"/>
    </row>
    <row r="44" spans="1:22" ht="37.5" x14ac:dyDescent="0.3">
      <c r="A44" s="24" t="s">
        <v>75</v>
      </c>
      <c r="B44" s="24">
        <v>44</v>
      </c>
      <c r="C44" s="25">
        <v>2</v>
      </c>
      <c r="D44" s="24">
        <f t="shared" ref="D44" si="5">B44*C44</f>
        <v>88</v>
      </c>
      <c r="E44" s="5" t="s">
        <v>76</v>
      </c>
      <c r="I44" s="22"/>
      <c r="J44" s="44" t="s">
        <v>99</v>
      </c>
      <c r="K44" s="45">
        <f>K26*L20</f>
        <v>1131277.077</v>
      </c>
      <c r="L44" s="45">
        <f>L20*L36</f>
        <v>1696915.6155000001</v>
      </c>
      <c r="M44" s="45">
        <f>M36*L20</f>
        <v>2828192.6924999999</v>
      </c>
      <c r="N44" s="22"/>
      <c r="O44" s="22"/>
      <c r="P44" s="22"/>
    </row>
    <row r="45" spans="1:22" ht="37.5" x14ac:dyDescent="0.3">
      <c r="A45" s="24" t="s">
        <v>59</v>
      </c>
      <c r="B45" s="24">
        <v>35</v>
      </c>
      <c r="C45" s="25">
        <v>8</v>
      </c>
      <c r="D45" s="24">
        <f>B45*C45</f>
        <v>280</v>
      </c>
      <c r="E45" s="5" t="s">
        <v>63</v>
      </c>
      <c r="F45" s="2" t="s">
        <v>62</v>
      </c>
      <c r="G45" s="2" t="s">
        <v>64</v>
      </c>
      <c r="I45" s="46" t="s">
        <v>114</v>
      </c>
      <c r="J45" s="47" t="s">
        <v>100</v>
      </c>
      <c r="K45" s="48">
        <f>K24*K36</f>
        <v>1810043.3232</v>
      </c>
      <c r="L45" s="48">
        <f>K24*L36</f>
        <v>2715064.9847999997</v>
      </c>
      <c r="M45" s="48">
        <f>K24*M36</f>
        <v>4525108.3080000002</v>
      </c>
      <c r="N45" s="22"/>
      <c r="O45" s="22"/>
      <c r="P45" s="22"/>
    </row>
    <row r="46" spans="1:22" ht="18.75" x14ac:dyDescent="0.3">
      <c r="I46" s="22"/>
      <c r="J46" s="21"/>
      <c r="K46" s="21"/>
      <c r="L46" s="21"/>
      <c r="M46" s="21"/>
      <c r="N46" s="22"/>
      <c r="O46" s="22"/>
      <c r="P46" s="22"/>
    </row>
    <row r="47" spans="1:22" ht="18.75" x14ac:dyDescent="0.3">
      <c r="A47" s="24" t="s">
        <v>225</v>
      </c>
      <c r="B47" s="100"/>
      <c r="C47" s="25">
        <v>1</v>
      </c>
      <c r="D47" s="24">
        <f>B47*C47</f>
        <v>0</v>
      </c>
      <c r="E47" s="1"/>
      <c r="I47" s="22"/>
      <c r="J47" s="21"/>
      <c r="K47" s="21"/>
      <c r="L47" s="21"/>
      <c r="M47" s="21"/>
      <c r="N47" s="22"/>
      <c r="O47" s="22"/>
      <c r="P47" s="22"/>
    </row>
    <row r="48" spans="1:22" ht="18.75" x14ac:dyDescent="0.3">
      <c r="A48" s="24" t="s">
        <v>226</v>
      </c>
      <c r="B48" s="76"/>
      <c r="C48" s="25"/>
      <c r="D48" s="24">
        <f>B48*C48</f>
        <v>0</v>
      </c>
      <c r="E48" s="1"/>
      <c r="I48" s="22"/>
      <c r="J48" s="24" t="s">
        <v>121</v>
      </c>
      <c r="K48" s="38" t="s">
        <v>101</v>
      </c>
      <c r="L48" s="39" t="s">
        <v>102</v>
      </c>
      <c r="M48" s="39" t="s">
        <v>103</v>
      </c>
      <c r="N48" s="22"/>
      <c r="O48" s="22"/>
      <c r="P48" s="22"/>
    </row>
    <row r="49" spans="1:16" ht="75" x14ac:dyDescent="0.3">
      <c r="A49" s="1" t="s">
        <v>227</v>
      </c>
      <c r="B49" s="76"/>
      <c r="C49" s="1">
        <v>1</v>
      </c>
      <c r="D49" s="24">
        <f>B49*C49</f>
        <v>0</v>
      </c>
      <c r="E49" s="1"/>
      <c r="I49" s="22"/>
      <c r="J49" s="49" t="s">
        <v>118</v>
      </c>
      <c r="K49" s="24">
        <f>0.05*K45</f>
        <v>90502.166160000008</v>
      </c>
      <c r="L49" s="83" t="s">
        <v>128</v>
      </c>
      <c r="M49" s="83" t="s">
        <v>128</v>
      </c>
      <c r="N49" s="22"/>
      <c r="O49" s="22"/>
      <c r="P49" s="22"/>
    </row>
    <row r="50" spans="1:16" ht="37.5" x14ac:dyDescent="0.3">
      <c r="A50" s="24"/>
      <c r="B50" s="24"/>
      <c r="C50" s="25"/>
      <c r="D50" s="75">
        <f>B50*C50</f>
        <v>0</v>
      </c>
      <c r="E50" s="1"/>
      <c r="I50" s="22"/>
      <c r="J50" s="50" t="s">
        <v>119</v>
      </c>
      <c r="K50" s="24">
        <f>0.04*K45</f>
        <v>72401.732927999998</v>
      </c>
      <c r="L50" s="24">
        <f t="shared" ref="L50:M50" si="6">0.04*L45</f>
        <v>108602.59939199999</v>
      </c>
      <c r="M50" s="24">
        <f t="shared" si="6"/>
        <v>181004.33232000002</v>
      </c>
      <c r="N50" s="22"/>
      <c r="O50" s="22"/>
      <c r="P50" s="22"/>
    </row>
    <row r="51" spans="1:16" ht="56.25" x14ac:dyDescent="0.3">
      <c r="A51" s="24"/>
      <c r="B51" s="24"/>
      <c r="C51" s="25"/>
      <c r="D51" s="75">
        <f t="shared" ref="D51:D57" si="7">B51*C51</f>
        <v>0</v>
      </c>
      <c r="E51" s="1"/>
      <c r="I51" s="22"/>
      <c r="J51" s="51" t="s">
        <v>129</v>
      </c>
      <c r="K51" s="24">
        <f>0.1*K37</f>
        <v>61364.673999999999</v>
      </c>
      <c r="L51" s="24">
        <f t="shared" ref="L51:M51" si="8">0.1*L37</f>
        <v>92047.010999999999</v>
      </c>
      <c r="M51" s="24">
        <f t="shared" si="8"/>
        <v>153411.68500000003</v>
      </c>
      <c r="N51" s="22"/>
      <c r="O51" s="22"/>
      <c r="P51" s="22"/>
    </row>
    <row r="52" spans="1:16" ht="37.5" x14ac:dyDescent="0.3">
      <c r="A52" s="24"/>
      <c r="B52" s="24"/>
      <c r="C52" s="25"/>
      <c r="D52" s="75">
        <f t="shared" si="7"/>
        <v>0</v>
      </c>
      <c r="E52" s="1"/>
      <c r="I52" s="22" t="s">
        <v>131</v>
      </c>
      <c r="J52" s="52" t="s">
        <v>130</v>
      </c>
      <c r="K52" s="116">
        <f>K49+K50+K51+L51+L50+M50+M51</f>
        <v>759334.20080000011</v>
      </c>
      <c r="L52" s="116"/>
      <c r="M52" s="116"/>
      <c r="N52" s="22"/>
      <c r="O52" s="22"/>
      <c r="P52" s="22"/>
    </row>
    <row r="53" spans="1:16" ht="18.75" x14ac:dyDescent="0.3">
      <c r="A53" s="24"/>
      <c r="B53" s="24"/>
      <c r="C53" s="25"/>
      <c r="D53" s="75">
        <f t="shared" si="7"/>
        <v>0</v>
      </c>
      <c r="E53" s="1"/>
      <c r="I53" s="22"/>
      <c r="J53" s="22"/>
      <c r="K53" s="22"/>
      <c r="L53" s="22"/>
      <c r="M53" s="22"/>
      <c r="N53" s="22"/>
      <c r="O53" s="22"/>
      <c r="P53" s="22"/>
    </row>
    <row r="54" spans="1:16" ht="18.75" x14ac:dyDescent="0.3">
      <c r="A54" s="24"/>
      <c r="B54" s="24"/>
      <c r="C54" s="25"/>
      <c r="D54" s="75">
        <f t="shared" si="7"/>
        <v>0</v>
      </c>
      <c r="E54" s="1"/>
      <c r="I54" s="22"/>
      <c r="J54" s="22"/>
      <c r="K54" s="22"/>
      <c r="L54" s="22"/>
      <c r="M54" s="22"/>
      <c r="N54" s="22"/>
      <c r="O54" s="22"/>
      <c r="P54" s="22"/>
    </row>
    <row r="55" spans="1:16" ht="18.75" x14ac:dyDescent="0.3">
      <c r="A55" s="24"/>
      <c r="B55" s="24"/>
      <c r="C55" s="25"/>
      <c r="D55" s="75">
        <f t="shared" si="7"/>
        <v>0</v>
      </c>
      <c r="E55" s="1"/>
      <c r="I55" s="22"/>
      <c r="J55" s="22"/>
      <c r="K55" s="22"/>
      <c r="L55" s="22"/>
      <c r="M55" s="22"/>
      <c r="N55" s="22"/>
      <c r="O55" s="22"/>
      <c r="P55" s="22"/>
    </row>
    <row r="56" spans="1:16" ht="18.75" x14ac:dyDescent="0.3">
      <c r="A56" s="24"/>
      <c r="B56" s="24"/>
      <c r="C56" s="25"/>
      <c r="D56" s="75">
        <f t="shared" si="7"/>
        <v>0</v>
      </c>
      <c r="E56" s="1"/>
      <c r="I56" s="22"/>
      <c r="J56" s="21" t="s">
        <v>145</v>
      </c>
      <c r="K56" s="21"/>
      <c r="L56" s="21"/>
      <c r="M56" s="21"/>
      <c r="N56" s="21"/>
      <c r="O56" s="22"/>
      <c r="P56" s="22"/>
    </row>
    <row r="57" spans="1:16" ht="93.75" x14ac:dyDescent="0.3">
      <c r="A57" s="24"/>
      <c r="B57" s="24"/>
      <c r="C57" s="25"/>
      <c r="D57" s="75">
        <f t="shared" si="7"/>
        <v>0</v>
      </c>
      <c r="E57" s="1"/>
      <c r="I57" s="22"/>
      <c r="J57" s="53" t="s">
        <v>144</v>
      </c>
      <c r="K57" s="53" t="s">
        <v>143</v>
      </c>
      <c r="L57" s="54" t="s">
        <v>133</v>
      </c>
      <c r="M57" s="54" t="s">
        <v>140</v>
      </c>
      <c r="N57" s="54" t="s">
        <v>141</v>
      </c>
      <c r="O57" s="22"/>
      <c r="P57" s="22"/>
    </row>
    <row r="58" spans="1:16" ht="18.75" x14ac:dyDescent="0.3">
      <c r="A58" s="22"/>
      <c r="B58" s="22"/>
      <c r="C58" s="22"/>
      <c r="D58" s="22"/>
      <c r="I58" s="22"/>
      <c r="J58" s="55" t="s">
        <v>142</v>
      </c>
      <c r="K58" s="55">
        <v>1</v>
      </c>
      <c r="L58" s="56">
        <v>0.32</v>
      </c>
      <c r="M58" s="39">
        <f>K24</f>
        <v>905021.66159999999</v>
      </c>
      <c r="N58" s="39">
        <f>L20</f>
        <v>565638.53850000002</v>
      </c>
      <c r="O58" s="22"/>
      <c r="P58" s="22"/>
    </row>
    <row r="59" spans="1:16" ht="18.75" x14ac:dyDescent="0.3">
      <c r="A59" s="22"/>
      <c r="B59" s="22"/>
      <c r="C59" s="22"/>
      <c r="D59" s="22"/>
      <c r="I59" s="22"/>
      <c r="J59" s="55" t="s">
        <v>134</v>
      </c>
      <c r="K59" s="55">
        <v>3</v>
      </c>
      <c r="L59" s="56">
        <v>0.39</v>
      </c>
      <c r="M59" s="39">
        <f>L45</f>
        <v>2715064.9847999997</v>
      </c>
      <c r="N59" s="39">
        <f>L44</f>
        <v>1696915.6155000001</v>
      </c>
      <c r="O59" s="22"/>
      <c r="P59" s="22"/>
    </row>
    <row r="60" spans="1:16" ht="18.75" x14ac:dyDescent="0.3">
      <c r="A60" s="22"/>
      <c r="B60" s="22"/>
      <c r="C60" s="22"/>
      <c r="D60" s="22"/>
      <c r="I60" s="22"/>
      <c r="J60" s="55" t="s">
        <v>135</v>
      </c>
      <c r="K60" s="55">
        <v>5</v>
      </c>
      <c r="L60" s="56">
        <v>0.28999999999999998</v>
      </c>
      <c r="M60" s="39">
        <f>K45</f>
        <v>1810043.3232</v>
      </c>
      <c r="N60" s="39">
        <f>K44</f>
        <v>1131277.077</v>
      </c>
      <c r="O60" s="22"/>
      <c r="P60" s="22"/>
    </row>
    <row r="61" spans="1:16" ht="18.75" x14ac:dyDescent="0.3">
      <c r="A61" s="22"/>
      <c r="B61" s="22"/>
      <c r="C61" s="27"/>
      <c r="D61" s="22"/>
      <c r="I61" s="22"/>
      <c r="J61" s="22"/>
      <c r="K61" s="22"/>
      <c r="L61" s="22"/>
      <c r="M61" s="22"/>
      <c r="N61" s="21"/>
      <c r="O61" s="22"/>
      <c r="P61" s="22"/>
    </row>
    <row r="62" spans="1:16" ht="18.75" x14ac:dyDescent="0.3">
      <c r="A62" s="22"/>
      <c r="B62" s="22"/>
      <c r="C62" s="27"/>
      <c r="D62" s="22"/>
      <c r="I62" s="22"/>
      <c r="J62" s="21" t="s">
        <v>153</v>
      </c>
      <c r="K62" s="21"/>
      <c r="L62" s="21"/>
      <c r="M62" s="21"/>
      <c r="N62" s="21"/>
      <c r="O62" s="22"/>
      <c r="P62" s="22"/>
    </row>
    <row r="63" spans="1:16" ht="18.75" x14ac:dyDescent="0.3">
      <c r="A63" s="22"/>
      <c r="B63" s="22"/>
      <c r="C63" s="27"/>
      <c r="D63" s="22"/>
      <c r="I63" s="22"/>
      <c r="J63" s="55" t="s">
        <v>146</v>
      </c>
      <c r="K63" s="118" t="s">
        <v>142</v>
      </c>
      <c r="L63" s="118" t="s">
        <v>134</v>
      </c>
      <c r="M63" s="118" t="s">
        <v>135</v>
      </c>
      <c r="N63" s="21"/>
      <c r="O63" s="22"/>
      <c r="P63" s="22"/>
    </row>
    <row r="64" spans="1:16" ht="18.75" x14ac:dyDescent="0.3">
      <c r="A64" s="22"/>
      <c r="B64" s="22"/>
      <c r="C64" s="27"/>
      <c r="D64" s="22"/>
      <c r="I64" s="22"/>
      <c r="J64" s="55" t="s">
        <v>147</v>
      </c>
      <c r="K64" s="119"/>
      <c r="L64" s="119"/>
      <c r="M64" s="119"/>
      <c r="N64" s="21"/>
      <c r="O64" s="22"/>
      <c r="P64" s="22"/>
    </row>
    <row r="65" spans="1:16" ht="37.5" x14ac:dyDescent="0.3">
      <c r="A65" s="22"/>
      <c r="B65" s="22"/>
      <c r="C65" s="27"/>
      <c r="D65" s="22"/>
      <c r="I65" s="22"/>
      <c r="J65" s="55" t="s">
        <v>148</v>
      </c>
      <c r="K65" s="39">
        <f>K58*M58</f>
        <v>905021.66159999999</v>
      </c>
      <c r="L65" s="39">
        <f>K59*M59</f>
        <v>8145194.9543999992</v>
      </c>
      <c r="M65" s="39">
        <f>K60*M60</f>
        <v>9050216.6160000004</v>
      </c>
      <c r="N65" s="21"/>
      <c r="O65" s="22"/>
      <c r="P65" s="22"/>
    </row>
    <row r="66" spans="1:16" ht="18.75" x14ac:dyDescent="0.3">
      <c r="A66" s="22"/>
      <c r="B66" s="22"/>
      <c r="C66" s="27"/>
      <c r="D66" s="22"/>
      <c r="I66" s="22"/>
      <c r="J66" s="55" t="s">
        <v>149</v>
      </c>
      <c r="K66" s="39">
        <f>K58*N58</f>
        <v>565638.53850000002</v>
      </c>
      <c r="L66" s="39">
        <f>K59*N59</f>
        <v>5090746.8465</v>
      </c>
      <c r="M66" s="39">
        <f>K60*N60</f>
        <v>5656385.3849999998</v>
      </c>
      <c r="N66" s="21"/>
      <c r="O66" s="22"/>
      <c r="P66" s="22"/>
    </row>
    <row r="67" spans="1:16" ht="18.75" x14ac:dyDescent="0.3">
      <c r="A67" s="22"/>
      <c r="B67" s="22"/>
      <c r="C67" s="27"/>
      <c r="D67" s="22"/>
      <c r="I67" s="22"/>
      <c r="J67" s="55" t="s">
        <v>150</v>
      </c>
      <c r="K67" s="39">
        <f>K65-K66</f>
        <v>339383.12309999997</v>
      </c>
      <c r="L67" s="39">
        <f t="shared" ref="L67:M67" si="9">L65-L66</f>
        <v>3054448.1078999992</v>
      </c>
      <c r="M67" s="39">
        <f t="shared" si="9"/>
        <v>3393831.2310000006</v>
      </c>
      <c r="N67" s="21"/>
      <c r="O67" s="22"/>
      <c r="P67" s="22"/>
    </row>
    <row r="68" spans="1:16" ht="18.75" x14ac:dyDescent="0.3">
      <c r="A68" s="22"/>
      <c r="B68" s="22"/>
      <c r="C68" s="27"/>
      <c r="D68" s="22"/>
      <c r="I68" s="22"/>
      <c r="J68" s="55" t="s">
        <v>151</v>
      </c>
      <c r="K68" s="39">
        <f>0.2*K67</f>
        <v>67876.624620000002</v>
      </c>
      <c r="L68" s="39">
        <f t="shared" ref="L68:M68" si="10">0.2*L67</f>
        <v>610889.62157999992</v>
      </c>
      <c r="M68" s="39">
        <f t="shared" si="10"/>
        <v>678766.24620000017</v>
      </c>
      <c r="N68" s="21"/>
      <c r="O68" s="22"/>
      <c r="P68" s="22"/>
    </row>
    <row r="69" spans="1:16" ht="18.75" x14ac:dyDescent="0.3">
      <c r="A69" s="22"/>
      <c r="B69" s="22"/>
      <c r="C69" s="27"/>
      <c r="D69" s="22"/>
      <c r="I69" s="22"/>
      <c r="J69" s="55" t="s">
        <v>152</v>
      </c>
      <c r="K69" s="39">
        <f>K67-K68</f>
        <v>271506.49847999995</v>
      </c>
      <c r="L69" s="39">
        <f t="shared" ref="L69:M69" si="11">L67-L68</f>
        <v>2443558.4863199992</v>
      </c>
      <c r="M69" s="39">
        <f t="shared" si="11"/>
        <v>2715064.9848000007</v>
      </c>
      <c r="N69" s="21"/>
      <c r="O69" s="22"/>
      <c r="P69" s="22"/>
    </row>
    <row r="70" spans="1:16" ht="18.75" x14ac:dyDescent="0.3">
      <c r="A70" s="22"/>
      <c r="B70" s="22"/>
      <c r="C70" s="27"/>
      <c r="D70" s="22"/>
      <c r="I70" s="22"/>
      <c r="J70" s="21"/>
      <c r="K70" s="21"/>
      <c r="L70" s="21"/>
      <c r="M70" s="21"/>
      <c r="N70" s="21"/>
      <c r="O70" s="22"/>
      <c r="P70" s="22"/>
    </row>
    <row r="71" spans="1:16" ht="18.75" x14ac:dyDescent="0.3">
      <c r="A71" s="22"/>
      <c r="B71" s="22"/>
      <c r="C71" s="27"/>
      <c r="D71" s="22"/>
      <c r="I71" s="22"/>
      <c r="J71" s="21" t="s">
        <v>157</v>
      </c>
      <c r="K71" s="21"/>
      <c r="L71" s="16"/>
      <c r="M71" s="16"/>
      <c r="N71" s="21"/>
      <c r="O71" s="22"/>
      <c r="P71" s="22"/>
    </row>
    <row r="72" spans="1:16" ht="56.25" x14ac:dyDescent="0.3">
      <c r="A72" s="22"/>
      <c r="B72" s="22"/>
      <c r="C72" s="27"/>
      <c r="D72" s="22"/>
      <c r="I72" s="22"/>
      <c r="J72" s="55" t="s">
        <v>132</v>
      </c>
      <c r="K72" s="55" t="s">
        <v>154</v>
      </c>
      <c r="L72" s="55" t="s">
        <v>156</v>
      </c>
      <c r="M72" s="55" t="s">
        <v>155</v>
      </c>
      <c r="N72" s="22"/>
      <c r="O72" s="22"/>
      <c r="P72" s="22"/>
    </row>
    <row r="73" spans="1:16" ht="18.75" x14ac:dyDescent="0.3">
      <c r="A73" s="22"/>
      <c r="B73" s="22"/>
      <c r="C73" s="27"/>
      <c r="D73" s="22"/>
      <c r="I73" s="22"/>
      <c r="J73" s="55" t="s">
        <v>142</v>
      </c>
      <c r="K73" s="39">
        <f>K69</f>
        <v>271506.49847999995</v>
      </c>
      <c r="L73" s="55">
        <f>M73*K73</f>
        <v>86882.07951359998</v>
      </c>
      <c r="M73" s="55">
        <v>0.32</v>
      </c>
      <c r="N73" s="22"/>
      <c r="O73" s="22"/>
      <c r="P73" s="22"/>
    </row>
    <row r="74" spans="1:16" ht="18.75" x14ac:dyDescent="0.3">
      <c r="A74" s="22"/>
      <c r="B74" s="22"/>
      <c r="C74" s="27"/>
      <c r="D74" s="22"/>
      <c r="I74" s="22"/>
      <c r="J74" s="55" t="s">
        <v>134</v>
      </c>
      <c r="K74" s="39">
        <f>L69</f>
        <v>2443558.4863199992</v>
      </c>
      <c r="L74" s="55">
        <f>M74*K74</f>
        <v>952987.80966479972</v>
      </c>
      <c r="M74" s="55">
        <v>0.39</v>
      </c>
      <c r="N74" s="22"/>
      <c r="O74" s="22"/>
      <c r="P74" s="22"/>
    </row>
    <row r="75" spans="1:16" ht="18.75" x14ac:dyDescent="0.3">
      <c r="A75" s="22"/>
      <c r="B75" s="22"/>
      <c r="C75" s="27"/>
      <c r="D75" s="22"/>
      <c r="I75" s="22"/>
      <c r="J75" s="55" t="s">
        <v>135</v>
      </c>
      <c r="K75" s="39">
        <f>M69</f>
        <v>2715064.9848000007</v>
      </c>
      <c r="L75" s="55">
        <f>M75*K75</f>
        <v>787368.84559200017</v>
      </c>
      <c r="M75" s="55">
        <v>0.28999999999999998</v>
      </c>
      <c r="N75" s="22"/>
      <c r="O75" s="22"/>
      <c r="P75" s="22"/>
    </row>
    <row r="76" spans="1:16" ht="18.75" x14ac:dyDescent="0.3">
      <c r="A76" s="22"/>
      <c r="B76" s="22"/>
      <c r="C76" s="27"/>
      <c r="D76" s="22"/>
      <c r="I76" s="22"/>
      <c r="J76" s="22"/>
      <c r="K76" s="22"/>
      <c r="L76" s="22"/>
      <c r="M76" s="22"/>
      <c r="N76" s="22"/>
      <c r="O76" s="22"/>
      <c r="P76" s="22"/>
    </row>
    <row r="77" spans="1:16" ht="18.75" x14ac:dyDescent="0.3">
      <c r="A77" s="22"/>
      <c r="B77" s="22"/>
      <c r="C77" s="27"/>
      <c r="D77" s="22"/>
      <c r="I77" s="22"/>
      <c r="J77" s="16"/>
      <c r="K77" s="16"/>
      <c r="L77" s="16"/>
      <c r="M77" s="16"/>
      <c r="N77" s="21"/>
      <c r="O77" s="22"/>
      <c r="P77" s="22"/>
    </row>
    <row r="78" spans="1:16" ht="18.75" x14ac:dyDescent="0.3">
      <c r="A78" s="22"/>
      <c r="B78" s="22"/>
      <c r="C78" s="27"/>
      <c r="D78" s="22"/>
      <c r="I78" s="22"/>
      <c r="J78" s="22"/>
      <c r="K78" s="22"/>
      <c r="L78" s="22"/>
      <c r="M78" s="22"/>
      <c r="N78" s="21"/>
      <c r="O78" s="22"/>
      <c r="P78" s="22"/>
    </row>
    <row r="79" spans="1:16" ht="18.75" x14ac:dyDescent="0.3">
      <c r="A79" s="22"/>
      <c r="B79" s="22"/>
      <c r="C79" s="27"/>
      <c r="D79" s="22"/>
      <c r="I79" s="22"/>
      <c r="J79" s="22"/>
      <c r="K79" s="22"/>
      <c r="L79" s="22"/>
      <c r="M79" s="22"/>
      <c r="N79" s="21"/>
      <c r="O79" s="22"/>
      <c r="P79" s="22"/>
    </row>
    <row r="80" spans="1:16" ht="18.75" x14ac:dyDescent="0.3">
      <c r="A80" s="22"/>
      <c r="B80" s="22"/>
      <c r="C80" s="27"/>
      <c r="D80" s="22"/>
      <c r="I80" s="22"/>
      <c r="J80" s="24" t="s">
        <v>127</v>
      </c>
      <c r="K80" s="38" t="s">
        <v>101</v>
      </c>
      <c r="L80" s="39" t="s">
        <v>102</v>
      </c>
      <c r="M80" s="39" t="s">
        <v>103</v>
      </c>
      <c r="N80" s="21"/>
      <c r="O80" s="22"/>
      <c r="P80" s="22"/>
    </row>
    <row r="81" spans="1:16" ht="37.5" x14ac:dyDescent="0.3">
      <c r="A81" s="22"/>
      <c r="B81" s="22"/>
      <c r="C81" s="27"/>
      <c r="D81" s="22"/>
      <c r="I81" s="22"/>
      <c r="J81" s="42" t="s">
        <v>122</v>
      </c>
      <c r="K81" s="35">
        <f>K24*K26</f>
        <v>1810043.3232</v>
      </c>
      <c r="L81" s="24">
        <f>K24*N26</f>
        <v>2715064.9847999997</v>
      </c>
      <c r="M81" s="24">
        <f>K24*P26</f>
        <v>4525108.3080000002</v>
      </c>
      <c r="N81" s="22"/>
      <c r="O81" s="22"/>
      <c r="P81" s="22"/>
    </row>
    <row r="82" spans="1:16" ht="39" x14ac:dyDescent="0.3">
      <c r="A82" s="22"/>
      <c r="B82" s="22"/>
      <c r="C82" s="27"/>
      <c r="D82" s="22"/>
      <c r="I82" s="22"/>
      <c r="J82" s="42" t="s">
        <v>200</v>
      </c>
      <c r="K82" s="35">
        <f>L20*K26</f>
        <v>1131277.077</v>
      </c>
      <c r="L82" s="35">
        <f>L36*L20</f>
        <v>1696915.6155000001</v>
      </c>
      <c r="M82" s="35">
        <f>M36*L20</f>
        <v>2828192.6924999999</v>
      </c>
      <c r="N82" s="22"/>
      <c r="O82" s="22"/>
      <c r="P82" s="22"/>
    </row>
    <row r="83" spans="1:16" ht="37.5" x14ac:dyDescent="0.3">
      <c r="A83" s="22"/>
      <c r="B83" s="22"/>
      <c r="C83" s="27"/>
      <c r="D83" s="22"/>
      <c r="I83" s="22"/>
      <c r="J83" s="52" t="s">
        <v>107</v>
      </c>
      <c r="K83" s="35">
        <f>K81-K82</f>
        <v>678766.24619999994</v>
      </c>
      <c r="L83" s="35">
        <f t="shared" ref="L83:M83" si="12">L81-L82</f>
        <v>1018149.3692999997</v>
      </c>
      <c r="M83" s="35">
        <f t="shared" si="12"/>
        <v>1696915.6155000003</v>
      </c>
      <c r="N83" s="22"/>
      <c r="O83" s="22"/>
      <c r="P83" s="22"/>
    </row>
    <row r="84" spans="1:16" ht="37.5" x14ac:dyDescent="0.3">
      <c r="A84" s="22"/>
      <c r="B84" s="22"/>
      <c r="C84" s="27"/>
      <c r="D84" s="22"/>
      <c r="I84" s="22"/>
      <c r="J84" s="42" t="s">
        <v>108</v>
      </c>
      <c r="K84" s="57">
        <f>0.2*K83</f>
        <v>135753.24924</v>
      </c>
      <c r="L84" s="57">
        <f t="shared" ref="L84:M84" si="13">0.2*L83</f>
        <v>203629.87385999993</v>
      </c>
      <c r="M84" s="57">
        <f t="shared" si="13"/>
        <v>339383.12310000008</v>
      </c>
      <c r="N84" s="22"/>
      <c r="O84" s="22"/>
      <c r="P84" s="22"/>
    </row>
    <row r="85" spans="1:16" ht="18.75" x14ac:dyDescent="0.3">
      <c r="A85" s="22"/>
      <c r="B85" s="22"/>
      <c r="C85" s="27"/>
      <c r="D85" s="22"/>
      <c r="I85" s="22"/>
      <c r="J85" s="42" t="s">
        <v>109</v>
      </c>
      <c r="K85" s="57">
        <f>K83-K84</f>
        <v>543012.9969599999</v>
      </c>
      <c r="L85" s="57">
        <f t="shared" ref="L85:M85" si="14">L83-L84</f>
        <v>814519.49543999974</v>
      </c>
      <c r="M85" s="57">
        <f t="shared" si="14"/>
        <v>1357532.4924000003</v>
      </c>
      <c r="N85" s="22"/>
      <c r="O85" s="22"/>
      <c r="P85" s="22"/>
    </row>
    <row r="86" spans="1:16" ht="18.75" x14ac:dyDescent="0.3">
      <c r="A86" s="22"/>
      <c r="B86" s="22"/>
      <c r="C86" s="27"/>
      <c r="D86" s="22"/>
      <c r="I86" s="22"/>
      <c r="J86" s="22"/>
      <c r="K86" s="22"/>
      <c r="L86" s="22"/>
      <c r="M86" s="22"/>
      <c r="N86" s="22"/>
      <c r="O86" s="22"/>
      <c r="P86" s="22"/>
    </row>
    <row r="87" spans="1:16" ht="18.75" x14ac:dyDescent="0.3">
      <c r="A87" s="22"/>
      <c r="B87" s="22"/>
      <c r="C87" s="27"/>
      <c r="D87" s="22"/>
      <c r="I87" s="22"/>
      <c r="J87" s="22" t="s">
        <v>164</v>
      </c>
      <c r="K87" s="22"/>
      <c r="L87" s="22"/>
      <c r="M87" s="22"/>
      <c r="N87" s="21"/>
      <c r="O87" s="22"/>
      <c r="P87" s="22"/>
    </row>
    <row r="88" spans="1:16" ht="18.75" x14ac:dyDescent="0.3">
      <c r="A88" s="22"/>
      <c r="B88" s="22"/>
      <c r="C88" s="27"/>
      <c r="D88" s="22"/>
      <c r="I88" s="22"/>
      <c r="J88" s="117" t="s">
        <v>147</v>
      </c>
      <c r="K88" s="116" t="s">
        <v>165</v>
      </c>
      <c r="L88" s="116"/>
      <c r="M88" s="116"/>
      <c r="N88" s="17"/>
      <c r="O88" s="22"/>
      <c r="P88" s="22"/>
    </row>
    <row r="89" spans="1:16" ht="18.75" x14ac:dyDescent="0.3">
      <c r="A89" s="22"/>
      <c r="B89" s="22"/>
      <c r="C89" s="27"/>
      <c r="D89" s="22"/>
      <c r="I89" s="22"/>
      <c r="J89" s="117"/>
      <c r="K89" s="58">
        <v>1</v>
      </c>
      <c r="L89" s="59">
        <v>2</v>
      </c>
      <c r="M89" s="59">
        <v>3</v>
      </c>
      <c r="N89" s="16"/>
      <c r="O89" s="22"/>
      <c r="P89" s="22"/>
    </row>
    <row r="90" spans="1:16" ht="37.5" x14ac:dyDescent="0.3">
      <c r="A90" s="22"/>
      <c r="B90" s="22"/>
      <c r="C90" s="27"/>
      <c r="D90" s="22"/>
      <c r="I90" s="22"/>
      <c r="J90" s="60" t="s">
        <v>158</v>
      </c>
      <c r="K90" s="61">
        <f>K52</f>
        <v>759334.20080000011</v>
      </c>
      <c r="L90" s="80" t="s">
        <v>128</v>
      </c>
      <c r="M90" s="80" t="s">
        <v>128</v>
      </c>
      <c r="N90" s="63"/>
      <c r="O90" s="22"/>
      <c r="P90" s="22"/>
    </row>
    <row r="91" spans="1:16" ht="37.5" x14ac:dyDescent="0.3">
      <c r="A91" s="22"/>
      <c r="B91" s="22"/>
      <c r="C91" s="27"/>
      <c r="D91" s="22"/>
      <c r="I91" s="22"/>
      <c r="J91" s="60" t="s">
        <v>159</v>
      </c>
      <c r="K91" s="61">
        <f>K85</f>
        <v>543012.9969599999</v>
      </c>
      <c r="L91" s="61">
        <f t="shared" ref="L91:M91" si="15">L85</f>
        <v>814519.49543999974</v>
      </c>
      <c r="M91" s="61">
        <f t="shared" si="15"/>
        <v>1357532.4924000003</v>
      </c>
      <c r="N91" s="64"/>
      <c r="O91" s="22"/>
      <c r="P91" s="22"/>
    </row>
    <row r="92" spans="1:16" ht="37.5" x14ac:dyDescent="0.3">
      <c r="A92" s="22"/>
      <c r="B92" s="22"/>
      <c r="C92" s="27"/>
      <c r="D92" s="22"/>
      <c r="I92" s="22">
        <v>0.2</v>
      </c>
      <c r="J92" s="60" t="s">
        <v>160</v>
      </c>
      <c r="K92" s="65">
        <f>1/(1+0.2)^(K89)</f>
        <v>0.83333333333333337</v>
      </c>
      <c r="L92" s="65">
        <f>1/(1+0.2)^(L89)</f>
        <v>0.69444444444444442</v>
      </c>
      <c r="M92" s="65">
        <f t="shared" ref="M92" si="16">1/(1+0.2)^(M89)</f>
        <v>0.57870370370370372</v>
      </c>
      <c r="N92" s="64"/>
      <c r="O92" s="22"/>
      <c r="P92" s="22"/>
    </row>
    <row r="93" spans="1:16" ht="37.5" x14ac:dyDescent="0.3">
      <c r="A93" s="22"/>
      <c r="B93" s="22"/>
      <c r="C93" s="27"/>
      <c r="D93" s="22"/>
      <c r="I93" s="22"/>
      <c r="J93" s="60" t="s">
        <v>161</v>
      </c>
      <c r="K93" s="61">
        <f>K92*K85</f>
        <v>452510.83079999994</v>
      </c>
      <c r="L93" s="61">
        <f t="shared" ref="L93:M93" si="17">L92*L85</f>
        <v>565638.53849999979</v>
      </c>
      <c r="M93" s="61">
        <f t="shared" si="17"/>
        <v>785609.08125000016</v>
      </c>
      <c r="N93" s="64"/>
      <c r="O93" s="22"/>
      <c r="P93" s="22"/>
    </row>
    <row r="94" spans="1:16" ht="56.25" x14ac:dyDescent="0.3">
      <c r="A94" s="22"/>
      <c r="B94" s="22"/>
      <c r="C94" s="27"/>
      <c r="D94" s="22"/>
      <c r="I94" s="22"/>
      <c r="J94" s="60" t="s">
        <v>162</v>
      </c>
      <c r="K94" s="61">
        <f>K90-K93</f>
        <v>306823.37000000017</v>
      </c>
      <c r="L94" s="82" t="s">
        <v>128</v>
      </c>
      <c r="M94" s="80" t="s">
        <v>128</v>
      </c>
      <c r="N94" s="64"/>
      <c r="O94" s="22"/>
      <c r="P94" s="22"/>
    </row>
    <row r="95" spans="1:16" ht="75" x14ac:dyDescent="0.3">
      <c r="A95" s="22"/>
      <c r="B95" s="22"/>
      <c r="C95" s="27"/>
      <c r="D95" s="22"/>
      <c r="I95" s="22"/>
      <c r="J95" s="66" t="s">
        <v>163</v>
      </c>
      <c r="K95" s="81" t="s">
        <v>128</v>
      </c>
      <c r="L95" s="57">
        <f>L93-K94</f>
        <v>258815.16849999962</v>
      </c>
      <c r="M95" s="57">
        <f>M93+L95</f>
        <v>1044424.2497499997</v>
      </c>
      <c r="N95" s="21"/>
      <c r="O95" s="22"/>
      <c r="P95" s="22"/>
    </row>
    <row r="96" spans="1:16" ht="18.75" x14ac:dyDescent="0.3">
      <c r="A96" s="22"/>
      <c r="B96" s="22"/>
      <c r="C96" s="27"/>
      <c r="D96" s="22"/>
      <c r="I96" s="22"/>
      <c r="J96" s="22"/>
      <c r="K96" s="22"/>
      <c r="L96" s="22"/>
      <c r="M96" s="22"/>
      <c r="N96" s="22"/>
      <c r="O96" s="22"/>
      <c r="P96" s="22"/>
    </row>
    <row r="97" spans="1:17" ht="18.75" x14ac:dyDescent="0.3">
      <c r="A97" s="22"/>
      <c r="B97" s="22"/>
      <c r="C97" s="27"/>
      <c r="D97" s="22"/>
      <c r="I97" s="22"/>
      <c r="J97" s="22"/>
      <c r="K97" s="22"/>
      <c r="L97" s="22"/>
      <c r="M97" s="22"/>
      <c r="N97" s="22"/>
      <c r="O97" s="22"/>
      <c r="P97" s="22"/>
    </row>
    <row r="98" spans="1:17" ht="18.75" x14ac:dyDescent="0.3">
      <c r="A98" s="22"/>
      <c r="B98" s="22"/>
      <c r="C98" s="27"/>
      <c r="D98" s="22"/>
      <c r="I98" s="22"/>
      <c r="J98" s="22"/>
      <c r="K98" s="22"/>
      <c r="L98" s="22"/>
      <c r="M98" s="22"/>
      <c r="N98" s="22"/>
      <c r="O98" s="22"/>
      <c r="P98" s="22"/>
    </row>
    <row r="99" spans="1:17" ht="18.75" x14ac:dyDescent="0.3">
      <c r="A99" s="22"/>
      <c r="B99" s="22"/>
      <c r="C99" s="27"/>
      <c r="D99" s="22"/>
      <c r="I99" s="22"/>
      <c r="J99" s="22"/>
      <c r="K99" s="22"/>
      <c r="L99" s="22"/>
      <c r="M99" s="22"/>
      <c r="N99" s="22"/>
      <c r="O99" s="22"/>
      <c r="P99" s="22"/>
    </row>
    <row r="100" spans="1:17" ht="18.75" x14ac:dyDescent="0.3">
      <c r="A100" s="22"/>
      <c r="B100" s="22"/>
      <c r="C100" s="27"/>
      <c r="D100" s="22"/>
      <c r="I100" s="22"/>
      <c r="J100" s="67"/>
      <c r="K100" s="63"/>
      <c r="L100" s="67"/>
      <c r="M100" s="21"/>
      <c r="N100" s="22"/>
      <c r="O100" s="22"/>
      <c r="P100" s="22"/>
    </row>
    <row r="101" spans="1:17" ht="18.75" x14ac:dyDescent="0.3">
      <c r="A101" s="22"/>
      <c r="B101" s="22"/>
      <c r="C101" s="27"/>
      <c r="D101" s="22"/>
      <c r="I101" s="22" t="s">
        <v>167</v>
      </c>
      <c r="J101" s="22" t="s">
        <v>166</v>
      </c>
      <c r="K101" s="22">
        <f>L12+L13+L14+L15</f>
        <v>368703.37</v>
      </c>
      <c r="L101" s="22" t="s">
        <v>201</v>
      </c>
      <c r="N101" s="22"/>
      <c r="O101" s="22"/>
      <c r="P101" s="22"/>
    </row>
    <row r="102" spans="1:17" ht="18.75" x14ac:dyDescent="0.3">
      <c r="A102" s="22"/>
      <c r="B102" s="22"/>
      <c r="C102" s="27"/>
      <c r="D102" s="22"/>
      <c r="I102" s="22" t="s">
        <v>168</v>
      </c>
      <c r="J102" s="22" t="s">
        <v>169</v>
      </c>
      <c r="K102" s="22">
        <f>L16+L17+L19</f>
        <v>196935.1685</v>
      </c>
      <c r="L102" s="22" t="s">
        <v>201</v>
      </c>
      <c r="N102" s="22"/>
      <c r="O102" s="22"/>
      <c r="P102" s="22"/>
    </row>
    <row r="103" spans="1:17" ht="18.75" x14ac:dyDescent="0.3">
      <c r="A103" s="22"/>
      <c r="B103" s="22"/>
      <c r="C103" s="27"/>
      <c r="D103" s="22"/>
      <c r="I103" s="22" t="s">
        <v>171</v>
      </c>
      <c r="J103" s="22" t="s">
        <v>189</v>
      </c>
      <c r="K103" s="68">
        <f>((K102*P26)/(K24-K101))</f>
        <v>1.835991533241228</v>
      </c>
      <c r="L103" s="22" t="s">
        <v>170</v>
      </c>
      <c r="M103" s="22"/>
      <c r="N103" s="22"/>
      <c r="O103" s="22"/>
      <c r="P103" s="22"/>
    </row>
    <row r="104" spans="1:17" ht="18.75" x14ac:dyDescent="0.3">
      <c r="A104" s="22"/>
      <c r="B104" s="22"/>
      <c r="C104" s="27"/>
      <c r="D104" s="22"/>
      <c r="I104" s="22" t="s">
        <v>172</v>
      </c>
      <c r="J104" s="22" t="s">
        <v>173</v>
      </c>
      <c r="K104" s="27">
        <f>P26-K103</f>
        <v>3.164008466758772</v>
      </c>
      <c r="L104" s="22" t="s">
        <v>170</v>
      </c>
      <c r="M104" s="22"/>
      <c r="N104" s="22"/>
      <c r="O104" s="22"/>
      <c r="P104" s="22"/>
    </row>
    <row r="105" spans="1:17" ht="18.75" x14ac:dyDescent="0.3">
      <c r="C105" s="14"/>
      <c r="I105" s="22" t="s">
        <v>174</v>
      </c>
      <c r="J105" s="22" t="s">
        <v>175</v>
      </c>
      <c r="K105" s="22">
        <f>(K104/P26)*100</f>
        <v>63.280169335175444</v>
      </c>
      <c r="L105" s="22" t="s">
        <v>176</v>
      </c>
      <c r="M105" s="22"/>
      <c r="N105" s="22"/>
      <c r="O105" s="22"/>
      <c r="P105" s="22"/>
    </row>
    <row r="106" spans="1:17" ht="18.75" x14ac:dyDescent="0.3">
      <c r="C106" s="14"/>
      <c r="I106" s="22" t="s">
        <v>212</v>
      </c>
      <c r="J106" s="22"/>
      <c r="K106" s="22"/>
      <c r="L106" s="22"/>
      <c r="M106" s="22"/>
      <c r="N106" s="22"/>
    </row>
    <row r="107" spans="1:17" ht="18.75" x14ac:dyDescent="0.3">
      <c r="C107" s="14"/>
      <c r="I107" s="69" t="s">
        <v>147</v>
      </c>
      <c r="J107" s="69" t="s">
        <v>177</v>
      </c>
      <c r="K107" s="69" t="s">
        <v>192</v>
      </c>
      <c r="L107" s="71"/>
      <c r="M107" s="71"/>
      <c r="N107" s="71"/>
    </row>
    <row r="108" spans="1:17" ht="18.75" x14ac:dyDescent="0.3">
      <c r="C108" s="14"/>
      <c r="I108" s="65" t="s">
        <v>178</v>
      </c>
      <c r="J108" s="62" t="s">
        <v>179</v>
      </c>
      <c r="K108" s="70">
        <f>M81</f>
        <v>4525108.3080000002</v>
      </c>
      <c r="L108" s="71"/>
      <c r="M108" s="71"/>
      <c r="N108" s="71"/>
    </row>
    <row r="109" spans="1:17" ht="18.75" x14ac:dyDescent="0.3">
      <c r="C109" s="14"/>
      <c r="I109" s="65" t="s">
        <v>180</v>
      </c>
      <c r="J109" s="62" t="s">
        <v>179</v>
      </c>
      <c r="K109" s="70">
        <f>K101*P26</f>
        <v>1843516.85</v>
      </c>
      <c r="L109" s="79"/>
      <c r="M109" s="71"/>
      <c r="N109" s="71"/>
    </row>
    <row r="110" spans="1:17" ht="18.75" x14ac:dyDescent="0.3">
      <c r="C110" s="14"/>
      <c r="I110" s="65" t="s">
        <v>181</v>
      </c>
      <c r="J110" s="62" t="s">
        <v>179</v>
      </c>
      <c r="K110" s="62">
        <f>K102*P26</f>
        <v>984675.84250000003</v>
      </c>
      <c r="L110" s="71"/>
      <c r="M110" s="71"/>
      <c r="N110" s="71"/>
    </row>
    <row r="111" spans="1:17" ht="37.5" x14ac:dyDescent="0.3">
      <c r="C111" s="14"/>
      <c r="I111" s="60" t="s">
        <v>182</v>
      </c>
      <c r="J111" s="62" t="s">
        <v>176</v>
      </c>
      <c r="K111" s="62">
        <f>(K109*100)/K108</f>
        <v>40.739728742863939</v>
      </c>
      <c r="L111" s="71"/>
      <c r="M111" s="97"/>
      <c r="N111" s="71"/>
      <c r="O111" s="71"/>
      <c r="P111" s="71"/>
      <c r="Q111" s="18"/>
    </row>
    <row r="112" spans="1:17" ht="18.75" x14ac:dyDescent="0.3">
      <c r="C112" s="14"/>
      <c r="I112" s="65" t="s">
        <v>183</v>
      </c>
      <c r="J112" s="62" t="s">
        <v>179</v>
      </c>
      <c r="K112" s="70">
        <f>(K102*5)/(1-(K111/100))</f>
        <v>1661612.1080975076</v>
      </c>
      <c r="L112" s="71"/>
      <c r="M112" s="71"/>
      <c r="N112" s="71"/>
      <c r="O112" s="71"/>
      <c r="P112" s="71"/>
      <c r="Q112" s="18"/>
    </row>
    <row r="113" spans="3:17" ht="18.75" x14ac:dyDescent="0.3">
      <c r="C113" s="14"/>
      <c r="I113" s="65" t="s">
        <v>184</v>
      </c>
      <c r="J113" s="62" t="s">
        <v>185</v>
      </c>
      <c r="K113" s="72">
        <f>K103</f>
        <v>1.835991533241228</v>
      </c>
      <c r="L113" s="71"/>
      <c r="M113" s="71"/>
      <c r="N113" s="71"/>
      <c r="O113" s="71"/>
      <c r="P113" s="71"/>
      <c r="Q113" s="18"/>
    </row>
    <row r="114" spans="3:17" ht="18.75" x14ac:dyDescent="0.3">
      <c r="C114" s="14"/>
      <c r="I114" s="65" t="s">
        <v>186</v>
      </c>
      <c r="J114" s="62" t="s">
        <v>179</v>
      </c>
      <c r="K114" s="70">
        <f>K108-K112</f>
        <v>2863496.1999024926</v>
      </c>
      <c r="L114" s="71"/>
      <c r="M114" s="71"/>
      <c r="N114" s="71"/>
      <c r="O114" s="71"/>
      <c r="P114" s="71"/>
      <c r="Q114" s="18"/>
    </row>
    <row r="115" spans="3:17" ht="18.75" x14ac:dyDescent="0.3">
      <c r="C115" s="14"/>
      <c r="I115" s="65" t="s">
        <v>174</v>
      </c>
      <c r="J115" s="62" t="s">
        <v>176</v>
      </c>
      <c r="K115" s="70">
        <f>K105</f>
        <v>63.280169335175444</v>
      </c>
      <c r="L115" s="71"/>
      <c r="M115" s="71"/>
      <c r="N115" s="71"/>
      <c r="O115" s="71"/>
      <c r="P115" s="71"/>
      <c r="Q115" s="18"/>
    </row>
    <row r="116" spans="3:17" ht="18.75" x14ac:dyDescent="0.3">
      <c r="C116" s="14"/>
      <c r="L116" s="18"/>
      <c r="M116" s="18"/>
      <c r="N116" s="71"/>
      <c r="O116" s="18"/>
      <c r="P116" s="18"/>
      <c r="Q116" s="18"/>
    </row>
    <row r="117" spans="3:17" ht="18.75" x14ac:dyDescent="0.3">
      <c r="C117" s="14"/>
      <c r="L117" s="18"/>
      <c r="M117" s="18"/>
      <c r="N117" s="71"/>
      <c r="O117" s="18"/>
      <c r="P117" s="18"/>
      <c r="Q117" s="18"/>
    </row>
    <row r="118" spans="3:17" ht="18.75" x14ac:dyDescent="0.3">
      <c r="C118" s="14"/>
      <c r="L118" s="18"/>
      <c r="M118" s="18"/>
      <c r="N118" s="71"/>
      <c r="O118" s="18"/>
      <c r="P118" s="18"/>
      <c r="Q118" s="18"/>
    </row>
    <row r="119" spans="3:17" x14ac:dyDescent="0.25">
      <c r="C119" s="14"/>
      <c r="J119" s="87" t="s">
        <v>220</v>
      </c>
      <c r="K119" s="88" t="s">
        <v>223</v>
      </c>
      <c r="L119" s="88" t="s">
        <v>222</v>
      </c>
      <c r="M119" s="89" t="s">
        <v>221</v>
      </c>
      <c r="N119" s="18"/>
      <c r="O119" s="18"/>
      <c r="P119" s="18"/>
      <c r="Q119" s="18"/>
    </row>
    <row r="120" spans="3:17" x14ac:dyDescent="0.25">
      <c r="C120" s="14"/>
      <c r="J120" s="10">
        <f>P26</f>
        <v>5</v>
      </c>
      <c r="K120" s="1">
        <f>K108</f>
        <v>4525108.3080000002</v>
      </c>
      <c r="L120" s="91">
        <f>K110</f>
        <v>984675.84250000003</v>
      </c>
      <c r="M120" s="96">
        <f>K110+K109</f>
        <v>2828192.6924999999</v>
      </c>
      <c r="N120" s="18"/>
      <c r="O120" s="18"/>
      <c r="P120" s="18"/>
      <c r="Q120" s="18"/>
    </row>
    <row r="121" spans="3:17" x14ac:dyDescent="0.25">
      <c r="C121" s="14"/>
      <c r="J121" s="90">
        <v>0</v>
      </c>
      <c r="K121" s="91">
        <v>0</v>
      </c>
      <c r="L121" s="91">
        <f>L120</f>
        <v>984675.84250000003</v>
      </c>
      <c r="M121" s="92">
        <f>Таблица1[[#This Row],[Постоянные затраты]]</f>
        <v>984675.84250000003</v>
      </c>
      <c r="N121" s="18"/>
      <c r="O121" s="18"/>
      <c r="P121" s="18"/>
      <c r="Q121" s="18"/>
    </row>
    <row r="122" spans="3:17" x14ac:dyDescent="0.25">
      <c r="C122" s="14"/>
      <c r="J122" s="90">
        <v>0</v>
      </c>
      <c r="K122" s="91">
        <v>0</v>
      </c>
      <c r="L122" s="91">
        <f>L121</f>
        <v>984675.84250000003</v>
      </c>
      <c r="M122" s="92">
        <f>L121</f>
        <v>984675.84250000003</v>
      </c>
      <c r="N122" s="18"/>
      <c r="O122" s="18"/>
      <c r="P122" s="18"/>
      <c r="Q122" s="18"/>
    </row>
    <row r="123" spans="3:17" x14ac:dyDescent="0.25">
      <c r="C123" s="14"/>
      <c r="J123" s="93"/>
      <c r="K123" s="94" t="s">
        <v>224</v>
      </c>
      <c r="L123" s="94"/>
      <c r="M123" s="95"/>
    </row>
    <row r="124" spans="3:17" x14ac:dyDescent="0.25">
      <c r="C124" s="14"/>
      <c r="O124" s="2" t="s">
        <v>205</v>
      </c>
    </row>
    <row r="125" spans="3:17" x14ac:dyDescent="0.25">
      <c r="C125" s="14"/>
      <c r="O125" s="2" t="s">
        <v>206</v>
      </c>
      <c r="P125" s="2" t="s">
        <v>207</v>
      </c>
    </row>
    <row r="126" spans="3:17" x14ac:dyDescent="0.25">
      <c r="C126" s="14"/>
      <c r="O126" s="2" t="s">
        <v>208</v>
      </c>
      <c r="P126" s="2" t="s">
        <v>209</v>
      </c>
    </row>
    <row r="127" spans="3:17" x14ac:dyDescent="0.25">
      <c r="C127" s="14"/>
      <c r="O127" s="2" t="s">
        <v>210</v>
      </c>
    </row>
    <row r="128" spans="3:17" x14ac:dyDescent="0.25">
      <c r="C128" s="14"/>
      <c r="O128" s="2" t="s">
        <v>211</v>
      </c>
    </row>
    <row r="129" spans="3:12" x14ac:dyDescent="0.25">
      <c r="C129" s="14"/>
    </row>
    <row r="130" spans="3:12" ht="243.75" x14ac:dyDescent="0.25">
      <c r="C130" s="14"/>
      <c r="J130" s="86" t="s">
        <v>193</v>
      </c>
      <c r="K130" s="84" t="s">
        <v>197</v>
      </c>
      <c r="L130" s="84" t="s">
        <v>196</v>
      </c>
    </row>
    <row r="131" spans="3:12" ht="187.5" x14ac:dyDescent="0.25">
      <c r="C131" s="14"/>
      <c r="J131" s="84" t="s">
        <v>194</v>
      </c>
      <c r="K131" s="84" t="s">
        <v>204</v>
      </c>
      <c r="L131" s="85" t="s">
        <v>213</v>
      </c>
    </row>
    <row r="132" spans="3:12" ht="112.5" x14ac:dyDescent="0.25">
      <c r="J132" s="84" t="s">
        <v>195</v>
      </c>
      <c r="K132" s="84" t="s">
        <v>202</v>
      </c>
      <c r="L132" s="84" t="s">
        <v>203</v>
      </c>
    </row>
  </sheetData>
  <mergeCells count="10">
    <mergeCell ref="J88:J89"/>
    <mergeCell ref="M63:M64"/>
    <mergeCell ref="L63:L64"/>
    <mergeCell ref="K63:K64"/>
    <mergeCell ref="K88:M88"/>
    <mergeCell ref="J30:L30"/>
    <mergeCell ref="J10:L10"/>
    <mergeCell ref="J11:L11"/>
    <mergeCell ref="J34:M34"/>
    <mergeCell ref="K52:M52"/>
  </mergeCells>
  <hyperlinks>
    <hyperlink ref="E5" r:id="rId1" xr:uid="{00000000-0004-0000-0000-000000000000}"/>
    <hyperlink ref="E27" r:id="rId2" xr:uid="{00000000-0004-0000-0000-000001000000}"/>
    <hyperlink ref="E6" r:id="rId3" xr:uid="{00000000-0004-0000-0000-000002000000}"/>
    <hyperlink ref="E43" r:id="rId4" xr:uid="{00000000-0004-0000-0000-000003000000}"/>
    <hyperlink ref="E44" r:id="rId5" xr:uid="{00000000-0004-0000-0000-000004000000}"/>
    <hyperlink ref="E45" r:id="rId6" xr:uid="{00000000-0004-0000-0000-000005000000}"/>
    <hyperlink ref="E21" r:id="rId7" xr:uid="{00000000-0004-0000-0000-000006000000}"/>
    <hyperlink ref="E28" display="https://msk.specarmatura.ru/catalog/raskhodomer_ultrazvukovoy_karat_520_/raskhodomer_karat_520_40/?r1=yandext&amp;r2=&amp;utm_campaign=99712134&amp;utm_content=price_145029_raskhodomer&amp;utm_medium=referral&amp;utm_source=rostov.pulscen.ru&amp;utm_terms=158893523_2021022812574" xr:uid="{00000000-0004-0000-0000-000007000000}"/>
    <hyperlink ref="E26" r:id="rId8" xr:uid="{00000000-0004-0000-0000-000008000000}"/>
    <hyperlink ref="E22" r:id="rId9" xr:uid="{00000000-0004-0000-0000-000009000000}"/>
    <hyperlink ref="E7" r:id="rId10" xr:uid="{00000000-0004-0000-0000-00000A000000}"/>
    <hyperlink ref="E23" r:id="rId11" xr:uid="{00000000-0004-0000-0000-00000B000000}"/>
    <hyperlink ref="E41" r:id="rId12" xr:uid="{00000000-0004-0000-0000-00000C000000}"/>
    <hyperlink ref="E40" r:id="rId13" xr:uid="{00000000-0004-0000-0000-00000D000000}"/>
    <hyperlink ref="E34" r:id="rId14" xr:uid="{00000000-0004-0000-0000-00000E000000}"/>
  </hyperlinks>
  <pageMargins left="0.7" right="0.7" top="0.75" bottom="0.75" header="0.3" footer="0.3"/>
  <pageSetup paperSize="9" orientation="portrait" r:id="rId15"/>
  <drawing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1"/>
  <sheetViews>
    <sheetView topLeftCell="L51" zoomScale="175" zoomScaleNormal="175" workbookViewId="0">
      <selection activeCell="W39" sqref="W1:W1048576"/>
    </sheetView>
  </sheetViews>
  <sheetFormatPr defaultRowHeight="15" x14ac:dyDescent="0.25"/>
  <cols>
    <col min="1" max="1" width="57.28515625" customWidth="1"/>
    <col min="7" max="7" width="62.5703125" bestFit="1" customWidth="1"/>
    <col min="8" max="8" width="27.28515625" bestFit="1" customWidth="1"/>
    <col min="9" max="9" width="14.140625" bestFit="1" customWidth="1"/>
    <col min="15" max="15" width="10.28515625" bestFit="1" customWidth="1"/>
    <col min="16" max="16" width="18.28515625" bestFit="1" customWidth="1"/>
    <col min="17" max="17" width="20" bestFit="1" customWidth="1"/>
    <col min="18" max="18" width="15.140625" bestFit="1" customWidth="1"/>
    <col min="23" max="23" width="17.28515625" customWidth="1"/>
  </cols>
  <sheetData>
    <row r="1" spans="1:9" x14ac:dyDescent="0.25">
      <c r="A1" s="103"/>
      <c r="B1" s="120" t="s">
        <v>232</v>
      </c>
      <c r="C1" s="121"/>
    </row>
    <row r="2" spans="1:9" ht="15.75" thickBot="1" x14ac:dyDescent="0.3">
      <c r="A2" s="124" t="s">
        <v>231</v>
      </c>
      <c r="B2" s="122"/>
      <c r="C2" s="123"/>
    </row>
    <row r="3" spans="1:9" ht="15.75" thickBot="1" x14ac:dyDescent="0.3">
      <c r="A3" s="125"/>
      <c r="B3" s="105" t="s">
        <v>233</v>
      </c>
      <c r="C3" s="105" t="s">
        <v>234</v>
      </c>
    </row>
    <row r="4" spans="1:9" ht="15.75" thickBot="1" x14ac:dyDescent="0.3">
      <c r="A4" s="104" t="s">
        <v>235</v>
      </c>
      <c r="B4" s="106">
        <v>36</v>
      </c>
      <c r="C4" s="108">
        <v>63</v>
      </c>
      <c r="D4" s="91">
        <f>B4+C4</f>
        <v>99</v>
      </c>
    </row>
    <row r="5" spans="1:9" ht="15.75" thickBot="1" x14ac:dyDescent="0.3">
      <c r="A5" s="104" t="s">
        <v>236</v>
      </c>
      <c r="B5" s="105">
        <v>35600</v>
      </c>
      <c r="C5" s="109">
        <v>67800</v>
      </c>
      <c r="D5" s="91">
        <f t="shared" ref="D5:D13" si="0">B5+C5</f>
        <v>103400</v>
      </c>
      <c r="F5">
        <v>103400</v>
      </c>
    </row>
    <row r="6" spans="1:9" ht="15.75" thickBot="1" x14ac:dyDescent="0.3">
      <c r="A6" s="107" t="s">
        <v>237</v>
      </c>
      <c r="B6" s="105">
        <v>21378</v>
      </c>
      <c r="C6" s="109">
        <v>37412</v>
      </c>
      <c r="D6" s="110">
        <f t="shared" si="0"/>
        <v>58790</v>
      </c>
    </row>
    <row r="7" spans="1:9" ht="15.75" thickBot="1" x14ac:dyDescent="0.3">
      <c r="A7" s="107" t="s">
        <v>238</v>
      </c>
      <c r="B7" s="105">
        <v>583.20000000000005</v>
      </c>
      <c r="C7" s="109">
        <v>1020.6</v>
      </c>
      <c r="D7" s="111">
        <f t="shared" si="0"/>
        <v>1603.8000000000002</v>
      </c>
    </row>
    <row r="8" spans="1:9" ht="15.75" thickBot="1" x14ac:dyDescent="0.3">
      <c r="A8" s="107" t="s">
        <v>239</v>
      </c>
      <c r="B8" s="105">
        <v>116.64</v>
      </c>
      <c r="C8" s="109">
        <v>204.12</v>
      </c>
      <c r="D8" s="91">
        <f t="shared" si="0"/>
        <v>320.76</v>
      </c>
    </row>
    <row r="9" spans="1:9" ht="19.5" thickBot="1" x14ac:dyDescent="0.3">
      <c r="A9" s="107" t="s">
        <v>240</v>
      </c>
      <c r="B9" s="105">
        <v>181.9</v>
      </c>
      <c r="C9" s="109">
        <v>318.39999999999998</v>
      </c>
      <c r="D9" s="91">
        <f t="shared" si="0"/>
        <v>500.29999999999995</v>
      </c>
      <c r="G9" s="26" t="s">
        <v>25</v>
      </c>
      <c r="H9" s="26" t="s">
        <v>34</v>
      </c>
      <c r="I9" s="29">
        <v>93775</v>
      </c>
    </row>
    <row r="10" spans="1:9" ht="19.5" thickBot="1" x14ac:dyDescent="0.3">
      <c r="A10" s="107" t="s">
        <v>241</v>
      </c>
      <c r="B10" s="105">
        <v>874.8</v>
      </c>
      <c r="C10" s="109">
        <v>1530.9</v>
      </c>
      <c r="D10" s="91">
        <f t="shared" si="0"/>
        <v>2405.6999999999998</v>
      </c>
      <c r="G10" s="26" t="s">
        <v>26</v>
      </c>
      <c r="H10" s="26" t="s">
        <v>35</v>
      </c>
      <c r="I10" s="30">
        <v>5050</v>
      </c>
    </row>
    <row r="11" spans="1:9" ht="19.5" thickBot="1" x14ac:dyDescent="0.3">
      <c r="A11" s="107" t="s">
        <v>242</v>
      </c>
      <c r="B11" s="105">
        <v>2332.8000000000002</v>
      </c>
      <c r="C11" s="109">
        <v>4082.4</v>
      </c>
      <c r="D11" s="91">
        <f t="shared" si="0"/>
        <v>6415.2000000000007</v>
      </c>
      <c r="G11" s="26" t="s">
        <v>27</v>
      </c>
      <c r="H11" s="26" t="s">
        <v>246</v>
      </c>
      <c r="I11" s="26">
        <v>1010</v>
      </c>
    </row>
    <row r="12" spans="1:9" ht="19.5" thickBot="1" x14ac:dyDescent="0.3">
      <c r="A12" s="104" t="s">
        <v>243</v>
      </c>
      <c r="B12" s="105">
        <v>701.1</v>
      </c>
      <c r="C12" s="109">
        <v>1337.1</v>
      </c>
      <c r="D12" s="91">
        <f t="shared" si="0"/>
        <v>2038.1999999999998</v>
      </c>
      <c r="G12" s="26" t="s">
        <v>28</v>
      </c>
      <c r="H12" s="26" t="s">
        <v>37</v>
      </c>
      <c r="I12" s="26">
        <f>(I11+I10)*0.3</f>
        <v>1818</v>
      </c>
    </row>
    <row r="13" spans="1:9" ht="19.5" thickBot="1" x14ac:dyDescent="0.3">
      <c r="A13" s="107" t="s">
        <v>244</v>
      </c>
      <c r="B13" s="105">
        <v>24069</v>
      </c>
      <c r="C13" s="109">
        <v>45906</v>
      </c>
      <c r="D13" s="91">
        <f t="shared" si="0"/>
        <v>69975</v>
      </c>
      <c r="G13" s="26" t="s">
        <v>29</v>
      </c>
      <c r="H13" s="26" t="s">
        <v>78</v>
      </c>
      <c r="I13" s="26">
        <v>10100</v>
      </c>
    </row>
    <row r="14" spans="1:9" ht="18.75" x14ac:dyDescent="0.25">
      <c r="G14" s="26" t="s">
        <v>30</v>
      </c>
      <c r="H14" s="26" t="s">
        <v>79</v>
      </c>
      <c r="I14" s="26">
        <f>I10*1.5</f>
        <v>7575</v>
      </c>
    </row>
    <row r="15" spans="1:9" ht="18.75" x14ac:dyDescent="0.25">
      <c r="G15" s="26" t="s">
        <v>31</v>
      </c>
      <c r="H15" s="26" t="s">
        <v>38</v>
      </c>
      <c r="I15" s="26">
        <f>I14+I13+I12+I11+I10+I9</f>
        <v>119328</v>
      </c>
    </row>
    <row r="16" spans="1:9" ht="18.75" x14ac:dyDescent="0.25">
      <c r="G16" s="26" t="s">
        <v>32</v>
      </c>
      <c r="H16" s="26" t="s">
        <v>39</v>
      </c>
      <c r="I16" s="26">
        <f>I15*0.05</f>
        <v>5966.4000000000005</v>
      </c>
    </row>
    <row r="17" spans="7:12" ht="18.75" x14ac:dyDescent="0.25">
      <c r="G17" s="26" t="s">
        <v>33</v>
      </c>
      <c r="H17" s="26" t="s">
        <v>40</v>
      </c>
      <c r="I17" s="26">
        <f>I16+I15</f>
        <v>125294.39999999999</v>
      </c>
    </row>
    <row r="19" spans="7:12" ht="18.75" x14ac:dyDescent="0.25">
      <c r="G19" s="32"/>
      <c r="H19" s="33"/>
      <c r="I19" s="26"/>
    </row>
    <row r="20" spans="7:12" ht="18.75" x14ac:dyDescent="0.25">
      <c r="G20" s="32" t="s">
        <v>136</v>
      </c>
      <c r="H20" s="33" t="s">
        <v>105</v>
      </c>
      <c r="I20" s="26">
        <v>156618</v>
      </c>
    </row>
    <row r="21" spans="7:12" ht="18.75" x14ac:dyDescent="0.3">
      <c r="G21" s="32" t="s">
        <v>138</v>
      </c>
      <c r="H21" s="34" t="s">
        <v>139</v>
      </c>
      <c r="I21" s="24">
        <f>0.2*I20</f>
        <v>31323.600000000002</v>
      </c>
    </row>
    <row r="26" spans="7:12" ht="18.75" x14ac:dyDescent="0.3">
      <c r="G26" s="22" t="s">
        <v>167</v>
      </c>
      <c r="H26" s="22" t="s">
        <v>166</v>
      </c>
      <c r="I26" s="22">
        <f>I9+I10+I11+I12</f>
        <v>101653</v>
      </c>
      <c r="J26">
        <f>I26/99</f>
        <v>1026.7979797979799</v>
      </c>
    </row>
    <row r="27" spans="7:12" ht="18.75" x14ac:dyDescent="0.3">
      <c r="G27" s="22" t="s">
        <v>168</v>
      </c>
      <c r="H27" s="22" t="s">
        <v>169</v>
      </c>
      <c r="I27" s="22">
        <f>I14+I13+I16</f>
        <v>23641.4</v>
      </c>
      <c r="J27">
        <f>I27/99</f>
        <v>238.80202020202023</v>
      </c>
      <c r="K27">
        <v>0.6</v>
      </c>
    </row>
    <row r="28" spans="7:12" ht="18.75" x14ac:dyDescent="0.3">
      <c r="G28" s="22" t="s">
        <v>171</v>
      </c>
      <c r="H28" s="22" t="s">
        <v>189</v>
      </c>
      <c r="I28" s="68">
        <f>((J27*D4)/(I20-J26))</f>
        <v>0.1519456093470529</v>
      </c>
      <c r="J28" t="s">
        <v>245</v>
      </c>
      <c r="L28">
        <f>I26/I28</f>
        <v>669009.13054893503</v>
      </c>
    </row>
    <row r="29" spans="7:12" ht="18.75" x14ac:dyDescent="0.3">
      <c r="G29" s="22" t="s">
        <v>172</v>
      </c>
      <c r="H29" s="22" t="s">
        <v>173</v>
      </c>
      <c r="I29" s="27">
        <f>D4-I28</f>
        <v>98.848054390652948</v>
      </c>
    </row>
    <row r="30" spans="7:12" ht="18.75" x14ac:dyDescent="0.3">
      <c r="G30" s="22" t="s">
        <v>174</v>
      </c>
      <c r="H30" s="22" t="s">
        <v>175</v>
      </c>
      <c r="I30" s="22">
        <f>(I29/99)*100</f>
        <v>99.846519586518127</v>
      </c>
    </row>
    <row r="31" spans="7:12" ht="18.75" x14ac:dyDescent="0.3">
      <c r="G31" s="22" t="s">
        <v>212</v>
      </c>
      <c r="H31" s="22"/>
      <c r="I31" s="22"/>
    </row>
    <row r="32" spans="7:12" ht="18.75" x14ac:dyDescent="0.25">
      <c r="G32" s="69" t="s">
        <v>147</v>
      </c>
      <c r="H32" s="69" t="s">
        <v>177</v>
      </c>
      <c r="I32" s="69" t="s">
        <v>192</v>
      </c>
    </row>
    <row r="33" spans="7:18" ht="18.75" x14ac:dyDescent="0.25">
      <c r="G33" s="65" t="s">
        <v>178</v>
      </c>
      <c r="H33" s="62" t="s">
        <v>179</v>
      </c>
      <c r="I33" s="70">
        <f>K6</f>
        <v>0</v>
      </c>
    </row>
    <row r="34" spans="7:18" ht="18.75" x14ac:dyDescent="0.25">
      <c r="G34" s="65" t="s">
        <v>180</v>
      </c>
      <c r="H34" s="62" t="s">
        <v>179</v>
      </c>
      <c r="I34" s="70" t="e">
        <f>I26*#REF!</f>
        <v>#REF!</v>
      </c>
    </row>
    <row r="35" spans="7:18" ht="18.75" x14ac:dyDescent="0.25">
      <c r="G35" s="65" t="s">
        <v>181</v>
      </c>
      <c r="H35" s="62" t="s">
        <v>179</v>
      </c>
      <c r="I35" s="62" t="e">
        <f>I27*#REF!</f>
        <v>#REF!</v>
      </c>
    </row>
    <row r="36" spans="7:18" ht="18.75" x14ac:dyDescent="0.25">
      <c r="G36" s="60" t="s">
        <v>182</v>
      </c>
      <c r="H36" s="62" t="s">
        <v>176</v>
      </c>
      <c r="I36" s="62" t="e">
        <f>(I34*100)/I33</f>
        <v>#REF!</v>
      </c>
      <c r="O36" s="87" t="s">
        <v>220</v>
      </c>
      <c r="P36" s="88" t="s">
        <v>223</v>
      </c>
      <c r="Q36" s="88" t="s">
        <v>222</v>
      </c>
      <c r="R36" s="89" t="s">
        <v>221</v>
      </c>
    </row>
    <row r="37" spans="7:18" ht="18.75" x14ac:dyDescent="0.25">
      <c r="G37" s="65" t="s">
        <v>183</v>
      </c>
      <c r="H37" s="62" t="s">
        <v>179</v>
      </c>
      <c r="I37" s="70" t="e">
        <f>(I27*5)/(1-(I36/100))</f>
        <v>#REF!</v>
      </c>
      <c r="O37" s="10">
        <v>99</v>
      </c>
      <c r="P37" s="1">
        <f>D5</f>
        <v>103400</v>
      </c>
      <c r="Q37" s="1">
        <f>I27</f>
        <v>23641.4</v>
      </c>
      <c r="R37" s="96">
        <f>I26+I27</f>
        <v>125294.39999999999</v>
      </c>
    </row>
    <row r="38" spans="7:18" ht="37.5" customHeight="1" x14ac:dyDescent="0.25">
      <c r="G38" s="65" t="s">
        <v>184</v>
      </c>
      <c r="H38" s="62" t="s">
        <v>185</v>
      </c>
      <c r="I38" s="72">
        <f>I28</f>
        <v>0.1519456093470529</v>
      </c>
      <c r="O38" s="90">
        <v>0</v>
      </c>
      <c r="P38" s="91">
        <v>0</v>
      </c>
      <c r="Q38" s="1">
        <f>I27</f>
        <v>23641.4</v>
      </c>
      <c r="R38" s="96">
        <f>I27</f>
        <v>23641.4</v>
      </c>
    </row>
    <row r="39" spans="7:18" ht="18.75" x14ac:dyDescent="0.25">
      <c r="G39" s="65" t="s">
        <v>186</v>
      </c>
      <c r="H39" s="62" t="s">
        <v>179</v>
      </c>
      <c r="I39" s="70" t="e">
        <f>I33-I37</f>
        <v>#REF!</v>
      </c>
      <c r="O39" s="90">
        <v>0</v>
      </c>
      <c r="P39" s="91">
        <v>0</v>
      </c>
      <c r="Q39" s="1">
        <f>I27</f>
        <v>23641.4</v>
      </c>
      <c r="R39" s="96">
        <f>I27</f>
        <v>23641.4</v>
      </c>
    </row>
    <row r="40" spans="7:18" ht="18.75" x14ac:dyDescent="0.25">
      <c r="G40" s="65" t="s">
        <v>174</v>
      </c>
      <c r="H40" s="62" t="s">
        <v>176</v>
      </c>
      <c r="I40" s="70">
        <f>I30</f>
        <v>99.846519586518127</v>
      </c>
      <c r="O40" s="93"/>
      <c r="P40" s="94" t="s">
        <v>224</v>
      </c>
      <c r="Q40" s="94"/>
      <c r="R40" s="95"/>
    </row>
    <row r="49" spans="16:23" x14ac:dyDescent="0.25">
      <c r="S49" t="s">
        <v>249</v>
      </c>
      <c r="U49" t="s">
        <v>247</v>
      </c>
      <c r="W49" t="s">
        <v>248</v>
      </c>
    </row>
    <row r="50" spans="16:23" x14ac:dyDescent="0.25">
      <c r="S50" t="s">
        <v>250</v>
      </c>
      <c r="T50" t="s">
        <v>251</v>
      </c>
      <c r="U50" t="s">
        <v>252</v>
      </c>
      <c r="V50" t="s">
        <v>253</v>
      </c>
      <c r="W50" t="s">
        <v>254</v>
      </c>
    </row>
    <row r="51" spans="16:23" x14ac:dyDescent="0.25">
      <c r="R51" t="s">
        <v>255</v>
      </c>
      <c r="S51">
        <v>15</v>
      </c>
      <c r="T51">
        <v>20</v>
      </c>
      <c r="U51">
        <v>26</v>
      </c>
      <c r="V51">
        <v>32</v>
      </c>
      <c r="W51">
        <v>68</v>
      </c>
    </row>
    <row r="52" spans="16:23" x14ac:dyDescent="0.25">
      <c r="R52" t="s">
        <v>256</v>
      </c>
      <c r="S52">
        <f>$I$9*S51</f>
        <v>1406625</v>
      </c>
      <c r="T52">
        <f t="shared" ref="T52:W52" si="1">$I$9*T51</f>
        <v>1875500</v>
      </c>
      <c r="U52">
        <f t="shared" si="1"/>
        <v>2438150</v>
      </c>
      <c r="V52">
        <f t="shared" si="1"/>
        <v>3000800</v>
      </c>
      <c r="W52">
        <f t="shared" si="1"/>
        <v>6376700</v>
      </c>
    </row>
    <row r="53" spans="16:23" x14ac:dyDescent="0.25">
      <c r="R53" t="s">
        <v>26</v>
      </c>
      <c r="S53">
        <f>$I$10*S51</f>
        <v>75750</v>
      </c>
      <c r="T53">
        <f t="shared" ref="T53:W53" si="2">$I$10*T51</f>
        <v>101000</v>
      </c>
      <c r="U53">
        <f t="shared" si="2"/>
        <v>131300</v>
      </c>
      <c r="V53">
        <f t="shared" si="2"/>
        <v>161600</v>
      </c>
      <c r="W53">
        <f t="shared" si="2"/>
        <v>343400</v>
      </c>
    </row>
    <row r="54" spans="16:23" x14ac:dyDescent="0.25">
      <c r="R54" t="s">
        <v>257</v>
      </c>
      <c r="S54">
        <f>$I$11*S51</f>
        <v>15150</v>
      </c>
      <c r="T54">
        <f t="shared" ref="T54:W54" si="3">$I$11*T51</f>
        <v>20200</v>
      </c>
      <c r="U54">
        <f t="shared" si="3"/>
        <v>26260</v>
      </c>
      <c r="V54">
        <f t="shared" si="3"/>
        <v>32320</v>
      </c>
      <c r="W54">
        <f t="shared" si="3"/>
        <v>68680</v>
      </c>
    </row>
    <row r="55" spans="16:23" x14ac:dyDescent="0.25">
      <c r="R55" t="s">
        <v>258</v>
      </c>
      <c r="S55">
        <f>$I$12*S51</f>
        <v>27270</v>
      </c>
      <c r="T55">
        <f t="shared" ref="T55:W55" si="4">$I$12*T51</f>
        <v>36360</v>
      </c>
      <c r="U55">
        <f t="shared" si="4"/>
        <v>47268</v>
      </c>
      <c r="V55">
        <f t="shared" si="4"/>
        <v>58176</v>
      </c>
      <c r="W55">
        <f t="shared" si="4"/>
        <v>123624</v>
      </c>
    </row>
    <row r="56" spans="16:23" x14ac:dyDescent="0.25">
      <c r="R56" t="s">
        <v>259</v>
      </c>
      <c r="S56">
        <f>$I$13*S51</f>
        <v>151500</v>
      </c>
      <c r="T56">
        <f t="shared" ref="T56:W56" si="5">$I$13*T51</f>
        <v>202000</v>
      </c>
      <c r="U56">
        <f t="shared" si="5"/>
        <v>262600</v>
      </c>
      <c r="V56">
        <f t="shared" si="5"/>
        <v>323200</v>
      </c>
      <c r="W56">
        <f t="shared" si="5"/>
        <v>686800</v>
      </c>
    </row>
    <row r="57" spans="16:23" x14ac:dyDescent="0.25">
      <c r="R57" t="s">
        <v>260</v>
      </c>
      <c r="S57">
        <f>$I$14*S51</f>
        <v>113625</v>
      </c>
      <c r="T57">
        <f t="shared" ref="T57:W57" si="6">$I$14*T51</f>
        <v>151500</v>
      </c>
      <c r="U57">
        <f t="shared" si="6"/>
        <v>196950</v>
      </c>
      <c r="V57">
        <f t="shared" si="6"/>
        <v>242400</v>
      </c>
      <c r="W57">
        <f t="shared" si="6"/>
        <v>515100</v>
      </c>
    </row>
    <row r="58" spans="16:23" x14ac:dyDescent="0.25">
      <c r="R58" t="s">
        <v>262</v>
      </c>
      <c r="S58">
        <f>$I$15*S51</f>
        <v>1789920</v>
      </c>
      <c r="T58">
        <f t="shared" ref="T58:W58" si="7">$I$15*T51</f>
        <v>2386560</v>
      </c>
      <c r="U58">
        <f t="shared" si="7"/>
        <v>3102528</v>
      </c>
      <c r="V58">
        <f t="shared" si="7"/>
        <v>3818496</v>
      </c>
      <c r="W58">
        <f t="shared" si="7"/>
        <v>8114304</v>
      </c>
    </row>
    <row r="59" spans="16:23" x14ac:dyDescent="0.25">
      <c r="R59" t="s">
        <v>263</v>
      </c>
      <c r="S59">
        <f>$I$16*S51</f>
        <v>89496.000000000015</v>
      </c>
      <c r="T59">
        <f t="shared" ref="T59:W59" si="8">$I$16*T51</f>
        <v>119328.00000000001</v>
      </c>
      <c r="U59">
        <f t="shared" si="8"/>
        <v>155126.40000000002</v>
      </c>
      <c r="V59">
        <f t="shared" si="8"/>
        <v>190924.80000000002</v>
      </c>
      <c r="W59">
        <f t="shared" si="8"/>
        <v>405715.20000000001</v>
      </c>
    </row>
    <row r="60" spans="16:23" x14ac:dyDescent="0.25">
      <c r="R60" t="s">
        <v>261</v>
      </c>
      <c r="S60">
        <f>$I$17*S51</f>
        <v>1879416</v>
      </c>
      <c r="T60">
        <f t="shared" ref="T60:W60" si="9">$I$17*T51</f>
        <v>2505888</v>
      </c>
      <c r="U60">
        <f t="shared" si="9"/>
        <v>3257654.4</v>
      </c>
      <c r="V60">
        <f t="shared" si="9"/>
        <v>4009420.7999999998</v>
      </c>
      <c r="W60">
        <f t="shared" si="9"/>
        <v>8520019.1999999993</v>
      </c>
    </row>
    <row r="61" spans="16:23" x14ac:dyDescent="0.25">
      <c r="P61" t="s">
        <v>264</v>
      </c>
      <c r="Q61">
        <v>156618</v>
      </c>
      <c r="R61" t="s">
        <v>255</v>
      </c>
      <c r="S61">
        <f>$Q$61*S51</f>
        <v>2349270</v>
      </c>
      <c r="T61">
        <f t="shared" ref="T61:W61" si="10">$Q$61*T51</f>
        <v>3132360</v>
      </c>
      <c r="U61">
        <f t="shared" si="10"/>
        <v>4072068</v>
      </c>
      <c r="V61">
        <f t="shared" si="10"/>
        <v>5011776</v>
      </c>
      <c r="W61">
        <f t="shared" si="10"/>
        <v>10650024</v>
      </c>
    </row>
    <row r="83" spans="7:9" ht="18.75" x14ac:dyDescent="0.25">
      <c r="G83" s="26" t="s">
        <v>25</v>
      </c>
      <c r="H83" s="26" t="s">
        <v>34</v>
      </c>
      <c r="I83" s="29">
        <v>93775</v>
      </c>
    </row>
    <row r="84" spans="7:9" ht="18.75" x14ac:dyDescent="0.25">
      <c r="G84" s="26" t="s">
        <v>26</v>
      </c>
      <c r="H84" s="26" t="s">
        <v>35</v>
      </c>
      <c r="I84" s="30">
        <v>5050</v>
      </c>
    </row>
    <row r="85" spans="7:9" ht="18.75" x14ac:dyDescent="0.25">
      <c r="G85" s="26" t="s">
        <v>27</v>
      </c>
      <c r="H85" s="26" t="s">
        <v>246</v>
      </c>
      <c r="I85" s="26">
        <v>1010</v>
      </c>
    </row>
    <row r="86" spans="7:9" ht="18.75" x14ac:dyDescent="0.25">
      <c r="G86" s="26" t="s">
        <v>28</v>
      </c>
      <c r="H86" s="26" t="s">
        <v>37</v>
      </c>
      <c r="I86" s="26">
        <f>(I85+I84)*0.3</f>
        <v>1818</v>
      </c>
    </row>
    <row r="87" spans="7:9" ht="18.75" x14ac:dyDescent="0.25">
      <c r="G87" s="26" t="s">
        <v>29</v>
      </c>
      <c r="H87" s="26" t="s">
        <v>78</v>
      </c>
      <c r="I87" s="26">
        <f>I84*2</f>
        <v>10100</v>
      </c>
    </row>
    <row r="88" spans="7:9" ht="18.75" x14ac:dyDescent="0.25">
      <c r="G88" s="26" t="s">
        <v>30</v>
      </c>
      <c r="H88" s="26" t="s">
        <v>79</v>
      </c>
      <c r="I88" s="26">
        <f>I84*1.5</f>
        <v>7575</v>
      </c>
    </row>
    <row r="89" spans="7:9" ht="18.75" x14ac:dyDescent="0.25">
      <c r="G89" s="26" t="s">
        <v>31</v>
      </c>
      <c r="H89" s="26" t="s">
        <v>38</v>
      </c>
      <c r="I89" s="26">
        <f>I88+I87+I86+I85+I84+I83</f>
        <v>119328</v>
      </c>
    </row>
    <row r="90" spans="7:9" ht="18.75" x14ac:dyDescent="0.25">
      <c r="G90" s="26" t="s">
        <v>32</v>
      </c>
      <c r="H90" s="26" t="s">
        <v>39</v>
      </c>
      <c r="I90" s="26">
        <f>I89*0.05</f>
        <v>5966.4000000000005</v>
      </c>
    </row>
    <row r="91" spans="7:9" ht="18.75" x14ac:dyDescent="0.25">
      <c r="G91" s="26" t="s">
        <v>33</v>
      </c>
      <c r="H91" s="26" t="s">
        <v>40</v>
      </c>
      <c r="I91" s="26">
        <f>I90+I89</f>
        <v>125294.39999999999</v>
      </c>
    </row>
  </sheetData>
  <mergeCells count="2">
    <mergeCell ref="B1:C2"/>
    <mergeCell ref="A2:A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2023-05-20T15:17:05Z</dcterms:modified>
</cp:coreProperties>
</file>