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специалист\Статистика\mod1_ststistics\Раздача_мод1_статистика\"/>
    </mc:Choice>
  </mc:AlternateContent>
  <xr:revisionPtr revIDLastSave="0" documentId="13_ncr:1_{3B3D64B5-6455-45B1-B66A-A9EB50A220D3}" xr6:coauthVersionLast="47" xr6:coauthVersionMax="47" xr10:uidLastSave="{00000000-0000-0000-0000-000000000000}"/>
  <bookViews>
    <workbookView xWindow="-108" yWindow="-108" windowWidth="23256" windowHeight="12576" firstSheet="7" activeTab="9" xr2:uid="{504B45C5-22B9-4ABB-8F98-BD5AF6311F10}"/>
  </bookViews>
  <sheets>
    <sheet name="Стерджес" sheetId="9" r:id="rId1"/>
    <sheet name="Стерджес р" sheetId="10" r:id="rId2"/>
    <sheet name="Данные 1" sheetId="3" r:id="rId3"/>
    <sheet name="Данные 2" sheetId="4" r:id="rId4"/>
    <sheet name="Данные 3" sheetId="2" r:id="rId5"/>
    <sheet name="Медиана и мода инт. ряда" sheetId="11" r:id="rId6"/>
    <sheet name="Медиана и мода инт. ряда р" sheetId="12" r:id="rId7"/>
    <sheet name="Деление ряда, вариабельность" sheetId="13" r:id="rId8"/>
    <sheet name="Данные 4, сргеом" sheetId="1" r:id="rId9"/>
    <sheet name="Данные 4, сргеом р" sheetId="8" r:id="rId10"/>
    <sheet name="Средние" sheetId="5" r:id="rId11"/>
    <sheet name="Средние 5 р" sheetId="6" r:id="rId12"/>
    <sheet name="Задание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8" l="1"/>
  <c r="F15" i="8"/>
  <c r="C4" i="12"/>
  <c r="C4" i="11"/>
  <c r="E12" i="1"/>
  <c r="E11" i="1"/>
  <c r="E10" i="1"/>
  <c r="E9" i="1"/>
  <c r="E8" i="1"/>
  <c r="E7" i="1"/>
  <c r="E6" i="1"/>
  <c r="E12" i="8"/>
  <c r="E11" i="8"/>
  <c r="E10" i="8"/>
  <c r="E9" i="8"/>
  <c r="E8" i="8"/>
  <c r="E7" i="8"/>
  <c r="E6" i="8"/>
  <c r="G13" i="12" l="1"/>
  <c r="G9" i="12" l="1"/>
  <c r="B25" i="10" l="1"/>
  <c r="I9" i="10"/>
  <c r="I10" i="10" s="1"/>
  <c r="C23" i="10"/>
  <c r="C22" i="10"/>
  <c r="C25" i="10" l="1"/>
  <c r="B26" i="10" s="1"/>
  <c r="C26" i="10" l="1"/>
  <c r="B27" i="10" s="1"/>
  <c r="D25" i="10"/>
  <c r="D27" i="10" l="1"/>
  <c r="C27" i="10"/>
  <c r="B28" i="10" s="1"/>
  <c r="D26" i="10"/>
  <c r="D28" i="10" l="1"/>
  <c r="C28" i="10"/>
  <c r="B29" i="10" s="1"/>
  <c r="C29" i="10" l="1"/>
  <c r="D29" i="10"/>
  <c r="D30" i="10" s="1"/>
  <c r="G18" i="12" l="1"/>
  <c r="G17" i="12"/>
  <c r="G16" i="12"/>
  <c r="G19" i="12" s="1"/>
  <c r="D6" i="12"/>
  <c r="D7" i="12" s="1"/>
  <c r="D8" i="12" s="1"/>
  <c r="D9" i="12" s="1"/>
  <c r="D10" i="12" s="1"/>
  <c r="D11" i="12" s="1"/>
  <c r="D12" i="12" s="1"/>
  <c r="D13" i="12" s="1"/>
  <c r="D6" i="1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N9" i="9"/>
  <c r="R262" i="10"/>
  <c r="R261" i="10"/>
  <c r="R260" i="10"/>
  <c r="R259" i="10"/>
  <c r="R258" i="10"/>
  <c r="R257" i="10"/>
  <c r="R256" i="10"/>
  <c r="R255" i="10"/>
  <c r="R254" i="10"/>
  <c r="R253" i="10"/>
  <c r="R252" i="10"/>
  <c r="R251" i="10"/>
  <c r="R250" i="10"/>
  <c r="R249" i="10"/>
  <c r="R248" i="10"/>
  <c r="R247" i="10"/>
  <c r="R246" i="10"/>
  <c r="R245" i="10"/>
  <c r="R244" i="10"/>
  <c r="R243" i="10"/>
  <c r="R242" i="10"/>
  <c r="R241" i="10"/>
  <c r="R240" i="10"/>
  <c r="R239" i="10"/>
  <c r="R238" i="10"/>
  <c r="R237" i="10"/>
  <c r="R236" i="10"/>
  <c r="R235" i="10"/>
  <c r="R234" i="10"/>
  <c r="R233" i="10"/>
  <c r="R232" i="10"/>
  <c r="R231" i="10"/>
  <c r="R230" i="10"/>
  <c r="R229" i="10"/>
  <c r="R228" i="10"/>
  <c r="R227" i="10"/>
  <c r="R226" i="10"/>
  <c r="R225" i="10"/>
  <c r="R224" i="10"/>
  <c r="R223" i="10"/>
  <c r="R222" i="10"/>
  <c r="R221" i="10"/>
  <c r="R220" i="10"/>
  <c r="R219" i="10"/>
  <c r="R218" i="10"/>
  <c r="R217" i="10"/>
  <c r="R216" i="10"/>
  <c r="R215" i="10"/>
  <c r="R214" i="10"/>
  <c r="R213" i="10"/>
  <c r="R212" i="10"/>
  <c r="R211" i="10"/>
  <c r="R210" i="10"/>
  <c r="R209" i="10"/>
  <c r="R208" i="10"/>
  <c r="R207" i="10"/>
  <c r="R206" i="10"/>
  <c r="R205" i="10"/>
  <c r="R204" i="10"/>
  <c r="R203" i="10"/>
  <c r="R202" i="10"/>
  <c r="R201" i="10"/>
  <c r="R200" i="10"/>
  <c r="R199" i="10"/>
  <c r="R198" i="10"/>
  <c r="R197" i="10"/>
  <c r="R196" i="10"/>
  <c r="R195" i="10"/>
  <c r="R194" i="10"/>
  <c r="R193" i="10"/>
  <c r="R192" i="10"/>
  <c r="R191" i="10"/>
  <c r="R190" i="10"/>
  <c r="R189" i="10"/>
  <c r="R188" i="10"/>
  <c r="R187" i="10"/>
  <c r="R186" i="10"/>
  <c r="R185" i="10"/>
  <c r="R184" i="10"/>
  <c r="R183" i="10"/>
  <c r="R182" i="10"/>
  <c r="R181" i="10"/>
  <c r="R180" i="10"/>
  <c r="R179" i="10"/>
  <c r="R178" i="10"/>
  <c r="R177" i="10"/>
  <c r="R176" i="10"/>
  <c r="R175" i="10"/>
  <c r="R174" i="10"/>
  <c r="R173" i="10"/>
  <c r="R172" i="10"/>
  <c r="R171" i="10"/>
  <c r="R170" i="10"/>
  <c r="R169" i="10"/>
  <c r="R168" i="10"/>
  <c r="R167" i="10"/>
  <c r="R166" i="10"/>
  <c r="R165" i="10"/>
  <c r="R164" i="10"/>
  <c r="R163" i="10"/>
  <c r="R162" i="10"/>
  <c r="R161" i="10"/>
  <c r="R160" i="10"/>
  <c r="R159" i="10"/>
  <c r="R158" i="10"/>
  <c r="R157" i="10"/>
  <c r="R156" i="10"/>
  <c r="R155" i="10"/>
  <c r="R154" i="10"/>
  <c r="R153" i="10"/>
  <c r="R152" i="10"/>
  <c r="R151" i="10"/>
  <c r="R150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R117" i="10"/>
  <c r="R116" i="10"/>
  <c r="R115" i="10"/>
  <c r="R114" i="10"/>
  <c r="R113" i="10"/>
  <c r="R112" i="10"/>
  <c r="R111" i="10"/>
  <c r="R110" i="10"/>
  <c r="R109" i="10"/>
  <c r="R108" i="10"/>
  <c r="R107" i="10"/>
  <c r="R106" i="10"/>
  <c r="R105" i="10"/>
  <c r="R104" i="10"/>
  <c r="R103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R70" i="10"/>
  <c r="R69" i="10"/>
  <c r="R68" i="10"/>
  <c r="R67" i="10"/>
  <c r="R66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C20" i="10"/>
  <c r="R19" i="10"/>
  <c r="R18" i="10"/>
  <c r="R17" i="10"/>
  <c r="R16" i="10"/>
  <c r="R15" i="10"/>
  <c r="R14" i="10"/>
  <c r="R13" i="10"/>
  <c r="R12" i="10"/>
  <c r="R11" i="10"/>
  <c r="R10" i="10"/>
  <c r="R9" i="10"/>
  <c r="K9" i="10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R194" i="9"/>
  <c r="R193" i="9"/>
  <c r="R192" i="9"/>
  <c r="R191" i="9"/>
  <c r="R190" i="9"/>
  <c r="R189" i="9"/>
  <c r="R188" i="9"/>
  <c r="R187" i="9"/>
  <c r="R186" i="9"/>
  <c r="R185" i="9"/>
  <c r="R184" i="9"/>
  <c r="R183" i="9"/>
  <c r="R182" i="9"/>
  <c r="R181" i="9"/>
  <c r="R180" i="9"/>
  <c r="R179" i="9"/>
  <c r="R178" i="9"/>
  <c r="R177" i="9"/>
  <c r="R176" i="9"/>
  <c r="R175" i="9"/>
  <c r="R174" i="9"/>
  <c r="R173" i="9"/>
  <c r="R172" i="9"/>
  <c r="R171" i="9"/>
  <c r="R170" i="9"/>
  <c r="R169" i="9"/>
  <c r="R168" i="9"/>
  <c r="R167" i="9"/>
  <c r="R166" i="9"/>
  <c r="R165" i="9"/>
  <c r="R164" i="9"/>
  <c r="R163" i="9"/>
  <c r="R162" i="9"/>
  <c r="R161" i="9"/>
  <c r="R160" i="9"/>
  <c r="R159" i="9"/>
  <c r="R158" i="9"/>
  <c r="R157" i="9"/>
  <c r="R156" i="9"/>
  <c r="R155" i="9"/>
  <c r="R154" i="9"/>
  <c r="R153" i="9"/>
  <c r="R152" i="9"/>
  <c r="R151" i="9"/>
  <c r="R150" i="9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R118" i="9"/>
  <c r="R117" i="9"/>
  <c r="R116" i="9"/>
  <c r="R115" i="9"/>
  <c r="R114" i="9"/>
  <c r="R113" i="9"/>
  <c r="R112" i="9"/>
  <c r="R111" i="9"/>
  <c r="R110" i="9"/>
  <c r="R109" i="9"/>
  <c r="R108" i="9"/>
  <c r="R107" i="9"/>
  <c r="R106" i="9"/>
  <c r="R105" i="9"/>
  <c r="R104" i="9"/>
  <c r="R103" i="9"/>
  <c r="R102" i="9"/>
  <c r="R101" i="9"/>
  <c r="R100" i="9"/>
  <c r="R99" i="9"/>
  <c r="R98" i="9"/>
  <c r="R97" i="9"/>
  <c r="R96" i="9"/>
  <c r="R95" i="9"/>
  <c r="R94" i="9"/>
  <c r="R93" i="9"/>
  <c r="R92" i="9"/>
  <c r="R91" i="9"/>
  <c r="R90" i="9"/>
  <c r="R89" i="9"/>
  <c r="R88" i="9"/>
  <c r="R87" i="9"/>
  <c r="R86" i="9"/>
  <c r="R85" i="9"/>
  <c r="R84" i="9"/>
  <c r="R83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C20" i="9"/>
  <c r="R19" i="9"/>
  <c r="R18" i="9"/>
  <c r="R17" i="9"/>
  <c r="R16" i="9"/>
  <c r="R15" i="9"/>
  <c r="R14" i="9"/>
  <c r="R13" i="9"/>
  <c r="R12" i="9"/>
  <c r="R11" i="9"/>
  <c r="R10" i="9"/>
  <c r="R9" i="9"/>
  <c r="K9" i="9"/>
  <c r="G10" i="12" l="1"/>
  <c r="D14" i="12"/>
  <c r="D15" i="12" s="1"/>
  <c r="D16" i="12" s="1"/>
  <c r="D17" i="12" s="1"/>
  <c r="D18" i="12" s="1"/>
  <c r="D19" i="12" s="1"/>
  <c r="D20" i="12" s="1"/>
  <c r="L9" i="10"/>
  <c r="K10" i="10" s="1"/>
  <c r="L10" i="10" l="1"/>
  <c r="K11" i="10" s="1"/>
  <c r="N9" i="10"/>
  <c r="L11" i="10" l="1"/>
  <c r="K12" i="10" s="1"/>
  <c r="N11" i="10"/>
  <c r="N10" i="10"/>
  <c r="L12" i="10" l="1"/>
  <c r="K13" i="10" s="1"/>
  <c r="L13" i="10" l="1"/>
  <c r="K14" i="10" s="1"/>
  <c r="N12" i="10"/>
  <c r="L14" i="10" l="1"/>
  <c r="N14" i="10"/>
  <c r="N13" i="10"/>
  <c r="C24" i="8" l="1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E40" i="7" l="1"/>
  <c r="C19" i="6"/>
  <c r="C14" i="6"/>
  <c r="C13" i="6"/>
  <c r="C12" i="6"/>
  <c r="C11" i="6"/>
  <c r="K9" i="6"/>
  <c r="J9" i="6"/>
  <c r="I9" i="6"/>
  <c r="H9" i="6"/>
  <c r="G9" i="6"/>
  <c r="F9" i="6"/>
  <c r="E9" i="6"/>
  <c r="D9" i="6"/>
  <c r="C9" i="6"/>
  <c r="E8" i="6"/>
  <c r="K6" i="6"/>
  <c r="K8" i="6" s="1"/>
  <c r="J6" i="6"/>
  <c r="J8" i="6" s="1"/>
  <c r="I6" i="6"/>
  <c r="I8" i="6" s="1"/>
  <c r="H6" i="6"/>
  <c r="H8" i="6" s="1"/>
  <c r="G6" i="6"/>
  <c r="G8" i="6" s="1"/>
  <c r="F6" i="6"/>
  <c r="F8" i="6" s="1"/>
  <c r="E6" i="6"/>
  <c r="D6" i="6"/>
  <c r="D8" i="6" s="1"/>
  <c r="C6" i="6"/>
  <c r="C8" i="6" s="1"/>
  <c r="L5" i="6"/>
  <c r="K7" i="6" s="1"/>
  <c r="L4" i="6"/>
  <c r="C7" i="6" l="1"/>
  <c r="H7" i="6"/>
  <c r="L9" i="6"/>
  <c r="L8" i="6"/>
  <c r="C21" i="6" s="1"/>
  <c r="D7" i="6"/>
  <c r="C25" i="6"/>
  <c r="E7" i="6"/>
  <c r="F7" i="6"/>
  <c r="G7" i="6"/>
  <c r="L6" i="6"/>
  <c r="J7" i="6"/>
  <c r="I7" i="6"/>
  <c r="L7" i="6" l="1"/>
  <c r="C23" i="6"/>
</calcChain>
</file>

<file path=xl/sharedStrings.xml><?xml version="1.0" encoding="utf-8"?>
<sst xmlns="http://schemas.openxmlformats.org/spreadsheetml/2006/main" count="259" uniqueCount="164">
  <si>
    <t xml:space="preserve"> </t>
  </si>
  <si>
    <t>Childhood Suicide Attempts</t>
  </si>
  <si>
    <t>Adult Suicide Attempts</t>
  </si>
  <si>
    <t>7 and above</t>
  </si>
  <si>
    <t xml:space="preserve">Инвалидность детей  0-17 лет  на  конец  года </t>
  </si>
  <si>
    <t xml:space="preserve">(общая  инвалидность на 100 тыс. населения) </t>
  </si>
  <si>
    <t>всего по РФ</t>
  </si>
  <si>
    <t>0-17 лет</t>
  </si>
  <si>
    <t>Год</t>
  </si>
  <si>
    <t>Всего инв.</t>
  </si>
  <si>
    <t>Детское население</t>
  </si>
  <si>
    <t>Дети c F84.*</t>
  </si>
  <si>
    <t>ВПИ Дети c F84.*</t>
  </si>
  <si>
    <t>ППИ Дети c F84.*</t>
  </si>
  <si>
    <t>Взрослое население</t>
  </si>
  <si>
    <t>Взр. инв. F84.*</t>
  </si>
  <si>
    <t>ВПИ Взр. инв. F84.*</t>
  </si>
  <si>
    <t>ППИ Взр. инв. F84.*</t>
  </si>
  <si>
    <t>%</t>
  </si>
  <si>
    <t>Изменение к 
предыдущему году</t>
  </si>
  <si>
    <t>Дети ППИ/
взрослые ППИ</t>
  </si>
  <si>
    <t>Дети ВПИ/
Дети ППИ</t>
  </si>
  <si>
    <t>Прирост, 
дети с ППИ</t>
  </si>
  <si>
    <t>Число детских лишений и последующих попыток 
самоубийств в детстве и взрослой жизни</t>
  </si>
  <si>
    <t>Число веселых людей в регионе и численность населения</t>
  </si>
  <si>
    <t>Число смеющихся, человек</t>
  </si>
  <si>
    <t>Численность населения</t>
  </si>
  <si>
    <t>Общий коэффициент веселости
на 1000 человек населения</t>
  </si>
  <si>
    <t>Распределение студентов дневного отделения по возрасту</t>
  </si>
  <si>
    <t>Возраст, X</t>
  </si>
  <si>
    <t>Число студентов, f</t>
  </si>
  <si>
    <t>Средний арифметический возраст</t>
  </si>
  <si>
    <t>Средневзвешенный возраст</t>
  </si>
  <si>
    <t>Среднеквадратический возраст</t>
  </si>
  <si>
    <t>Среднегармонический возраст</t>
  </si>
  <si>
    <t>=СРЗНАЧ()</t>
  </si>
  <si>
    <t>Сумма</t>
  </si>
  <si>
    <t>Произведение</t>
  </si>
  <si>
    <t>Степень</t>
  </si>
  <si>
    <t>х^2*f</t>
  </si>
  <si>
    <t>=ПРОИЗВЕД(C7:K7)</t>
  </si>
  <si>
    <t>=КОРЕНЬ(L8/L5)</t>
  </si>
  <si>
    <t>Среднеквадратический возраст взв</t>
  </si>
  <si>
    <t>Среднегеометрический возраст взв</t>
  </si>
  <si>
    <t>Среднегармонический возраст взв</t>
  </si>
  <si>
    <t>f/x</t>
  </si>
  <si>
    <t>=L5/L9</t>
  </si>
  <si>
    <t xml:space="preserve">Среднегеометрический возраст </t>
  </si>
  <si>
    <t>=КОРЕНЬ(СУММКВ(C4:K4)/СЧЁТ(C4:K4))</t>
  </si>
  <si>
    <t>=СРГЕОМ(C4:K4)</t>
  </si>
  <si>
    <t>=СРГАРМ(C4:K4)</t>
  </si>
  <si>
    <t>=СУММПРОИЗВ(C4:K4;C5:K5)/СУММ(C5:K5)</t>
  </si>
  <si>
    <t>Произведение xf</t>
  </si>
  <si>
    <t>x в степени  f/M</t>
  </si>
  <si>
    <t>Индекс инфляции</t>
  </si>
  <si>
    <t>При усреднении индексов или процентных соотношений применяется средняя геометрическая</t>
  </si>
  <si>
    <t>Определить общий объем выпущенной продукции тремя филиалами</t>
  </si>
  <si>
    <t>Номер филиала</t>
  </si>
  <si>
    <t>планируемый объем
 выпуска продукции, млн.руб.</t>
  </si>
  <si>
    <t>Объем выпущенной
 продукции</t>
  </si>
  <si>
    <t>выполнение плана,
%</t>
  </si>
  <si>
    <t>Определить % выполнения плана</t>
  </si>
  <si>
    <t>Вид продукта</t>
  </si>
  <si>
    <t>Физическая масса</t>
  </si>
  <si>
    <t>по плану</t>
  </si>
  <si>
    <t>фактически</t>
  </si>
  <si>
    <t>% выполнения
 плана</t>
  </si>
  <si>
    <t>Мыло хозяйственное</t>
  </si>
  <si>
    <t>Мыло туалетное</t>
  </si>
  <si>
    <t>Стиральный порошок</t>
  </si>
  <si>
    <t>Выручка предприятия выросла в 2018 году по сравнению с 2017 на 14%, а в 2019 - на 37% от уровня 2018.</t>
  </si>
  <si>
    <t>Определить средний рост выручки</t>
  </si>
  <si>
    <t>Жилищный фонд
млн. м2</t>
  </si>
  <si>
    <t>Численность населения
млн. чел.</t>
  </si>
  <si>
    <t>Обеспеченность 
площадью</t>
  </si>
  <si>
    <t>Рассчитать средние значения обеспеченности</t>
  </si>
  <si>
    <t>Рассчитать среднее взвешенное значение жилищного фонда с учетом численности населения</t>
  </si>
  <si>
    <t>Вычислить среднюю урожайность по 3-м фермерским хозяйствам</t>
  </si>
  <si>
    <t>Хозяйство</t>
  </si>
  <si>
    <t>Урожайность
ц/га</t>
  </si>
  <si>
    <t>Валовый сбор 
зерновых</t>
  </si>
  <si>
    <t>Итого:</t>
  </si>
  <si>
    <t>Ср. геом.</t>
  </si>
  <si>
    <t>Какой вывод?</t>
  </si>
  <si>
    <t>Темп роста дети</t>
  </si>
  <si>
    <t>Темп роста взр</t>
  </si>
  <si>
    <t xml:space="preserve">Имеются данные по количеству работников, имеющих определенный стаж работы в организации. </t>
  </si>
  <si>
    <t>Осуществить группировку по стажу, построив дискретный и интервальный ряды</t>
  </si>
  <si>
    <r>
      <t>k = 1 + (1,44</t>
    </r>
    <r>
      <rPr>
        <b/>
        <sz val="28"/>
        <color rgb="FF2E75B6"/>
        <rFont val="+mn-ea"/>
      </rPr>
      <t>× ln</t>
    </r>
    <r>
      <rPr>
        <b/>
        <sz val="28"/>
        <color rgb="FF2E75B6"/>
        <rFont val="Myriad Pro"/>
      </rPr>
      <t xml:space="preserve">N), </t>
    </r>
  </si>
  <si>
    <t>Внешнеторговый оборот по таможенным постам, млн. $</t>
  </si>
  <si>
    <t>стаж, X</t>
  </si>
  <si>
    <t>число 
работников</t>
  </si>
  <si>
    <t>Пост</t>
  </si>
  <si>
    <t>Оборот</t>
  </si>
  <si>
    <t>от</t>
  </si>
  <si>
    <t>до</t>
  </si>
  <si>
    <t>кол-во постов</t>
  </si>
  <si>
    <t>N</t>
  </si>
  <si>
    <t>k</t>
  </si>
  <si>
    <t>h</t>
  </si>
  <si>
    <t>Итого</t>
  </si>
  <si>
    <t>=СЧЁТЕСЛИМН($F$9:$F$43;"&gt;="&amp;K9;$F$9:$F$43;"&lt;="&amp;L9)</t>
  </si>
  <si>
    <r>
      <t>k = 1 + (3,322× lgN) или k = 1 + (1,44</t>
    </r>
    <r>
      <rPr>
        <b/>
        <sz val="12"/>
        <color rgb="FF2E75B6"/>
        <rFont val="+mn-ea"/>
      </rPr>
      <t>× l</t>
    </r>
    <r>
      <rPr>
        <b/>
        <sz val="12"/>
        <color rgb="FF2E75B6"/>
        <rFont val="Myriad Pro"/>
      </rPr>
      <t>nN)</t>
    </r>
  </si>
  <si>
    <r>
      <t>h = (Х</t>
    </r>
    <r>
      <rPr>
        <b/>
        <vertAlign val="subscript"/>
        <sz val="12"/>
        <color rgb="FF2E75B6"/>
        <rFont val="Myriad Pro"/>
      </rPr>
      <t>max</t>
    </r>
    <r>
      <rPr>
        <b/>
        <sz val="12"/>
        <color rgb="FF2E75B6"/>
        <rFont val="Myriad Pro"/>
      </rPr>
      <t xml:space="preserve"> - X</t>
    </r>
    <r>
      <rPr>
        <b/>
        <vertAlign val="subscript"/>
        <sz val="12"/>
        <color rgb="FF2E75B6"/>
        <rFont val="Myriad Pro"/>
      </rPr>
      <t>min</t>
    </r>
    <r>
      <rPr>
        <b/>
        <sz val="12"/>
        <color rgb="FF2E75B6"/>
        <rFont val="Myriad Pro"/>
      </rPr>
      <t>)/k</t>
    </r>
  </si>
  <si>
    <t>Показать!</t>
  </si>
  <si>
    <t>Все население</t>
  </si>
  <si>
    <t>   в том числе в возрасте,  лет:</t>
  </si>
  <si>
    <t>накопленные частоты</t>
  </si>
  <si>
    <t>0-4</t>
  </si>
  <si>
    <t>Нижняя граница медианного диапазона</t>
  </si>
  <si>
    <t>5-9</t>
  </si>
  <si>
    <t>Величина интервала</t>
  </si>
  <si>
    <t>10-14</t>
  </si>
  <si>
    <t>Накопленная частота в предмедианном диапазоне</t>
  </si>
  <si>
    <t>15-19</t>
  </si>
  <si>
    <t>Медианная частота</t>
  </si>
  <si>
    <t>20-24</t>
  </si>
  <si>
    <t>Медиана</t>
  </si>
  <si>
    <t>=G6+G7*(C4/2-G8)/G9</t>
  </si>
  <si>
    <t>25-29</t>
  </si>
  <si>
    <t>30-34</t>
  </si>
  <si>
    <t>35-39</t>
  </si>
  <si>
    <t>Модальная численность</t>
  </si>
  <si>
    <t>40-44</t>
  </si>
  <si>
    <t>нижняя граница модального интервала</t>
  </si>
  <si>
    <t>45-49</t>
  </si>
  <si>
    <t>величина модального интервала</t>
  </si>
  <si>
    <t>50-54</t>
  </si>
  <si>
    <t>частота модального интервала</t>
  </si>
  <si>
    <t>55-59</t>
  </si>
  <si>
    <t>частота предмодального интервала</t>
  </si>
  <si>
    <t>60-64</t>
  </si>
  <si>
    <t>частота постмодального интервала</t>
  </si>
  <si>
    <t>65-69</t>
  </si>
  <si>
    <t>Модальный возраст</t>
  </si>
  <si>
    <t>=G14+G15*(G16-G17)/((G16-G17)+(G16-G18))</t>
  </si>
  <si>
    <t>70 и более</t>
  </si>
  <si>
    <t>Номер 
посетителя</t>
  </si>
  <si>
    <t>Процент съеденного 
по отношению к бигмаку</t>
  </si>
  <si>
    <t>Среднее арифм.</t>
  </si>
  <si>
    <t>=СРЗНАЧ(C4:C16)</t>
  </si>
  <si>
    <t>=МЕДИАНА(C4:C16)</t>
  </si>
  <si>
    <t>квартиль 1</t>
  </si>
  <si>
    <t>=КВАРТИЛЬ.ВКЛ($C$4:$C$16;1)</t>
  </si>
  <si>
    <t>квартиль 2</t>
  </si>
  <si>
    <t>=КВАРТИЛЬ.ВКЛ($C$4:$C$16;2)</t>
  </si>
  <si>
    <t>квартиль 3</t>
  </si>
  <si>
    <t>=КВАРТИЛЬ.ВКЛ($C$4:$C$16;3)</t>
  </si>
  <si>
    <t>процентиль 10й</t>
  </si>
  <si>
    <t>=ПРОЦЕНТИЛЬ.ВКЛ($C$4:$C$16;0.1)</t>
  </si>
  <si>
    <t>процентиль 25й</t>
  </si>
  <si>
    <t>=ПРОЦЕНТИЛЬ.ВКЛ($C$4:$C$16;0.25)</t>
  </si>
  <si>
    <t>дисперсия</t>
  </si>
  <si>
    <t>=ДИСП.В(C4:C16)</t>
  </si>
  <si>
    <t>стандартное 
отклонение</t>
  </si>
  <si>
    <t>=СТАНДОТКЛОН.В(C4:C16)</t>
  </si>
  <si>
    <t>=МАКС(C6:C20)</t>
  </si>
  <si>
    <t>Дети ППИ/общему числу инвалидов</t>
  </si>
  <si>
    <t>F84 - диагноз по МКБ10</t>
  </si>
  <si>
    <t>ППИ - Первично признанная инвалидность</t>
  </si>
  <si>
    <t>ВПИ - Вторично признанная инвалидность</t>
  </si>
  <si>
    <t>Абсолютные и относительные показатели, интенсивные, экстенсивные показатели; показатели наглядности</t>
  </si>
  <si>
    <t>Прирост по сравнению
 с отсутствием (дети)</t>
  </si>
  <si>
    <t>к округлять вниз!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</si>
</sst>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.5"/>
      <color rgb="FF002060"/>
      <name val="Arial"/>
      <family val="2"/>
      <charset val="204"/>
    </font>
    <font>
      <b/>
      <sz val="14"/>
      <color rgb="FF0070C0"/>
      <name val="Calibri"/>
      <family val="2"/>
      <charset val="204"/>
      <scheme val="minor"/>
    </font>
    <font>
      <b/>
      <sz val="12"/>
      <color theme="4" tint="-0.249977111117893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4"/>
      <color rgb="FF2E75B6"/>
      <name val="Myriad Pro"/>
    </font>
    <font>
      <sz val="11"/>
      <color rgb="FFFF0000"/>
      <name val="Calibri"/>
      <family val="2"/>
      <charset val="204"/>
      <scheme val="minor"/>
    </font>
    <font>
      <b/>
      <sz val="12"/>
      <color rgb="FF2E75B6"/>
      <name val="Myriad Pro"/>
    </font>
    <font>
      <b/>
      <sz val="28"/>
      <color rgb="FF2E75B6"/>
      <name val="Myriad Pro"/>
    </font>
    <font>
      <b/>
      <sz val="28"/>
      <color rgb="FF2E75B6"/>
      <name val="+mn-ea"/>
    </font>
    <font>
      <sz val="11"/>
      <name val="Calibri"/>
      <family val="2"/>
      <charset val="204"/>
      <scheme val="minor"/>
    </font>
    <font>
      <b/>
      <sz val="14"/>
      <color theme="4" tint="-0.249977111117893"/>
      <name val="Calibri"/>
      <family val="2"/>
      <charset val="204"/>
      <scheme val="minor"/>
    </font>
    <font>
      <b/>
      <sz val="12"/>
      <color rgb="FF2E75B6"/>
      <name val="Myriad Pro"/>
      <charset val="204"/>
    </font>
    <font>
      <b/>
      <sz val="12"/>
      <color rgb="FF2E75B6"/>
      <name val="+mn-ea"/>
    </font>
    <font>
      <b/>
      <vertAlign val="subscript"/>
      <sz val="12"/>
      <color rgb="FF2E75B6"/>
      <name val="Myriad Pro"/>
    </font>
    <font>
      <b/>
      <sz val="10"/>
      <name val="Arial"/>
      <family val="2"/>
    </font>
    <font>
      <b/>
      <sz val="9"/>
      <name val="Arial"/>
      <family val="2"/>
      <charset val="204"/>
    </font>
    <font>
      <b/>
      <sz val="12"/>
      <color rgb="FF0070C0"/>
      <name val="Arial"/>
      <family val="2"/>
      <charset val="204"/>
    </font>
    <font>
      <b/>
      <sz val="12"/>
      <color rgb="FF0070C0"/>
      <name val="Calibri"/>
      <family val="2"/>
      <charset val="204"/>
      <scheme val="minor"/>
    </font>
    <font>
      <b/>
      <sz val="12"/>
      <color theme="7" tint="-0.249977111117893"/>
      <name val="Calibri"/>
      <family val="2"/>
      <charset val="204"/>
      <scheme val="minor"/>
    </font>
    <font>
      <b/>
      <sz val="12"/>
      <color theme="9" tint="-0.249977111117893"/>
      <name val="Calibri"/>
      <family val="2"/>
      <charset val="204"/>
      <scheme val="minor"/>
    </font>
    <font>
      <b/>
      <sz val="16"/>
      <color theme="8" tint="-0.249977111117893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0" borderId="0" xfId="0" applyAlignment="1">
      <alignment horizontal="center" vertical="center"/>
    </xf>
    <xf numFmtId="165" fontId="3" fillId="0" borderId="0" xfId="0" applyNumberFormat="1" applyFont="1"/>
    <xf numFmtId="165" fontId="0" fillId="0" borderId="0" xfId="0" applyNumberFormat="1"/>
    <xf numFmtId="0" fontId="4" fillId="0" borderId="0" xfId="0" applyFont="1"/>
    <xf numFmtId="0" fontId="4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wrapText="1"/>
    </xf>
    <xf numFmtId="0" fontId="5" fillId="2" borderId="1" xfId="0" applyFont="1" applyFill="1" applyBorder="1"/>
    <xf numFmtId="0" fontId="5" fillId="0" borderId="1" xfId="0" applyFont="1" applyFill="1" applyBorder="1"/>
    <xf numFmtId="0" fontId="3" fillId="0" borderId="1" xfId="0" applyFont="1" applyBorder="1"/>
    <xf numFmtId="0" fontId="0" fillId="0" borderId="0" xfId="0" applyAlignment="1">
      <alignment horizontal="left"/>
    </xf>
    <xf numFmtId="0" fontId="6" fillId="0" borderId="0" xfId="0" applyFont="1" applyAlignment="1"/>
    <xf numFmtId="0" fontId="0" fillId="3" borderId="0" xfId="0" applyFill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0" borderId="0" xfId="0" quotePrefix="1" applyFont="1"/>
    <xf numFmtId="0" fontId="3" fillId="0" borderId="0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Fill="1" applyBorder="1"/>
    <xf numFmtId="0" fontId="3" fillId="0" borderId="1" xfId="0" applyFont="1" applyFill="1" applyBorder="1"/>
    <xf numFmtId="0" fontId="8" fillId="0" borderId="0" xfId="0" applyFont="1" applyAlignment="1">
      <alignment horizontal="left" vertical="center" readingOrder="1"/>
    </xf>
    <xf numFmtId="0" fontId="9" fillId="0" borderId="0" xfId="0" applyFont="1"/>
    <xf numFmtId="0" fontId="11" fillId="0" borderId="0" xfId="0" applyFont="1"/>
    <xf numFmtId="0" fontId="0" fillId="0" borderId="0" xfId="0" quotePrefix="1"/>
    <xf numFmtId="0" fontId="13" fillId="0" borderId="0" xfId="0" applyFont="1"/>
    <xf numFmtId="0" fontId="8" fillId="0" borderId="0" xfId="0" applyFont="1"/>
    <xf numFmtId="0" fontId="7" fillId="0" borderId="0" xfId="0" applyFont="1"/>
    <xf numFmtId="0" fontId="0" fillId="0" borderId="0" xfId="0" applyAlignment="1">
      <alignment horizontal="left" indent="5"/>
    </xf>
    <xf numFmtId="0" fontId="16" fillId="4" borderId="2" xfId="0" applyFont="1" applyFill="1" applyBorder="1" applyAlignment="1">
      <alignment vertical="top" wrapText="1"/>
    </xf>
    <xf numFmtId="0" fontId="16" fillId="4" borderId="2" xfId="0" applyFont="1" applyFill="1" applyBorder="1" applyAlignment="1">
      <alignment horizontal="center" wrapText="1"/>
    </xf>
    <xf numFmtId="0" fontId="17" fillId="5" borderId="2" xfId="0" applyFont="1" applyFill="1" applyBorder="1" applyAlignment="1">
      <alignment wrapText="1"/>
    </xf>
    <xf numFmtId="0" fontId="17" fillId="5" borderId="2" xfId="0" applyFont="1" applyFill="1" applyBorder="1" applyAlignment="1">
      <alignment horizontal="right" wrapText="1"/>
    </xf>
    <xf numFmtId="0" fontId="19" fillId="0" borderId="0" xfId="0" applyFont="1"/>
    <xf numFmtId="0" fontId="19" fillId="0" borderId="0" xfId="0" applyFont="1" applyAlignment="1">
      <alignment horizontal="left" indent="5"/>
    </xf>
    <xf numFmtId="0" fontId="18" fillId="0" borderId="2" xfId="0" applyFont="1" applyBorder="1" applyAlignment="1">
      <alignment horizontal="center" wrapText="1"/>
    </xf>
    <xf numFmtId="49" fontId="18" fillId="0" borderId="2" xfId="0" applyNumberFormat="1" applyFont="1" applyBorder="1" applyAlignment="1">
      <alignment horizontal="center" wrapText="1"/>
    </xf>
    <xf numFmtId="0" fontId="19" fillId="0" borderId="0" xfId="0" quotePrefix="1" applyFont="1" applyAlignment="1">
      <alignment horizontal="left" indent="5"/>
    </xf>
    <xf numFmtId="0" fontId="18" fillId="6" borderId="2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22" fillId="0" borderId="0" xfId="0" applyFont="1"/>
    <xf numFmtId="9" fontId="3" fillId="3" borderId="1" xfId="1" applyFont="1" applyFill="1" applyBorder="1"/>
    <xf numFmtId="0" fontId="12" fillId="0" borderId="1" xfId="0" applyFont="1" applyBorder="1"/>
    <xf numFmtId="2" fontId="12" fillId="3" borderId="1" xfId="0" applyNumberFormat="1" applyFont="1" applyFill="1" applyBorder="1"/>
    <xf numFmtId="0" fontId="12" fillId="3" borderId="1" xfId="0" applyFont="1" applyFill="1" applyBorder="1"/>
    <xf numFmtId="2" fontId="12" fillId="0" borderId="1" xfId="0" quotePrefix="1" applyNumberFormat="1" applyFont="1" applyBorder="1"/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/>
    <xf numFmtId="164" fontId="3" fillId="3" borderId="1" xfId="0" applyNumberFormat="1" applyFont="1" applyFill="1" applyBorder="1"/>
    <xf numFmtId="0" fontId="18" fillId="0" borderId="4" xfId="0" applyFont="1" applyBorder="1" applyAlignment="1">
      <alignment horizontal="right" wrapText="1"/>
    </xf>
    <xf numFmtId="0" fontId="18" fillId="6" borderId="4" xfId="0" applyFont="1" applyFill="1" applyBorder="1" applyAlignment="1">
      <alignment horizontal="right" wrapText="1"/>
    </xf>
    <xf numFmtId="0" fontId="18" fillId="3" borderId="4" xfId="0" applyFont="1" applyFill="1" applyBorder="1" applyAlignment="1">
      <alignment horizontal="right" wrapText="1"/>
    </xf>
    <xf numFmtId="0" fontId="19" fillId="0" borderId="1" xfId="0" applyFont="1" applyBorder="1"/>
    <xf numFmtId="0" fontId="19" fillId="6" borderId="1" xfId="0" applyFont="1" applyFill="1" applyBorder="1"/>
    <xf numFmtId="0" fontId="19" fillId="3" borderId="1" xfId="0" applyFont="1" applyFill="1" applyBorder="1"/>
    <xf numFmtId="0" fontId="20" fillId="0" borderId="1" xfId="0" applyFont="1" applyBorder="1"/>
    <xf numFmtId="0" fontId="19" fillId="3" borderId="1" xfId="0" quotePrefix="1" applyFont="1" applyFill="1" applyBorder="1"/>
    <xf numFmtId="0" fontId="21" fillId="0" borderId="1" xfId="0" applyFont="1" applyBorder="1"/>
    <xf numFmtId="0" fontId="19" fillId="0" borderId="1" xfId="0" applyFont="1" applyBorder="1" applyAlignment="1">
      <alignment vertical="center"/>
    </xf>
    <xf numFmtId="0" fontId="18" fillId="0" borderId="3" xfId="0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6" borderId="4" xfId="0" applyFont="1" applyFill="1" applyBorder="1" applyAlignment="1">
      <alignment horizontal="center" wrapText="1"/>
    </xf>
    <xf numFmtId="0" fontId="18" fillId="3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0" fontId="3" fillId="3" borderId="1" xfId="0" quotePrefix="1" applyFont="1" applyFill="1" applyBorder="1"/>
    <xf numFmtId="0" fontId="3" fillId="3" borderId="1" xfId="0" quotePrefix="1" applyFont="1" applyFill="1" applyBorder="1" applyAlignment="1">
      <alignment horizontal="center"/>
    </xf>
    <xf numFmtId="2" fontId="5" fillId="2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
работников от стажа</a:t>
            </a:r>
          </a:p>
          <a:p>
            <a:pPr>
              <a:defRPr/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'Стерджес р'!$C$8</c:f>
              <c:strCache>
                <c:ptCount val="1"/>
                <c:pt idx="0">
                  <c:v>число 
работников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'Стерджес р'!$B$9:$B$19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'Стерджес р'!$C$9:$C$19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1-4DF8-B826-D01A4F5B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29706240"/>
        <c:axId val="1278366000"/>
      </c:lineChart>
      <c:catAx>
        <c:axId val="10297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366000"/>
        <c:crosses val="autoZero"/>
        <c:auto val="1"/>
        <c:lblAlgn val="ctr"/>
        <c:lblOffset val="100"/>
        <c:noMultiLvlLbl val="0"/>
      </c:catAx>
      <c:valAx>
        <c:axId val="127836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70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Население РФ по возрастам</a:t>
            </a:r>
          </a:p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'Медиана и мода инт. ряда'!$B$6</c:f>
              <c:strCache>
                <c:ptCount val="1"/>
                <c:pt idx="0">
                  <c:v>0-4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ряда'!$C$6</c:f>
              <c:numCache>
                <c:formatCode>General</c:formatCode>
                <c:ptCount val="1"/>
                <c:pt idx="0">
                  <c:v>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6-4F45-9B5B-E0B4FA56A877}"/>
            </c:ext>
          </c:extLst>
        </c:ser>
        <c:ser>
          <c:idx val="1"/>
          <c:order val="1"/>
          <c:tx>
            <c:strRef>
              <c:f>'Медиана и мода инт. ряда'!$B$7</c:f>
              <c:strCache>
                <c:ptCount val="1"/>
                <c:pt idx="0">
                  <c:v>5-9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ряда'!$C$7</c:f>
              <c:numCache>
                <c:formatCode>General</c:formatCode>
                <c:ptCount val="1"/>
                <c:pt idx="0">
                  <c:v>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6-4F45-9B5B-E0B4FA56A877}"/>
            </c:ext>
          </c:extLst>
        </c:ser>
        <c:ser>
          <c:idx val="2"/>
          <c:order val="2"/>
          <c:tx>
            <c:strRef>
              <c:f>'Медиана и мода инт. ряда'!$B$8</c:f>
              <c:strCache>
                <c:ptCount val="1"/>
                <c:pt idx="0">
                  <c:v>10-14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ряда'!$C$8</c:f>
              <c:numCache>
                <c:formatCode>General</c:formatCode>
                <c:ptCount val="1"/>
                <c:pt idx="0">
                  <c:v>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6-4F45-9B5B-E0B4FA56A877}"/>
            </c:ext>
          </c:extLst>
        </c:ser>
        <c:ser>
          <c:idx val="3"/>
          <c:order val="3"/>
          <c:tx>
            <c:strRef>
              <c:f>'Медиана и мода инт. ряда'!$B$9</c:f>
              <c:strCache>
                <c:ptCount val="1"/>
                <c:pt idx="0">
                  <c:v>15-19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ряда'!$C$9</c:f>
              <c:numCache>
                <c:formatCode>General</c:formatCode>
                <c:ptCount val="1"/>
                <c:pt idx="0">
                  <c:v>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6-4F45-9B5B-E0B4FA56A877}"/>
            </c:ext>
          </c:extLst>
        </c:ser>
        <c:ser>
          <c:idx val="4"/>
          <c:order val="4"/>
          <c:tx>
            <c:strRef>
              <c:f>'Медиана и мода инт. ряда'!$B$10</c:f>
              <c:strCache>
                <c:ptCount val="1"/>
                <c:pt idx="0">
                  <c:v>20-24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ряда'!$C$10</c:f>
              <c:numCache>
                <c:formatCode>General</c:formatCode>
                <c:ptCount val="1"/>
                <c:pt idx="0">
                  <c:v>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6-4F45-9B5B-E0B4FA56A877}"/>
            </c:ext>
          </c:extLst>
        </c:ser>
        <c:ser>
          <c:idx val="5"/>
          <c:order val="5"/>
          <c:tx>
            <c:strRef>
              <c:f>'Медиана и мода инт. ряда'!$B$11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ряда'!$C$11</c:f>
              <c:numCache>
                <c:formatCode>General</c:formatCode>
                <c:ptCount val="1"/>
                <c:pt idx="0">
                  <c:v>10222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D6-4F45-9B5B-E0B4FA56A877}"/>
            </c:ext>
          </c:extLst>
        </c:ser>
        <c:ser>
          <c:idx val="6"/>
          <c:order val="6"/>
          <c:tx>
            <c:strRef>
              <c:f>'Медиана и мода инт. ряда'!$B$12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ряда'!$C$12</c:f>
              <c:numCache>
                <c:formatCode>General</c:formatCode>
                <c:ptCount val="1"/>
                <c:pt idx="0">
                  <c:v>12718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D6-4F45-9B5B-E0B4FA56A877}"/>
            </c:ext>
          </c:extLst>
        </c:ser>
        <c:ser>
          <c:idx val="7"/>
          <c:order val="7"/>
          <c:tx>
            <c:strRef>
              <c:f>'Медиана и мода инт. ряда'!$B$13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ряда'!$C$13</c:f>
              <c:numCache>
                <c:formatCode>General</c:formatCode>
                <c:ptCount val="1"/>
                <c:pt idx="0">
                  <c:v>11735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D6-4F45-9B5B-E0B4FA56A877}"/>
            </c:ext>
          </c:extLst>
        </c:ser>
        <c:ser>
          <c:idx val="8"/>
          <c:order val="8"/>
          <c:tx>
            <c:strRef>
              <c:f>'Медиана и мода инт. ряда'!$B$14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ряда'!$C$14</c:f>
              <c:numCache>
                <c:formatCode>General</c:formatCode>
                <c:ptCount val="1"/>
                <c:pt idx="0">
                  <c:v>10594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D6-4F45-9B5B-E0B4FA56A877}"/>
            </c:ext>
          </c:extLst>
        </c:ser>
        <c:ser>
          <c:idx val="9"/>
          <c:order val="9"/>
          <c:tx>
            <c:strRef>
              <c:f>'Медиана и мода инт. ряда'!$B$15</c:f>
              <c:strCache>
                <c:ptCount val="1"/>
                <c:pt idx="0">
                  <c:v>45-49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ряда'!$C$15</c:f>
              <c:numCache>
                <c:formatCode>General</c:formatCode>
                <c:ptCount val="1"/>
                <c:pt idx="0">
                  <c:v>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D6-4F45-9B5B-E0B4FA56A877}"/>
            </c:ext>
          </c:extLst>
        </c:ser>
        <c:ser>
          <c:idx val="10"/>
          <c:order val="10"/>
          <c:tx>
            <c:strRef>
              <c:f>'Медиана и мода инт. ряда'!$B$16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ряда'!$C$16</c:f>
              <c:numCache>
                <c:formatCode>General</c:formatCode>
                <c:ptCount val="1"/>
                <c:pt idx="0">
                  <c:v>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D6-4F45-9B5B-E0B4FA56A877}"/>
            </c:ext>
          </c:extLst>
        </c:ser>
        <c:ser>
          <c:idx val="11"/>
          <c:order val="11"/>
          <c:tx>
            <c:strRef>
              <c:f>'Медиана и мода инт. ряда'!$B$17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ряда'!$C$17</c:f>
              <c:numCache>
                <c:formatCode>General</c:formatCode>
                <c:ptCount val="1"/>
                <c:pt idx="0">
                  <c:v>10811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D6-4F45-9B5B-E0B4FA56A877}"/>
            </c:ext>
          </c:extLst>
        </c:ser>
        <c:ser>
          <c:idx val="12"/>
          <c:order val="12"/>
          <c:tx>
            <c:strRef>
              <c:f>'Медиана и мода инт. ряда'!$B$18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ряда'!$C$18</c:f>
              <c:numCache>
                <c:formatCode>General</c:formatCode>
                <c:ptCount val="1"/>
                <c:pt idx="0">
                  <c:v>10027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D6-4F45-9B5B-E0B4FA56A877}"/>
            </c:ext>
          </c:extLst>
        </c:ser>
        <c:ser>
          <c:idx val="13"/>
          <c:order val="13"/>
          <c:tx>
            <c:strRef>
              <c:f>'Медиана и мода инт. ряда'!$B$19</c:f>
              <c:strCache>
                <c:ptCount val="1"/>
                <c:pt idx="0">
                  <c:v>65-69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ряда'!$C$19</c:f>
              <c:numCache>
                <c:formatCode>General</c:formatCode>
                <c:ptCount val="1"/>
                <c:pt idx="0">
                  <c:v>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D6-4F45-9B5B-E0B4FA56A877}"/>
            </c:ext>
          </c:extLst>
        </c:ser>
        <c:ser>
          <c:idx val="14"/>
          <c:order val="14"/>
          <c:tx>
            <c:strRef>
              <c:f>'Медиана и мода инт. ряда'!$B$20</c:f>
              <c:strCache>
                <c:ptCount val="1"/>
                <c:pt idx="0">
                  <c:v>70 и более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ряда'!$C$20</c:f>
              <c:numCache>
                <c:formatCode>General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D6-4F45-9B5B-E0B4FA56A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7888576"/>
        <c:axId val="946927504"/>
        <c:axId val="0"/>
      </c:bar3DChart>
      <c:catAx>
        <c:axId val="10578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927504"/>
        <c:crosses val="autoZero"/>
        <c:auto val="1"/>
        <c:lblAlgn val="ctr"/>
        <c:lblOffset val="100"/>
        <c:noMultiLvlLbl val="0"/>
      </c:catAx>
      <c:valAx>
        <c:axId val="9469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8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Население РФ по возрастам</a:t>
            </a:r>
          </a:p>
          <a:p>
            <a:pPr>
              <a:defRPr/>
            </a:pPr>
            <a:r>
              <a:rPr lang="ru-RU" sz="1800" b="0" i="0" baseline="0">
                <a:effectLst/>
              </a:rPr>
              <a:t>полигон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'Медиана и мода инт. ряда'!$B$6:$B$20</c:f>
              <c:strCache>
                <c:ptCount val="1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 и более</c:v>
                </c:pt>
              </c:strCache>
            </c:strRef>
          </c:cat>
          <c:val>
            <c:numRef>
              <c:f>'Медиана и мода инт. ряда'!$C$6:$C$20</c:f>
              <c:numCache>
                <c:formatCode>General</c:formatCode>
                <c:ptCount val="15"/>
                <c:pt idx="0">
                  <c:v>9032</c:v>
                </c:pt>
                <c:pt idx="1">
                  <c:v>9085</c:v>
                </c:pt>
                <c:pt idx="2">
                  <c:v>7825</c:v>
                </c:pt>
                <c:pt idx="3">
                  <c:v>6947</c:v>
                </c:pt>
                <c:pt idx="4">
                  <c:v>7114</c:v>
                </c:pt>
                <c:pt idx="5">
                  <c:v>10222</c:v>
                </c:pt>
                <c:pt idx="6">
                  <c:v>12718</c:v>
                </c:pt>
                <c:pt idx="7">
                  <c:v>11735</c:v>
                </c:pt>
                <c:pt idx="8">
                  <c:v>10594</c:v>
                </c:pt>
                <c:pt idx="9">
                  <c:v>9674</c:v>
                </c:pt>
                <c:pt idx="10">
                  <c:v>9021</c:v>
                </c:pt>
                <c:pt idx="11">
                  <c:v>10811</c:v>
                </c:pt>
                <c:pt idx="12">
                  <c:v>10027</c:v>
                </c:pt>
                <c:pt idx="13">
                  <c:v>8179</c:v>
                </c:pt>
                <c:pt idx="14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6-4222-A56A-F56A0C96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29526832"/>
        <c:axId val="769065472"/>
      </c:lineChart>
      <c:catAx>
        <c:axId val="10295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065472"/>
        <c:crosses val="autoZero"/>
        <c:auto val="1"/>
        <c:lblAlgn val="ctr"/>
        <c:lblOffset val="100"/>
        <c:noMultiLvlLbl val="0"/>
      </c:catAx>
      <c:valAx>
        <c:axId val="76906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52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accent5">
                    <a:lumMod val="75000"/>
                  </a:schemeClr>
                </a:solidFill>
              </a:rPr>
              <a:t>Население по возрастам</a:t>
            </a:r>
          </a:p>
          <a:p>
            <a:pPr>
              <a:defRPr/>
            </a:pPr>
            <a:r>
              <a:rPr lang="ru-RU" b="1">
                <a:solidFill>
                  <a:schemeClr val="accent5">
                    <a:lumMod val="75000"/>
                  </a:schemeClr>
                </a:solidFill>
              </a:rPr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'Медиана и мода инт. ряда'!$B$6:$B$20</c:f>
              <c:strCache>
                <c:ptCount val="1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 и более</c:v>
                </c:pt>
              </c:strCache>
            </c:strRef>
          </c:cat>
          <c:val>
            <c:numRef>
              <c:f>'Медиана и мода инт. ряда'!$D$6:$D$20</c:f>
              <c:numCache>
                <c:formatCode>General</c:formatCode>
                <c:ptCount val="15"/>
                <c:pt idx="0">
                  <c:v>9032</c:v>
                </c:pt>
                <c:pt idx="1">
                  <c:v>18117</c:v>
                </c:pt>
                <c:pt idx="2">
                  <c:v>25942</c:v>
                </c:pt>
                <c:pt idx="3">
                  <c:v>32889</c:v>
                </c:pt>
                <c:pt idx="4">
                  <c:v>40003</c:v>
                </c:pt>
                <c:pt idx="5">
                  <c:v>50225</c:v>
                </c:pt>
                <c:pt idx="6">
                  <c:v>62943</c:v>
                </c:pt>
                <c:pt idx="7">
                  <c:v>74678</c:v>
                </c:pt>
                <c:pt idx="8">
                  <c:v>85272</c:v>
                </c:pt>
                <c:pt idx="9">
                  <c:v>94946</c:v>
                </c:pt>
                <c:pt idx="10">
                  <c:v>103967</c:v>
                </c:pt>
                <c:pt idx="11">
                  <c:v>114778</c:v>
                </c:pt>
                <c:pt idx="12">
                  <c:v>124805</c:v>
                </c:pt>
                <c:pt idx="13">
                  <c:v>132984</c:v>
                </c:pt>
                <c:pt idx="14">
                  <c:v>140484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A-444C-90D4-A222261FA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918992"/>
        <c:axId val="1278378480"/>
      </c:areaChart>
      <c:catAx>
        <c:axId val="129291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378480"/>
        <c:crosses val="autoZero"/>
        <c:auto val="1"/>
        <c:lblAlgn val="ctr"/>
        <c:lblOffset val="100"/>
        <c:noMultiLvlLbl val="0"/>
      </c:catAx>
      <c:valAx>
        <c:axId val="12783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91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Население РФ по возрастам</a:t>
            </a:r>
          </a:p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'Медиана и мода инт. ряда р'!$B$6</c:f>
              <c:strCache>
                <c:ptCount val="1"/>
                <c:pt idx="0">
                  <c:v>0-4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 р'!$C$6</c:f>
              <c:numCache>
                <c:formatCode>General</c:formatCode>
                <c:ptCount val="1"/>
                <c:pt idx="0">
                  <c:v>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8-42BE-8A84-961739C22901}"/>
            </c:ext>
          </c:extLst>
        </c:ser>
        <c:ser>
          <c:idx val="1"/>
          <c:order val="1"/>
          <c:tx>
            <c:strRef>
              <c:f>'Медиана и мода инт. ряда р'!$B$7</c:f>
              <c:strCache>
                <c:ptCount val="1"/>
                <c:pt idx="0">
                  <c:v>5-9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 р'!$C$7</c:f>
              <c:numCache>
                <c:formatCode>General</c:formatCode>
                <c:ptCount val="1"/>
                <c:pt idx="0">
                  <c:v>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8-42BE-8A84-961739C22901}"/>
            </c:ext>
          </c:extLst>
        </c:ser>
        <c:ser>
          <c:idx val="2"/>
          <c:order val="2"/>
          <c:tx>
            <c:strRef>
              <c:f>'Медиана и мода инт. ряда р'!$B$8</c:f>
              <c:strCache>
                <c:ptCount val="1"/>
                <c:pt idx="0">
                  <c:v>10-14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 р'!$C$8</c:f>
              <c:numCache>
                <c:formatCode>General</c:formatCode>
                <c:ptCount val="1"/>
                <c:pt idx="0">
                  <c:v>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8-42BE-8A84-961739C22901}"/>
            </c:ext>
          </c:extLst>
        </c:ser>
        <c:ser>
          <c:idx val="3"/>
          <c:order val="3"/>
          <c:tx>
            <c:strRef>
              <c:f>'Медиана и мода инт. ряда р'!$B$9</c:f>
              <c:strCache>
                <c:ptCount val="1"/>
                <c:pt idx="0">
                  <c:v>15-19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 р'!$C$9</c:f>
              <c:numCache>
                <c:formatCode>General</c:formatCode>
                <c:ptCount val="1"/>
                <c:pt idx="0">
                  <c:v>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8-42BE-8A84-961739C22901}"/>
            </c:ext>
          </c:extLst>
        </c:ser>
        <c:ser>
          <c:idx val="4"/>
          <c:order val="4"/>
          <c:tx>
            <c:strRef>
              <c:f>'Медиана и мода инт. ряда р'!$B$10</c:f>
              <c:strCache>
                <c:ptCount val="1"/>
                <c:pt idx="0">
                  <c:v>20-24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 р'!$C$10</c:f>
              <c:numCache>
                <c:formatCode>General</c:formatCode>
                <c:ptCount val="1"/>
                <c:pt idx="0">
                  <c:v>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E8-42BE-8A84-961739C22901}"/>
            </c:ext>
          </c:extLst>
        </c:ser>
        <c:ser>
          <c:idx val="5"/>
          <c:order val="5"/>
          <c:tx>
            <c:strRef>
              <c:f>'Медиана и мода инт. ряда р'!$B$11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 р'!$C$11</c:f>
              <c:numCache>
                <c:formatCode>General</c:formatCode>
                <c:ptCount val="1"/>
                <c:pt idx="0">
                  <c:v>10222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8-42BE-8A84-961739C22901}"/>
            </c:ext>
          </c:extLst>
        </c:ser>
        <c:ser>
          <c:idx val="6"/>
          <c:order val="6"/>
          <c:tx>
            <c:strRef>
              <c:f>'Медиана и мода инт. ряда р'!$B$12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 р'!$C$12</c:f>
              <c:numCache>
                <c:formatCode>General</c:formatCode>
                <c:ptCount val="1"/>
                <c:pt idx="0">
                  <c:v>12718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E8-42BE-8A84-961739C22901}"/>
            </c:ext>
          </c:extLst>
        </c:ser>
        <c:ser>
          <c:idx val="7"/>
          <c:order val="7"/>
          <c:tx>
            <c:strRef>
              <c:f>'Медиана и мода инт. ряда р'!$B$13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 р'!$C$13</c:f>
              <c:numCache>
                <c:formatCode>General</c:formatCode>
                <c:ptCount val="1"/>
                <c:pt idx="0">
                  <c:v>11735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8-42BE-8A84-961739C22901}"/>
            </c:ext>
          </c:extLst>
        </c:ser>
        <c:ser>
          <c:idx val="8"/>
          <c:order val="8"/>
          <c:tx>
            <c:strRef>
              <c:f>'Медиана и мода инт. ряда р'!$B$14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 р'!$C$14</c:f>
              <c:numCache>
                <c:formatCode>General</c:formatCode>
                <c:ptCount val="1"/>
                <c:pt idx="0">
                  <c:v>10594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E8-42BE-8A84-961739C22901}"/>
            </c:ext>
          </c:extLst>
        </c:ser>
        <c:ser>
          <c:idx val="9"/>
          <c:order val="9"/>
          <c:tx>
            <c:strRef>
              <c:f>'Медиана и мода инт. ряда р'!$B$15</c:f>
              <c:strCache>
                <c:ptCount val="1"/>
                <c:pt idx="0">
                  <c:v>45-49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 р'!$C$15</c:f>
              <c:numCache>
                <c:formatCode>General</c:formatCode>
                <c:ptCount val="1"/>
                <c:pt idx="0">
                  <c:v>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8-42BE-8A84-961739C22901}"/>
            </c:ext>
          </c:extLst>
        </c:ser>
        <c:ser>
          <c:idx val="10"/>
          <c:order val="10"/>
          <c:tx>
            <c:strRef>
              <c:f>'Медиана и мода инт. ряда р'!$B$16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 р'!$C$16</c:f>
              <c:numCache>
                <c:formatCode>General</c:formatCode>
                <c:ptCount val="1"/>
                <c:pt idx="0">
                  <c:v>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E8-42BE-8A84-961739C22901}"/>
            </c:ext>
          </c:extLst>
        </c:ser>
        <c:ser>
          <c:idx val="11"/>
          <c:order val="11"/>
          <c:tx>
            <c:strRef>
              <c:f>'Медиана и мода инт. ряда р'!$B$17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 р'!$C$17</c:f>
              <c:numCache>
                <c:formatCode>General</c:formatCode>
                <c:ptCount val="1"/>
                <c:pt idx="0">
                  <c:v>10811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E8-42BE-8A84-961739C22901}"/>
            </c:ext>
          </c:extLst>
        </c:ser>
        <c:ser>
          <c:idx val="12"/>
          <c:order val="12"/>
          <c:tx>
            <c:strRef>
              <c:f>'Медиана и мода инт. ряда р'!$B$18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 р'!$C$18</c:f>
              <c:numCache>
                <c:formatCode>General</c:formatCode>
                <c:ptCount val="1"/>
                <c:pt idx="0">
                  <c:v>10027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E8-42BE-8A84-961739C22901}"/>
            </c:ext>
          </c:extLst>
        </c:ser>
        <c:ser>
          <c:idx val="13"/>
          <c:order val="13"/>
          <c:tx>
            <c:strRef>
              <c:f>'Медиана и мода инт. ряда р'!$B$19</c:f>
              <c:strCache>
                <c:ptCount val="1"/>
                <c:pt idx="0">
                  <c:v>65-69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 р'!$C$19</c:f>
              <c:numCache>
                <c:formatCode>General</c:formatCode>
                <c:ptCount val="1"/>
                <c:pt idx="0">
                  <c:v>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E8-42BE-8A84-961739C22901}"/>
            </c:ext>
          </c:extLst>
        </c:ser>
        <c:ser>
          <c:idx val="14"/>
          <c:order val="14"/>
          <c:tx>
            <c:strRef>
              <c:f>'Медиана и мода инт. ряда р'!$B$20</c:f>
              <c:strCache>
                <c:ptCount val="1"/>
                <c:pt idx="0">
                  <c:v>70 и более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'Медиана и мода инт. ряда р'!$C$20</c:f>
              <c:numCache>
                <c:formatCode>General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E8-42BE-8A84-961739C22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7888576"/>
        <c:axId val="946927504"/>
        <c:axId val="0"/>
      </c:bar3DChart>
      <c:catAx>
        <c:axId val="10578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927504"/>
        <c:crosses val="autoZero"/>
        <c:auto val="1"/>
        <c:lblAlgn val="ctr"/>
        <c:lblOffset val="100"/>
        <c:noMultiLvlLbl val="0"/>
      </c:catAx>
      <c:valAx>
        <c:axId val="9469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8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Население РФ по возрастам</a:t>
            </a:r>
          </a:p>
          <a:p>
            <a:pPr>
              <a:defRPr/>
            </a:pPr>
            <a:r>
              <a:rPr lang="ru-RU" sz="1800" b="0" i="0" baseline="0">
                <a:effectLst/>
              </a:rPr>
              <a:t>полигон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'Медиана и мода инт. ряда р'!$B$6:$B$20</c:f>
              <c:strCache>
                <c:ptCount val="1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 и более</c:v>
                </c:pt>
              </c:strCache>
            </c:strRef>
          </c:cat>
          <c:val>
            <c:numRef>
              <c:f>'Медиана и мода инт. ряда р'!$C$6:$C$20</c:f>
              <c:numCache>
                <c:formatCode>General</c:formatCode>
                <c:ptCount val="15"/>
                <c:pt idx="0">
                  <c:v>9032</c:v>
                </c:pt>
                <c:pt idx="1">
                  <c:v>9085</c:v>
                </c:pt>
                <c:pt idx="2">
                  <c:v>7825</c:v>
                </c:pt>
                <c:pt idx="3">
                  <c:v>6947</c:v>
                </c:pt>
                <c:pt idx="4">
                  <c:v>7114</c:v>
                </c:pt>
                <c:pt idx="5">
                  <c:v>10222</c:v>
                </c:pt>
                <c:pt idx="6">
                  <c:v>12718</c:v>
                </c:pt>
                <c:pt idx="7">
                  <c:v>11735</c:v>
                </c:pt>
                <c:pt idx="8">
                  <c:v>10594</c:v>
                </c:pt>
                <c:pt idx="9">
                  <c:v>9674</c:v>
                </c:pt>
                <c:pt idx="10">
                  <c:v>9021</c:v>
                </c:pt>
                <c:pt idx="11">
                  <c:v>10811</c:v>
                </c:pt>
                <c:pt idx="12">
                  <c:v>10027</c:v>
                </c:pt>
                <c:pt idx="13">
                  <c:v>8179</c:v>
                </c:pt>
                <c:pt idx="14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1-42FE-8778-167B2CD8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29526832"/>
        <c:axId val="769065472"/>
      </c:lineChart>
      <c:catAx>
        <c:axId val="10295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065472"/>
        <c:crosses val="autoZero"/>
        <c:auto val="1"/>
        <c:lblAlgn val="ctr"/>
        <c:lblOffset val="100"/>
        <c:noMultiLvlLbl val="0"/>
      </c:catAx>
      <c:valAx>
        <c:axId val="76906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52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accent5">
                    <a:lumMod val="75000"/>
                  </a:schemeClr>
                </a:solidFill>
              </a:rPr>
              <a:t>Население по возрастам</a:t>
            </a:r>
          </a:p>
          <a:p>
            <a:pPr>
              <a:defRPr/>
            </a:pPr>
            <a:r>
              <a:rPr lang="ru-RU" b="1">
                <a:solidFill>
                  <a:schemeClr val="accent5">
                    <a:lumMod val="75000"/>
                  </a:schemeClr>
                </a:solidFill>
              </a:rPr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'Медиана и мода инт. ряда р'!$B$6:$B$20</c:f>
              <c:strCache>
                <c:ptCount val="15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 и более</c:v>
                </c:pt>
              </c:strCache>
            </c:strRef>
          </c:cat>
          <c:val>
            <c:numRef>
              <c:f>'Медиана и мода инт. ряда р'!$D$6:$D$20</c:f>
              <c:numCache>
                <c:formatCode>General</c:formatCode>
                <c:ptCount val="15"/>
                <c:pt idx="0">
                  <c:v>9032</c:v>
                </c:pt>
                <c:pt idx="1">
                  <c:v>18117</c:v>
                </c:pt>
                <c:pt idx="2">
                  <c:v>25942</c:v>
                </c:pt>
                <c:pt idx="3">
                  <c:v>32889</c:v>
                </c:pt>
                <c:pt idx="4">
                  <c:v>40003</c:v>
                </c:pt>
                <c:pt idx="5">
                  <c:v>50225</c:v>
                </c:pt>
                <c:pt idx="6">
                  <c:v>62943</c:v>
                </c:pt>
                <c:pt idx="7">
                  <c:v>74678</c:v>
                </c:pt>
                <c:pt idx="8">
                  <c:v>85272</c:v>
                </c:pt>
                <c:pt idx="9">
                  <c:v>94946</c:v>
                </c:pt>
                <c:pt idx="10">
                  <c:v>103967</c:v>
                </c:pt>
                <c:pt idx="11">
                  <c:v>114778</c:v>
                </c:pt>
                <c:pt idx="12">
                  <c:v>124805</c:v>
                </c:pt>
                <c:pt idx="13">
                  <c:v>132984</c:v>
                </c:pt>
                <c:pt idx="14">
                  <c:v>140484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7-48C4-B441-9A50D9E4E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918992"/>
        <c:axId val="1278378480"/>
      </c:areaChart>
      <c:catAx>
        <c:axId val="129291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378480"/>
        <c:crosses val="autoZero"/>
        <c:auto val="1"/>
        <c:lblAlgn val="ctr"/>
        <c:lblOffset val="100"/>
        <c:noMultiLvlLbl val="0"/>
      </c:catAx>
      <c:valAx>
        <c:axId val="12783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91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15</xdr:row>
      <xdr:rowOff>114300</xdr:rowOff>
    </xdr:from>
    <xdr:to>
      <xdr:col>12</xdr:col>
      <xdr:colOff>160020</xdr:colOff>
      <xdr:row>19</xdr:row>
      <xdr:rowOff>131445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04FF690C-0DA2-4F8F-A5FB-32558F76D7E2}"/>
            </a:ext>
          </a:extLst>
        </xdr:cNvPr>
        <xdr:cNvSpPr/>
      </xdr:nvSpPr>
      <xdr:spPr>
        <a:xfrm>
          <a:off x="4213860" y="3878580"/>
          <a:ext cx="3261360" cy="809625"/>
        </a:xfrm>
        <a:prstGeom prst="round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00B05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24</xdr:row>
      <xdr:rowOff>91440</xdr:rowOff>
    </xdr:from>
    <xdr:to>
      <xdr:col>14</xdr:col>
      <xdr:colOff>464820</xdr:colOff>
      <xdr:row>39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1556D1-E6C9-47CB-A0EB-402CE8980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15</xdr:row>
      <xdr:rowOff>83820</xdr:rowOff>
    </xdr:from>
    <xdr:to>
      <xdr:col>12</xdr:col>
      <xdr:colOff>739140</xdr:colOff>
      <xdr:row>19</xdr:row>
      <xdr:rowOff>100965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FAAF3311-4D51-46EC-9492-DC09B363A89A}"/>
            </a:ext>
          </a:extLst>
        </xdr:cNvPr>
        <xdr:cNvSpPr/>
      </xdr:nvSpPr>
      <xdr:spPr>
        <a:xfrm>
          <a:off x="5013960" y="3665220"/>
          <a:ext cx="3261360" cy="809625"/>
        </a:xfrm>
        <a:prstGeom prst="round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00B05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0</xdr:row>
      <xdr:rowOff>160850</xdr:rowOff>
    </xdr:from>
    <xdr:to>
      <xdr:col>6</xdr:col>
      <xdr:colOff>60960</xdr:colOff>
      <xdr:row>2</xdr:row>
      <xdr:rowOff>312420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9A45DD-1BFC-4403-8CA0-34A0D8244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60850"/>
          <a:ext cx="3581400" cy="700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3</xdr:row>
      <xdr:rowOff>204459</xdr:rowOff>
    </xdr:from>
    <xdr:to>
      <xdr:col>7</xdr:col>
      <xdr:colOff>297180</xdr:colOff>
      <xdr:row>4</xdr:row>
      <xdr:rowOff>393000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06BFFFA-5907-4784-9ADE-D401D2AA3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1103619"/>
          <a:ext cx="4366260" cy="500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83820</xdr:colOff>
      <xdr:row>21</xdr:row>
      <xdr:rowOff>99060</xdr:rowOff>
    </xdr:from>
    <xdr:to>
      <xdr:col>5</xdr:col>
      <xdr:colOff>906780</xdr:colOff>
      <xdr:row>36</xdr:row>
      <xdr:rowOff>99060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9A3AC20-14DD-455E-9B6E-419567E2D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1249680</xdr:colOff>
      <xdr:row>21</xdr:row>
      <xdr:rowOff>99060</xdr:rowOff>
    </xdr:from>
    <xdr:to>
      <xdr:col>9</xdr:col>
      <xdr:colOff>99060</xdr:colOff>
      <xdr:row>36</xdr:row>
      <xdr:rowOff>99060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CEFEB46-435E-40A7-851D-5CB35AB4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37</xdr:row>
      <xdr:rowOff>76200</xdr:rowOff>
    </xdr:from>
    <xdr:to>
      <xdr:col>5</xdr:col>
      <xdr:colOff>937260</xdr:colOff>
      <xdr:row>52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5D9A51A-E99D-474F-BF96-6F8B2A33B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106680</xdr:colOff>
      <xdr:row>0</xdr:row>
      <xdr:rowOff>68580</xdr:rowOff>
    </xdr:from>
    <xdr:to>
      <xdr:col>7</xdr:col>
      <xdr:colOff>548640</xdr:colOff>
      <xdr:row>4</xdr:row>
      <xdr:rowOff>548640</xdr:rowOff>
    </xdr:to>
    <xdr:sp macro="" textlink="">
      <xdr:nvSpPr>
        <xdr:cNvPr id="7" name="Прямоугольник: скругленные углы 6">
          <a:extLst>
            <a:ext uri="{FF2B5EF4-FFF2-40B4-BE49-F238E27FC236}">
              <a16:creationId xmlns:a16="http://schemas.microsoft.com/office/drawing/2014/main" id="{D8732A1C-1849-4642-A92D-84B5EECB382B}"/>
            </a:ext>
          </a:extLst>
        </xdr:cNvPr>
        <xdr:cNvSpPr/>
      </xdr:nvSpPr>
      <xdr:spPr>
        <a:xfrm>
          <a:off x="3589020" y="68580"/>
          <a:ext cx="4892040" cy="1691640"/>
        </a:xfrm>
        <a:prstGeom prst="round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00B05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0</xdr:row>
      <xdr:rowOff>160850</xdr:rowOff>
    </xdr:from>
    <xdr:to>
      <xdr:col>6</xdr:col>
      <xdr:colOff>60960</xdr:colOff>
      <xdr:row>2</xdr:row>
      <xdr:rowOff>312420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FD97EAD-44AC-4FF9-8537-F5F4DAFC4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60850"/>
          <a:ext cx="3581400" cy="700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3</xdr:row>
      <xdr:rowOff>204459</xdr:rowOff>
    </xdr:from>
    <xdr:to>
      <xdr:col>7</xdr:col>
      <xdr:colOff>297180</xdr:colOff>
      <xdr:row>4</xdr:row>
      <xdr:rowOff>393000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1110040-66F8-4330-916B-8D39DC7F5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1103619"/>
          <a:ext cx="4366260" cy="500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83820</xdr:colOff>
      <xdr:row>21</xdr:row>
      <xdr:rowOff>99060</xdr:rowOff>
    </xdr:from>
    <xdr:to>
      <xdr:col>5</xdr:col>
      <xdr:colOff>906780</xdr:colOff>
      <xdr:row>36</xdr:row>
      <xdr:rowOff>99060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383520D-4BA8-40B5-810D-AB35BA808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1249680</xdr:colOff>
      <xdr:row>21</xdr:row>
      <xdr:rowOff>99060</xdr:rowOff>
    </xdr:from>
    <xdr:to>
      <xdr:col>9</xdr:col>
      <xdr:colOff>99060</xdr:colOff>
      <xdr:row>36</xdr:row>
      <xdr:rowOff>99060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6C365FA-F725-48E7-977C-2AD573ABB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37</xdr:row>
      <xdr:rowOff>76200</xdr:rowOff>
    </xdr:from>
    <xdr:to>
      <xdr:col>5</xdr:col>
      <xdr:colOff>937260</xdr:colOff>
      <xdr:row>52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202B824-0305-4C0A-97BE-9C44EEE75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53340</xdr:colOff>
      <xdr:row>0</xdr:row>
      <xdr:rowOff>68580</xdr:rowOff>
    </xdr:from>
    <xdr:to>
      <xdr:col>7</xdr:col>
      <xdr:colOff>495300</xdr:colOff>
      <xdr:row>4</xdr:row>
      <xdr:rowOff>548640</xdr:rowOff>
    </xdr:to>
    <xdr:sp macro="" textlink="">
      <xdr:nvSpPr>
        <xdr:cNvPr id="7" name="Прямоугольник: скругленные углы 6">
          <a:extLst>
            <a:ext uri="{FF2B5EF4-FFF2-40B4-BE49-F238E27FC236}">
              <a16:creationId xmlns:a16="http://schemas.microsoft.com/office/drawing/2014/main" id="{C78C9014-140D-4824-89A6-3F76BDFF25B6}"/>
            </a:ext>
          </a:extLst>
        </xdr:cNvPr>
        <xdr:cNvSpPr/>
      </xdr:nvSpPr>
      <xdr:spPr>
        <a:xfrm>
          <a:off x="3535680" y="68580"/>
          <a:ext cx="4892040" cy="1691640"/>
        </a:xfrm>
        <a:prstGeom prst="round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00B05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17</xdr:row>
      <xdr:rowOff>63033</xdr:rowOff>
    </xdr:from>
    <xdr:to>
      <xdr:col>0</xdr:col>
      <xdr:colOff>1097280</xdr:colOff>
      <xdr:row>19</xdr:row>
      <xdr:rowOff>213359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45A77DB-A520-4720-BF70-3E7B3A348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846113"/>
          <a:ext cx="861060" cy="6075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205740</xdr:colOff>
      <xdr:row>19</xdr:row>
      <xdr:rowOff>358140</xdr:rowOff>
    </xdr:from>
    <xdr:to>
      <xdr:col>0</xdr:col>
      <xdr:colOff>1107763</xdr:colOff>
      <xdr:row>21</xdr:row>
      <xdr:rowOff>251459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237E11B-D3BA-4DE3-ABD1-067A614C9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598420"/>
          <a:ext cx="902023" cy="624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251461</xdr:colOff>
      <xdr:row>21</xdr:row>
      <xdr:rowOff>350520</xdr:rowOff>
    </xdr:from>
    <xdr:to>
      <xdr:col>0</xdr:col>
      <xdr:colOff>1004391</xdr:colOff>
      <xdr:row>23</xdr:row>
      <xdr:rowOff>258778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29E7D79-BBC5-474A-9D3A-2B7258F89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1" y="3322320"/>
          <a:ext cx="752930" cy="700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259080</xdr:colOff>
      <xdr:row>23</xdr:row>
      <xdr:rowOff>472113</xdr:rowOff>
    </xdr:from>
    <xdr:to>
      <xdr:col>0</xdr:col>
      <xdr:colOff>929641</xdr:colOff>
      <xdr:row>26</xdr:row>
      <xdr:rowOff>68036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8F863FA-883C-4EAF-BFF0-FC83CE89B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" y="4693593"/>
          <a:ext cx="670561" cy="799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17</xdr:row>
      <xdr:rowOff>63033</xdr:rowOff>
    </xdr:from>
    <xdr:to>
      <xdr:col>0</xdr:col>
      <xdr:colOff>1097280</xdr:colOff>
      <xdr:row>19</xdr:row>
      <xdr:rowOff>213359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9968FFE-EC40-4605-8EB5-4D8F07862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3903513"/>
          <a:ext cx="861060" cy="607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205740</xdr:colOff>
      <xdr:row>19</xdr:row>
      <xdr:rowOff>358140</xdr:rowOff>
    </xdr:from>
    <xdr:to>
      <xdr:col>0</xdr:col>
      <xdr:colOff>1107763</xdr:colOff>
      <xdr:row>21</xdr:row>
      <xdr:rowOff>251459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2F92DCB-6C28-4E69-84A3-32D8C9975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4655820"/>
          <a:ext cx="902023" cy="624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251461</xdr:colOff>
      <xdr:row>21</xdr:row>
      <xdr:rowOff>350520</xdr:rowOff>
    </xdr:from>
    <xdr:to>
      <xdr:col>0</xdr:col>
      <xdr:colOff>1004391</xdr:colOff>
      <xdr:row>23</xdr:row>
      <xdr:rowOff>258778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49E3CBB-2FEC-4E52-912F-6CA5CED65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1" y="5379720"/>
          <a:ext cx="752930" cy="700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259080</xdr:colOff>
      <xdr:row>23</xdr:row>
      <xdr:rowOff>472113</xdr:rowOff>
    </xdr:from>
    <xdr:to>
      <xdr:col>0</xdr:col>
      <xdr:colOff>929641</xdr:colOff>
      <xdr:row>26</xdr:row>
      <xdr:rowOff>68036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6AD2469-03B5-4B94-8B1B-50EA0681A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" y="6293793"/>
          <a:ext cx="670561" cy="799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B982-48F3-433A-A3C6-0FCD8B12BF61}">
  <dimension ref="B2:R262"/>
  <sheetViews>
    <sheetView showGridLines="0" topLeftCell="A7" workbookViewId="0">
      <selection activeCell="I9" sqref="I9"/>
    </sheetView>
  </sheetViews>
  <sheetFormatPr defaultRowHeight="14.4"/>
  <cols>
    <col min="13" max="13" width="12.77734375" customWidth="1"/>
  </cols>
  <sheetData>
    <row r="2" spans="2:18" ht="15.6">
      <c r="B2" s="30" t="s">
        <v>86</v>
      </c>
    </row>
    <row r="3" spans="2:18" ht="15.6">
      <c r="B3" s="30" t="s">
        <v>87</v>
      </c>
    </row>
    <row r="5" spans="2:18" ht="35.4">
      <c r="B5" s="31" t="s">
        <v>88</v>
      </c>
    </row>
    <row r="6" spans="2:18" ht="35.4">
      <c r="B6" s="31"/>
    </row>
    <row r="7" spans="2:18">
      <c r="E7" t="s">
        <v>89</v>
      </c>
    </row>
    <row r="8" spans="2:18" ht="43.2">
      <c r="B8" s="12" t="s">
        <v>90</v>
      </c>
      <c r="C8" s="11" t="s">
        <v>91</v>
      </c>
      <c r="E8" s="12" t="s">
        <v>92</v>
      </c>
      <c r="F8" s="12" t="s">
        <v>93</v>
      </c>
      <c r="J8" s="12"/>
      <c r="K8" s="12" t="s">
        <v>94</v>
      </c>
      <c r="L8" s="12" t="s">
        <v>95</v>
      </c>
      <c r="M8" s="12" t="s">
        <v>96</v>
      </c>
      <c r="Q8" s="51" t="s">
        <v>97</v>
      </c>
      <c r="R8" s="51" t="s">
        <v>98</v>
      </c>
    </row>
    <row r="9" spans="2:18" ht="18">
      <c r="B9" s="12">
        <v>2</v>
      </c>
      <c r="C9" s="12">
        <v>1</v>
      </c>
      <c r="D9" s="32"/>
      <c r="E9" s="12">
        <v>1</v>
      </c>
      <c r="F9" s="12">
        <v>24.16</v>
      </c>
      <c r="H9" s="54" t="s">
        <v>98</v>
      </c>
      <c r="I9" s="55"/>
      <c r="J9" s="12">
        <v>1</v>
      </c>
      <c r="K9" s="12">
        <f>F9</f>
        <v>24.16</v>
      </c>
      <c r="L9" s="12"/>
      <c r="M9" s="12"/>
      <c r="N9" s="33">
        <f>COUNTIFS($F$9:$F$43,"&gt;="&amp;K9,$F$9:$F$43,"&lt;="&amp;L9)</f>
        <v>0</v>
      </c>
      <c r="Q9" s="51">
        <v>1</v>
      </c>
      <c r="R9" s="58">
        <f>1+1.44*LN(Q9)</f>
        <v>1</v>
      </c>
    </row>
    <row r="10" spans="2:18" ht="18">
      <c r="B10" s="12">
        <v>3</v>
      </c>
      <c r="C10" s="12">
        <v>2</v>
      </c>
      <c r="D10" s="32"/>
      <c r="E10" s="12">
        <v>2</v>
      </c>
      <c r="F10" s="12">
        <v>27.06</v>
      </c>
      <c r="H10" s="54" t="s">
        <v>99</v>
      </c>
      <c r="I10" s="56"/>
      <c r="J10" s="12">
        <v>2</v>
      </c>
      <c r="K10" s="12"/>
      <c r="L10" s="12"/>
      <c r="M10" s="12"/>
      <c r="Q10" s="51">
        <v>2</v>
      </c>
      <c r="R10" s="58">
        <f>1+1.44*LN(Q10)</f>
        <v>1.9981319400063211</v>
      </c>
    </row>
    <row r="11" spans="2:18">
      <c r="B11" s="12">
        <v>4</v>
      </c>
      <c r="C11" s="12">
        <v>2</v>
      </c>
      <c r="D11" s="32"/>
      <c r="E11" s="12">
        <v>3</v>
      </c>
      <c r="F11" s="12">
        <v>29.12</v>
      </c>
      <c r="J11" s="12">
        <v>3</v>
      </c>
      <c r="K11" s="12"/>
      <c r="L11" s="12"/>
      <c r="M11" s="12"/>
      <c r="Q11" s="51">
        <v>3</v>
      </c>
      <c r="R11" s="58">
        <f t="shared" ref="R11:R74" si="0">1+1.44*LN(Q11)</f>
        <v>2.5820016956820782</v>
      </c>
    </row>
    <row r="12" spans="2:18">
      <c r="B12" s="12">
        <v>5</v>
      </c>
      <c r="C12" s="12">
        <v>3</v>
      </c>
      <c r="D12" s="32"/>
      <c r="E12" s="12">
        <v>4</v>
      </c>
      <c r="F12" s="12">
        <v>31.17</v>
      </c>
      <c r="J12" s="12">
        <v>4</v>
      </c>
      <c r="K12" s="12"/>
      <c r="L12" s="12"/>
      <c r="M12" s="12"/>
      <c r="Q12" s="51">
        <v>4</v>
      </c>
      <c r="R12" s="58">
        <f t="shared" si="0"/>
        <v>2.9962638800126422</v>
      </c>
    </row>
    <row r="13" spans="2:18">
      <c r="B13" s="12">
        <v>6</v>
      </c>
      <c r="C13" s="12">
        <v>3</v>
      </c>
      <c r="D13" s="32"/>
      <c r="E13" s="12">
        <v>5</v>
      </c>
      <c r="F13" s="12">
        <v>37.08</v>
      </c>
      <c r="J13" s="12">
        <v>5</v>
      </c>
      <c r="K13" s="12"/>
      <c r="L13" s="12"/>
      <c r="M13" s="12"/>
      <c r="Q13" s="51">
        <v>5</v>
      </c>
      <c r="R13" s="58">
        <f t="shared" si="0"/>
        <v>3.3175905939051042</v>
      </c>
    </row>
    <row r="14" spans="2:18">
      <c r="B14" s="12">
        <v>7</v>
      </c>
      <c r="C14" s="12">
        <v>5</v>
      </c>
      <c r="D14" s="32"/>
      <c r="E14" s="12">
        <v>6</v>
      </c>
      <c r="F14" s="12">
        <v>39.11</v>
      </c>
      <c r="J14" s="12">
        <v>6</v>
      </c>
      <c r="K14" s="12"/>
      <c r="L14" s="12"/>
      <c r="M14" s="12"/>
      <c r="Q14" s="51">
        <v>6</v>
      </c>
      <c r="R14" s="58">
        <f t="shared" si="0"/>
        <v>3.5801336356883993</v>
      </c>
    </row>
    <row r="15" spans="2:18">
      <c r="B15" s="12">
        <v>8</v>
      </c>
      <c r="C15" s="12">
        <v>7</v>
      </c>
      <c r="D15" s="32"/>
      <c r="E15" s="12">
        <v>7</v>
      </c>
      <c r="F15" s="12">
        <v>41.58</v>
      </c>
      <c r="Q15" s="51">
        <v>7</v>
      </c>
      <c r="R15" s="58">
        <f t="shared" si="0"/>
        <v>3.8021106146396511</v>
      </c>
    </row>
    <row r="16" spans="2:18">
      <c r="B16" s="12">
        <v>9</v>
      </c>
      <c r="C16" s="12">
        <v>3</v>
      </c>
      <c r="D16" s="32"/>
      <c r="E16" s="12">
        <v>8</v>
      </c>
      <c r="F16" s="12">
        <v>44.84</v>
      </c>
      <c r="Q16" s="51">
        <v>8</v>
      </c>
      <c r="R16" s="58">
        <f t="shared" si="0"/>
        <v>3.9943958200189633</v>
      </c>
    </row>
    <row r="17" spans="2:18" ht="15.6">
      <c r="B17" s="12">
        <v>10</v>
      </c>
      <c r="C17" s="12">
        <v>2</v>
      </c>
      <c r="D17" s="32"/>
      <c r="E17" s="12">
        <v>9</v>
      </c>
      <c r="F17" s="12">
        <v>46.8</v>
      </c>
      <c r="H17" s="34" t="s">
        <v>102</v>
      </c>
      <c r="Q17" s="51">
        <v>9</v>
      </c>
      <c r="R17" s="58">
        <f t="shared" si="0"/>
        <v>4.1640033913641563</v>
      </c>
    </row>
    <row r="18" spans="2:18">
      <c r="B18" s="12">
        <v>11</v>
      </c>
      <c r="C18" s="12">
        <v>1</v>
      </c>
      <c r="D18" s="32"/>
      <c r="E18" s="12">
        <v>10</v>
      </c>
      <c r="F18" s="12">
        <v>48.37</v>
      </c>
      <c r="Q18" s="51">
        <v>10</v>
      </c>
      <c r="R18" s="58">
        <f t="shared" si="0"/>
        <v>4.3157225339114262</v>
      </c>
    </row>
    <row r="19" spans="2:18" ht="18">
      <c r="B19" s="12">
        <v>12</v>
      </c>
      <c r="C19" s="12">
        <v>1</v>
      </c>
      <c r="D19" s="32"/>
      <c r="E19" s="12">
        <v>11</v>
      </c>
      <c r="F19" s="12">
        <v>51.44</v>
      </c>
      <c r="H19" s="35" t="s">
        <v>103</v>
      </c>
      <c r="Q19" s="51">
        <v>11</v>
      </c>
      <c r="R19" s="58">
        <f t="shared" si="0"/>
        <v>4.452969192829654</v>
      </c>
    </row>
    <row r="20" spans="2:18">
      <c r="B20" t="s">
        <v>100</v>
      </c>
      <c r="C20">
        <f>SUM(C9:C19)</f>
        <v>30</v>
      </c>
      <c r="E20" s="12">
        <v>12</v>
      </c>
      <c r="F20" s="12">
        <v>52.56</v>
      </c>
      <c r="Q20" s="51">
        <v>12</v>
      </c>
      <c r="R20" s="58">
        <f t="shared" si="0"/>
        <v>4.5782655756947204</v>
      </c>
    </row>
    <row r="21" spans="2:18">
      <c r="E21" s="12">
        <v>13</v>
      </c>
      <c r="F21" s="12">
        <v>54.12</v>
      </c>
      <c r="Q21" s="51">
        <v>13</v>
      </c>
      <c r="R21" s="58">
        <f t="shared" si="0"/>
        <v>4.6935270747446127</v>
      </c>
    </row>
    <row r="22" spans="2:18" ht="18">
      <c r="B22" s="54" t="s">
        <v>98</v>
      </c>
      <c r="C22" s="55"/>
      <c r="E22" s="12">
        <v>14</v>
      </c>
      <c r="F22" s="12">
        <v>54.91</v>
      </c>
      <c r="Q22" s="51">
        <v>14</v>
      </c>
      <c r="R22" s="58">
        <f t="shared" si="0"/>
        <v>4.8002425546459726</v>
      </c>
    </row>
    <row r="23" spans="2:18" ht="18">
      <c r="B23" s="54" t="s">
        <v>99</v>
      </c>
      <c r="C23" s="56"/>
      <c r="E23" s="12">
        <v>15</v>
      </c>
      <c r="F23" s="12">
        <v>55.74</v>
      </c>
      <c r="Q23" s="51">
        <v>15</v>
      </c>
      <c r="R23" s="58">
        <f t="shared" si="0"/>
        <v>4.8995922895871828</v>
      </c>
    </row>
    <row r="24" spans="2:18">
      <c r="E24" s="12">
        <v>16</v>
      </c>
      <c r="F24" s="12">
        <v>55.91</v>
      </c>
      <c r="Q24" s="51">
        <v>16</v>
      </c>
      <c r="R24" s="58">
        <f t="shared" si="0"/>
        <v>4.9925277600252844</v>
      </c>
    </row>
    <row r="25" spans="2:18">
      <c r="E25" s="12">
        <v>17</v>
      </c>
      <c r="F25" s="12">
        <v>56.07</v>
      </c>
      <c r="Q25" s="51">
        <v>17</v>
      </c>
      <c r="R25" s="58">
        <f t="shared" si="0"/>
        <v>5.0798272154409512</v>
      </c>
    </row>
    <row r="26" spans="2:18">
      <c r="B26" t="s">
        <v>163</v>
      </c>
      <c r="E26" s="12">
        <v>18</v>
      </c>
      <c r="F26" s="12">
        <v>56.8</v>
      </c>
      <c r="Q26" s="51">
        <v>18</v>
      </c>
      <c r="R26" s="58">
        <f t="shared" si="0"/>
        <v>5.162135331370477</v>
      </c>
    </row>
    <row r="27" spans="2:18">
      <c r="E27" s="12">
        <v>19</v>
      </c>
      <c r="F27" s="12">
        <v>56.93</v>
      </c>
      <c r="Q27" s="51">
        <v>19</v>
      </c>
      <c r="R27" s="58">
        <f t="shared" si="0"/>
        <v>5.2399921299996741</v>
      </c>
    </row>
    <row r="28" spans="2:18">
      <c r="E28" s="12">
        <v>20</v>
      </c>
      <c r="F28" s="12">
        <v>57.07</v>
      </c>
      <c r="Q28" s="51">
        <v>20</v>
      </c>
      <c r="R28" s="58">
        <f t="shared" si="0"/>
        <v>5.3138544739177469</v>
      </c>
    </row>
    <row r="29" spans="2:18">
      <c r="E29" s="12">
        <v>21</v>
      </c>
      <c r="F29" s="12">
        <v>58.39</v>
      </c>
      <c r="Q29" s="51">
        <v>21</v>
      </c>
      <c r="R29" s="58">
        <f t="shared" si="0"/>
        <v>5.3841123103217292</v>
      </c>
    </row>
    <row r="30" spans="2:18">
      <c r="E30" s="12">
        <v>22</v>
      </c>
      <c r="F30" s="12">
        <v>59.61</v>
      </c>
      <c r="Q30" s="51">
        <v>22</v>
      </c>
      <c r="R30" s="58">
        <f t="shared" si="0"/>
        <v>5.4511011328359746</v>
      </c>
    </row>
    <row r="31" spans="2:18">
      <c r="E31" s="12">
        <v>23</v>
      </c>
      <c r="F31" s="12">
        <v>59.95</v>
      </c>
      <c r="Q31" s="51">
        <v>23</v>
      </c>
      <c r="R31" s="58">
        <f t="shared" si="0"/>
        <v>5.5151116709379755</v>
      </c>
    </row>
    <row r="32" spans="2:18">
      <c r="E32" s="12">
        <v>24</v>
      </c>
      <c r="F32" s="12">
        <v>62.05</v>
      </c>
      <c r="Q32" s="51">
        <v>24</v>
      </c>
      <c r="R32" s="58">
        <f t="shared" si="0"/>
        <v>5.5763975157010419</v>
      </c>
    </row>
    <row r="33" spans="5:18">
      <c r="E33" s="12">
        <v>25</v>
      </c>
      <c r="F33" s="12">
        <v>65.31</v>
      </c>
      <c r="Q33" s="51">
        <v>25</v>
      </c>
      <c r="R33" s="58">
        <f t="shared" si="0"/>
        <v>5.6351811878102085</v>
      </c>
    </row>
    <row r="34" spans="5:18">
      <c r="E34" s="12">
        <v>26</v>
      </c>
      <c r="F34" s="12">
        <v>69.239999999999995</v>
      </c>
      <c r="Q34" s="51">
        <v>26</v>
      </c>
      <c r="R34" s="58">
        <f t="shared" si="0"/>
        <v>5.6916590147509343</v>
      </c>
    </row>
    <row r="35" spans="5:18">
      <c r="E35" s="12">
        <v>27</v>
      </c>
      <c r="F35" s="12">
        <v>71.39</v>
      </c>
      <c r="Q35" s="51">
        <v>27</v>
      </c>
      <c r="R35" s="58">
        <f t="shared" si="0"/>
        <v>5.7460050870462336</v>
      </c>
    </row>
    <row r="36" spans="5:18">
      <c r="E36" s="12">
        <v>28</v>
      </c>
      <c r="F36" s="12">
        <v>77.12</v>
      </c>
      <c r="Q36" s="51">
        <v>28</v>
      </c>
      <c r="R36" s="58">
        <f t="shared" si="0"/>
        <v>5.7983744946522933</v>
      </c>
    </row>
    <row r="37" spans="5:18">
      <c r="E37" s="12">
        <v>29</v>
      </c>
      <c r="F37" s="12">
        <v>79.12</v>
      </c>
      <c r="Q37" s="51">
        <v>29</v>
      </c>
      <c r="R37" s="58">
        <f t="shared" si="0"/>
        <v>5.8489059951805222</v>
      </c>
    </row>
    <row r="38" spans="5:18">
      <c r="E38" s="12">
        <v>30</v>
      </c>
      <c r="F38" s="12">
        <v>84.34</v>
      </c>
      <c r="Q38" s="51">
        <v>30</v>
      </c>
      <c r="R38" s="58">
        <f t="shared" si="0"/>
        <v>5.8977242295935035</v>
      </c>
    </row>
    <row r="39" spans="5:18">
      <c r="E39" s="12">
        <v>31</v>
      </c>
      <c r="F39" s="12">
        <v>86.89</v>
      </c>
      <c r="Q39" s="51">
        <v>31</v>
      </c>
      <c r="R39" s="58">
        <f t="shared" si="0"/>
        <v>5.9449415744586105</v>
      </c>
    </row>
    <row r="40" spans="5:18">
      <c r="E40" s="12">
        <v>32</v>
      </c>
      <c r="F40" s="12">
        <v>91.74</v>
      </c>
      <c r="Q40" s="51">
        <v>32</v>
      </c>
      <c r="R40" s="58">
        <f t="shared" si="0"/>
        <v>5.990659700031606</v>
      </c>
    </row>
    <row r="41" spans="5:18">
      <c r="E41" s="12">
        <v>33</v>
      </c>
      <c r="F41" s="12">
        <v>96.01</v>
      </c>
      <c r="Q41" s="51">
        <v>33</v>
      </c>
      <c r="R41" s="58">
        <f t="shared" si="0"/>
        <v>6.0349708885117312</v>
      </c>
    </row>
    <row r="42" spans="5:18">
      <c r="E42" s="12">
        <v>34</v>
      </c>
      <c r="F42" s="12">
        <v>106.84</v>
      </c>
      <c r="Q42" s="51">
        <v>34</v>
      </c>
      <c r="R42" s="58">
        <f t="shared" si="0"/>
        <v>6.0779591554472727</v>
      </c>
    </row>
    <row r="43" spans="5:18">
      <c r="E43" s="12">
        <v>35</v>
      </c>
      <c r="F43" s="12">
        <v>111.16</v>
      </c>
      <c r="Q43" s="51">
        <v>35</v>
      </c>
      <c r="R43" s="58">
        <f t="shared" si="0"/>
        <v>6.1197012085447549</v>
      </c>
    </row>
    <row r="44" spans="5:18">
      <c r="Q44" s="51">
        <v>36</v>
      </c>
      <c r="R44" s="58">
        <f t="shared" si="0"/>
        <v>6.1602672713767985</v>
      </c>
    </row>
    <row r="45" spans="5:18">
      <c r="Q45" s="51">
        <v>37</v>
      </c>
      <c r="R45" s="58">
        <f t="shared" si="0"/>
        <v>6.199721794207683</v>
      </c>
    </row>
    <row r="46" spans="5:18">
      <c r="Q46">
        <v>38</v>
      </c>
      <c r="R46" s="3">
        <f t="shared" si="0"/>
        <v>6.2381240700059948</v>
      </c>
    </row>
    <row r="47" spans="5:18">
      <c r="Q47">
        <v>39</v>
      </c>
      <c r="R47" s="3">
        <f t="shared" si="0"/>
        <v>6.2755287704266909</v>
      </c>
    </row>
    <row r="48" spans="5:18">
      <c r="Q48">
        <v>40</v>
      </c>
      <c r="R48" s="3">
        <f t="shared" si="0"/>
        <v>6.3119864139240676</v>
      </c>
    </row>
    <row r="49" spans="17:18">
      <c r="Q49">
        <v>41</v>
      </c>
      <c r="R49" s="3">
        <f t="shared" si="0"/>
        <v>6.3475437760542031</v>
      </c>
    </row>
    <row r="50" spans="17:18">
      <c r="Q50">
        <v>42</v>
      </c>
      <c r="R50" s="3">
        <f t="shared" si="0"/>
        <v>6.3822442503280499</v>
      </c>
    </row>
    <row r="51" spans="17:18">
      <c r="Q51">
        <v>43</v>
      </c>
      <c r="R51" s="3">
        <f t="shared" si="0"/>
        <v>6.41612816659873</v>
      </c>
    </row>
    <row r="52" spans="17:18">
      <c r="Q52">
        <v>44</v>
      </c>
      <c r="R52" s="3">
        <f t="shared" si="0"/>
        <v>6.4492330728422953</v>
      </c>
    </row>
    <row r="53" spans="17:18">
      <c r="Q53">
        <v>45</v>
      </c>
      <c r="R53" s="3">
        <f t="shared" si="0"/>
        <v>6.4815939852692601</v>
      </c>
    </row>
    <row r="54" spans="17:18">
      <c r="Q54">
        <v>46</v>
      </c>
      <c r="R54" s="3">
        <f t="shared" si="0"/>
        <v>6.513243610944297</v>
      </c>
    </row>
    <row r="55" spans="17:18">
      <c r="Q55">
        <v>47</v>
      </c>
      <c r="R55" s="3">
        <f t="shared" si="0"/>
        <v>6.5442125464624841</v>
      </c>
    </row>
    <row r="56" spans="17:18">
      <c r="Q56">
        <v>48</v>
      </c>
      <c r="R56" s="3">
        <f t="shared" si="0"/>
        <v>6.5745294557073635</v>
      </c>
    </row>
    <row r="57" spans="17:18">
      <c r="Q57">
        <v>49</v>
      </c>
      <c r="R57" s="3">
        <f t="shared" si="0"/>
        <v>6.6042212292793021</v>
      </c>
    </row>
    <row r="58" spans="17:18">
      <c r="Q58">
        <v>50</v>
      </c>
      <c r="R58" s="3">
        <f t="shared" si="0"/>
        <v>6.63331312781653</v>
      </c>
    </row>
    <row r="59" spans="17:18">
      <c r="Q59">
        <v>51</v>
      </c>
      <c r="R59" s="3">
        <f t="shared" si="0"/>
        <v>6.6618289111230284</v>
      </c>
    </row>
    <row r="60" spans="17:18">
      <c r="Q60">
        <v>52</v>
      </c>
      <c r="R60" s="3">
        <f t="shared" si="0"/>
        <v>6.6897909547572558</v>
      </c>
    </row>
    <row r="61" spans="17:18">
      <c r="Q61">
        <v>53</v>
      </c>
      <c r="R61" s="3">
        <f t="shared" si="0"/>
        <v>6.7172203555150558</v>
      </c>
    </row>
    <row r="62" spans="17:18">
      <c r="Q62">
        <v>54</v>
      </c>
      <c r="R62" s="3">
        <f t="shared" si="0"/>
        <v>6.7441370270525551</v>
      </c>
    </row>
    <row r="63" spans="17:18">
      <c r="Q63">
        <v>55</v>
      </c>
      <c r="R63" s="3">
        <f t="shared" si="0"/>
        <v>6.7705597867347587</v>
      </c>
    </row>
    <row r="64" spans="17:18">
      <c r="Q64">
        <v>56</v>
      </c>
      <c r="R64" s="3">
        <f t="shared" si="0"/>
        <v>6.7965064346586157</v>
      </c>
    </row>
    <row r="65" spans="17:18">
      <c r="Q65">
        <v>57</v>
      </c>
      <c r="R65" s="3">
        <f t="shared" si="0"/>
        <v>6.8219938256817523</v>
      </c>
    </row>
    <row r="66" spans="17:18">
      <c r="Q66">
        <v>58</v>
      </c>
      <c r="R66" s="3">
        <f t="shared" si="0"/>
        <v>6.8470379351868429</v>
      </c>
    </row>
    <row r="67" spans="17:18">
      <c r="Q67">
        <v>59</v>
      </c>
      <c r="R67" s="3">
        <f t="shared" si="0"/>
        <v>6.8716539192242365</v>
      </c>
    </row>
    <row r="68" spans="17:18">
      <c r="Q68">
        <v>60</v>
      </c>
      <c r="R68" s="3">
        <f t="shared" si="0"/>
        <v>6.8958561695998242</v>
      </c>
    </row>
    <row r="69" spans="17:18">
      <c r="Q69">
        <v>61</v>
      </c>
      <c r="R69" s="3">
        <f t="shared" si="0"/>
        <v>6.9196583644095684</v>
      </c>
    </row>
    <row r="70" spans="17:18">
      <c r="Q70">
        <v>62</v>
      </c>
      <c r="R70" s="3">
        <f t="shared" si="0"/>
        <v>6.943073514464932</v>
      </c>
    </row>
    <row r="71" spans="17:18">
      <c r="Q71">
        <v>63</v>
      </c>
      <c r="R71" s="3">
        <f t="shared" si="0"/>
        <v>6.9661140060038065</v>
      </c>
    </row>
    <row r="72" spans="17:18">
      <c r="Q72">
        <v>64</v>
      </c>
      <c r="R72" s="3">
        <f t="shared" si="0"/>
        <v>6.9887916400379266</v>
      </c>
    </row>
    <row r="73" spans="17:18">
      <c r="Q73">
        <v>65</v>
      </c>
      <c r="R73" s="3">
        <f t="shared" si="0"/>
        <v>7.0111176686497165</v>
      </c>
    </row>
    <row r="74" spans="17:18">
      <c r="Q74">
        <v>66</v>
      </c>
      <c r="R74" s="3">
        <f t="shared" si="0"/>
        <v>7.0331028285180519</v>
      </c>
    </row>
    <row r="75" spans="17:18">
      <c r="Q75">
        <v>67</v>
      </c>
      <c r="R75" s="3">
        <f t="shared" ref="R75:R138" si="1">1+1.44*LN(Q75)</f>
        <v>7.0547573719229906</v>
      </c>
    </row>
    <row r="76" spans="17:18">
      <c r="Q76">
        <v>68</v>
      </c>
      <c r="R76" s="3">
        <f t="shared" si="1"/>
        <v>7.0760910954535934</v>
      </c>
    </row>
    <row r="77" spans="17:18">
      <c r="Q77">
        <v>69</v>
      </c>
      <c r="R77" s="3">
        <f t="shared" si="1"/>
        <v>7.0971133666200537</v>
      </c>
    </row>
    <row r="78" spans="17:18">
      <c r="Q78">
        <v>70</v>
      </c>
      <c r="R78" s="3">
        <f t="shared" si="1"/>
        <v>7.1178331485510773</v>
      </c>
    </row>
    <row r="79" spans="17:18">
      <c r="Q79">
        <v>71</v>
      </c>
      <c r="R79" s="3">
        <f t="shared" si="1"/>
        <v>7.1382590229394944</v>
      </c>
    </row>
    <row r="80" spans="17:18">
      <c r="Q80">
        <v>72</v>
      </c>
      <c r="R80" s="3">
        <f t="shared" si="1"/>
        <v>7.1583992113831192</v>
      </c>
    </row>
    <row r="81" spans="17:18">
      <c r="Q81">
        <v>73</v>
      </c>
      <c r="R81" s="3">
        <f t="shared" si="1"/>
        <v>7.1782615952536828</v>
      </c>
    </row>
    <row r="82" spans="17:18">
      <c r="Q82">
        <v>74</v>
      </c>
      <c r="R82" s="3">
        <f t="shared" si="1"/>
        <v>7.1978537342140045</v>
      </c>
    </row>
    <row r="83" spans="17:18">
      <c r="Q83">
        <v>75</v>
      </c>
      <c r="R83" s="3">
        <f t="shared" si="1"/>
        <v>7.2171828834922866</v>
      </c>
    </row>
    <row r="84" spans="17:18">
      <c r="Q84">
        <v>76</v>
      </c>
      <c r="R84" s="3">
        <f t="shared" si="1"/>
        <v>7.2362560100123163</v>
      </c>
    </row>
    <row r="85" spans="17:18">
      <c r="Q85">
        <v>77</v>
      </c>
      <c r="R85" s="3">
        <f t="shared" si="1"/>
        <v>7.255079807469305</v>
      </c>
    </row>
    <row r="86" spans="17:18">
      <c r="Q86">
        <v>78</v>
      </c>
      <c r="R86" s="3">
        <f t="shared" si="1"/>
        <v>7.2736607104330115</v>
      </c>
    </row>
    <row r="87" spans="17:18">
      <c r="Q87">
        <v>79</v>
      </c>
      <c r="R87" s="3">
        <f t="shared" si="1"/>
        <v>7.2920049075525109</v>
      </c>
    </row>
    <row r="88" spans="17:18">
      <c r="Q88">
        <v>80</v>
      </c>
      <c r="R88" s="3">
        <f t="shared" si="1"/>
        <v>7.3101183539303891</v>
      </c>
    </row>
    <row r="89" spans="17:18">
      <c r="Q89">
        <v>81</v>
      </c>
      <c r="R89" s="3">
        <f t="shared" si="1"/>
        <v>7.3280067827283117</v>
      </c>
    </row>
    <row r="90" spans="17:18">
      <c r="Q90">
        <v>82</v>
      </c>
      <c r="R90" s="3">
        <f t="shared" si="1"/>
        <v>7.3456757160605246</v>
      </c>
    </row>
    <row r="91" spans="17:18">
      <c r="Q91">
        <v>83</v>
      </c>
      <c r="R91" s="3">
        <f t="shared" si="1"/>
        <v>7.3631304752271012</v>
      </c>
    </row>
    <row r="92" spans="17:18">
      <c r="Q92">
        <v>84</v>
      </c>
      <c r="R92" s="3">
        <f t="shared" si="1"/>
        <v>7.3803761903343714</v>
      </c>
    </row>
    <row r="93" spans="17:18">
      <c r="Q93">
        <v>85</v>
      </c>
      <c r="R93" s="3">
        <f t="shared" si="1"/>
        <v>7.3974178093460559</v>
      </c>
    </row>
    <row r="94" spans="17:18">
      <c r="Q94">
        <v>86</v>
      </c>
      <c r="R94" s="3">
        <f t="shared" si="1"/>
        <v>7.4142601066050506</v>
      </c>
    </row>
    <row r="95" spans="17:18">
      <c r="Q95">
        <v>87</v>
      </c>
      <c r="R95" s="3">
        <f t="shared" si="1"/>
        <v>7.4309076908626004</v>
      </c>
    </row>
    <row r="96" spans="17:18">
      <c r="Q96">
        <v>88</v>
      </c>
      <c r="R96" s="3">
        <f t="shared" si="1"/>
        <v>7.4473650128486177</v>
      </c>
    </row>
    <row r="97" spans="17:18">
      <c r="Q97">
        <v>89</v>
      </c>
      <c r="R97" s="3">
        <f t="shared" si="1"/>
        <v>7.4636363724142809</v>
      </c>
    </row>
    <row r="98" spans="17:18">
      <c r="Q98">
        <v>90</v>
      </c>
      <c r="R98" s="3">
        <f t="shared" si="1"/>
        <v>7.4797259252755817</v>
      </c>
    </row>
    <row r="99" spans="17:18">
      <c r="Q99">
        <v>91</v>
      </c>
      <c r="R99" s="3">
        <f t="shared" si="1"/>
        <v>7.4956376893842638</v>
      </c>
    </row>
    <row r="100" spans="17:18">
      <c r="Q100">
        <v>92</v>
      </c>
      <c r="R100" s="3">
        <f t="shared" si="1"/>
        <v>7.5113755509506177</v>
      </c>
    </row>
    <row r="101" spans="17:18">
      <c r="Q101">
        <v>93</v>
      </c>
      <c r="R101" s="3">
        <f t="shared" si="1"/>
        <v>7.5269432701406886</v>
      </c>
    </row>
    <row r="102" spans="17:18">
      <c r="Q102">
        <v>94</v>
      </c>
      <c r="R102" s="3">
        <f t="shared" si="1"/>
        <v>7.5423444864688056</v>
      </c>
    </row>
    <row r="103" spans="17:18">
      <c r="Q103">
        <v>95</v>
      </c>
      <c r="R103" s="3">
        <f t="shared" si="1"/>
        <v>7.5575827239047788</v>
      </c>
    </row>
    <row r="104" spans="17:18">
      <c r="Q104">
        <v>96</v>
      </c>
      <c r="R104" s="3">
        <f t="shared" si="1"/>
        <v>7.5726613957136841</v>
      </c>
    </row>
    <row r="105" spans="17:18">
      <c r="Q105">
        <v>97</v>
      </c>
      <c r="R105" s="3">
        <f t="shared" si="1"/>
        <v>7.5875838090448706</v>
      </c>
    </row>
    <row r="106" spans="17:18">
      <c r="Q106">
        <v>98</v>
      </c>
      <c r="R106" s="3">
        <f t="shared" si="1"/>
        <v>7.6023531692856237</v>
      </c>
    </row>
    <row r="107" spans="17:18">
      <c r="Q107">
        <v>99</v>
      </c>
      <c r="R107" s="3">
        <f t="shared" si="1"/>
        <v>7.6169725841938094</v>
      </c>
    </row>
    <row r="108" spans="17:18">
      <c r="Q108">
        <v>100</v>
      </c>
      <c r="R108" s="3">
        <f t="shared" si="1"/>
        <v>7.6314450678228516</v>
      </c>
    </row>
    <row r="109" spans="17:18">
      <c r="Q109">
        <v>101</v>
      </c>
      <c r="R109" s="3">
        <f t="shared" si="1"/>
        <v>7.6457735442514139</v>
      </c>
    </row>
    <row r="110" spans="17:18">
      <c r="Q110">
        <v>102</v>
      </c>
      <c r="R110" s="3">
        <f t="shared" si="1"/>
        <v>7.6599608511293491</v>
      </c>
    </row>
    <row r="111" spans="17:18">
      <c r="Q111">
        <v>103</v>
      </c>
      <c r="R111" s="3">
        <f t="shared" si="1"/>
        <v>7.6740097430506751</v>
      </c>
    </row>
    <row r="112" spans="17:18">
      <c r="Q112">
        <v>104</v>
      </c>
      <c r="R112" s="3">
        <f t="shared" si="1"/>
        <v>7.6879228947635765</v>
      </c>
    </row>
    <row r="113" spans="17:18">
      <c r="Q113">
        <v>105</v>
      </c>
      <c r="R113" s="3">
        <f t="shared" si="1"/>
        <v>7.701702904226833</v>
      </c>
    </row>
    <row r="114" spans="17:18">
      <c r="Q114">
        <v>106</v>
      </c>
      <c r="R114" s="3">
        <f t="shared" si="1"/>
        <v>7.7153522955213765</v>
      </c>
    </row>
    <row r="115" spans="17:18">
      <c r="Q115">
        <v>107</v>
      </c>
      <c r="R115" s="3">
        <f t="shared" si="1"/>
        <v>7.7288735216251441</v>
      </c>
    </row>
    <row r="116" spans="17:18">
      <c r="Q116">
        <v>108</v>
      </c>
      <c r="R116" s="3">
        <f t="shared" si="1"/>
        <v>7.7422689670588767</v>
      </c>
    </row>
    <row r="117" spans="17:18">
      <c r="Q117">
        <v>109</v>
      </c>
      <c r="R117" s="3">
        <f t="shared" si="1"/>
        <v>7.7555409504099666</v>
      </c>
    </row>
    <row r="118" spans="17:18">
      <c r="Q118">
        <v>110</v>
      </c>
      <c r="R118" s="3">
        <f t="shared" si="1"/>
        <v>7.7686917267410793</v>
      </c>
    </row>
    <row r="119" spans="17:18">
      <c r="Q119">
        <v>111</v>
      </c>
      <c r="R119" s="3">
        <f t="shared" si="1"/>
        <v>7.7817234898897603</v>
      </c>
    </row>
    <row r="120" spans="17:18">
      <c r="Q120">
        <v>112</v>
      </c>
      <c r="R120" s="3">
        <f t="shared" si="1"/>
        <v>7.7946383746649355</v>
      </c>
    </row>
    <row r="121" spans="17:18">
      <c r="Q121">
        <v>113</v>
      </c>
      <c r="R121" s="3">
        <f t="shared" si="1"/>
        <v>7.8074384589457706</v>
      </c>
    </row>
    <row r="122" spans="17:18">
      <c r="Q122">
        <v>114</v>
      </c>
      <c r="R122" s="3">
        <f t="shared" si="1"/>
        <v>7.8201257656880738</v>
      </c>
    </row>
    <row r="123" spans="17:18">
      <c r="Q123">
        <v>115</v>
      </c>
      <c r="R123" s="3">
        <f t="shared" si="1"/>
        <v>7.8327022648430802</v>
      </c>
    </row>
    <row r="124" spans="17:18">
      <c r="Q124">
        <v>116</v>
      </c>
      <c r="R124" s="3">
        <f t="shared" si="1"/>
        <v>7.8451698751931644</v>
      </c>
    </row>
    <row r="125" spans="17:18">
      <c r="Q125">
        <v>117</v>
      </c>
      <c r="R125" s="3">
        <f t="shared" si="1"/>
        <v>7.857530466108769</v>
      </c>
    </row>
    <row r="126" spans="17:18">
      <c r="Q126">
        <v>118</v>
      </c>
      <c r="R126" s="3">
        <f t="shared" si="1"/>
        <v>7.8697858592305572</v>
      </c>
    </row>
    <row r="127" spans="17:18">
      <c r="Q127">
        <v>119</v>
      </c>
      <c r="R127" s="3">
        <f t="shared" si="1"/>
        <v>7.8819378300806022</v>
      </c>
    </row>
    <row r="128" spans="17:18">
      <c r="Q128">
        <v>120</v>
      </c>
      <c r="R128" s="3">
        <f t="shared" si="1"/>
        <v>7.8939881096061457</v>
      </c>
    </row>
    <row r="129" spans="17:18">
      <c r="Q129">
        <v>121</v>
      </c>
      <c r="R129" s="3">
        <f t="shared" si="1"/>
        <v>7.9059383856593071</v>
      </c>
    </row>
    <row r="130" spans="17:18">
      <c r="Q130">
        <v>122</v>
      </c>
      <c r="R130" s="3">
        <f t="shared" si="1"/>
        <v>7.917790304415889</v>
      </c>
    </row>
    <row r="131" spans="17:18">
      <c r="Q131">
        <v>123</v>
      </c>
      <c r="R131" s="3">
        <f t="shared" si="1"/>
        <v>7.9295454717362803</v>
      </c>
    </row>
    <row r="132" spans="17:18">
      <c r="Q132">
        <v>124</v>
      </c>
      <c r="R132" s="3">
        <f t="shared" si="1"/>
        <v>7.9412054544712527</v>
      </c>
    </row>
    <row r="133" spans="17:18">
      <c r="Q133">
        <v>125</v>
      </c>
      <c r="R133" s="3">
        <f t="shared" si="1"/>
        <v>7.9527717817153141</v>
      </c>
    </row>
    <row r="134" spans="17:18">
      <c r="Q134">
        <v>126</v>
      </c>
      <c r="R134" s="3">
        <f t="shared" si="1"/>
        <v>7.964245946010128</v>
      </c>
    </row>
    <row r="135" spans="17:18">
      <c r="Q135">
        <v>127</v>
      </c>
      <c r="R135" s="3">
        <f t="shared" si="1"/>
        <v>7.9756294045003715</v>
      </c>
    </row>
    <row r="136" spans="17:18">
      <c r="Q136">
        <v>128</v>
      </c>
      <c r="R136" s="3">
        <f t="shared" si="1"/>
        <v>7.9869235800442482</v>
      </c>
    </row>
    <row r="137" spans="17:18">
      <c r="Q137">
        <v>129</v>
      </c>
      <c r="R137" s="3">
        <f t="shared" si="1"/>
        <v>7.9981298622808072</v>
      </c>
    </row>
    <row r="138" spans="17:18">
      <c r="Q138">
        <v>130</v>
      </c>
      <c r="R138" s="3">
        <f t="shared" si="1"/>
        <v>8.0092496086560381</v>
      </c>
    </row>
    <row r="139" spans="17:18">
      <c r="Q139">
        <v>131</v>
      </c>
      <c r="R139" s="3">
        <f t="shared" ref="R139:R202" si="2">1+1.44*LN(Q139)</f>
        <v>8.0202841454096578</v>
      </c>
    </row>
    <row r="140" spans="17:18">
      <c r="Q140">
        <v>132</v>
      </c>
      <c r="R140" s="3">
        <f t="shared" si="2"/>
        <v>8.0312347685243743</v>
      </c>
    </row>
    <row r="141" spans="17:18">
      <c r="Q141">
        <v>133</v>
      </c>
      <c r="R141" s="3">
        <f t="shared" si="2"/>
        <v>8.0421027446393261</v>
      </c>
    </row>
    <row r="142" spans="17:18">
      <c r="Q142">
        <v>134</v>
      </c>
      <c r="R142" s="3">
        <f t="shared" si="2"/>
        <v>8.052889311929313</v>
      </c>
    </row>
    <row r="143" spans="17:18">
      <c r="Q143">
        <v>135</v>
      </c>
      <c r="R143" s="3">
        <f t="shared" si="2"/>
        <v>8.0635956809513374</v>
      </c>
    </row>
    <row r="144" spans="17:18">
      <c r="Q144">
        <v>136</v>
      </c>
      <c r="R144" s="3">
        <f t="shared" si="2"/>
        <v>8.0742230354599158</v>
      </c>
    </row>
    <row r="145" spans="17:18">
      <c r="Q145">
        <v>137</v>
      </c>
      <c r="R145" s="3">
        <f t="shared" si="2"/>
        <v>8.0847725331924991</v>
      </c>
    </row>
    <row r="146" spans="17:18">
      <c r="Q146">
        <v>138</v>
      </c>
      <c r="R146" s="3">
        <f t="shared" si="2"/>
        <v>8.0952453066263743</v>
      </c>
    </row>
    <row r="147" spans="17:18">
      <c r="Q147">
        <v>139</v>
      </c>
      <c r="R147" s="3">
        <f t="shared" si="2"/>
        <v>8.1056424637081967</v>
      </c>
    </row>
    <row r="148" spans="17:18">
      <c r="Q148">
        <v>140</v>
      </c>
      <c r="R148" s="3">
        <f t="shared" si="2"/>
        <v>8.1159650885573971</v>
      </c>
    </row>
    <row r="149" spans="17:18">
      <c r="Q149">
        <v>141</v>
      </c>
      <c r="R149" s="3">
        <f t="shared" si="2"/>
        <v>8.1262142421445631</v>
      </c>
    </row>
    <row r="150" spans="17:18">
      <c r="Q150">
        <v>142</v>
      </c>
      <c r="R150" s="3">
        <f t="shared" si="2"/>
        <v>8.1363909629458142</v>
      </c>
    </row>
    <row r="151" spans="17:18">
      <c r="Q151">
        <v>143</v>
      </c>
      <c r="R151" s="3">
        <f t="shared" si="2"/>
        <v>8.1464962675742658</v>
      </c>
    </row>
    <row r="152" spans="17:18">
      <c r="Q152">
        <v>144</v>
      </c>
      <c r="R152" s="3">
        <f t="shared" si="2"/>
        <v>8.1565311513894407</v>
      </c>
    </row>
    <row r="153" spans="17:18">
      <c r="Q153">
        <v>145</v>
      </c>
      <c r="R153" s="3">
        <f t="shared" si="2"/>
        <v>8.1664965890856269</v>
      </c>
    </row>
    <row r="154" spans="17:18">
      <c r="Q154">
        <v>146</v>
      </c>
      <c r="R154" s="3">
        <f t="shared" si="2"/>
        <v>8.1763935352600043</v>
      </c>
    </row>
    <row r="155" spans="17:18">
      <c r="Q155">
        <v>147</v>
      </c>
      <c r="R155" s="3">
        <f t="shared" si="2"/>
        <v>8.1862229249613794</v>
      </c>
    </row>
    <row r="156" spans="17:18">
      <c r="Q156">
        <v>148</v>
      </c>
      <c r="R156" s="3">
        <f t="shared" si="2"/>
        <v>8.1959856742203243</v>
      </c>
    </row>
    <row r="157" spans="17:18">
      <c r="Q157">
        <v>149</v>
      </c>
      <c r="R157" s="3">
        <f t="shared" si="2"/>
        <v>8.2056826805614609</v>
      </c>
    </row>
    <row r="158" spans="17:18">
      <c r="Q158">
        <v>150</v>
      </c>
      <c r="R158" s="3">
        <f t="shared" si="2"/>
        <v>8.2153148234986073</v>
      </c>
    </row>
    <row r="159" spans="17:18">
      <c r="Q159">
        <v>151</v>
      </c>
      <c r="R159" s="3">
        <f t="shared" si="2"/>
        <v>8.2248829650134905</v>
      </c>
    </row>
    <row r="160" spans="17:18">
      <c r="Q160">
        <v>152</v>
      </c>
      <c r="R160" s="3">
        <f t="shared" si="2"/>
        <v>8.2343879500186379</v>
      </c>
    </row>
    <row r="161" spans="17:18">
      <c r="Q161">
        <v>153</v>
      </c>
      <c r="R161" s="3">
        <f t="shared" si="2"/>
        <v>8.2438306068051066</v>
      </c>
    </row>
    <row r="162" spans="17:18">
      <c r="Q162">
        <v>154</v>
      </c>
      <c r="R162" s="3">
        <f t="shared" si="2"/>
        <v>8.2532117474756266</v>
      </c>
    </row>
    <row r="163" spans="17:18">
      <c r="Q163">
        <v>155</v>
      </c>
      <c r="R163" s="3">
        <f t="shared" si="2"/>
        <v>8.2625321683637161</v>
      </c>
    </row>
    <row r="164" spans="17:18">
      <c r="Q164">
        <v>156</v>
      </c>
      <c r="R164" s="3">
        <f t="shared" si="2"/>
        <v>8.271792650439334</v>
      </c>
    </row>
    <row r="165" spans="17:18">
      <c r="Q165">
        <v>157</v>
      </c>
      <c r="R165" s="3">
        <f t="shared" si="2"/>
        <v>8.2809939597015632</v>
      </c>
    </row>
    <row r="166" spans="17:18">
      <c r="Q166">
        <v>158</v>
      </c>
      <c r="R166" s="3">
        <f t="shared" si="2"/>
        <v>8.2901368475588324</v>
      </c>
    </row>
    <row r="167" spans="17:18">
      <c r="Q167">
        <v>159</v>
      </c>
      <c r="R167" s="3">
        <f t="shared" si="2"/>
        <v>8.299222051197134</v>
      </c>
    </row>
    <row r="168" spans="17:18">
      <c r="Q168">
        <v>160</v>
      </c>
      <c r="R168" s="3">
        <f t="shared" si="2"/>
        <v>8.3082502939367089</v>
      </c>
    </row>
    <row r="169" spans="17:18">
      <c r="Q169">
        <v>161</v>
      </c>
      <c r="R169" s="3">
        <f t="shared" si="2"/>
        <v>8.3172222855776266</v>
      </c>
    </row>
    <row r="170" spans="17:18">
      <c r="Q170">
        <v>162</v>
      </c>
      <c r="R170" s="3">
        <f t="shared" si="2"/>
        <v>8.3261387227346333</v>
      </c>
    </row>
    <row r="171" spans="17:18">
      <c r="Q171">
        <v>163</v>
      </c>
      <c r="R171" s="3">
        <f t="shared" si="2"/>
        <v>8.3350002891617372</v>
      </c>
    </row>
    <row r="172" spans="17:18">
      <c r="Q172">
        <v>164</v>
      </c>
      <c r="R172" s="3">
        <f t="shared" si="2"/>
        <v>8.343807656066847</v>
      </c>
    </row>
    <row r="173" spans="17:18">
      <c r="Q173">
        <v>165</v>
      </c>
      <c r="R173" s="3">
        <f t="shared" si="2"/>
        <v>8.352561482416835</v>
      </c>
    </row>
    <row r="174" spans="17:18">
      <c r="Q174">
        <v>166</v>
      </c>
      <c r="R174" s="3">
        <f t="shared" si="2"/>
        <v>8.3612624152334227</v>
      </c>
    </row>
    <row r="175" spans="17:18">
      <c r="Q175">
        <v>167</v>
      </c>
      <c r="R175" s="3">
        <f t="shared" si="2"/>
        <v>8.3699110898801266</v>
      </c>
    </row>
    <row r="176" spans="17:18">
      <c r="Q176">
        <v>168</v>
      </c>
      <c r="R176" s="3">
        <f t="shared" si="2"/>
        <v>8.3785081303406912</v>
      </c>
    </row>
    <row r="177" spans="17:18">
      <c r="Q177">
        <v>169</v>
      </c>
      <c r="R177" s="3">
        <f t="shared" si="2"/>
        <v>8.3870541494892255</v>
      </c>
    </row>
    <row r="178" spans="17:18">
      <c r="Q178">
        <v>170</v>
      </c>
      <c r="R178" s="3">
        <f t="shared" si="2"/>
        <v>8.3955497493523765</v>
      </c>
    </row>
    <row r="179" spans="17:18">
      <c r="Q179">
        <v>171</v>
      </c>
      <c r="R179" s="3">
        <f t="shared" si="2"/>
        <v>8.4039955213638304</v>
      </c>
    </row>
    <row r="180" spans="17:18">
      <c r="Q180">
        <v>172</v>
      </c>
      <c r="R180" s="3">
        <f t="shared" si="2"/>
        <v>8.4123920466113713</v>
      </c>
    </row>
    <row r="181" spans="17:18">
      <c r="Q181">
        <v>173</v>
      </c>
      <c r="R181" s="3">
        <f t="shared" si="2"/>
        <v>8.4207398960768032</v>
      </c>
    </row>
    <row r="182" spans="17:18">
      <c r="Q182">
        <v>174</v>
      </c>
      <c r="R182" s="3">
        <f t="shared" si="2"/>
        <v>8.4290396308689211</v>
      </c>
    </row>
    <row r="183" spans="17:18">
      <c r="Q183">
        <v>175</v>
      </c>
      <c r="R183" s="3">
        <f t="shared" si="2"/>
        <v>8.4372918024498595</v>
      </c>
    </row>
    <row r="184" spans="17:18">
      <c r="Q184">
        <v>176</v>
      </c>
      <c r="R184" s="3">
        <f t="shared" si="2"/>
        <v>8.4454969528549384</v>
      </c>
    </row>
    <row r="185" spans="17:18">
      <c r="Q185">
        <v>177</v>
      </c>
      <c r="R185" s="3">
        <f t="shared" si="2"/>
        <v>8.4536556149063138</v>
      </c>
    </row>
    <row r="186" spans="17:18">
      <c r="Q186">
        <v>178</v>
      </c>
      <c r="R186" s="3">
        <f t="shared" si="2"/>
        <v>8.4617683124206025</v>
      </c>
    </row>
    <row r="187" spans="17:18">
      <c r="Q187">
        <v>179</v>
      </c>
      <c r="R187" s="3">
        <f t="shared" si="2"/>
        <v>8.4698355604106865</v>
      </c>
    </row>
    <row r="188" spans="17:18">
      <c r="Q188">
        <v>180</v>
      </c>
      <c r="R188" s="3">
        <f t="shared" si="2"/>
        <v>8.4778578652819014</v>
      </c>
    </row>
    <row r="189" spans="17:18">
      <c r="Q189">
        <v>181</v>
      </c>
      <c r="R189" s="3">
        <f t="shared" si="2"/>
        <v>8.4858357250227883</v>
      </c>
    </row>
    <row r="190" spans="17:18">
      <c r="Q190">
        <v>182</v>
      </c>
      <c r="R190" s="3">
        <f t="shared" si="2"/>
        <v>8.4937696293905844</v>
      </c>
    </row>
    <row r="191" spans="17:18">
      <c r="Q191">
        <v>183</v>
      </c>
      <c r="R191" s="3">
        <f t="shared" si="2"/>
        <v>8.5016600600916465</v>
      </c>
    </row>
    <row r="192" spans="17:18">
      <c r="Q192">
        <v>184</v>
      </c>
      <c r="R192" s="3">
        <f t="shared" si="2"/>
        <v>8.5095074909569384</v>
      </c>
    </row>
    <row r="193" spans="17:18">
      <c r="Q193">
        <v>185</v>
      </c>
      <c r="R193" s="3">
        <f t="shared" si="2"/>
        <v>8.5173123881127868</v>
      </c>
    </row>
    <row r="194" spans="17:18">
      <c r="Q194">
        <v>186</v>
      </c>
      <c r="R194" s="3">
        <f t="shared" si="2"/>
        <v>8.5250752101470102</v>
      </c>
    </row>
    <row r="195" spans="17:18">
      <c r="Q195">
        <v>187</v>
      </c>
      <c r="R195" s="3">
        <f t="shared" si="2"/>
        <v>8.532796408270606</v>
      </c>
    </row>
    <row r="196" spans="17:18">
      <c r="Q196">
        <v>188</v>
      </c>
      <c r="R196" s="3">
        <f t="shared" si="2"/>
        <v>8.5404764264751272</v>
      </c>
    </row>
    <row r="197" spans="17:18">
      <c r="Q197">
        <v>189</v>
      </c>
      <c r="R197" s="3">
        <f t="shared" si="2"/>
        <v>8.5481157016858837</v>
      </c>
    </row>
    <row r="198" spans="17:18">
      <c r="Q198">
        <v>190</v>
      </c>
      <c r="R198" s="3">
        <f t="shared" si="2"/>
        <v>8.5557146639111004</v>
      </c>
    </row>
    <row r="199" spans="17:18">
      <c r="Q199">
        <v>191</v>
      </c>
      <c r="R199" s="3">
        <f t="shared" si="2"/>
        <v>8.5632737363871456</v>
      </c>
    </row>
    <row r="200" spans="17:18">
      <c r="Q200">
        <v>192</v>
      </c>
      <c r="R200" s="3">
        <f t="shared" si="2"/>
        <v>8.5707933357200048</v>
      </c>
    </row>
    <row r="201" spans="17:18">
      <c r="Q201">
        <v>193</v>
      </c>
      <c r="R201" s="3">
        <f t="shared" si="2"/>
        <v>8.5782738720230363</v>
      </c>
    </row>
    <row r="202" spans="17:18">
      <c r="Q202">
        <v>194</v>
      </c>
      <c r="R202" s="3">
        <f t="shared" si="2"/>
        <v>8.5857157490511931</v>
      </c>
    </row>
    <row r="203" spans="17:18">
      <c r="Q203">
        <v>195</v>
      </c>
      <c r="R203" s="3">
        <f t="shared" ref="R203:R262" si="3">1+1.44*LN(Q203)</f>
        <v>8.5931193643317947</v>
      </c>
    </row>
    <row r="204" spans="17:18">
      <c r="Q204">
        <v>196</v>
      </c>
      <c r="R204" s="3">
        <f t="shared" si="3"/>
        <v>8.6004851092919452</v>
      </c>
    </row>
    <row r="205" spans="17:18">
      <c r="Q205">
        <v>197</v>
      </c>
      <c r="R205" s="3">
        <f t="shared" si="3"/>
        <v>8.6078133693827041</v>
      </c>
    </row>
    <row r="206" spans="17:18">
      <c r="Q206">
        <v>198</v>
      </c>
      <c r="R206" s="3">
        <f t="shared" si="3"/>
        <v>8.615104524200131</v>
      </c>
    </row>
    <row r="207" spans="17:18">
      <c r="Q207">
        <v>199</v>
      </c>
      <c r="R207" s="3">
        <f t="shared" si="3"/>
        <v>8.6223589476032689</v>
      </c>
    </row>
    <row r="208" spans="17:18">
      <c r="Q208">
        <v>200</v>
      </c>
      <c r="R208" s="3">
        <f t="shared" si="3"/>
        <v>8.6295770078291731</v>
      </c>
    </row>
    <row r="209" spans="17:18">
      <c r="Q209">
        <v>201</v>
      </c>
      <c r="R209" s="3">
        <f t="shared" si="3"/>
        <v>8.6367590676050696</v>
      </c>
    </row>
    <row r="210" spans="17:18">
      <c r="Q210">
        <v>202</v>
      </c>
      <c r="R210" s="3">
        <f t="shared" si="3"/>
        <v>8.6439054842577363</v>
      </c>
    </row>
    <row r="211" spans="17:18">
      <c r="Q211">
        <v>203</v>
      </c>
      <c r="R211" s="3">
        <f t="shared" si="3"/>
        <v>8.6510166098201733</v>
      </c>
    </row>
    <row r="212" spans="17:18">
      <c r="Q212">
        <v>204</v>
      </c>
      <c r="R212" s="3">
        <f t="shared" si="3"/>
        <v>8.6580927911356707</v>
      </c>
    </row>
    <row r="213" spans="17:18">
      <c r="Q213">
        <v>205</v>
      </c>
      <c r="R213" s="3">
        <f t="shared" si="3"/>
        <v>8.6651343699593077</v>
      </c>
    </row>
    <row r="214" spans="17:18">
      <c r="Q214">
        <v>206</v>
      </c>
      <c r="R214" s="3">
        <f t="shared" si="3"/>
        <v>8.6721416830569957</v>
      </c>
    </row>
    <row r="215" spans="17:18">
      <c r="Q215">
        <v>207</v>
      </c>
      <c r="R215" s="3">
        <f t="shared" si="3"/>
        <v>8.6791150623021309</v>
      </c>
    </row>
    <row r="216" spans="17:18">
      <c r="Q216">
        <v>208</v>
      </c>
      <c r="R216" s="3">
        <f t="shared" si="3"/>
        <v>8.686054834769898</v>
      </c>
    </row>
    <row r="217" spans="17:18">
      <c r="Q217">
        <v>209</v>
      </c>
      <c r="R217" s="3">
        <f t="shared" si="3"/>
        <v>8.6929613228293263</v>
      </c>
    </row>
    <row r="218" spans="17:18">
      <c r="Q218">
        <v>210</v>
      </c>
      <c r="R218" s="3">
        <f t="shared" si="3"/>
        <v>8.6998348442331555</v>
      </c>
    </row>
    <row r="219" spans="17:18">
      <c r="Q219">
        <v>211</v>
      </c>
      <c r="R219" s="3">
        <f t="shared" si="3"/>
        <v>8.706675712205536</v>
      </c>
    </row>
    <row r="220" spans="17:18">
      <c r="Q220">
        <v>212</v>
      </c>
      <c r="R220" s="3">
        <f t="shared" si="3"/>
        <v>8.713484235527698</v>
      </c>
    </row>
    <row r="221" spans="17:18">
      <c r="Q221">
        <v>213</v>
      </c>
      <c r="R221" s="3">
        <f t="shared" si="3"/>
        <v>8.7202607186215726</v>
      </c>
    </row>
    <row r="222" spans="17:18">
      <c r="Q222">
        <v>214</v>
      </c>
      <c r="R222" s="3">
        <f t="shared" si="3"/>
        <v>8.7270054616314656</v>
      </c>
    </row>
    <row r="223" spans="17:18">
      <c r="Q223">
        <v>215</v>
      </c>
      <c r="R223" s="3">
        <f t="shared" si="3"/>
        <v>8.7337187605038338</v>
      </c>
    </row>
    <row r="224" spans="17:18">
      <c r="Q224">
        <v>216</v>
      </c>
      <c r="R224" s="3">
        <f t="shared" si="3"/>
        <v>8.7404009070651973</v>
      </c>
    </row>
    <row r="225" spans="17:18">
      <c r="Q225">
        <v>217</v>
      </c>
      <c r="R225" s="3">
        <f t="shared" si="3"/>
        <v>8.7470521890982624</v>
      </c>
    </row>
    <row r="226" spans="17:18">
      <c r="Q226">
        <v>218</v>
      </c>
      <c r="R226" s="3">
        <f t="shared" si="3"/>
        <v>8.7536728904162864</v>
      </c>
    </row>
    <row r="227" spans="17:18">
      <c r="Q227">
        <v>219</v>
      </c>
      <c r="R227" s="3">
        <f t="shared" si="3"/>
        <v>8.7602632909357609</v>
      </c>
    </row>
    <row r="228" spans="17:18">
      <c r="Q228">
        <v>220</v>
      </c>
      <c r="R228" s="3">
        <f t="shared" si="3"/>
        <v>8.7668236667474009</v>
      </c>
    </row>
    <row r="229" spans="17:18">
      <c r="Q229">
        <v>221</v>
      </c>
      <c r="R229" s="3">
        <f t="shared" si="3"/>
        <v>8.7733542901855621</v>
      </c>
    </row>
    <row r="230" spans="17:18">
      <c r="Q230">
        <v>222</v>
      </c>
      <c r="R230" s="3">
        <f t="shared" si="3"/>
        <v>8.7798554298960809</v>
      </c>
    </row>
    <row r="231" spans="17:18">
      <c r="Q231">
        <v>223</v>
      </c>
      <c r="R231" s="3">
        <f t="shared" si="3"/>
        <v>8.786327350902571</v>
      </c>
    </row>
    <row r="232" spans="17:18">
      <c r="Q232">
        <v>224</v>
      </c>
      <c r="R232" s="3">
        <f t="shared" si="3"/>
        <v>8.792770314671257</v>
      </c>
    </row>
    <row r="233" spans="17:18">
      <c r="Q233">
        <v>225</v>
      </c>
      <c r="R233" s="3">
        <f t="shared" si="3"/>
        <v>8.7991845791743657</v>
      </c>
    </row>
    <row r="234" spans="17:18">
      <c r="Q234">
        <v>226</v>
      </c>
      <c r="R234" s="3">
        <f t="shared" si="3"/>
        <v>8.8055703989520921</v>
      </c>
    </row>
    <row r="235" spans="17:18">
      <c r="Q235">
        <v>227</v>
      </c>
      <c r="R235" s="3">
        <f t="shared" si="3"/>
        <v>8.8119280251732199</v>
      </c>
    </row>
    <row r="236" spans="17:18">
      <c r="Q236">
        <v>228</v>
      </c>
      <c r="R236" s="3">
        <f t="shared" si="3"/>
        <v>8.8182577056943945</v>
      </c>
    </row>
    <row r="237" spans="17:18">
      <c r="Q237">
        <v>229</v>
      </c>
      <c r="R237" s="3">
        <f t="shared" si="3"/>
        <v>8.8245596851181052</v>
      </c>
    </row>
    <row r="238" spans="17:18">
      <c r="Q238">
        <v>230</v>
      </c>
      <c r="R238" s="3">
        <f t="shared" si="3"/>
        <v>8.8308342048494026</v>
      </c>
    </row>
    <row r="239" spans="17:18">
      <c r="Q239">
        <v>231</v>
      </c>
      <c r="R239" s="3">
        <f t="shared" si="3"/>
        <v>8.8370815031513814</v>
      </c>
    </row>
    <row r="240" spans="17:18">
      <c r="Q240">
        <v>232</v>
      </c>
      <c r="R240" s="3">
        <f t="shared" si="3"/>
        <v>8.8433018151994851</v>
      </c>
    </row>
    <row r="241" spans="17:18">
      <c r="Q241">
        <v>233</v>
      </c>
      <c r="R241" s="3">
        <f t="shared" si="3"/>
        <v>8.8494953731346087</v>
      </c>
    </row>
    <row r="242" spans="17:18">
      <c r="Q242">
        <v>234</v>
      </c>
      <c r="R242" s="3">
        <f t="shared" si="3"/>
        <v>8.8556624061150906</v>
      </c>
    </row>
    <row r="243" spans="17:18">
      <c r="Q243">
        <v>235</v>
      </c>
      <c r="R243" s="3">
        <f t="shared" si="3"/>
        <v>8.8618031403675879</v>
      </c>
    </row>
    <row r="244" spans="17:18">
      <c r="Q244">
        <v>236</v>
      </c>
      <c r="R244" s="3">
        <f t="shared" si="3"/>
        <v>8.8679177992368778</v>
      </c>
    </row>
    <row r="245" spans="17:18">
      <c r="Q245">
        <v>237</v>
      </c>
      <c r="R245" s="3">
        <f t="shared" si="3"/>
        <v>8.874006603234589</v>
      </c>
    </row>
    <row r="246" spans="17:18">
      <c r="Q246">
        <v>238</v>
      </c>
      <c r="R246" s="3">
        <f t="shared" si="3"/>
        <v>8.8800697700869229</v>
      </c>
    </row>
    <row r="247" spans="17:18">
      <c r="Q247">
        <v>239</v>
      </c>
      <c r="R247" s="3">
        <f t="shared" si="3"/>
        <v>8.8861075147813757</v>
      </c>
    </row>
    <row r="248" spans="17:18">
      <c r="Q248">
        <v>240</v>
      </c>
      <c r="R248" s="3">
        <f t="shared" si="3"/>
        <v>8.8921200496124673</v>
      </c>
    </row>
    <row r="249" spans="17:18">
      <c r="Q249">
        <v>241</v>
      </c>
      <c r="R249" s="3">
        <f t="shared" si="3"/>
        <v>8.8981075842265422</v>
      </c>
    </row>
    <row r="250" spans="17:18">
      <c r="Q250">
        <v>242</v>
      </c>
      <c r="R250" s="3">
        <f t="shared" si="3"/>
        <v>8.9040703256656286</v>
      </c>
    </row>
    <row r="251" spans="17:18">
      <c r="Q251">
        <v>243</v>
      </c>
      <c r="R251" s="3">
        <f t="shared" si="3"/>
        <v>8.9100084784103899</v>
      </c>
    </row>
    <row r="252" spans="17:18">
      <c r="Q252">
        <v>244</v>
      </c>
      <c r="R252" s="3">
        <f t="shared" si="3"/>
        <v>8.9159222444222106</v>
      </c>
    </row>
    <row r="253" spans="17:18">
      <c r="Q253">
        <v>245</v>
      </c>
      <c r="R253" s="3">
        <f t="shared" si="3"/>
        <v>8.9218118231844059</v>
      </c>
    </row>
    <row r="254" spans="17:18">
      <c r="Q254">
        <v>246</v>
      </c>
      <c r="R254" s="3">
        <f t="shared" si="3"/>
        <v>8.9276774117426019</v>
      </c>
    </row>
    <row r="255" spans="17:18">
      <c r="Q255">
        <v>247</v>
      </c>
      <c r="R255" s="3">
        <f t="shared" si="3"/>
        <v>8.933519204744286</v>
      </c>
    </row>
    <row r="256" spans="17:18">
      <c r="Q256">
        <v>248</v>
      </c>
      <c r="R256" s="3">
        <f t="shared" si="3"/>
        <v>8.9393373944775743</v>
      </c>
    </row>
    <row r="257" spans="17:18">
      <c r="Q257">
        <v>249</v>
      </c>
      <c r="R257" s="3">
        <f t="shared" si="3"/>
        <v>8.9451321709091793</v>
      </c>
    </row>
    <row r="258" spans="17:18">
      <c r="Q258">
        <v>250</v>
      </c>
      <c r="R258" s="3">
        <f t="shared" si="3"/>
        <v>8.9509037217216338</v>
      </c>
    </row>
    <row r="259" spans="17:18">
      <c r="Q259">
        <v>251</v>
      </c>
      <c r="R259" s="3">
        <f t="shared" si="3"/>
        <v>8.9566522323497679</v>
      </c>
    </row>
    <row r="260" spans="17:18">
      <c r="Q260">
        <v>252</v>
      </c>
      <c r="R260" s="3">
        <f t="shared" si="3"/>
        <v>8.9623778860164496</v>
      </c>
    </row>
    <row r="261" spans="17:18">
      <c r="Q261">
        <v>253</v>
      </c>
      <c r="R261" s="3">
        <f t="shared" si="3"/>
        <v>8.9680808637676286</v>
      </c>
    </row>
    <row r="262" spans="17:18">
      <c r="Q262">
        <v>254</v>
      </c>
      <c r="R262" s="3">
        <f t="shared" si="3"/>
        <v>8.9737613445066913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6CB1-DB31-4011-B160-C6557A250FA0}">
  <dimension ref="B2:K24"/>
  <sheetViews>
    <sheetView showGridLines="0" tabSelected="1" topLeftCell="A4" workbookViewId="0">
      <selection activeCell="C24" sqref="C24"/>
    </sheetView>
  </sheetViews>
  <sheetFormatPr defaultRowHeight="14.4"/>
  <cols>
    <col min="2" max="2" width="16" customWidth="1"/>
    <col min="3" max="3" width="31" bestFit="1" customWidth="1"/>
    <col min="4" max="4" width="26" bestFit="1" customWidth="1"/>
    <col min="5" max="5" width="26" customWidth="1"/>
    <col min="6" max="7" width="19.21875" bestFit="1" customWidth="1"/>
  </cols>
  <sheetData>
    <row r="2" spans="2:11" ht="26.4" customHeight="1">
      <c r="B2" s="18" t="s">
        <v>23</v>
      </c>
    </row>
    <row r="3" spans="2:11">
      <c r="B3" s="17"/>
    </row>
    <row r="4" spans="2:11" ht="54">
      <c r="B4" s="84" t="s">
        <v>0</v>
      </c>
      <c r="C4" s="85" t="s">
        <v>1</v>
      </c>
      <c r="D4" s="85" t="s">
        <v>2</v>
      </c>
      <c r="E4" s="86" t="s">
        <v>162</v>
      </c>
      <c r="F4" s="85" t="s">
        <v>84</v>
      </c>
      <c r="G4" s="85" t="s">
        <v>85</v>
      </c>
      <c r="K4" s="1"/>
    </row>
    <row r="5" spans="2:11" ht="18">
      <c r="B5" s="16">
        <v>0</v>
      </c>
      <c r="C5" s="82">
        <v>0.2</v>
      </c>
      <c r="D5" s="82">
        <v>0.8</v>
      </c>
      <c r="E5" s="82"/>
      <c r="F5" s="51"/>
      <c r="G5" s="51"/>
      <c r="K5" s="2"/>
    </row>
    <row r="6" spans="2:11" ht="18">
      <c r="B6" s="16">
        <v>1</v>
      </c>
      <c r="C6" s="82">
        <v>0.3</v>
      </c>
      <c r="D6" s="82">
        <v>1.8</v>
      </c>
      <c r="E6" s="83">
        <f>C6/$C$5</f>
        <v>1.4999999999999998</v>
      </c>
      <c r="F6" s="83">
        <f>C6/C5</f>
        <v>1.4999999999999998</v>
      </c>
      <c r="G6" s="83">
        <f>D6/D5</f>
        <v>2.25</v>
      </c>
      <c r="K6" s="2"/>
    </row>
    <row r="7" spans="2:11" ht="18">
      <c r="B7" s="16">
        <v>2</v>
      </c>
      <c r="C7" s="82">
        <v>1.3</v>
      </c>
      <c r="D7" s="82">
        <v>2.4</v>
      </c>
      <c r="E7" s="83">
        <f t="shared" ref="E7:E12" si="0">C7/$C$5</f>
        <v>6.5</v>
      </c>
      <c r="F7" s="83">
        <f t="shared" ref="F7:G12" si="1">C7/C6</f>
        <v>4.3333333333333339</v>
      </c>
      <c r="G7" s="83">
        <f t="shared" si="1"/>
        <v>1.3333333333333333</v>
      </c>
      <c r="K7" s="2"/>
    </row>
    <row r="8" spans="2:11" ht="18">
      <c r="B8" s="16">
        <v>3</v>
      </c>
      <c r="C8" s="82">
        <v>1.9</v>
      </c>
      <c r="D8" s="82">
        <v>2.8</v>
      </c>
      <c r="E8" s="83">
        <f t="shared" si="0"/>
        <v>9.4999999999999982</v>
      </c>
      <c r="F8" s="83">
        <f t="shared" si="1"/>
        <v>1.4615384615384615</v>
      </c>
      <c r="G8" s="83">
        <f t="shared" si="1"/>
        <v>1.1666666666666667</v>
      </c>
      <c r="K8" s="2"/>
    </row>
    <row r="9" spans="2:11" ht="18">
      <c r="B9" s="16">
        <v>4</v>
      </c>
      <c r="C9" s="82">
        <v>2.9</v>
      </c>
      <c r="D9" s="82">
        <v>3.3</v>
      </c>
      <c r="E9" s="83">
        <f t="shared" si="0"/>
        <v>14.499999999999998</v>
      </c>
      <c r="F9" s="83">
        <f t="shared" si="1"/>
        <v>1.5263157894736843</v>
      </c>
      <c r="G9" s="83">
        <f t="shared" si="1"/>
        <v>1.1785714285714286</v>
      </c>
      <c r="K9" s="2"/>
    </row>
    <row r="10" spans="2:11" ht="18">
      <c r="B10" s="16">
        <v>5</v>
      </c>
      <c r="C10" s="82">
        <v>3.8</v>
      </c>
      <c r="D10" s="82">
        <v>9.3000000000000007</v>
      </c>
      <c r="E10" s="83">
        <f t="shared" si="0"/>
        <v>18.999999999999996</v>
      </c>
      <c r="F10" s="83">
        <f t="shared" si="1"/>
        <v>1.3103448275862069</v>
      </c>
      <c r="G10" s="83">
        <f t="shared" si="1"/>
        <v>2.8181818181818183</v>
      </c>
      <c r="K10" s="2"/>
    </row>
    <row r="11" spans="2:11" ht="18">
      <c r="B11" s="16">
        <v>6</v>
      </c>
      <c r="C11" s="82">
        <v>8.1</v>
      </c>
      <c r="D11" s="82">
        <v>11.4</v>
      </c>
      <c r="E11" s="83">
        <f t="shared" si="0"/>
        <v>40.499999999999993</v>
      </c>
      <c r="F11" s="83">
        <f t="shared" si="1"/>
        <v>2.1315789473684212</v>
      </c>
      <c r="G11" s="83">
        <f t="shared" si="1"/>
        <v>1.2258064516129032</v>
      </c>
      <c r="K11" s="2"/>
    </row>
    <row r="12" spans="2:11" ht="18">
      <c r="B12" s="16" t="s">
        <v>3</v>
      </c>
      <c r="C12" s="82">
        <v>13.8</v>
      </c>
      <c r="D12" s="82">
        <v>23</v>
      </c>
      <c r="E12" s="83">
        <f t="shared" si="0"/>
        <v>69</v>
      </c>
      <c r="F12" s="83">
        <f t="shared" si="1"/>
        <v>1.7037037037037039</v>
      </c>
      <c r="G12" s="83">
        <f t="shared" si="1"/>
        <v>2.0175438596491229</v>
      </c>
      <c r="K12" s="2"/>
    </row>
    <row r="13" spans="2:11">
      <c r="D13" s="3"/>
      <c r="E13" s="3"/>
    </row>
    <row r="14" spans="2:11" ht="18">
      <c r="B14" s="5" t="s">
        <v>55</v>
      </c>
    </row>
    <row r="15" spans="2:11" ht="18">
      <c r="B15" s="16" t="s">
        <v>82</v>
      </c>
      <c r="C15" s="29"/>
      <c r="D15" s="29"/>
      <c r="E15" s="29"/>
      <c r="F15" s="53">
        <f>GEOMEAN(F6:F12)</f>
        <v>1.8310184787415915</v>
      </c>
      <c r="G15" s="53">
        <f>GEOMEAN(G6:G12)</f>
        <v>1.6157599371509508</v>
      </c>
    </row>
    <row r="17" spans="2:3" ht="18">
      <c r="B17" s="5"/>
      <c r="C17" s="5" t="s">
        <v>54</v>
      </c>
    </row>
    <row r="18" spans="2:3" ht="18">
      <c r="B18" s="16"/>
      <c r="C18" s="16"/>
    </row>
    <row r="19" spans="2:3" ht="18">
      <c r="B19" s="16">
        <v>2016</v>
      </c>
      <c r="C19" s="16">
        <v>1.109</v>
      </c>
    </row>
    <row r="20" spans="2:3" ht="18">
      <c r="B20" s="16">
        <v>2017</v>
      </c>
      <c r="C20" s="16">
        <v>1.0900000000000001</v>
      </c>
    </row>
    <row r="21" spans="2:3" ht="18">
      <c r="B21" s="16">
        <v>2018</v>
      </c>
      <c r="C21" s="16">
        <v>1.119</v>
      </c>
    </row>
    <row r="22" spans="2:3" ht="18">
      <c r="B22" s="16">
        <v>2019</v>
      </c>
      <c r="C22" s="16">
        <v>1.133</v>
      </c>
    </row>
    <row r="24" spans="2:3" ht="18">
      <c r="B24" s="16" t="s">
        <v>82</v>
      </c>
      <c r="C24" s="21">
        <f>GEOMEAN(C19:C22)</f>
        <v>1.1126395929506057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E649-3FB7-4EF4-9703-89C660B183C0}">
  <dimension ref="A2:L29"/>
  <sheetViews>
    <sheetView showGridLines="0" topLeftCell="A10" workbookViewId="0">
      <selection activeCell="D17" sqref="D17"/>
    </sheetView>
  </sheetViews>
  <sheetFormatPr defaultRowHeight="14.4"/>
  <cols>
    <col min="1" max="1" width="18.21875" customWidth="1"/>
    <col min="2" max="2" width="40.5546875" customWidth="1"/>
    <col min="3" max="3" width="15.5546875" bestFit="1" customWidth="1"/>
    <col min="4" max="4" width="14.33203125" customWidth="1"/>
    <col min="5" max="5" width="9.109375" bestFit="1" customWidth="1"/>
    <col min="12" max="12" width="10.77734375" bestFit="1" customWidth="1"/>
  </cols>
  <sheetData>
    <row r="2" spans="1:12" ht="18">
      <c r="B2" s="5" t="s">
        <v>28</v>
      </c>
      <c r="C2" s="5"/>
      <c r="D2" s="5"/>
      <c r="E2" s="5"/>
    </row>
    <row r="3" spans="1:12" ht="18">
      <c r="B3" s="5"/>
      <c r="C3" s="5"/>
      <c r="D3" s="5"/>
      <c r="E3" s="5"/>
      <c r="L3" s="5" t="s">
        <v>36</v>
      </c>
    </row>
    <row r="4" spans="1:12" ht="18">
      <c r="A4" s="36" t="s">
        <v>104</v>
      </c>
      <c r="B4" s="16" t="s">
        <v>29</v>
      </c>
      <c r="C4" s="16">
        <v>17</v>
      </c>
      <c r="D4" s="16">
        <v>18</v>
      </c>
      <c r="E4" s="16">
        <v>19</v>
      </c>
      <c r="F4" s="16">
        <v>20</v>
      </c>
      <c r="G4" s="16">
        <v>21</v>
      </c>
      <c r="H4" s="16">
        <v>22</v>
      </c>
      <c r="I4" s="16">
        <v>23</v>
      </c>
      <c r="J4" s="16">
        <v>24</v>
      </c>
      <c r="K4" s="16">
        <v>25</v>
      </c>
      <c r="L4" s="21"/>
    </row>
    <row r="5" spans="1:12" ht="18">
      <c r="B5" s="16" t="s">
        <v>30</v>
      </c>
      <c r="C5" s="16">
        <v>23</v>
      </c>
      <c r="D5" s="16">
        <v>21</v>
      </c>
      <c r="E5" s="16">
        <v>34</v>
      </c>
      <c r="F5" s="16">
        <v>42</v>
      </c>
      <c r="G5" s="16">
        <v>67</v>
      </c>
      <c r="H5" s="16">
        <v>84</v>
      </c>
      <c r="I5" s="16">
        <v>36</v>
      </c>
      <c r="J5" s="16">
        <v>73</v>
      </c>
      <c r="K5" s="16">
        <v>97</v>
      </c>
      <c r="L5" s="21"/>
    </row>
    <row r="6" spans="1:12" ht="18" hidden="1">
      <c r="B6" s="16" t="s">
        <v>52</v>
      </c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1:12" ht="18" hidden="1">
      <c r="B7" s="16" t="s">
        <v>53</v>
      </c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2" ht="18" hidden="1">
      <c r="B8" s="16" t="s">
        <v>39</v>
      </c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ht="18" hidden="1">
      <c r="B9" s="16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ht="18">
      <c r="B10" s="5"/>
      <c r="C10" s="5"/>
      <c r="D10" s="5"/>
      <c r="E10" s="5"/>
    </row>
    <row r="11" spans="1:12" ht="18">
      <c r="B11" s="16" t="s">
        <v>31</v>
      </c>
      <c r="C11" s="87"/>
      <c r="D11" s="5"/>
      <c r="E11" s="22" t="s">
        <v>35</v>
      </c>
    </row>
    <row r="12" spans="1:12" ht="18">
      <c r="B12" s="16" t="s">
        <v>33</v>
      </c>
      <c r="C12" s="87"/>
      <c r="D12" s="5"/>
      <c r="E12" s="22" t="s">
        <v>48</v>
      </c>
    </row>
    <row r="13" spans="1:12" ht="18">
      <c r="B13" s="16" t="s">
        <v>47</v>
      </c>
      <c r="C13" s="87"/>
      <c r="D13" s="5"/>
      <c r="E13" s="22" t="s">
        <v>49</v>
      </c>
    </row>
    <row r="14" spans="1:12" ht="18">
      <c r="B14" s="16" t="s">
        <v>34</v>
      </c>
      <c r="C14" s="87"/>
      <c r="D14" s="5"/>
      <c r="E14" s="22" t="s">
        <v>50</v>
      </c>
    </row>
    <row r="15" spans="1:12" ht="18">
      <c r="B15" s="5"/>
      <c r="C15" s="5"/>
      <c r="D15" s="5"/>
      <c r="E15" s="22"/>
    </row>
    <row r="16" spans="1:12" ht="18">
      <c r="B16" s="5"/>
      <c r="C16" s="5"/>
      <c r="D16" s="5"/>
      <c r="E16" s="22"/>
    </row>
    <row r="17" spans="2:5" ht="18">
      <c r="B17" s="5"/>
      <c r="C17" s="5"/>
      <c r="D17" s="5"/>
      <c r="E17" s="22"/>
    </row>
    <row r="18" spans="2:5" ht="18">
      <c r="B18" s="5"/>
      <c r="C18" s="5"/>
      <c r="D18" s="5"/>
      <c r="E18" s="22"/>
    </row>
    <row r="19" spans="2:5" ht="18">
      <c r="B19" s="16" t="s">
        <v>32</v>
      </c>
      <c r="C19" s="87"/>
      <c r="D19" s="5"/>
      <c r="E19" s="22" t="s">
        <v>51</v>
      </c>
    </row>
    <row r="20" spans="2:5" ht="39.6" customHeight="1">
      <c r="B20" s="5"/>
      <c r="C20" s="5"/>
      <c r="D20" s="5"/>
      <c r="E20" s="22"/>
    </row>
    <row r="21" spans="2:5" ht="18">
      <c r="B21" s="16" t="s">
        <v>42</v>
      </c>
      <c r="C21" s="87"/>
      <c r="D21" s="5"/>
      <c r="E21" s="22" t="s">
        <v>41</v>
      </c>
    </row>
    <row r="22" spans="2:5" ht="44.4" customHeight="1">
      <c r="B22" s="5"/>
      <c r="C22" s="5"/>
      <c r="D22" s="5"/>
      <c r="E22" s="22"/>
    </row>
    <row r="23" spans="2:5" ht="18">
      <c r="B23" s="16" t="s">
        <v>43</v>
      </c>
      <c r="C23" s="87"/>
      <c r="D23" s="5"/>
      <c r="E23" s="22" t="s">
        <v>40</v>
      </c>
    </row>
    <row r="24" spans="2:5" ht="49.8" customHeight="1">
      <c r="B24" s="5"/>
      <c r="C24" s="5"/>
      <c r="D24" s="5"/>
      <c r="E24" s="22"/>
    </row>
    <row r="25" spans="2:5" ht="18">
      <c r="B25" s="82" t="s">
        <v>44</v>
      </c>
      <c r="C25" s="88"/>
      <c r="D25" s="5"/>
      <c r="E25" s="22" t="s">
        <v>46</v>
      </c>
    </row>
    <row r="26" spans="2:5" ht="27" customHeight="1"/>
    <row r="28" spans="2:5" ht="18">
      <c r="E28" s="22"/>
    </row>
    <row r="29" spans="2:5" ht="18">
      <c r="E29" s="2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3617-41A2-48F6-ACCD-A1940B7E4F98}">
  <dimension ref="A2:L29"/>
  <sheetViews>
    <sheetView showGridLines="0" topLeftCell="A10" workbookViewId="0">
      <selection activeCell="B25" sqref="B25:C25"/>
    </sheetView>
  </sheetViews>
  <sheetFormatPr defaultRowHeight="14.4"/>
  <cols>
    <col min="1" max="1" width="18.21875" customWidth="1"/>
    <col min="2" max="2" width="40.5546875" customWidth="1"/>
    <col min="3" max="3" width="15.5546875" bestFit="1" customWidth="1"/>
    <col min="4" max="4" width="14.33203125" customWidth="1"/>
    <col min="5" max="5" width="9.109375" bestFit="1" customWidth="1"/>
    <col min="12" max="12" width="10.77734375" bestFit="1" customWidth="1"/>
  </cols>
  <sheetData>
    <row r="2" spans="1:12" ht="18">
      <c r="B2" s="5" t="s">
        <v>28</v>
      </c>
      <c r="C2" s="5"/>
      <c r="D2" s="5"/>
      <c r="E2" s="5"/>
    </row>
    <row r="3" spans="1:12" ht="18">
      <c r="B3" s="5"/>
      <c r="C3" s="5"/>
      <c r="D3" s="5"/>
      <c r="E3" s="5"/>
      <c r="L3" s="5" t="s">
        <v>36</v>
      </c>
    </row>
    <row r="4" spans="1:12" ht="18">
      <c r="A4" s="36" t="s">
        <v>104</v>
      </c>
      <c r="B4" s="16" t="s">
        <v>29</v>
      </c>
      <c r="C4" s="16">
        <v>17</v>
      </c>
      <c r="D4" s="16">
        <v>18</v>
      </c>
      <c r="E4" s="16">
        <v>19</v>
      </c>
      <c r="F4" s="16">
        <v>20</v>
      </c>
      <c r="G4" s="16">
        <v>21</v>
      </c>
      <c r="H4" s="16">
        <v>22</v>
      </c>
      <c r="I4" s="16">
        <v>23</v>
      </c>
      <c r="J4" s="16">
        <v>24</v>
      </c>
      <c r="K4" s="16">
        <v>25</v>
      </c>
      <c r="L4" s="21">
        <f t="shared" ref="L4:L9" si="0">SUM(C4:K4)</f>
        <v>189</v>
      </c>
    </row>
    <row r="5" spans="1:12" ht="18">
      <c r="B5" s="16" t="s">
        <v>30</v>
      </c>
      <c r="C5" s="16">
        <v>23</v>
      </c>
      <c r="D5" s="16">
        <v>21</v>
      </c>
      <c r="E5" s="16">
        <v>34</v>
      </c>
      <c r="F5" s="16">
        <v>42</v>
      </c>
      <c r="G5" s="16">
        <v>67</v>
      </c>
      <c r="H5" s="16">
        <v>84</v>
      </c>
      <c r="I5" s="16">
        <v>36</v>
      </c>
      <c r="J5" s="16">
        <v>73</v>
      </c>
      <c r="K5" s="16">
        <v>97</v>
      </c>
      <c r="L5" s="21">
        <f t="shared" si="0"/>
        <v>477</v>
      </c>
    </row>
    <row r="6" spans="1:12" ht="18">
      <c r="B6" s="16" t="s">
        <v>37</v>
      </c>
      <c r="C6" s="21">
        <f>C4*C5</f>
        <v>391</v>
      </c>
      <c r="D6" s="21">
        <f t="shared" ref="D6:K6" si="1">D4*D5</f>
        <v>378</v>
      </c>
      <c r="E6" s="21">
        <f t="shared" si="1"/>
        <v>646</v>
      </c>
      <c r="F6" s="21">
        <f t="shared" si="1"/>
        <v>840</v>
      </c>
      <c r="G6" s="21">
        <f t="shared" si="1"/>
        <v>1407</v>
      </c>
      <c r="H6" s="21">
        <f t="shared" si="1"/>
        <v>1848</v>
      </c>
      <c r="I6" s="21">
        <f t="shared" si="1"/>
        <v>828</v>
      </c>
      <c r="J6" s="21">
        <f t="shared" si="1"/>
        <v>1752</v>
      </c>
      <c r="K6" s="21">
        <f t="shared" si="1"/>
        <v>2425</v>
      </c>
      <c r="L6" s="21">
        <f t="shared" si="0"/>
        <v>10515</v>
      </c>
    </row>
    <row r="7" spans="1:12" ht="18">
      <c r="B7" s="16" t="s">
        <v>38</v>
      </c>
      <c r="C7" s="21">
        <f t="shared" ref="C7:K7" si="2">C4^(C5/$L$5)</f>
        <v>1.1463832244468466</v>
      </c>
      <c r="D7" s="21">
        <f t="shared" si="2"/>
        <v>1.1356998525712529</v>
      </c>
      <c r="E7" s="21">
        <f t="shared" si="2"/>
        <v>1.2335252828941534</v>
      </c>
      <c r="F7" s="21">
        <f t="shared" si="2"/>
        <v>1.3018354700868582</v>
      </c>
      <c r="G7" s="21">
        <f t="shared" si="2"/>
        <v>1.5336297686739659</v>
      </c>
      <c r="H7" s="21">
        <f t="shared" si="2"/>
        <v>1.7234610719407057</v>
      </c>
      <c r="I7" s="21">
        <f t="shared" si="2"/>
        <v>1.2669862804424621</v>
      </c>
      <c r="J7" s="21">
        <f t="shared" si="2"/>
        <v>1.6263997427970878</v>
      </c>
      <c r="K7" s="21">
        <f t="shared" si="2"/>
        <v>1.9243191805281983</v>
      </c>
      <c r="L7" s="21">
        <f t="shared" si="0"/>
        <v>12.892239874381531</v>
      </c>
    </row>
    <row r="8" spans="1:12" ht="18">
      <c r="B8" s="16" t="s">
        <v>39</v>
      </c>
      <c r="C8" s="21">
        <f>C6*C4</f>
        <v>6647</v>
      </c>
      <c r="D8" s="21">
        <f t="shared" ref="D8:K8" si="3">D6*D4</f>
        <v>6804</v>
      </c>
      <c r="E8" s="21">
        <f t="shared" si="3"/>
        <v>12274</v>
      </c>
      <c r="F8" s="21">
        <f t="shared" si="3"/>
        <v>16800</v>
      </c>
      <c r="G8" s="21">
        <f t="shared" si="3"/>
        <v>29547</v>
      </c>
      <c r="H8" s="21">
        <f t="shared" si="3"/>
        <v>40656</v>
      </c>
      <c r="I8" s="21">
        <f t="shared" si="3"/>
        <v>19044</v>
      </c>
      <c r="J8" s="21">
        <f t="shared" si="3"/>
        <v>42048</v>
      </c>
      <c r="K8" s="21">
        <f t="shared" si="3"/>
        <v>60625</v>
      </c>
      <c r="L8" s="21">
        <f t="shared" si="0"/>
        <v>234445</v>
      </c>
    </row>
    <row r="9" spans="1:12" ht="18">
      <c r="B9" s="16" t="s">
        <v>45</v>
      </c>
      <c r="C9" s="21">
        <f>C5/C4</f>
        <v>1.3529411764705883</v>
      </c>
      <c r="D9" s="21">
        <f t="shared" ref="D9:K9" si="4">D5/D4</f>
        <v>1.1666666666666667</v>
      </c>
      <c r="E9" s="21">
        <f t="shared" si="4"/>
        <v>1.7894736842105263</v>
      </c>
      <c r="F9" s="21">
        <f t="shared" si="4"/>
        <v>2.1</v>
      </c>
      <c r="G9" s="21">
        <f t="shared" si="4"/>
        <v>3.1904761904761907</v>
      </c>
      <c r="H9" s="21">
        <f t="shared" si="4"/>
        <v>3.8181818181818183</v>
      </c>
      <c r="I9" s="21">
        <f t="shared" si="4"/>
        <v>1.5652173913043479</v>
      </c>
      <c r="J9" s="21">
        <f t="shared" si="4"/>
        <v>3.0416666666666665</v>
      </c>
      <c r="K9" s="21">
        <f t="shared" si="4"/>
        <v>3.88</v>
      </c>
      <c r="L9" s="21">
        <f t="shared" si="0"/>
        <v>21.904623593976805</v>
      </c>
    </row>
    <row r="10" spans="1:12" ht="18">
      <c r="B10" s="5"/>
      <c r="C10" s="5"/>
      <c r="D10" s="5"/>
      <c r="E10" s="5"/>
    </row>
    <row r="11" spans="1:12" ht="18">
      <c r="B11" s="16" t="s">
        <v>31</v>
      </c>
      <c r="C11" s="87">
        <f>AVERAGE(C4:K4)</f>
        <v>21</v>
      </c>
      <c r="D11" s="5"/>
      <c r="E11" s="22" t="s">
        <v>35</v>
      </c>
    </row>
    <row r="12" spans="1:12" ht="18">
      <c r="B12" s="16" t="s">
        <v>33</v>
      </c>
      <c r="C12" s="87">
        <f>SQRT(SUMSQ(C4:K4)/COUNT(C4:K4))</f>
        <v>21.158134763411134</v>
      </c>
      <c r="D12" s="5"/>
      <c r="E12" s="22" t="s">
        <v>48</v>
      </c>
    </row>
    <row r="13" spans="1:12" ht="18">
      <c r="B13" s="16" t="s">
        <v>47</v>
      </c>
      <c r="C13" s="87">
        <f>GEOMEAN(C4:K4)</f>
        <v>20.839715570520006</v>
      </c>
      <c r="D13" s="5"/>
      <c r="E13" s="22" t="s">
        <v>49</v>
      </c>
    </row>
    <row r="14" spans="1:12" ht="18">
      <c r="B14" s="16" t="s">
        <v>34</v>
      </c>
      <c r="C14" s="87">
        <f>HARMEAN(C4:K4)</f>
        <v>20.678760340560498</v>
      </c>
      <c r="D14" s="5"/>
      <c r="E14" s="22" t="s">
        <v>50</v>
      </c>
    </row>
    <row r="15" spans="1:12" ht="18">
      <c r="B15" s="5"/>
      <c r="C15" s="5"/>
      <c r="D15" s="5"/>
      <c r="E15" s="22"/>
    </row>
    <row r="16" spans="1:12" ht="18">
      <c r="B16" s="5"/>
      <c r="C16" s="5"/>
      <c r="D16" s="5"/>
      <c r="E16" s="22"/>
    </row>
    <row r="17" spans="2:5" ht="18">
      <c r="B17" s="5"/>
      <c r="C17" s="5"/>
      <c r="D17" s="5"/>
      <c r="E17" s="22"/>
    </row>
    <row r="18" spans="2:5" ht="18">
      <c r="B18" s="5"/>
      <c r="C18" s="5"/>
      <c r="D18" s="5"/>
      <c r="E18" s="22"/>
    </row>
    <row r="19" spans="2:5" ht="18">
      <c r="B19" s="16" t="s">
        <v>32</v>
      </c>
      <c r="C19" s="87">
        <f>SUMPRODUCT(C4:K4,C5:K5)/SUM(C5:K5)</f>
        <v>22.044025157232703</v>
      </c>
      <c r="D19" s="5"/>
      <c r="E19" s="22" t="s">
        <v>51</v>
      </c>
    </row>
    <row r="20" spans="2:5" ht="39.6" customHeight="1">
      <c r="B20" s="5"/>
      <c r="C20" s="5"/>
      <c r="D20" s="5"/>
      <c r="E20" s="22"/>
    </row>
    <row r="21" spans="2:5" ht="18">
      <c r="B21" s="16" t="s">
        <v>42</v>
      </c>
      <c r="C21" s="87">
        <f>SQRT(L8/L5)</f>
        <v>22.169775636707978</v>
      </c>
      <c r="D21" s="5"/>
      <c r="E21" s="22" t="s">
        <v>41</v>
      </c>
    </row>
    <row r="22" spans="2:5" ht="44.4" customHeight="1">
      <c r="B22" s="5"/>
      <c r="C22" s="5"/>
      <c r="D22" s="5"/>
      <c r="E22" s="22"/>
    </row>
    <row r="23" spans="2:5" ht="18">
      <c r="B23" s="16" t="s">
        <v>43</v>
      </c>
      <c r="C23" s="87">
        <f>PRODUCT(C7:K7)</f>
        <v>21.912699007411952</v>
      </c>
      <c r="D23" s="5"/>
      <c r="E23" s="22" t="s">
        <v>40</v>
      </c>
    </row>
    <row r="24" spans="2:5" ht="49.8" customHeight="1">
      <c r="B24" s="5"/>
      <c r="C24" s="5"/>
      <c r="D24" s="5"/>
      <c r="E24" s="22"/>
    </row>
    <row r="25" spans="2:5" ht="18">
      <c r="B25" s="16" t="s">
        <v>44</v>
      </c>
      <c r="C25" s="87">
        <f>L5/L9</f>
        <v>21.776224455697218</v>
      </c>
      <c r="D25" s="5"/>
      <c r="E25" s="22" t="s">
        <v>46</v>
      </c>
    </row>
    <row r="26" spans="2:5" ht="27" customHeight="1"/>
    <row r="28" spans="2:5" ht="18">
      <c r="E28" s="22"/>
    </row>
    <row r="29" spans="2:5" ht="18">
      <c r="E29" s="2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1B04-5BCB-49AD-A9B9-C34F9C956634}">
  <dimension ref="A1:H40"/>
  <sheetViews>
    <sheetView showGridLines="0" workbookViewId="0">
      <selection activeCell="F36" sqref="F36"/>
    </sheetView>
  </sheetViews>
  <sheetFormatPr defaultRowHeight="14.4"/>
  <cols>
    <col min="2" max="2" width="14.109375" customWidth="1"/>
    <col min="3" max="3" width="21.33203125" customWidth="1"/>
    <col min="4" max="4" width="19.44140625" customWidth="1"/>
    <col min="5" max="5" width="12.21875" customWidth="1"/>
    <col min="6" max="6" width="14.6640625" customWidth="1"/>
    <col min="7" max="7" width="13.77734375" customWidth="1"/>
  </cols>
  <sheetData>
    <row r="1" spans="1:8" ht="18">
      <c r="A1" s="5">
        <v>1</v>
      </c>
      <c r="B1" t="s">
        <v>56</v>
      </c>
    </row>
    <row r="3" spans="1:8" s="6" customFormat="1" ht="75.599999999999994" customHeight="1">
      <c r="B3" s="24" t="s">
        <v>57</v>
      </c>
      <c r="C3" s="25" t="s">
        <v>58</v>
      </c>
      <c r="D3" s="25" t="s">
        <v>60</v>
      </c>
      <c r="E3" s="26" t="s">
        <v>59</v>
      </c>
    </row>
    <row r="4" spans="1:8">
      <c r="B4" s="12">
        <v>1</v>
      </c>
      <c r="C4" s="12">
        <v>500</v>
      </c>
      <c r="D4" s="12">
        <v>104</v>
      </c>
      <c r="E4" s="27"/>
    </row>
    <row r="5" spans="1:8">
      <c r="B5" s="12">
        <v>2</v>
      </c>
      <c r="C5" s="12">
        <v>750</v>
      </c>
      <c r="D5" s="12">
        <v>92</v>
      </c>
      <c r="E5" s="27"/>
    </row>
    <row r="6" spans="1:8">
      <c r="B6" s="12">
        <v>3</v>
      </c>
      <c r="C6" s="12">
        <v>250</v>
      </c>
      <c r="D6" s="12">
        <v>116</v>
      </c>
      <c r="E6" s="27"/>
    </row>
    <row r="8" spans="1:8">
      <c r="B8" s="19"/>
      <c r="C8" s="19"/>
      <c r="D8" s="19"/>
      <c r="E8" s="19"/>
      <c r="F8" s="19"/>
      <c r="G8" s="19"/>
      <c r="H8" s="19"/>
    </row>
    <row r="9" spans="1:8" ht="18">
      <c r="A9" s="5">
        <v>2</v>
      </c>
      <c r="C9" t="s">
        <v>61</v>
      </c>
    </row>
    <row r="11" spans="1:8" ht="17.399999999999999" customHeight="1">
      <c r="C11" s="12"/>
      <c r="D11" s="91" t="s">
        <v>63</v>
      </c>
      <c r="E11" s="91"/>
      <c r="F11" s="92" t="s">
        <v>66</v>
      </c>
    </row>
    <row r="12" spans="1:8" ht="28.8" customHeight="1">
      <c r="C12" s="12" t="s">
        <v>62</v>
      </c>
      <c r="D12" s="12" t="s">
        <v>64</v>
      </c>
      <c r="E12" s="12" t="s">
        <v>65</v>
      </c>
      <c r="F12" s="92"/>
    </row>
    <row r="13" spans="1:8">
      <c r="C13" s="12" t="s">
        <v>67</v>
      </c>
      <c r="D13" s="12">
        <v>500</v>
      </c>
      <c r="E13" s="12">
        <v>600</v>
      </c>
      <c r="F13" s="27"/>
    </row>
    <row r="14" spans="1:8">
      <c r="C14" s="12" t="s">
        <v>68</v>
      </c>
      <c r="D14" s="12">
        <v>1000</v>
      </c>
      <c r="E14" s="12">
        <v>1500</v>
      </c>
      <c r="F14" s="27"/>
    </row>
    <row r="15" spans="1:8">
      <c r="C15" s="12" t="s">
        <v>69</v>
      </c>
      <c r="D15" s="12">
        <v>50000</v>
      </c>
      <c r="E15" s="12">
        <v>40000</v>
      </c>
      <c r="F15" s="27"/>
    </row>
    <row r="17" spans="1:8">
      <c r="B17" s="19"/>
      <c r="C17" s="19"/>
      <c r="D17" s="19"/>
      <c r="E17" s="19"/>
      <c r="F17" s="19"/>
      <c r="G17" s="19"/>
      <c r="H17" s="19"/>
    </row>
    <row r="19" spans="1:8" ht="18">
      <c r="A19" s="5">
        <v>3</v>
      </c>
      <c r="C19" t="s">
        <v>70</v>
      </c>
    </row>
    <row r="20" spans="1:8">
      <c r="C20" t="s">
        <v>71</v>
      </c>
      <c r="F20" s="27"/>
    </row>
    <row r="22" spans="1:8">
      <c r="B22" s="19"/>
      <c r="C22" s="19"/>
      <c r="D22" s="19"/>
      <c r="E22" s="19"/>
      <c r="F22" s="19"/>
      <c r="G22" s="19"/>
      <c r="H22" s="19"/>
    </row>
    <row r="24" spans="1:8" ht="18">
      <c r="A24" s="5">
        <v>4</v>
      </c>
      <c r="C24" s="12" t="s">
        <v>8</v>
      </c>
      <c r="D24" s="12">
        <v>2002</v>
      </c>
      <c r="E24" s="12">
        <v>2003</v>
      </c>
      <c r="F24" s="12">
        <v>2004</v>
      </c>
      <c r="G24" s="28">
        <v>2005</v>
      </c>
    </row>
    <row r="25" spans="1:8" ht="28.8">
      <c r="C25" s="11" t="s">
        <v>72</v>
      </c>
      <c r="D25" s="12">
        <v>2853</v>
      </c>
      <c r="E25" s="12">
        <v>2885</v>
      </c>
      <c r="F25" s="12">
        <v>2917</v>
      </c>
      <c r="G25" s="12">
        <v>2949</v>
      </c>
    </row>
    <row r="26" spans="1:8" ht="43.2">
      <c r="C26" s="11" t="s">
        <v>73</v>
      </c>
      <c r="D26" s="12">
        <v>145.6</v>
      </c>
      <c r="E26" s="12">
        <v>145</v>
      </c>
      <c r="F26" s="12">
        <v>144.19999999999999</v>
      </c>
      <c r="G26" s="12">
        <v>143.5</v>
      </c>
    </row>
    <row r="27" spans="1:8" ht="28.8">
      <c r="C27" s="11" t="s">
        <v>74</v>
      </c>
      <c r="D27" s="12"/>
      <c r="E27" s="12"/>
      <c r="F27" s="12"/>
      <c r="G27" s="12"/>
    </row>
    <row r="29" spans="1:8">
      <c r="D29" s="27"/>
    </row>
    <row r="30" spans="1:8">
      <c r="C30" t="s">
        <v>75</v>
      </c>
    </row>
    <row r="31" spans="1:8">
      <c r="C31" t="s">
        <v>76</v>
      </c>
    </row>
    <row r="33" spans="1:8">
      <c r="B33" s="19"/>
      <c r="C33" s="19"/>
      <c r="D33" s="19"/>
      <c r="E33" s="19"/>
      <c r="F33" s="19"/>
      <c r="G33" s="19"/>
      <c r="H33" s="19"/>
    </row>
    <row r="35" spans="1:8" ht="18">
      <c r="A35" s="5">
        <v>5</v>
      </c>
      <c r="C35" t="s">
        <v>77</v>
      </c>
    </row>
    <row r="36" spans="1:8" ht="43.2">
      <c r="C36" s="12" t="s">
        <v>78</v>
      </c>
      <c r="D36" s="11" t="s">
        <v>79</v>
      </c>
      <c r="E36" s="11" t="s">
        <v>80</v>
      </c>
      <c r="F36" s="19"/>
      <c r="G36" s="19"/>
    </row>
    <row r="37" spans="1:8">
      <c r="C37" s="12">
        <v>1</v>
      </c>
      <c r="D37" s="12">
        <v>18.2</v>
      </c>
      <c r="E37" s="12">
        <v>3640</v>
      </c>
      <c r="F37" s="19"/>
      <c r="G37" s="19"/>
    </row>
    <row r="38" spans="1:8">
      <c r="C38" s="12">
        <v>2</v>
      </c>
      <c r="D38" s="12">
        <v>20.399999999999999</v>
      </c>
      <c r="E38" s="12">
        <v>3060</v>
      </c>
      <c r="F38" s="19"/>
      <c r="G38" s="19"/>
    </row>
    <row r="39" spans="1:8">
      <c r="C39" s="12">
        <v>3</v>
      </c>
      <c r="D39" s="12">
        <v>23.5</v>
      </c>
      <c r="E39" s="12">
        <v>2350</v>
      </c>
      <c r="F39" s="19"/>
      <c r="G39" s="19"/>
    </row>
    <row r="40" spans="1:8">
      <c r="C40" s="12" t="s">
        <v>81</v>
      </c>
      <c r="D40" s="12"/>
      <c r="E40" s="12">
        <f>SUM(E37:E39)</f>
        <v>9050</v>
      </c>
      <c r="F40" s="19"/>
      <c r="G40" s="19"/>
    </row>
  </sheetData>
  <mergeCells count="2">
    <mergeCell ref="D11:E11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D9A0-BD57-4CEE-B428-5C5D6BE72661}">
  <dimension ref="A2:T262"/>
  <sheetViews>
    <sheetView showGridLines="0" topLeftCell="A16" workbookViewId="0">
      <selection activeCell="C22" sqref="C22"/>
    </sheetView>
  </sheetViews>
  <sheetFormatPr defaultRowHeight="14.4"/>
  <cols>
    <col min="3" max="3" width="12.109375" customWidth="1"/>
    <col min="13" max="13" width="13.21875" bestFit="1" customWidth="1"/>
  </cols>
  <sheetData>
    <row r="2" spans="2:20" ht="15.6">
      <c r="B2" s="30" t="s">
        <v>86</v>
      </c>
    </row>
    <row r="3" spans="2:20" ht="15.6">
      <c r="B3" s="30" t="s">
        <v>87</v>
      </c>
    </row>
    <row r="5" spans="2:20" ht="35.4">
      <c r="B5" s="31" t="s">
        <v>88</v>
      </c>
    </row>
    <row r="6" spans="2:20" ht="35.4">
      <c r="B6" s="31"/>
    </row>
    <row r="7" spans="2:20">
      <c r="E7" t="s">
        <v>89</v>
      </c>
    </row>
    <row r="8" spans="2:20" ht="28.8">
      <c r="B8" s="12" t="s">
        <v>90</v>
      </c>
      <c r="C8" s="11" t="s">
        <v>91</v>
      </c>
      <c r="E8" s="12" t="s">
        <v>92</v>
      </c>
      <c r="F8" s="12" t="s">
        <v>93</v>
      </c>
      <c r="J8" s="12"/>
      <c r="K8" s="12" t="s">
        <v>94</v>
      </c>
      <c r="L8" s="12" t="s">
        <v>95</v>
      </c>
      <c r="M8" s="12" t="s">
        <v>96</v>
      </c>
      <c r="Q8" t="s">
        <v>97</v>
      </c>
      <c r="R8" t="s">
        <v>98</v>
      </c>
    </row>
    <row r="9" spans="2:20" ht="18">
      <c r="B9" s="12">
        <v>2</v>
      </c>
      <c r="C9" s="12">
        <v>1</v>
      </c>
      <c r="D9" s="32"/>
      <c r="E9" s="12">
        <v>1</v>
      </c>
      <c r="F9" s="12">
        <v>24.16</v>
      </c>
      <c r="H9" s="54" t="s">
        <v>98</v>
      </c>
      <c r="I9" s="55">
        <f>ROUNDDOWN(1+1.44*LN(35),0)</f>
        <v>6</v>
      </c>
      <c r="J9" s="12">
        <v>1</v>
      </c>
      <c r="K9" s="12">
        <f>F9</f>
        <v>24.16</v>
      </c>
      <c r="L9" s="12">
        <f>K9+$I$10</f>
        <v>38.659999999999997</v>
      </c>
      <c r="M9" s="12">
        <v>5</v>
      </c>
      <c r="N9" s="33">
        <f>COUNTIFS($F$9:$F$43,"&gt;="&amp;K9,$F$9:$F$43,"&lt;="&amp;L9)</f>
        <v>5</v>
      </c>
      <c r="Q9">
        <v>1</v>
      </c>
      <c r="R9" s="3">
        <f>1+1.44*LN(Q9)</f>
        <v>1</v>
      </c>
      <c r="T9" s="33" t="s">
        <v>101</v>
      </c>
    </row>
    <row r="10" spans="2:20" ht="18">
      <c r="B10" s="12">
        <v>3</v>
      </c>
      <c r="C10" s="12">
        <v>2</v>
      </c>
      <c r="D10" s="32"/>
      <c r="E10" s="12">
        <v>2</v>
      </c>
      <c r="F10" s="12">
        <v>27.06</v>
      </c>
      <c r="H10" s="54" t="s">
        <v>99</v>
      </c>
      <c r="I10" s="56">
        <f>(MAX(F9:F43)-MIN(F9:F43))/I9</f>
        <v>14.5</v>
      </c>
      <c r="J10" s="12">
        <v>2</v>
      </c>
      <c r="K10" s="12">
        <f>L9</f>
        <v>38.659999999999997</v>
      </c>
      <c r="L10" s="12">
        <f>K10+$I$10</f>
        <v>53.16</v>
      </c>
      <c r="M10" s="12">
        <v>7</v>
      </c>
      <c r="N10">
        <f t="shared" ref="N10:N14" si="0">COUNTIFS($F$9:$F$43,"&gt;="&amp;K10,$F$9:$F$43,"&lt;="&amp;L10)</f>
        <v>7</v>
      </c>
      <c r="Q10">
        <v>2</v>
      </c>
      <c r="R10" s="3">
        <f>1+1.44*LN(Q10)</f>
        <v>1.9981319400063211</v>
      </c>
    </row>
    <row r="11" spans="2:20">
      <c r="B11" s="12">
        <v>4</v>
      </c>
      <c r="C11" s="12">
        <v>2</v>
      </c>
      <c r="D11" s="32"/>
      <c r="E11" s="12">
        <v>3</v>
      </c>
      <c r="F11" s="12">
        <v>29.12</v>
      </c>
      <c r="J11" s="12">
        <v>3</v>
      </c>
      <c r="K11" s="12">
        <f t="shared" ref="K11:K14" si="1">L10</f>
        <v>53.16</v>
      </c>
      <c r="L11" s="12">
        <f t="shared" ref="L11:L14" si="2">K11+$I$10</f>
        <v>67.66</v>
      </c>
      <c r="M11" s="12">
        <v>13</v>
      </c>
      <c r="N11">
        <f t="shared" si="0"/>
        <v>13</v>
      </c>
      <c r="Q11">
        <v>3</v>
      </c>
      <c r="R11" s="3">
        <f t="shared" ref="R11:R74" si="3">1+1.44*LN(Q11)</f>
        <v>2.5820016956820782</v>
      </c>
    </row>
    <row r="12" spans="2:20">
      <c r="B12" s="12">
        <v>5</v>
      </c>
      <c r="C12" s="12">
        <v>3</v>
      </c>
      <c r="D12" s="32"/>
      <c r="E12" s="12">
        <v>4</v>
      </c>
      <c r="F12" s="12">
        <v>31.17</v>
      </c>
      <c r="J12" s="12">
        <v>4</v>
      </c>
      <c r="K12" s="12">
        <f t="shared" si="1"/>
        <v>67.66</v>
      </c>
      <c r="L12" s="12">
        <f t="shared" si="2"/>
        <v>82.16</v>
      </c>
      <c r="M12" s="12">
        <v>4</v>
      </c>
      <c r="N12">
        <f t="shared" si="0"/>
        <v>4</v>
      </c>
      <c r="Q12">
        <v>4</v>
      </c>
      <c r="R12" s="3">
        <f t="shared" si="3"/>
        <v>2.9962638800126422</v>
      </c>
    </row>
    <row r="13" spans="2:20">
      <c r="B13" s="12">
        <v>6</v>
      </c>
      <c r="C13" s="12">
        <v>3</v>
      </c>
      <c r="D13" s="32"/>
      <c r="E13" s="12">
        <v>5</v>
      </c>
      <c r="F13" s="12">
        <v>37.08</v>
      </c>
      <c r="J13" s="12">
        <v>5</v>
      </c>
      <c r="K13" s="12">
        <f t="shared" si="1"/>
        <v>82.16</v>
      </c>
      <c r="L13" s="12">
        <f t="shared" si="2"/>
        <v>96.66</v>
      </c>
      <c r="M13" s="12">
        <v>4</v>
      </c>
      <c r="N13">
        <f t="shared" si="0"/>
        <v>4</v>
      </c>
      <c r="Q13">
        <v>5</v>
      </c>
      <c r="R13" s="3">
        <f t="shared" si="3"/>
        <v>3.3175905939051042</v>
      </c>
    </row>
    <row r="14" spans="2:20">
      <c r="B14" s="12">
        <v>7</v>
      </c>
      <c r="C14" s="12">
        <v>5</v>
      </c>
      <c r="D14" s="32"/>
      <c r="E14" s="12">
        <v>6</v>
      </c>
      <c r="F14" s="12">
        <v>39.11</v>
      </c>
      <c r="J14" s="12">
        <v>6</v>
      </c>
      <c r="K14" s="12">
        <f t="shared" si="1"/>
        <v>96.66</v>
      </c>
      <c r="L14" s="12">
        <f t="shared" si="2"/>
        <v>111.16</v>
      </c>
      <c r="M14" s="12">
        <v>2</v>
      </c>
      <c r="N14">
        <f t="shared" si="0"/>
        <v>2</v>
      </c>
      <c r="Q14">
        <v>6</v>
      </c>
      <c r="R14" s="3">
        <f t="shared" si="3"/>
        <v>3.5801336356883993</v>
      </c>
    </row>
    <row r="15" spans="2:20">
      <c r="B15" s="12">
        <v>8</v>
      </c>
      <c r="C15" s="12">
        <v>7</v>
      </c>
      <c r="D15" s="32"/>
      <c r="E15" s="12">
        <v>7</v>
      </c>
      <c r="F15" s="12">
        <v>41.58</v>
      </c>
      <c r="Q15">
        <v>7</v>
      </c>
      <c r="R15" s="3">
        <f t="shared" si="3"/>
        <v>3.8021106146396511</v>
      </c>
    </row>
    <row r="16" spans="2:20">
      <c r="B16" s="12">
        <v>9</v>
      </c>
      <c r="C16" s="12">
        <v>3</v>
      </c>
      <c r="D16" s="32"/>
      <c r="E16" s="12">
        <v>8</v>
      </c>
      <c r="F16" s="12">
        <v>44.84</v>
      </c>
      <c r="Q16">
        <v>8</v>
      </c>
      <c r="R16" s="3">
        <f t="shared" si="3"/>
        <v>3.9943958200189633</v>
      </c>
    </row>
    <row r="17" spans="1:18" ht="15.6">
      <c r="B17" s="12">
        <v>10</v>
      </c>
      <c r="C17" s="12">
        <v>2</v>
      </c>
      <c r="D17" s="32"/>
      <c r="E17" s="12">
        <v>9</v>
      </c>
      <c r="F17" s="12">
        <v>46.8</v>
      </c>
      <c r="I17" s="34" t="s">
        <v>102</v>
      </c>
      <c r="Q17">
        <v>9</v>
      </c>
      <c r="R17" s="3">
        <f t="shared" si="3"/>
        <v>4.1640033913641563</v>
      </c>
    </row>
    <row r="18" spans="1:18">
      <c r="B18" s="12">
        <v>11</v>
      </c>
      <c r="C18" s="12">
        <v>1</v>
      </c>
      <c r="D18" s="32"/>
      <c r="E18" s="12">
        <v>10</v>
      </c>
      <c r="F18" s="12">
        <v>48.37</v>
      </c>
      <c r="Q18">
        <v>10</v>
      </c>
      <c r="R18" s="3">
        <f t="shared" si="3"/>
        <v>4.3157225339114262</v>
      </c>
    </row>
    <row r="19" spans="1:18" ht="18">
      <c r="B19" s="12">
        <v>12</v>
      </c>
      <c r="C19" s="12">
        <v>1</v>
      </c>
      <c r="D19" s="32"/>
      <c r="E19" s="12">
        <v>11</v>
      </c>
      <c r="F19" s="12">
        <v>51.44</v>
      </c>
      <c r="I19" s="35" t="s">
        <v>103</v>
      </c>
      <c r="Q19">
        <v>11</v>
      </c>
      <c r="R19" s="3">
        <f t="shared" si="3"/>
        <v>4.452969192829654</v>
      </c>
    </row>
    <row r="20" spans="1:18">
      <c r="B20" t="s">
        <v>100</v>
      </c>
      <c r="C20">
        <f>SUM(C9:C19)</f>
        <v>30</v>
      </c>
      <c r="E20" s="12">
        <v>12</v>
      </c>
      <c r="F20" s="12">
        <v>52.56</v>
      </c>
      <c r="Q20">
        <v>12</v>
      </c>
      <c r="R20" s="3">
        <f t="shared" si="3"/>
        <v>4.5782655756947204</v>
      </c>
    </row>
    <row r="21" spans="1:18">
      <c r="E21" s="12">
        <v>13</v>
      </c>
      <c r="F21" s="12">
        <v>54.12</v>
      </c>
      <c r="Q21">
        <v>13</v>
      </c>
      <c r="R21" s="3">
        <f t="shared" si="3"/>
        <v>4.6935270747446127</v>
      </c>
    </row>
    <row r="22" spans="1:18" ht="18">
      <c r="B22" s="54" t="s">
        <v>98</v>
      </c>
      <c r="C22" s="57">
        <f>ROUNDDOWN(1+3.332*LOG10(C20),0)</f>
        <v>5</v>
      </c>
      <c r="E22" s="12">
        <v>14</v>
      </c>
      <c r="F22" s="12">
        <v>54.91</v>
      </c>
      <c r="Q22">
        <v>14</v>
      </c>
      <c r="R22" s="3">
        <f t="shared" si="3"/>
        <v>4.8002425546459726</v>
      </c>
    </row>
    <row r="23" spans="1:18" ht="18">
      <c r="B23" s="54" t="s">
        <v>99</v>
      </c>
      <c r="C23" s="56">
        <f>(B19-B9)/C22</f>
        <v>2</v>
      </c>
      <c r="E23" s="12">
        <v>15</v>
      </c>
      <c r="F23" s="12">
        <v>55.74</v>
      </c>
      <c r="Q23">
        <v>15</v>
      </c>
      <c r="R23" s="3">
        <f t="shared" si="3"/>
        <v>4.8995922895871828</v>
      </c>
    </row>
    <row r="24" spans="1:18">
      <c r="E24" s="12">
        <v>16</v>
      </c>
      <c r="F24" s="12">
        <v>55.91</v>
      </c>
      <c r="Q24">
        <v>16</v>
      </c>
      <c r="R24" s="3">
        <f t="shared" si="3"/>
        <v>4.9925277600252844</v>
      </c>
    </row>
    <row r="25" spans="1:18">
      <c r="A25" s="12">
        <v>1</v>
      </c>
      <c r="B25" s="50">
        <f>B9</f>
        <v>2</v>
      </c>
      <c r="C25" s="50">
        <f>B25+$C$23</f>
        <v>4</v>
      </c>
      <c r="D25" s="17">
        <f>SUMIFS($C$9:$C$19,$B$9:$B$19,"&gt;="&amp;B25,$B$9:$B$19,"&lt;="&amp;C25)</f>
        <v>5</v>
      </c>
      <c r="E25" s="12">
        <v>17</v>
      </c>
      <c r="F25" s="12">
        <v>56.07</v>
      </c>
      <c r="Q25">
        <v>17</v>
      </c>
      <c r="R25" s="3">
        <f t="shared" si="3"/>
        <v>5.0798272154409512</v>
      </c>
    </row>
    <row r="26" spans="1:18">
      <c r="A26" s="12">
        <v>2</v>
      </c>
      <c r="B26" s="50">
        <f>C25+0.001</f>
        <v>4.0010000000000003</v>
      </c>
      <c r="C26" s="50">
        <f>B26+$C$23-0.001</f>
        <v>6</v>
      </c>
      <c r="D26" s="17">
        <f t="shared" ref="D26:D29" si="4">SUMIFS($C$9:$C$19,$B$9:$B$19,"&gt;="&amp;B26,$B$9:$B$19,"&lt;="&amp;C26)</f>
        <v>6</v>
      </c>
      <c r="E26" s="12">
        <v>18</v>
      </c>
      <c r="F26" s="12">
        <v>56.8</v>
      </c>
      <c r="Q26">
        <v>18</v>
      </c>
      <c r="R26" s="3">
        <f t="shared" si="3"/>
        <v>5.162135331370477</v>
      </c>
    </row>
    <row r="27" spans="1:18">
      <c r="A27" s="12">
        <v>3</v>
      </c>
      <c r="B27" s="50">
        <f t="shared" ref="B27:B29" si="5">C26+0.001</f>
        <v>6.0010000000000003</v>
      </c>
      <c r="C27" s="50">
        <f t="shared" ref="C27:C29" si="6">B27+$C$23-0.001</f>
        <v>8.0000000000000018</v>
      </c>
      <c r="D27" s="17">
        <f t="shared" si="4"/>
        <v>12</v>
      </c>
      <c r="E27" s="12">
        <v>19</v>
      </c>
      <c r="F27" s="12">
        <v>56.93</v>
      </c>
      <c r="Q27">
        <v>19</v>
      </c>
      <c r="R27" s="3">
        <f t="shared" si="3"/>
        <v>5.2399921299996741</v>
      </c>
    </row>
    <row r="28" spans="1:18">
      <c r="A28" s="12">
        <v>4</v>
      </c>
      <c r="B28" s="50">
        <f t="shared" si="5"/>
        <v>8.0010000000000012</v>
      </c>
      <c r="C28" s="50">
        <f t="shared" si="6"/>
        <v>10.000000000000002</v>
      </c>
      <c r="D28" s="17">
        <f t="shared" si="4"/>
        <v>5</v>
      </c>
      <c r="E28" s="12">
        <v>20</v>
      </c>
      <c r="F28" s="12">
        <v>57.07</v>
      </c>
      <c r="Q28">
        <v>20</v>
      </c>
      <c r="R28" s="3">
        <f t="shared" si="3"/>
        <v>5.3138544739177469</v>
      </c>
    </row>
    <row r="29" spans="1:18">
      <c r="A29" s="12">
        <v>5</v>
      </c>
      <c r="B29" s="50">
        <f t="shared" si="5"/>
        <v>10.001000000000001</v>
      </c>
      <c r="C29" s="50">
        <f t="shared" si="6"/>
        <v>12.000000000000002</v>
      </c>
      <c r="D29" s="17">
        <f t="shared" si="4"/>
        <v>2</v>
      </c>
      <c r="E29" s="12">
        <v>21</v>
      </c>
      <c r="F29" s="12">
        <v>58.39</v>
      </c>
      <c r="Q29">
        <v>21</v>
      </c>
      <c r="R29" s="3">
        <f t="shared" si="3"/>
        <v>5.3841123103217292</v>
      </c>
    </row>
    <row r="30" spans="1:18">
      <c r="D30" s="17">
        <f>SUM(D25:D29)</f>
        <v>30</v>
      </c>
      <c r="E30" s="12">
        <v>22</v>
      </c>
      <c r="F30" s="12">
        <v>59.61</v>
      </c>
      <c r="Q30">
        <v>22</v>
      </c>
      <c r="R30" s="3">
        <f t="shared" si="3"/>
        <v>5.4511011328359746</v>
      </c>
    </row>
    <row r="31" spans="1:18">
      <c r="E31" s="12">
        <v>23</v>
      </c>
      <c r="F31" s="12">
        <v>59.95</v>
      </c>
      <c r="Q31">
        <v>23</v>
      </c>
      <c r="R31" s="3">
        <f t="shared" si="3"/>
        <v>5.5151116709379755</v>
      </c>
    </row>
    <row r="32" spans="1:18">
      <c r="E32" s="12">
        <v>24</v>
      </c>
      <c r="F32" s="12">
        <v>62.05</v>
      </c>
      <c r="Q32">
        <v>24</v>
      </c>
      <c r="R32" s="3">
        <f t="shared" si="3"/>
        <v>5.5763975157010419</v>
      </c>
    </row>
    <row r="33" spans="5:18">
      <c r="E33" s="12">
        <v>25</v>
      </c>
      <c r="F33" s="12">
        <v>65.31</v>
      </c>
      <c r="Q33">
        <v>25</v>
      </c>
      <c r="R33" s="3">
        <f t="shared" si="3"/>
        <v>5.6351811878102085</v>
      </c>
    </row>
    <row r="34" spans="5:18">
      <c r="E34" s="12">
        <v>26</v>
      </c>
      <c r="F34" s="12">
        <v>69.239999999999995</v>
      </c>
      <c r="Q34">
        <v>26</v>
      </c>
      <c r="R34" s="3">
        <f t="shared" si="3"/>
        <v>5.6916590147509343</v>
      </c>
    </row>
    <row r="35" spans="5:18">
      <c r="E35" s="12">
        <v>27</v>
      </c>
      <c r="F35" s="12">
        <v>71.39</v>
      </c>
      <c r="Q35">
        <v>27</v>
      </c>
      <c r="R35" s="3">
        <f t="shared" si="3"/>
        <v>5.7460050870462336</v>
      </c>
    </row>
    <row r="36" spans="5:18">
      <c r="E36" s="12">
        <v>28</v>
      </c>
      <c r="F36" s="12">
        <v>77.12</v>
      </c>
      <c r="Q36">
        <v>28</v>
      </c>
      <c r="R36" s="3">
        <f t="shared" si="3"/>
        <v>5.7983744946522933</v>
      </c>
    </row>
    <row r="37" spans="5:18">
      <c r="E37" s="12">
        <v>29</v>
      </c>
      <c r="F37" s="12">
        <v>79.12</v>
      </c>
      <c r="Q37">
        <v>29</v>
      </c>
      <c r="R37" s="3">
        <f t="shared" si="3"/>
        <v>5.8489059951805222</v>
      </c>
    </row>
    <row r="38" spans="5:18">
      <c r="E38" s="12">
        <v>30</v>
      </c>
      <c r="F38" s="12">
        <v>84.34</v>
      </c>
      <c r="Q38">
        <v>30</v>
      </c>
      <c r="R38" s="3">
        <f t="shared" si="3"/>
        <v>5.8977242295935035</v>
      </c>
    </row>
    <row r="39" spans="5:18">
      <c r="E39" s="12">
        <v>31</v>
      </c>
      <c r="F39" s="12">
        <v>86.89</v>
      </c>
      <c r="Q39">
        <v>31</v>
      </c>
      <c r="R39" s="3">
        <f t="shared" si="3"/>
        <v>5.9449415744586105</v>
      </c>
    </row>
    <row r="40" spans="5:18">
      <c r="E40" s="12">
        <v>32</v>
      </c>
      <c r="F40" s="12">
        <v>91.74</v>
      </c>
      <c r="Q40">
        <v>32</v>
      </c>
      <c r="R40" s="3">
        <f t="shared" si="3"/>
        <v>5.990659700031606</v>
      </c>
    </row>
    <row r="41" spans="5:18">
      <c r="E41" s="12">
        <v>33</v>
      </c>
      <c r="F41" s="12">
        <v>96.01</v>
      </c>
      <c r="Q41">
        <v>33</v>
      </c>
      <c r="R41" s="3">
        <f t="shared" si="3"/>
        <v>6.0349708885117312</v>
      </c>
    </row>
    <row r="42" spans="5:18">
      <c r="E42" s="12">
        <v>34</v>
      </c>
      <c r="F42" s="12">
        <v>106.84</v>
      </c>
      <c r="Q42">
        <v>34</v>
      </c>
      <c r="R42" s="3">
        <f t="shared" si="3"/>
        <v>6.0779591554472727</v>
      </c>
    </row>
    <row r="43" spans="5:18">
      <c r="E43" s="12">
        <v>35</v>
      </c>
      <c r="F43" s="12">
        <v>111.16</v>
      </c>
      <c r="Q43">
        <v>35</v>
      </c>
      <c r="R43" s="3">
        <f t="shared" si="3"/>
        <v>6.1197012085447549</v>
      </c>
    </row>
    <row r="44" spans="5:18">
      <c r="Q44">
        <v>36</v>
      </c>
      <c r="R44" s="3">
        <f t="shared" si="3"/>
        <v>6.1602672713767985</v>
      </c>
    </row>
    <row r="45" spans="5:18">
      <c r="Q45">
        <v>37</v>
      </c>
      <c r="R45" s="3">
        <f t="shared" si="3"/>
        <v>6.199721794207683</v>
      </c>
    </row>
    <row r="46" spans="5:18">
      <c r="Q46">
        <v>38</v>
      </c>
      <c r="R46" s="3">
        <f t="shared" si="3"/>
        <v>6.2381240700059948</v>
      </c>
    </row>
    <row r="47" spans="5:18">
      <c r="Q47">
        <v>39</v>
      </c>
      <c r="R47" s="3">
        <f t="shared" si="3"/>
        <v>6.2755287704266909</v>
      </c>
    </row>
    <row r="48" spans="5:18">
      <c r="Q48">
        <v>40</v>
      </c>
      <c r="R48" s="3">
        <f t="shared" si="3"/>
        <v>6.3119864139240676</v>
      </c>
    </row>
    <row r="49" spans="17:18">
      <c r="Q49">
        <v>41</v>
      </c>
      <c r="R49" s="3">
        <f t="shared" si="3"/>
        <v>6.3475437760542031</v>
      </c>
    </row>
    <row r="50" spans="17:18">
      <c r="Q50">
        <v>42</v>
      </c>
      <c r="R50" s="3">
        <f t="shared" si="3"/>
        <v>6.3822442503280499</v>
      </c>
    </row>
    <row r="51" spans="17:18">
      <c r="Q51">
        <v>43</v>
      </c>
      <c r="R51" s="3">
        <f t="shared" si="3"/>
        <v>6.41612816659873</v>
      </c>
    </row>
    <row r="52" spans="17:18">
      <c r="Q52">
        <v>44</v>
      </c>
      <c r="R52" s="3">
        <f t="shared" si="3"/>
        <v>6.4492330728422953</v>
      </c>
    </row>
    <row r="53" spans="17:18">
      <c r="Q53">
        <v>45</v>
      </c>
      <c r="R53" s="3">
        <f t="shared" si="3"/>
        <v>6.4815939852692601</v>
      </c>
    </row>
    <row r="54" spans="17:18">
      <c r="Q54">
        <v>46</v>
      </c>
      <c r="R54" s="3">
        <f t="shared" si="3"/>
        <v>6.513243610944297</v>
      </c>
    </row>
    <row r="55" spans="17:18">
      <c r="Q55">
        <v>47</v>
      </c>
      <c r="R55" s="3">
        <f t="shared" si="3"/>
        <v>6.5442125464624841</v>
      </c>
    </row>
    <row r="56" spans="17:18">
      <c r="Q56">
        <v>48</v>
      </c>
      <c r="R56" s="3">
        <f t="shared" si="3"/>
        <v>6.5745294557073635</v>
      </c>
    </row>
    <row r="57" spans="17:18">
      <c r="Q57">
        <v>49</v>
      </c>
      <c r="R57" s="3">
        <f t="shared" si="3"/>
        <v>6.6042212292793021</v>
      </c>
    </row>
    <row r="58" spans="17:18">
      <c r="Q58">
        <v>50</v>
      </c>
      <c r="R58" s="3">
        <f t="shared" si="3"/>
        <v>6.63331312781653</v>
      </c>
    </row>
    <row r="59" spans="17:18">
      <c r="Q59">
        <v>51</v>
      </c>
      <c r="R59" s="3">
        <f t="shared" si="3"/>
        <v>6.6618289111230284</v>
      </c>
    </row>
    <row r="60" spans="17:18">
      <c r="Q60">
        <v>52</v>
      </c>
      <c r="R60" s="3">
        <f t="shared" si="3"/>
        <v>6.6897909547572558</v>
      </c>
    </row>
    <row r="61" spans="17:18">
      <c r="Q61">
        <v>53</v>
      </c>
      <c r="R61" s="3">
        <f t="shared" si="3"/>
        <v>6.7172203555150558</v>
      </c>
    </row>
    <row r="62" spans="17:18">
      <c r="Q62">
        <v>54</v>
      </c>
      <c r="R62" s="3">
        <f t="shared" si="3"/>
        <v>6.7441370270525551</v>
      </c>
    </row>
    <row r="63" spans="17:18">
      <c r="Q63">
        <v>55</v>
      </c>
      <c r="R63" s="3">
        <f t="shared" si="3"/>
        <v>6.7705597867347587</v>
      </c>
    </row>
    <row r="64" spans="17:18">
      <c r="Q64">
        <v>56</v>
      </c>
      <c r="R64" s="3">
        <f t="shared" si="3"/>
        <v>6.7965064346586157</v>
      </c>
    </row>
    <row r="65" spans="17:18">
      <c r="Q65">
        <v>57</v>
      </c>
      <c r="R65" s="3">
        <f t="shared" si="3"/>
        <v>6.8219938256817523</v>
      </c>
    </row>
    <row r="66" spans="17:18">
      <c r="Q66">
        <v>58</v>
      </c>
      <c r="R66" s="3">
        <f t="shared" si="3"/>
        <v>6.8470379351868429</v>
      </c>
    </row>
    <row r="67" spans="17:18">
      <c r="Q67">
        <v>59</v>
      </c>
      <c r="R67" s="3">
        <f t="shared" si="3"/>
        <v>6.8716539192242365</v>
      </c>
    </row>
    <row r="68" spans="17:18">
      <c r="Q68">
        <v>60</v>
      </c>
      <c r="R68" s="3">
        <f t="shared" si="3"/>
        <v>6.8958561695998242</v>
      </c>
    </row>
    <row r="69" spans="17:18">
      <c r="Q69">
        <v>61</v>
      </c>
      <c r="R69" s="3">
        <f t="shared" si="3"/>
        <v>6.9196583644095684</v>
      </c>
    </row>
    <row r="70" spans="17:18">
      <c r="Q70">
        <v>62</v>
      </c>
      <c r="R70" s="3">
        <f t="shared" si="3"/>
        <v>6.943073514464932</v>
      </c>
    </row>
    <row r="71" spans="17:18">
      <c r="Q71">
        <v>63</v>
      </c>
      <c r="R71" s="3">
        <f t="shared" si="3"/>
        <v>6.9661140060038065</v>
      </c>
    </row>
    <row r="72" spans="17:18">
      <c r="Q72">
        <v>64</v>
      </c>
      <c r="R72" s="3">
        <f t="shared" si="3"/>
        <v>6.9887916400379266</v>
      </c>
    </row>
    <row r="73" spans="17:18">
      <c r="Q73">
        <v>65</v>
      </c>
      <c r="R73" s="3">
        <f t="shared" si="3"/>
        <v>7.0111176686497165</v>
      </c>
    </row>
    <row r="74" spans="17:18">
      <c r="Q74">
        <v>66</v>
      </c>
      <c r="R74" s="3">
        <f t="shared" si="3"/>
        <v>7.0331028285180519</v>
      </c>
    </row>
    <row r="75" spans="17:18">
      <c r="Q75">
        <v>67</v>
      </c>
      <c r="R75" s="3">
        <f t="shared" ref="R75:R138" si="7">1+1.44*LN(Q75)</f>
        <v>7.0547573719229906</v>
      </c>
    </row>
    <row r="76" spans="17:18">
      <c r="Q76">
        <v>68</v>
      </c>
      <c r="R76" s="3">
        <f t="shared" si="7"/>
        <v>7.0760910954535934</v>
      </c>
    </row>
    <row r="77" spans="17:18">
      <c r="Q77">
        <v>69</v>
      </c>
      <c r="R77" s="3">
        <f t="shared" si="7"/>
        <v>7.0971133666200537</v>
      </c>
    </row>
    <row r="78" spans="17:18">
      <c r="Q78">
        <v>70</v>
      </c>
      <c r="R78" s="3">
        <f t="shared" si="7"/>
        <v>7.1178331485510773</v>
      </c>
    </row>
    <row r="79" spans="17:18">
      <c r="Q79">
        <v>71</v>
      </c>
      <c r="R79" s="3">
        <f t="shared" si="7"/>
        <v>7.1382590229394944</v>
      </c>
    </row>
    <row r="80" spans="17:18">
      <c r="Q80">
        <v>72</v>
      </c>
      <c r="R80" s="3">
        <f t="shared" si="7"/>
        <v>7.1583992113831192</v>
      </c>
    </row>
    <row r="81" spans="17:18">
      <c r="Q81">
        <v>73</v>
      </c>
      <c r="R81" s="3">
        <f t="shared" si="7"/>
        <v>7.1782615952536828</v>
      </c>
    </row>
    <row r="82" spans="17:18">
      <c r="Q82">
        <v>74</v>
      </c>
      <c r="R82" s="3">
        <f t="shared" si="7"/>
        <v>7.1978537342140045</v>
      </c>
    </row>
    <row r="83" spans="17:18">
      <c r="Q83">
        <v>75</v>
      </c>
      <c r="R83" s="3">
        <f t="shared" si="7"/>
        <v>7.2171828834922866</v>
      </c>
    </row>
    <row r="84" spans="17:18">
      <c r="Q84">
        <v>76</v>
      </c>
      <c r="R84" s="3">
        <f t="shared" si="7"/>
        <v>7.2362560100123163</v>
      </c>
    </row>
    <row r="85" spans="17:18">
      <c r="Q85">
        <v>77</v>
      </c>
      <c r="R85" s="3">
        <f t="shared" si="7"/>
        <v>7.255079807469305</v>
      </c>
    </row>
    <row r="86" spans="17:18">
      <c r="Q86">
        <v>78</v>
      </c>
      <c r="R86" s="3">
        <f t="shared" si="7"/>
        <v>7.2736607104330115</v>
      </c>
    </row>
    <row r="87" spans="17:18">
      <c r="Q87">
        <v>79</v>
      </c>
      <c r="R87" s="3">
        <f t="shared" si="7"/>
        <v>7.2920049075525109</v>
      </c>
    </row>
    <row r="88" spans="17:18">
      <c r="Q88">
        <v>80</v>
      </c>
      <c r="R88" s="3">
        <f t="shared" si="7"/>
        <v>7.3101183539303891</v>
      </c>
    </row>
    <row r="89" spans="17:18">
      <c r="Q89">
        <v>81</v>
      </c>
      <c r="R89" s="3">
        <f t="shared" si="7"/>
        <v>7.3280067827283117</v>
      </c>
    </row>
    <row r="90" spans="17:18">
      <c r="Q90">
        <v>82</v>
      </c>
      <c r="R90" s="3">
        <f t="shared" si="7"/>
        <v>7.3456757160605246</v>
      </c>
    </row>
    <row r="91" spans="17:18">
      <c r="Q91">
        <v>83</v>
      </c>
      <c r="R91" s="3">
        <f t="shared" si="7"/>
        <v>7.3631304752271012</v>
      </c>
    </row>
    <row r="92" spans="17:18">
      <c r="Q92">
        <v>84</v>
      </c>
      <c r="R92" s="3">
        <f t="shared" si="7"/>
        <v>7.3803761903343714</v>
      </c>
    </row>
    <row r="93" spans="17:18">
      <c r="Q93">
        <v>85</v>
      </c>
      <c r="R93" s="3">
        <f t="shared" si="7"/>
        <v>7.3974178093460559</v>
      </c>
    </row>
    <row r="94" spans="17:18">
      <c r="Q94">
        <v>86</v>
      </c>
      <c r="R94" s="3">
        <f t="shared" si="7"/>
        <v>7.4142601066050506</v>
      </c>
    </row>
    <row r="95" spans="17:18">
      <c r="Q95">
        <v>87</v>
      </c>
      <c r="R95" s="3">
        <f t="shared" si="7"/>
        <v>7.4309076908626004</v>
      </c>
    </row>
    <row r="96" spans="17:18">
      <c r="Q96">
        <v>88</v>
      </c>
      <c r="R96" s="3">
        <f t="shared" si="7"/>
        <v>7.4473650128486177</v>
      </c>
    </row>
    <row r="97" spans="17:18">
      <c r="Q97">
        <v>89</v>
      </c>
      <c r="R97" s="3">
        <f t="shared" si="7"/>
        <v>7.4636363724142809</v>
      </c>
    </row>
    <row r="98" spans="17:18">
      <c r="Q98">
        <v>90</v>
      </c>
      <c r="R98" s="3">
        <f t="shared" si="7"/>
        <v>7.4797259252755817</v>
      </c>
    </row>
    <row r="99" spans="17:18">
      <c r="Q99">
        <v>91</v>
      </c>
      <c r="R99" s="3">
        <f t="shared" si="7"/>
        <v>7.4956376893842638</v>
      </c>
    </row>
    <row r="100" spans="17:18">
      <c r="Q100">
        <v>92</v>
      </c>
      <c r="R100" s="3">
        <f t="shared" si="7"/>
        <v>7.5113755509506177</v>
      </c>
    </row>
    <row r="101" spans="17:18">
      <c r="Q101">
        <v>93</v>
      </c>
      <c r="R101" s="3">
        <f t="shared" si="7"/>
        <v>7.5269432701406886</v>
      </c>
    </row>
    <row r="102" spans="17:18">
      <c r="Q102">
        <v>94</v>
      </c>
      <c r="R102" s="3">
        <f t="shared" si="7"/>
        <v>7.5423444864688056</v>
      </c>
    </row>
    <row r="103" spans="17:18">
      <c r="Q103">
        <v>95</v>
      </c>
      <c r="R103" s="3">
        <f t="shared" si="7"/>
        <v>7.5575827239047788</v>
      </c>
    </row>
    <row r="104" spans="17:18">
      <c r="Q104">
        <v>96</v>
      </c>
      <c r="R104" s="3">
        <f t="shared" si="7"/>
        <v>7.5726613957136841</v>
      </c>
    </row>
    <row r="105" spans="17:18">
      <c r="Q105">
        <v>97</v>
      </c>
      <c r="R105" s="3">
        <f t="shared" si="7"/>
        <v>7.5875838090448706</v>
      </c>
    </row>
    <row r="106" spans="17:18">
      <c r="Q106">
        <v>98</v>
      </c>
      <c r="R106" s="3">
        <f t="shared" si="7"/>
        <v>7.6023531692856237</v>
      </c>
    </row>
    <row r="107" spans="17:18">
      <c r="Q107">
        <v>99</v>
      </c>
      <c r="R107" s="3">
        <f t="shared" si="7"/>
        <v>7.6169725841938094</v>
      </c>
    </row>
    <row r="108" spans="17:18">
      <c r="Q108">
        <v>100</v>
      </c>
      <c r="R108" s="3">
        <f t="shared" si="7"/>
        <v>7.6314450678228516</v>
      </c>
    </row>
    <row r="109" spans="17:18">
      <c r="Q109">
        <v>101</v>
      </c>
      <c r="R109" s="3">
        <f t="shared" si="7"/>
        <v>7.6457735442514139</v>
      </c>
    </row>
    <row r="110" spans="17:18">
      <c r="Q110">
        <v>102</v>
      </c>
      <c r="R110" s="3">
        <f t="shared" si="7"/>
        <v>7.6599608511293491</v>
      </c>
    </row>
    <row r="111" spans="17:18">
      <c r="Q111">
        <v>103</v>
      </c>
      <c r="R111" s="3">
        <f t="shared" si="7"/>
        <v>7.6740097430506751</v>
      </c>
    </row>
    <row r="112" spans="17:18">
      <c r="Q112">
        <v>104</v>
      </c>
      <c r="R112" s="3">
        <f t="shared" si="7"/>
        <v>7.6879228947635765</v>
      </c>
    </row>
    <row r="113" spans="17:18">
      <c r="Q113">
        <v>105</v>
      </c>
      <c r="R113" s="3">
        <f t="shared" si="7"/>
        <v>7.701702904226833</v>
      </c>
    </row>
    <row r="114" spans="17:18">
      <c r="Q114">
        <v>106</v>
      </c>
      <c r="R114" s="3">
        <f t="shared" si="7"/>
        <v>7.7153522955213765</v>
      </c>
    </row>
    <row r="115" spans="17:18">
      <c r="Q115">
        <v>107</v>
      </c>
      <c r="R115" s="3">
        <f t="shared" si="7"/>
        <v>7.7288735216251441</v>
      </c>
    </row>
    <row r="116" spans="17:18">
      <c r="Q116">
        <v>108</v>
      </c>
      <c r="R116" s="3">
        <f t="shared" si="7"/>
        <v>7.7422689670588767</v>
      </c>
    </row>
    <row r="117" spans="17:18">
      <c r="Q117">
        <v>109</v>
      </c>
      <c r="R117" s="3">
        <f t="shared" si="7"/>
        <v>7.7555409504099666</v>
      </c>
    </row>
    <row r="118" spans="17:18">
      <c r="Q118">
        <v>110</v>
      </c>
      <c r="R118" s="3">
        <f t="shared" si="7"/>
        <v>7.7686917267410793</v>
      </c>
    </row>
    <row r="119" spans="17:18">
      <c r="Q119">
        <v>111</v>
      </c>
      <c r="R119" s="3">
        <f t="shared" si="7"/>
        <v>7.7817234898897603</v>
      </c>
    </row>
    <row r="120" spans="17:18">
      <c r="Q120">
        <v>112</v>
      </c>
      <c r="R120" s="3">
        <f t="shared" si="7"/>
        <v>7.7946383746649355</v>
      </c>
    </row>
    <row r="121" spans="17:18">
      <c r="Q121">
        <v>113</v>
      </c>
      <c r="R121" s="3">
        <f t="shared" si="7"/>
        <v>7.8074384589457706</v>
      </c>
    </row>
    <row r="122" spans="17:18">
      <c r="Q122">
        <v>114</v>
      </c>
      <c r="R122" s="3">
        <f t="shared" si="7"/>
        <v>7.8201257656880738</v>
      </c>
    </row>
    <row r="123" spans="17:18">
      <c r="Q123">
        <v>115</v>
      </c>
      <c r="R123" s="3">
        <f t="shared" si="7"/>
        <v>7.8327022648430802</v>
      </c>
    </row>
    <row r="124" spans="17:18">
      <c r="Q124">
        <v>116</v>
      </c>
      <c r="R124" s="3">
        <f t="shared" si="7"/>
        <v>7.8451698751931644</v>
      </c>
    </row>
    <row r="125" spans="17:18">
      <c r="Q125">
        <v>117</v>
      </c>
      <c r="R125" s="3">
        <f t="shared" si="7"/>
        <v>7.857530466108769</v>
      </c>
    </row>
    <row r="126" spans="17:18">
      <c r="Q126">
        <v>118</v>
      </c>
      <c r="R126" s="3">
        <f t="shared" si="7"/>
        <v>7.8697858592305572</v>
      </c>
    </row>
    <row r="127" spans="17:18">
      <c r="Q127">
        <v>119</v>
      </c>
      <c r="R127" s="3">
        <f t="shared" si="7"/>
        <v>7.8819378300806022</v>
      </c>
    </row>
    <row r="128" spans="17:18">
      <c r="Q128">
        <v>120</v>
      </c>
      <c r="R128" s="3">
        <f t="shared" si="7"/>
        <v>7.8939881096061457</v>
      </c>
    </row>
    <row r="129" spans="17:18">
      <c r="Q129">
        <v>121</v>
      </c>
      <c r="R129" s="3">
        <f t="shared" si="7"/>
        <v>7.9059383856593071</v>
      </c>
    </row>
    <row r="130" spans="17:18">
      <c r="Q130">
        <v>122</v>
      </c>
      <c r="R130" s="3">
        <f t="shared" si="7"/>
        <v>7.917790304415889</v>
      </c>
    </row>
    <row r="131" spans="17:18">
      <c r="Q131">
        <v>123</v>
      </c>
      <c r="R131" s="3">
        <f t="shared" si="7"/>
        <v>7.9295454717362803</v>
      </c>
    </row>
    <row r="132" spans="17:18">
      <c r="Q132">
        <v>124</v>
      </c>
      <c r="R132" s="3">
        <f t="shared" si="7"/>
        <v>7.9412054544712527</v>
      </c>
    </row>
    <row r="133" spans="17:18">
      <c r="Q133">
        <v>125</v>
      </c>
      <c r="R133" s="3">
        <f t="shared" si="7"/>
        <v>7.9527717817153141</v>
      </c>
    </row>
    <row r="134" spans="17:18">
      <c r="Q134">
        <v>126</v>
      </c>
      <c r="R134" s="3">
        <f t="shared" si="7"/>
        <v>7.964245946010128</v>
      </c>
    </row>
    <row r="135" spans="17:18">
      <c r="Q135">
        <v>127</v>
      </c>
      <c r="R135" s="3">
        <f t="shared" si="7"/>
        <v>7.9756294045003715</v>
      </c>
    </row>
    <row r="136" spans="17:18">
      <c r="Q136">
        <v>128</v>
      </c>
      <c r="R136" s="3">
        <f t="shared" si="7"/>
        <v>7.9869235800442482</v>
      </c>
    </row>
    <row r="137" spans="17:18">
      <c r="Q137">
        <v>129</v>
      </c>
      <c r="R137" s="3">
        <f t="shared" si="7"/>
        <v>7.9981298622808072</v>
      </c>
    </row>
    <row r="138" spans="17:18">
      <c r="Q138">
        <v>130</v>
      </c>
      <c r="R138" s="3">
        <f t="shared" si="7"/>
        <v>8.0092496086560381</v>
      </c>
    </row>
    <row r="139" spans="17:18">
      <c r="Q139">
        <v>131</v>
      </c>
      <c r="R139" s="3">
        <f t="shared" ref="R139:R202" si="8">1+1.44*LN(Q139)</f>
        <v>8.0202841454096578</v>
      </c>
    </row>
    <row r="140" spans="17:18">
      <c r="Q140">
        <v>132</v>
      </c>
      <c r="R140" s="3">
        <f t="shared" si="8"/>
        <v>8.0312347685243743</v>
      </c>
    </row>
    <row r="141" spans="17:18">
      <c r="Q141">
        <v>133</v>
      </c>
      <c r="R141" s="3">
        <f t="shared" si="8"/>
        <v>8.0421027446393261</v>
      </c>
    </row>
    <row r="142" spans="17:18">
      <c r="Q142">
        <v>134</v>
      </c>
      <c r="R142" s="3">
        <f t="shared" si="8"/>
        <v>8.052889311929313</v>
      </c>
    </row>
    <row r="143" spans="17:18">
      <c r="Q143">
        <v>135</v>
      </c>
      <c r="R143" s="3">
        <f t="shared" si="8"/>
        <v>8.0635956809513374</v>
      </c>
    </row>
    <row r="144" spans="17:18">
      <c r="Q144">
        <v>136</v>
      </c>
      <c r="R144" s="3">
        <f t="shared" si="8"/>
        <v>8.0742230354599158</v>
      </c>
    </row>
    <row r="145" spans="17:18">
      <c r="Q145">
        <v>137</v>
      </c>
      <c r="R145" s="3">
        <f t="shared" si="8"/>
        <v>8.0847725331924991</v>
      </c>
    </row>
    <row r="146" spans="17:18">
      <c r="Q146">
        <v>138</v>
      </c>
      <c r="R146" s="3">
        <f t="shared" si="8"/>
        <v>8.0952453066263743</v>
      </c>
    </row>
    <row r="147" spans="17:18">
      <c r="Q147">
        <v>139</v>
      </c>
      <c r="R147" s="3">
        <f t="shared" si="8"/>
        <v>8.1056424637081967</v>
      </c>
    </row>
    <row r="148" spans="17:18">
      <c r="Q148">
        <v>140</v>
      </c>
      <c r="R148" s="3">
        <f t="shared" si="8"/>
        <v>8.1159650885573971</v>
      </c>
    </row>
    <row r="149" spans="17:18">
      <c r="Q149">
        <v>141</v>
      </c>
      <c r="R149" s="3">
        <f t="shared" si="8"/>
        <v>8.1262142421445631</v>
      </c>
    </row>
    <row r="150" spans="17:18">
      <c r="Q150">
        <v>142</v>
      </c>
      <c r="R150" s="3">
        <f t="shared" si="8"/>
        <v>8.1363909629458142</v>
      </c>
    </row>
    <row r="151" spans="17:18">
      <c r="Q151">
        <v>143</v>
      </c>
      <c r="R151" s="3">
        <f t="shared" si="8"/>
        <v>8.1464962675742658</v>
      </c>
    </row>
    <row r="152" spans="17:18">
      <c r="Q152">
        <v>144</v>
      </c>
      <c r="R152" s="3">
        <f t="shared" si="8"/>
        <v>8.1565311513894407</v>
      </c>
    </row>
    <row r="153" spans="17:18">
      <c r="Q153">
        <v>145</v>
      </c>
      <c r="R153" s="3">
        <f t="shared" si="8"/>
        <v>8.1664965890856269</v>
      </c>
    </row>
    <row r="154" spans="17:18">
      <c r="Q154">
        <v>146</v>
      </c>
      <c r="R154" s="3">
        <f t="shared" si="8"/>
        <v>8.1763935352600043</v>
      </c>
    </row>
    <row r="155" spans="17:18">
      <c r="Q155">
        <v>147</v>
      </c>
      <c r="R155" s="3">
        <f t="shared" si="8"/>
        <v>8.1862229249613794</v>
      </c>
    </row>
    <row r="156" spans="17:18">
      <c r="Q156">
        <v>148</v>
      </c>
      <c r="R156" s="3">
        <f t="shared" si="8"/>
        <v>8.1959856742203243</v>
      </c>
    </row>
    <row r="157" spans="17:18">
      <c r="Q157">
        <v>149</v>
      </c>
      <c r="R157" s="3">
        <f t="shared" si="8"/>
        <v>8.2056826805614609</v>
      </c>
    </row>
    <row r="158" spans="17:18">
      <c r="Q158">
        <v>150</v>
      </c>
      <c r="R158" s="3">
        <f t="shared" si="8"/>
        <v>8.2153148234986073</v>
      </c>
    </row>
    <row r="159" spans="17:18">
      <c r="Q159">
        <v>151</v>
      </c>
      <c r="R159" s="3">
        <f t="shared" si="8"/>
        <v>8.2248829650134905</v>
      </c>
    </row>
    <row r="160" spans="17:18">
      <c r="Q160">
        <v>152</v>
      </c>
      <c r="R160" s="3">
        <f t="shared" si="8"/>
        <v>8.2343879500186379</v>
      </c>
    </row>
    <row r="161" spans="17:18">
      <c r="Q161">
        <v>153</v>
      </c>
      <c r="R161" s="3">
        <f t="shared" si="8"/>
        <v>8.2438306068051066</v>
      </c>
    </row>
    <row r="162" spans="17:18">
      <c r="Q162">
        <v>154</v>
      </c>
      <c r="R162" s="3">
        <f t="shared" si="8"/>
        <v>8.2532117474756266</v>
      </c>
    </row>
    <row r="163" spans="17:18">
      <c r="Q163">
        <v>155</v>
      </c>
      <c r="R163" s="3">
        <f t="shared" si="8"/>
        <v>8.2625321683637161</v>
      </c>
    </row>
    <row r="164" spans="17:18">
      <c r="Q164">
        <v>156</v>
      </c>
      <c r="R164" s="3">
        <f t="shared" si="8"/>
        <v>8.271792650439334</v>
      </c>
    </row>
    <row r="165" spans="17:18">
      <c r="Q165">
        <v>157</v>
      </c>
      <c r="R165" s="3">
        <f t="shared" si="8"/>
        <v>8.2809939597015632</v>
      </c>
    </row>
    <row r="166" spans="17:18">
      <c r="Q166">
        <v>158</v>
      </c>
      <c r="R166" s="3">
        <f t="shared" si="8"/>
        <v>8.2901368475588324</v>
      </c>
    </row>
    <row r="167" spans="17:18">
      <c r="Q167">
        <v>159</v>
      </c>
      <c r="R167" s="3">
        <f t="shared" si="8"/>
        <v>8.299222051197134</v>
      </c>
    </row>
    <row r="168" spans="17:18">
      <c r="Q168">
        <v>160</v>
      </c>
      <c r="R168" s="3">
        <f t="shared" si="8"/>
        <v>8.3082502939367089</v>
      </c>
    </row>
    <row r="169" spans="17:18">
      <c r="Q169">
        <v>161</v>
      </c>
      <c r="R169" s="3">
        <f t="shared" si="8"/>
        <v>8.3172222855776266</v>
      </c>
    </row>
    <row r="170" spans="17:18">
      <c r="Q170">
        <v>162</v>
      </c>
      <c r="R170" s="3">
        <f t="shared" si="8"/>
        <v>8.3261387227346333</v>
      </c>
    </row>
    <row r="171" spans="17:18">
      <c r="Q171">
        <v>163</v>
      </c>
      <c r="R171" s="3">
        <f t="shared" si="8"/>
        <v>8.3350002891617372</v>
      </c>
    </row>
    <row r="172" spans="17:18">
      <c r="Q172">
        <v>164</v>
      </c>
      <c r="R172" s="3">
        <f t="shared" si="8"/>
        <v>8.343807656066847</v>
      </c>
    </row>
    <row r="173" spans="17:18">
      <c r="Q173">
        <v>165</v>
      </c>
      <c r="R173" s="3">
        <f t="shared" si="8"/>
        <v>8.352561482416835</v>
      </c>
    </row>
    <row r="174" spans="17:18">
      <c r="Q174">
        <v>166</v>
      </c>
      <c r="R174" s="3">
        <f t="shared" si="8"/>
        <v>8.3612624152334227</v>
      </c>
    </row>
    <row r="175" spans="17:18">
      <c r="Q175">
        <v>167</v>
      </c>
      <c r="R175" s="3">
        <f t="shared" si="8"/>
        <v>8.3699110898801266</v>
      </c>
    </row>
    <row r="176" spans="17:18">
      <c r="Q176">
        <v>168</v>
      </c>
      <c r="R176" s="3">
        <f t="shared" si="8"/>
        <v>8.3785081303406912</v>
      </c>
    </row>
    <row r="177" spans="17:18">
      <c r="Q177">
        <v>169</v>
      </c>
      <c r="R177" s="3">
        <f t="shared" si="8"/>
        <v>8.3870541494892255</v>
      </c>
    </row>
    <row r="178" spans="17:18">
      <c r="Q178">
        <v>170</v>
      </c>
      <c r="R178" s="3">
        <f t="shared" si="8"/>
        <v>8.3955497493523765</v>
      </c>
    </row>
    <row r="179" spans="17:18">
      <c r="Q179">
        <v>171</v>
      </c>
      <c r="R179" s="3">
        <f t="shared" si="8"/>
        <v>8.4039955213638304</v>
      </c>
    </row>
    <row r="180" spans="17:18">
      <c r="Q180">
        <v>172</v>
      </c>
      <c r="R180" s="3">
        <f t="shared" si="8"/>
        <v>8.4123920466113713</v>
      </c>
    </row>
    <row r="181" spans="17:18">
      <c r="Q181">
        <v>173</v>
      </c>
      <c r="R181" s="3">
        <f t="shared" si="8"/>
        <v>8.4207398960768032</v>
      </c>
    </row>
    <row r="182" spans="17:18">
      <c r="Q182">
        <v>174</v>
      </c>
      <c r="R182" s="3">
        <f t="shared" si="8"/>
        <v>8.4290396308689211</v>
      </c>
    </row>
    <row r="183" spans="17:18">
      <c r="Q183">
        <v>175</v>
      </c>
      <c r="R183" s="3">
        <f t="shared" si="8"/>
        <v>8.4372918024498595</v>
      </c>
    </row>
    <row r="184" spans="17:18">
      <c r="Q184">
        <v>176</v>
      </c>
      <c r="R184" s="3">
        <f t="shared" si="8"/>
        <v>8.4454969528549384</v>
      </c>
    </row>
    <row r="185" spans="17:18">
      <c r="Q185">
        <v>177</v>
      </c>
      <c r="R185" s="3">
        <f t="shared" si="8"/>
        <v>8.4536556149063138</v>
      </c>
    </row>
    <row r="186" spans="17:18">
      <c r="Q186">
        <v>178</v>
      </c>
      <c r="R186" s="3">
        <f t="shared" si="8"/>
        <v>8.4617683124206025</v>
      </c>
    </row>
    <row r="187" spans="17:18">
      <c r="Q187">
        <v>179</v>
      </c>
      <c r="R187" s="3">
        <f t="shared" si="8"/>
        <v>8.4698355604106865</v>
      </c>
    </row>
    <row r="188" spans="17:18">
      <c r="Q188">
        <v>180</v>
      </c>
      <c r="R188" s="3">
        <f t="shared" si="8"/>
        <v>8.4778578652819014</v>
      </c>
    </row>
    <row r="189" spans="17:18">
      <c r="Q189">
        <v>181</v>
      </c>
      <c r="R189" s="3">
        <f t="shared" si="8"/>
        <v>8.4858357250227883</v>
      </c>
    </row>
    <row r="190" spans="17:18">
      <c r="Q190">
        <v>182</v>
      </c>
      <c r="R190" s="3">
        <f t="shared" si="8"/>
        <v>8.4937696293905844</v>
      </c>
    </row>
    <row r="191" spans="17:18">
      <c r="Q191">
        <v>183</v>
      </c>
      <c r="R191" s="3">
        <f t="shared" si="8"/>
        <v>8.5016600600916465</v>
      </c>
    </row>
    <row r="192" spans="17:18">
      <c r="Q192">
        <v>184</v>
      </c>
      <c r="R192" s="3">
        <f t="shared" si="8"/>
        <v>8.5095074909569384</v>
      </c>
    </row>
    <row r="193" spans="17:18">
      <c r="Q193">
        <v>185</v>
      </c>
      <c r="R193" s="3">
        <f t="shared" si="8"/>
        <v>8.5173123881127868</v>
      </c>
    </row>
    <row r="194" spans="17:18">
      <c r="Q194">
        <v>186</v>
      </c>
      <c r="R194" s="3">
        <f t="shared" si="8"/>
        <v>8.5250752101470102</v>
      </c>
    </row>
    <row r="195" spans="17:18">
      <c r="Q195">
        <v>187</v>
      </c>
      <c r="R195" s="3">
        <f t="shared" si="8"/>
        <v>8.532796408270606</v>
      </c>
    </row>
    <row r="196" spans="17:18">
      <c r="Q196">
        <v>188</v>
      </c>
      <c r="R196" s="3">
        <f t="shared" si="8"/>
        <v>8.5404764264751272</v>
      </c>
    </row>
    <row r="197" spans="17:18">
      <c r="Q197">
        <v>189</v>
      </c>
      <c r="R197" s="3">
        <f t="shared" si="8"/>
        <v>8.5481157016858837</v>
      </c>
    </row>
    <row r="198" spans="17:18">
      <c r="Q198">
        <v>190</v>
      </c>
      <c r="R198" s="3">
        <f t="shared" si="8"/>
        <v>8.5557146639111004</v>
      </c>
    </row>
    <row r="199" spans="17:18">
      <c r="Q199">
        <v>191</v>
      </c>
      <c r="R199" s="3">
        <f t="shared" si="8"/>
        <v>8.5632737363871456</v>
      </c>
    </row>
    <row r="200" spans="17:18">
      <c r="Q200">
        <v>192</v>
      </c>
      <c r="R200" s="3">
        <f t="shared" si="8"/>
        <v>8.5707933357200048</v>
      </c>
    </row>
    <row r="201" spans="17:18">
      <c r="Q201">
        <v>193</v>
      </c>
      <c r="R201" s="3">
        <f t="shared" si="8"/>
        <v>8.5782738720230363</v>
      </c>
    </row>
    <row r="202" spans="17:18">
      <c r="Q202">
        <v>194</v>
      </c>
      <c r="R202" s="3">
        <f t="shared" si="8"/>
        <v>8.5857157490511931</v>
      </c>
    </row>
    <row r="203" spans="17:18">
      <c r="Q203">
        <v>195</v>
      </c>
      <c r="R203" s="3">
        <f t="shared" ref="R203:R262" si="9">1+1.44*LN(Q203)</f>
        <v>8.5931193643317947</v>
      </c>
    </row>
    <row r="204" spans="17:18">
      <c r="Q204">
        <v>196</v>
      </c>
      <c r="R204" s="3">
        <f t="shared" si="9"/>
        <v>8.6004851092919452</v>
      </c>
    </row>
    <row r="205" spans="17:18">
      <c r="Q205">
        <v>197</v>
      </c>
      <c r="R205" s="3">
        <f t="shared" si="9"/>
        <v>8.6078133693827041</v>
      </c>
    </row>
    <row r="206" spans="17:18">
      <c r="Q206">
        <v>198</v>
      </c>
      <c r="R206" s="3">
        <f t="shared" si="9"/>
        <v>8.615104524200131</v>
      </c>
    </row>
    <row r="207" spans="17:18">
      <c r="Q207">
        <v>199</v>
      </c>
      <c r="R207" s="3">
        <f t="shared" si="9"/>
        <v>8.6223589476032689</v>
      </c>
    </row>
    <row r="208" spans="17:18">
      <c r="Q208">
        <v>200</v>
      </c>
      <c r="R208" s="3">
        <f t="shared" si="9"/>
        <v>8.6295770078291731</v>
      </c>
    </row>
    <row r="209" spans="17:18">
      <c r="Q209">
        <v>201</v>
      </c>
      <c r="R209" s="3">
        <f t="shared" si="9"/>
        <v>8.6367590676050696</v>
      </c>
    </row>
    <row r="210" spans="17:18">
      <c r="Q210">
        <v>202</v>
      </c>
      <c r="R210" s="3">
        <f t="shared" si="9"/>
        <v>8.6439054842577363</v>
      </c>
    </row>
    <row r="211" spans="17:18">
      <c r="Q211">
        <v>203</v>
      </c>
      <c r="R211" s="3">
        <f t="shared" si="9"/>
        <v>8.6510166098201733</v>
      </c>
    </row>
    <row r="212" spans="17:18">
      <c r="Q212">
        <v>204</v>
      </c>
      <c r="R212" s="3">
        <f t="shared" si="9"/>
        <v>8.6580927911356707</v>
      </c>
    </row>
    <row r="213" spans="17:18">
      <c r="Q213">
        <v>205</v>
      </c>
      <c r="R213" s="3">
        <f t="shared" si="9"/>
        <v>8.6651343699593077</v>
      </c>
    </row>
    <row r="214" spans="17:18">
      <c r="Q214">
        <v>206</v>
      </c>
      <c r="R214" s="3">
        <f t="shared" si="9"/>
        <v>8.6721416830569957</v>
      </c>
    </row>
    <row r="215" spans="17:18">
      <c r="Q215">
        <v>207</v>
      </c>
      <c r="R215" s="3">
        <f t="shared" si="9"/>
        <v>8.6791150623021309</v>
      </c>
    </row>
    <row r="216" spans="17:18">
      <c r="Q216">
        <v>208</v>
      </c>
      <c r="R216" s="3">
        <f t="shared" si="9"/>
        <v>8.686054834769898</v>
      </c>
    </row>
    <row r="217" spans="17:18">
      <c r="Q217">
        <v>209</v>
      </c>
      <c r="R217" s="3">
        <f t="shared" si="9"/>
        <v>8.6929613228293263</v>
      </c>
    </row>
    <row r="218" spans="17:18">
      <c r="Q218">
        <v>210</v>
      </c>
      <c r="R218" s="3">
        <f t="shared" si="9"/>
        <v>8.6998348442331555</v>
      </c>
    </row>
    <row r="219" spans="17:18">
      <c r="Q219">
        <v>211</v>
      </c>
      <c r="R219" s="3">
        <f t="shared" si="9"/>
        <v>8.706675712205536</v>
      </c>
    </row>
    <row r="220" spans="17:18">
      <c r="Q220">
        <v>212</v>
      </c>
      <c r="R220" s="3">
        <f t="shared" si="9"/>
        <v>8.713484235527698</v>
      </c>
    </row>
    <row r="221" spans="17:18">
      <c r="Q221">
        <v>213</v>
      </c>
      <c r="R221" s="3">
        <f t="shared" si="9"/>
        <v>8.7202607186215726</v>
      </c>
    </row>
    <row r="222" spans="17:18">
      <c r="Q222">
        <v>214</v>
      </c>
      <c r="R222" s="3">
        <f t="shared" si="9"/>
        <v>8.7270054616314656</v>
      </c>
    </row>
    <row r="223" spans="17:18">
      <c r="Q223">
        <v>215</v>
      </c>
      <c r="R223" s="3">
        <f t="shared" si="9"/>
        <v>8.7337187605038338</v>
      </c>
    </row>
    <row r="224" spans="17:18">
      <c r="Q224">
        <v>216</v>
      </c>
      <c r="R224" s="3">
        <f t="shared" si="9"/>
        <v>8.7404009070651973</v>
      </c>
    </row>
    <row r="225" spans="17:18">
      <c r="Q225">
        <v>217</v>
      </c>
      <c r="R225" s="3">
        <f t="shared" si="9"/>
        <v>8.7470521890982624</v>
      </c>
    </row>
    <row r="226" spans="17:18">
      <c r="Q226">
        <v>218</v>
      </c>
      <c r="R226" s="3">
        <f t="shared" si="9"/>
        <v>8.7536728904162864</v>
      </c>
    </row>
    <row r="227" spans="17:18">
      <c r="Q227">
        <v>219</v>
      </c>
      <c r="R227" s="3">
        <f t="shared" si="9"/>
        <v>8.7602632909357609</v>
      </c>
    </row>
    <row r="228" spans="17:18">
      <c r="Q228">
        <v>220</v>
      </c>
      <c r="R228" s="3">
        <f t="shared" si="9"/>
        <v>8.7668236667474009</v>
      </c>
    </row>
    <row r="229" spans="17:18">
      <c r="Q229">
        <v>221</v>
      </c>
      <c r="R229" s="3">
        <f t="shared" si="9"/>
        <v>8.7733542901855621</v>
      </c>
    </row>
    <row r="230" spans="17:18">
      <c r="Q230">
        <v>222</v>
      </c>
      <c r="R230" s="3">
        <f t="shared" si="9"/>
        <v>8.7798554298960809</v>
      </c>
    </row>
    <row r="231" spans="17:18">
      <c r="Q231">
        <v>223</v>
      </c>
      <c r="R231" s="3">
        <f t="shared" si="9"/>
        <v>8.786327350902571</v>
      </c>
    </row>
    <row r="232" spans="17:18">
      <c r="Q232">
        <v>224</v>
      </c>
      <c r="R232" s="3">
        <f t="shared" si="9"/>
        <v>8.792770314671257</v>
      </c>
    </row>
    <row r="233" spans="17:18">
      <c r="Q233">
        <v>225</v>
      </c>
      <c r="R233" s="3">
        <f t="shared" si="9"/>
        <v>8.7991845791743657</v>
      </c>
    </row>
    <row r="234" spans="17:18">
      <c r="Q234">
        <v>226</v>
      </c>
      <c r="R234" s="3">
        <f t="shared" si="9"/>
        <v>8.8055703989520921</v>
      </c>
    </row>
    <row r="235" spans="17:18">
      <c r="Q235">
        <v>227</v>
      </c>
      <c r="R235" s="3">
        <f t="shared" si="9"/>
        <v>8.8119280251732199</v>
      </c>
    </row>
    <row r="236" spans="17:18">
      <c r="Q236">
        <v>228</v>
      </c>
      <c r="R236" s="3">
        <f t="shared" si="9"/>
        <v>8.8182577056943945</v>
      </c>
    </row>
    <row r="237" spans="17:18">
      <c r="Q237">
        <v>229</v>
      </c>
      <c r="R237" s="3">
        <f t="shared" si="9"/>
        <v>8.8245596851181052</v>
      </c>
    </row>
    <row r="238" spans="17:18">
      <c r="Q238">
        <v>230</v>
      </c>
      <c r="R238" s="3">
        <f t="shared" si="9"/>
        <v>8.8308342048494026</v>
      </c>
    </row>
    <row r="239" spans="17:18">
      <c r="Q239">
        <v>231</v>
      </c>
      <c r="R239" s="3">
        <f t="shared" si="9"/>
        <v>8.8370815031513814</v>
      </c>
    </row>
    <row r="240" spans="17:18">
      <c r="Q240">
        <v>232</v>
      </c>
      <c r="R240" s="3">
        <f t="shared" si="9"/>
        <v>8.8433018151994851</v>
      </c>
    </row>
    <row r="241" spans="17:18">
      <c r="Q241">
        <v>233</v>
      </c>
      <c r="R241" s="3">
        <f t="shared" si="9"/>
        <v>8.8494953731346087</v>
      </c>
    </row>
    <row r="242" spans="17:18">
      <c r="Q242">
        <v>234</v>
      </c>
      <c r="R242" s="3">
        <f t="shared" si="9"/>
        <v>8.8556624061150906</v>
      </c>
    </row>
    <row r="243" spans="17:18">
      <c r="Q243">
        <v>235</v>
      </c>
      <c r="R243" s="3">
        <f t="shared" si="9"/>
        <v>8.8618031403675879</v>
      </c>
    </row>
    <row r="244" spans="17:18">
      <c r="Q244">
        <v>236</v>
      </c>
      <c r="R244" s="3">
        <f t="shared" si="9"/>
        <v>8.8679177992368778</v>
      </c>
    </row>
    <row r="245" spans="17:18">
      <c r="Q245">
        <v>237</v>
      </c>
      <c r="R245" s="3">
        <f t="shared" si="9"/>
        <v>8.874006603234589</v>
      </c>
    </row>
    <row r="246" spans="17:18">
      <c r="Q246">
        <v>238</v>
      </c>
      <c r="R246" s="3">
        <f t="shared" si="9"/>
        <v>8.8800697700869229</v>
      </c>
    </row>
    <row r="247" spans="17:18">
      <c r="Q247">
        <v>239</v>
      </c>
      <c r="R247" s="3">
        <f t="shared" si="9"/>
        <v>8.8861075147813757</v>
      </c>
    </row>
    <row r="248" spans="17:18">
      <c r="Q248">
        <v>240</v>
      </c>
      <c r="R248" s="3">
        <f t="shared" si="9"/>
        <v>8.8921200496124673</v>
      </c>
    </row>
    <row r="249" spans="17:18">
      <c r="Q249">
        <v>241</v>
      </c>
      <c r="R249" s="3">
        <f t="shared" si="9"/>
        <v>8.8981075842265422</v>
      </c>
    </row>
    <row r="250" spans="17:18">
      <c r="Q250">
        <v>242</v>
      </c>
      <c r="R250" s="3">
        <f t="shared" si="9"/>
        <v>8.9040703256656286</v>
      </c>
    </row>
    <row r="251" spans="17:18">
      <c r="Q251">
        <v>243</v>
      </c>
      <c r="R251" s="3">
        <f t="shared" si="9"/>
        <v>8.9100084784103899</v>
      </c>
    </row>
    <row r="252" spans="17:18">
      <c r="Q252">
        <v>244</v>
      </c>
      <c r="R252" s="3">
        <f t="shared" si="9"/>
        <v>8.9159222444222106</v>
      </c>
    </row>
    <row r="253" spans="17:18">
      <c r="Q253">
        <v>245</v>
      </c>
      <c r="R253" s="3">
        <f t="shared" si="9"/>
        <v>8.9218118231844059</v>
      </c>
    </row>
    <row r="254" spans="17:18">
      <c r="Q254">
        <v>246</v>
      </c>
      <c r="R254" s="3">
        <f t="shared" si="9"/>
        <v>8.9276774117426019</v>
      </c>
    </row>
    <row r="255" spans="17:18">
      <c r="Q255">
        <v>247</v>
      </c>
      <c r="R255" s="3">
        <f t="shared" si="9"/>
        <v>8.933519204744286</v>
      </c>
    </row>
    <row r="256" spans="17:18">
      <c r="Q256">
        <v>248</v>
      </c>
      <c r="R256" s="3">
        <f t="shared" si="9"/>
        <v>8.9393373944775743</v>
      </c>
    </row>
    <row r="257" spans="17:18">
      <c r="Q257">
        <v>249</v>
      </c>
      <c r="R257" s="3">
        <f t="shared" si="9"/>
        <v>8.9451321709091793</v>
      </c>
    </row>
    <row r="258" spans="17:18">
      <c r="Q258">
        <v>250</v>
      </c>
      <c r="R258" s="3">
        <f t="shared" si="9"/>
        <v>8.9509037217216338</v>
      </c>
    </row>
    <row r="259" spans="17:18">
      <c r="Q259">
        <v>251</v>
      </c>
      <c r="R259" s="3">
        <f t="shared" si="9"/>
        <v>8.9566522323497679</v>
      </c>
    </row>
    <row r="260" spans="17:18">
      <c r="Q260">
        <v>252</v>
      </c>
      <c r="R260" s="3">
        <f t="shared" si="9"/>
        <v>8.9623778860164496</v>
      </c>
    </row>
    <row r="261" spans="17:18">
      <c r="Q261">
        <v>253</v>
      </c>
      <c r="R261" s="3">
        <f t="shared" si="9"/>
        <v>8.9680808637676286</v>
      </c>
    </row>
    <row r="262" spans="17:18">
      <c r="Q262">
        <v>254</v>
      </c>
      <c r="R262" s="3">
        <f t="shared" si="9"/>
        <v>8.9737613445066913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612C-5CED-4051-8500-41A1E1F948A6}">
  <dimension ref="B1:M13"/>
  <sheetViews>
    <sheetView showGridLines="0" workbookViewId="0">
      <selection activeCell="M5" sqref="M5"/>
    </sheetView>
  </sheetViews>
  <sheetFormatPr defaultRowHeight="14.4"/>
  <cols>
    <col min="3" max="3" width="10" bestFit="1" customWidth="1"/>
    <col min="4" max="4" width="17.88671875" bestFit="1" customWidth="1"/>
    <col min="5" max="5" width="15.6640625" bestFit="1" customWidth="1"/>
    <col min="6" max="6" width="15.77734375" bestFit="1" customWidth="1"/>
    <col min="7" max="7" width="13.77734375" bestFit="1" customWidth="1"/>
    <col min="8" max="8" width="18" bestFit="1" customWidth="1"/>
    <col min="9" max="9" width="20.21875" bestFit="1" customWidth="1"/>
    <col min="10" max="10" width="20.21875" customWidth="1"/>
    <col min="11" max="11" width="11.5546875" bestFit="1" customWidth="1"/>
    <col min="12" max="12" width="21.109375" bestFit="1" customWidth="1"/>
    <col min="13" max="13" width="12.6640625" customWidth="1"/>
  </cols>
  <sheetData>
    <row r="1" spans="2:13" ht="21">
      <c r="B1" s="52" t="s">
        <v>161</v>
      </c>
    </row>
    <row r="3" spans="2:13" ht="46.8" customHeight="1">
      <c r="B3" s="10" t="s">
        <v>8</v>
      </c>
      <c r="C3" s="10" t="s">
        <v>9</v>
      </c>
      <c r="D3" s="90" t="s">
        <v>10</v>
      </c>
      <c r="E3" s="90"/>
      <c r="F3" s="90"/>
      <c r="G3" s="90" t="s">
        <v>14</v>
      </c>
      <c r="H3" s="90"/>
      <c r="I3" s="90"/>
      <c r="J3" s="13" t="s">
        <v>157</v>
      </c>
      <c r="K3" s="13" t="s">
        <v>20</v>
      </c>
      <c r="L3" s="13" t="s">
        <v>21</v>
      </c>
      <c r="M3" s="13" t="s">
        <v>22</v>
      </c>
    </row>
    <row r="4" spans="2:13" ht="15.6">
      <c r="B4" s="10"/>
      <c r="C4" s="10"/>
      <c r="D4" s="10" t="s">
        <v>11</v>
      </c>
      <c r="E4" s="10" t="s">
        <v>12</v>
      </c>
      <c r="F4" s="10" t="s">
        <v>13</v>
      </c>
      <c r="G4" s="10" t="s">
        <v>15</v>
      </c>
      <c r="H4" s="10" t="s">
        <v>16</v>
      </c>
      <c r="I4" s="10" t="s">
        <v>17</v>
      </c>
      <c r="J4" s="10"/>
      <c r="K4" s="15"/>
      <c r="L4" s="15"/>
      <c r="M4" s="15"/>
    </row>
    <row r="5" spans="2:13" ht="15.6">
      <c r="B5" s="10">
        <v>2015</v>
      </c>
      <c r="C5" s="10">
        <v>11283</v>
      </c>
      <c r="D5" s="10">
        <v>11231</v>
      </c>
      <c r="E5" s="10">
        <v>3504</v>
      </c>
      <c r="F5" s="10">
        <v>7727</v>
      </c>
      <c r="G5" s="10">
        <v>52</v>
      </c>
      <c r="H5" s="10">
        <v>0</v>
      </c>
      <c r="I5" s="10">
        <v>52</v>
      </c>
      <c r="J5" s="89"/>
      <c r="K5" s="14"/>
      <c r="L5" s="14"/>
      <c r="M5" s="14"/>
    </row>
    <row r="6" spans="2:13" ht="15.6">
      <c r="B6" s="10">
        <v>2016</v>
      </c>
      <c r="C6" s="10">
        <v>13730</v>
      </c>
      <c r="D6" s="10">
        <v>13651</v>
      </c>
      <c r="E6" s="10">
        <v>4009</v>
      </c>
      <c r="F6" s="10">
        <v>9642</v>
      </c>
      <c r="G6" s="10">
        <v>79</v>
      </c>
      <c r="H6" s="10">
        <v>2</v>
      </c>
      <c r="I6" s="10">
        <v>77</v>
      </c>
      <c r="J6" s="89"/>
      <c r="K6" s="14"/>
      <c r="L6" s="14"/>
      <c r="M6" s="14"/>
    </row>
    <row r="7" spans="2:13" ht="15.6">
      <c r="B7" s="10">
        <v>2017</v>
      </c>
      <c r="C7" s="10">
        <v>15309</v>
      </c>
      <c r="D7" s="10">
        <v>15189</v>
      </c>
      <c r="E7" s="10">
        <v>4081</v>
      </c>
      <c r="F7" s="10">
        <v>11108</v>
      </c>
      <c r="G7" s="10">
        <v>120</v>
      </c>
      <c r="H7" s="10">
        <v>4</v>
      </c>
      <c r="I7" s="10">
        <v>116</v>
      </c>
      <c r="J7" s="89"/>
      <c r="K7" s="14"/>
      <c r="L7" s="14"/>
      <c r="M7" s="14"/>
    </row>
    <row r="8" spans="2:13" ht="15.6">
      <c r="B8" s="10">
        <v>2018</v>
      </c>
      <c r="C8" s="10">
        <v>16791</v>
      </c>
      <c r="D8" s="10">
        <v>16521</v>
      </c>
      <c r="E8" s="10">
        <v>4579</v>
      </c>
      <c r="F8" s="10">
        <v>11942</v>
      </c>
      <c r="G8" s="10">
        <v>270</v>
      </c>
      <c r="H8" s="10">
        <v>10</v>
      </c>
      <c r="I8" s="10">
        <v>260</v>
      </c>
      <c r="J8" s="89"/>
      <c r="K8" s="14"/>
      <c r="L8" s="14"/>
      <c r="M8" s="14"/>
    </row>
    <row r="9" spans="2:13" ht="15.6">
      <c r="B9" s="9"/>
      <c r="C9" s="9"/>
      <c r="D9" s="9"/>
      <c r="E9" s="9"/>
      <c r="F9" s="9"/>
      <c r="G9" s="9"/>
      <c r="H9" s="9"/>
      <c r="I9" s="9"/>
      <c r="J9" s="9"/>
    </row>
    <row r="11" spans="2:13">
      <c r="B11" t="s">
        <v>158</v>
      </c>
    </row>
    <row r="12" spans="2:13">
      <c r="B12" t="s">
        <v>159</v>
      </c>
    </row>
    <row r="13" spans="2:13">
      <c r="B13" t="s">
        <v>160</v>
      </c>
    </row>
  </sheetData>
  <mergeCells count="2">
    <mergeCell ref="D3:F3"/>
    <mergeCell ref="G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7F6F-0D4C-4D0A-BD4C-F71954B023DD}">
  <dimension ref="B2:E10"/>
  <sheetViews>
    <sheetView showGridLines="0" workbookViewId="0">
      <selection activeCell="C7" sqref="C7"/>
    </sheetView>
  </sheetViews>
  <sheetFormatPr defaultRowHeight="14.4"/>
  <cols>
    <col min="2" max="2" width="31.6640625" customWidth="1"/>
  </cols>
  <sheetData>
    <row r="2" spans="2:5" ht="18">
      <c r="B2" s="5" t="s">
        <v>24</v>
      </c>
      <c r="C2" s="5"/>
      <c r="D2" s="5"/>
      <c r="E2" s="5"/>
    </row>
    <row r="3" spans="2:5" ht="18">
      <c r="B3" s="5"/>
      <c r="C3" s="5"/>
      <c r="D3" s="5"/>
      <c r="E3" s="5"/>
    </row>
    <row r="4" spans="2:5" ht="18">
      <c r="B4" s="16" t="s">
        <v>8</v>
      </c>
      <c r="C4" s="16">
        <v>2017</v>
      </c>
      <c r="D4" s="16">
        <v>2018</v>
      </c>
      <c r="E4" s="16">
        <v>2019</v>
      </c>
    </row>
    <row r="5" spans="2:5" ht="18">
      <c r="B5" s="16" t="s">
        <v>25</v>
      </c>
      <c r="C5" s="16">
        <v>39186</v>
      </c>
      <c r="D5" s="16">
        <v>38427</v>
      </c>
      <c r="E5" s="16">
        <v>33154</v>
      </c>
    </row>
    <row r="6" spans="2:5" ht="18">
      <c r="B6" s="16" t="s">
        <v>26</v>
      </c>
      <c r="C6" s="16">
        <v>827135</v>
      </c>
      <c r="D6" s="16">
        <v>785432</v>
      </c>
      <c r="E6" s="16">
        <v>613287</v>
      </c>
    </row>
    <row r="7" spans="2:5" ht="49.8" customHeight="1">
      <c r="B7" s="20" t="s">
        <v>27</v>
      </c>
      <c r="C7" s="21"/>
      <c r="D7" s="21"/>
      <c r="E7" s="21"/>
    </row>
    <row r="10" spans="2:5" ht="18">
      <c r="B10" s="23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9CD-EE74-48E1-BAE4-6056F5E2562F}">
  <dimension ref="B1:F17"/>
  <sheetViews>
    <sheetView showGridLines="0" workbookViewId="0">
      <selection activeCell="F6" sqref="F6"/>
    </sheetView>
  </sheetViews>
  <sheetFormatPr defaultRowHeight="14.4"/>
  <cols>
    <col min="3" max="3" width="14" bestFit="1" customWidth="1"/>
    <col min="4" max="4" width="10" bestFit="1" customWidth="1"/>
    <col min="5" max="5" width="18.109375" customWidth="1"/>
    <col min="6" max="6" width="23.5546875" customWidth="1"/>
    <col min="7" max="7" width="12.6640625" bestFit="1" customWidth="1"/>
  </cols>
  <sheetData>
    <row r="1" spans="2:6" ht="21.6">
      <c r="B1" s="4" t="s">
        <v>4</v>
      </c>
    </row>
    <row r="2" spans="2:6" ht="21.6">
      <c r="B2" s="4" t="s">
        <v>5</v>
      </c>
    </row>
    <row r="4" spans="2:6" s="6" customFormat="1" ht="67.8" customHeight="1">
      <c r="B4" s="59"/>
      <c r="C4" s="59" t="s">
        <v>6</v>
      </c>
      <c r="D4" s="59" t="s">
        <v>7</v>
      </c>
      <c r="E4" s="60" t="s">
        <v>18</v>
      </c>
      <c r="F4" s="60" t="s">
        <v>19</v>
      </c>
    </row>
    <row r="5" spans="2:6" ht="18">
      <c r="B5" s="16">
        <v>2009</v>
      </c>
      <c r="C5" s="61">
        <v>718.9</v>
      </c>
      <c r="D5" s="61">
        <v>441</v>
      </c>
      <c r="E5" s="53"/>
      <c r="F5" s="61"/>
    </row>
    <row r="6" spans="2:6" ht="18">
      <c r="B6" s="16">
        <v>2010</v>
      </c>
      <c r="C6" s="61">
        <v>720</v>
      </c>
      <c r="D6" s="61">
        <v>446.4</v>
      </c>
      <c r="E6" s="53"/>
      <c r="F6" s="62"/>
    </row>
    <row r="7" spans="2:6" ht="18">
      <c r="B7" s="16">
        <v>2011</v>
      </c>
      <c r="C7" s="61">
        <v>722.3</v>
      </c>
      <c r="D7" s="61">
        <v>451.2</v>
      </c>
      <c r="E7" s="53"/>
      <c r="F7" s="62"/>
    </row>
    <row r="8" spans="2:6" ht="18">
      <c r="B8" s="16">
        <v>2012</v>
      </c>
      <c r="C8" s="61">
        <v>724.5</v>
      </c>
      <c r="D8" s="61">
        <v>443.2</v>
      </c>
      <c r="E8" s="53"/>
      <c r="F8" s="62"/>
    </row>
    <row r="9" spans="2:6" ht="18">
      <c r="B9" s="16">
        <v>2013</v>
      </c>
      <c r="C9" s="61">
        <v>723.9</v>
      </c>
      <c r="D9" s="61">
        <v>447.1</v>
      </c>
      <c r="E9" s="53"/>
      <c r="F9" s="62"/>
    </row>
    <row r="10" spans="2:6" ht="18">
      <c r="B10" s="16">
        <v>2014</v>
      </c>
      <c r="C10" s="61">
        <v>721.9</v>
      </c>
      <c r="D10" s="61">
        <v>449.7</v>
      </c>
      <c r="E10" s="53"/>
      <c r="F10" s="62"/>
    </row>
    <row r="11" spans="2:6" ht="18">
      <c r="B11" s="16">
        <v>2015</v>
      </c>
      <c r="C11" s="61">
        <v>720.8</v>
      </c>
      <c r="D11" s="61">
        <v>450.8</v>
      </c>
      <c r="E11" s="53"/>
      <c r="F11" s="62"/>
    </row>
    <row r="12" spans="2:6" ht="18">
      <c r="B12" s="16">
        <v>2016</v>
      </c>
      <c r="C12" s="61">
        <v>716.4</v>
      </c>
      <c r="D12" s="61">
        <v>462.4</v>
      </c>
      <c r="E12" s="53"/>
      <c r="F12" s="62"/>
    </row>
    <row r="13" spans="2:6" ht="18">
      <c r="B13" s="16">
        <v>2017</v>
      </c>
      <c r="C13" s="61">
        <v>716.4</v>
      </c>
      <c r="D13" s="61">
        <v>485.2</v>
      </c>
      <c r="E13" s="53"/>
      <c r="F13" s="62"/>
    </row>
    <row r="14" spans="2:6" ht="18">
      <c r="B14" s="16">
        <v>2018</v>
      </c>
      <c r="C14" s="61">
        <v>715.3</v>
      </c>
      <c r="D14" s="61">
        <v>509</v>
      </c>
      <c r="E14" s="53"/>
      <c r="F14" s="62"/>
    </row>
    <row r="16" spans="2:6" ht="18">
      <c r="E16" s="7"/>
    </row>
    <row r="17" spans="5:5">
      <c r="E17" s="8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DED0-3697-46B1-AD87-35C57098D15C}">
  <dimension ref="A2:H20"/>
  <sheetViews>
    <sheetView showGridLines="0" workbookViewId="0">
      <selection activeCell="G13" sqref="G13"/>
    </sheetView>
  </sheetViews>
  <sheetFormatPr defaultRowHeight="14.4"/>
  <cols>
    <col min="2" max="2" width="11.6640625" customWidth="1"/>
    <col min="3" max="3" width="9.77734375" customWidth="1"/>
    <col min="4" max="4" width="22.88671875" bestFit="1" customWidth="1"/>
    <col min="5" max="5" width="3.88671875" customWidth="1"/>
    <col min="6" max="6" width="52.109375" customWidth="1"/>
    <col min="8" max="8" width="11.77734375" style="37" customWidth="1"/>
    <col min="9" max="9" width="10.6640625" customWidth="1"/>
  </cols>
  <sheetData>
    <row r="2" spans="1:8" ht="28.8" customHeight="1"/>
    <row r="3" spans="1:8" ht="27.6" customHeight="1">
      <c r="B3" s="38"/>
      <c r="C3" s="39">
        <v>2019</v>
      </c>
    </row>
    <row r="4" spans="1:8" ht="24.6">
      <c r="B4" s="40" t="s">
        <v>105</v>
      </c>
      <c r="C4" s="41">
        <f>SUM(C6:C20)</f>
        <v>140484</v>
      </c>
    </row>
    <row r="5" spans="1:8" ht="62.4">
      <c r="B5" s="73" t="s">
        <v>106</v>
      </c>
      <c r="C5" s="42"/>
      <c r="D5" s="72" t="s">
        <v>107</v>
      </c>
      <c r="E5" s="42"/>
      <c r="F5" s="42"/>
      <c r="G5" s="42"/>
      <c r="H5" s="43"/>
    </row>
    <row r="6" spans="1:8" ht="15.6">
      <c r="A6">
        <v>1</v>
      </c>
      <c r="B6" s="44" t="s">
        <v>108</v>
      </c>
      <c r="C6" s="63">
        <v>9032</v>
      </c>
      <c r="D6" s="66">
        <f>C6</f>
        <v>9032</v>
      </c>
      <c r="E6" s="42"/>
      <c r="F6" s="66" t="s">
        <v>109</v>
      </c>
      <c r="G6" s="68"/>
      <c r="H6" s="43"/>
    </row>
    <row r="7" spans="1:8" ht="15.6">
      <c r="A7">
        <v>2</v>
      </c>
      <c r="B7" s="45" t="s">
        <v>110</v>
      </c>
      <c r="C7" s="63">
        <v>9085</v>
      </c>
      <c r="D7" s="66">
        <f t="shared" ref="D7:D20" si="0">D6+C7</f>
        <v>18117</v>
      </c>
      <c r="E7" s="42"/>
      <c r="F7" s="66" t="s">
        <v>111</v>
      </c>
      <c r="G7" s="68"/>
      <c r="H7" s="43"/>
    </row>
    <row r="8" spans="1:8" ht="15.6">
      <c r="A8">
        <v>3</v>
      </c>
      <c r="B8" s="45" t="s">
        <v>112</v>
      </c>
      <c r="C8" s="63">
        <v>7825</v>
      </c>
      <c r="D8" s="66">
        <f t="shared" si="0"/>
        <v>25942</v>
      </c>
      <c r="E8" s="42"/>
      <c r="F8" s="66" t="s">
        <v>113</v>
      </c>
      <c r="G8" s="68"/>
      <c r="H8" s="43"/>
    </row>
    <row r="9" spans="1:8" ht="15.6">
      <c r="A9">
        <v>4</v>
      </c>
      <c r="B9" s="44" t="s">
        <v>114</v>
      </c>
      <c r="C9" s="63">
        <v>6947</v>
      </c>
      <c r="D9" s="66">
        <f t="shared" si="0"/>
        <v>32889</v>
      </c>
      <c r="E9" s="42"/>
      <c r="F9" s="66" t="s">
        <v>115</v>
      </c>
      <c r="G9" s="68"/>
      <c r="H9" s="43"/>
    </row>
    <row r="10" spans="1:8" ht="15.6">
      <c r="A10">
        <v>5</v>
      </c>
      <c r="B10" s="44" t="s">
        <v>116</v>
      </c>
      <c r="C10" s="63">
        <v>7114</v>
      </c>
      <c r="D10" s="66">
        <f t="shared" si="0"/>
        <v>40003</v>
      </c>
      <c r="E10" s="42"/>
      <c r="F10" s="69" t="s">
        <v>117</v>
      </c>
      <c r="G10" s="70"/>
      <c r="H10" s="46" t="s">
        <v>118</v>
      </c>
    </row>
    <row r="11" spans="1:8" ht="15.6">
      <c r="A11">
        <v>6</v>
      </c>
      <c r="B11" s="44" t="s">
        <v>119</v>
      </c>
      <c r="C11" s="63">
        <v>10222</v>
      </c>
      <c r="D11" s="66">
        <f t="shared" si="0"/>
        <v>50225</v>
      </c>
      <c r="E11" s="42"/>
      <c r="F11" s="42"/>
      <c r="G11" s="42"/>
      <c r="H11" s="43"/>
    </row>
    <row r="12" spans="1:8" ht="15.6">
      <c r="A12">
        <v>7</v>
      </c>
      <c r="B12" s="47" t="s">
        <v>120</v>
      </c>
      <c r="C12" s="64">
        <v>12718</v>
      </c>
      <c r="D12" s="67">
        <f t="shared" si="0"/>
        <v>62943</v>
      </c>
      <c r="E12" s="42"/>
      <c r="F12" s="42"/>
      <c r="G12" s="42"/>
      <c r="H12" s="43"/>
    </row>
    <row r="13" spans="1:8" ht="15.6">
      <c r="A13">
        <v>8</v>
      </c>
      <c r="B13" s="48" t="s">
        <v>121</v>
      </c>
      <c r="C13" s="65">
        <v>11735</v>
      </c>
      <c r="D13" s="68">
        <f t="shared" si="0"/>
        <v>74678</v>
      </c>
      <c r="E13" s="42"/>
      <c r="F13" s="66" t="s">
        <v>122</v>
      </c>
      <c r="G13" s="70"/>
      <c r="H13" s="46" t="s">
        <v>156</v>
      </c>
    </row>
    <row r="14" spans="1:8" ht="15.6">
      <c r="A14">
        <v>9</v>
      </c>
      <c r="B14" s="44" t="s">
        <v>123</v>
      </c>
      <c r="C14" s="63">
        <v>10594</v>
      </c>
      <c r="D14" s="66">
        <f t="shared" si="0"/>
        <v>85272</v>
      </c>
      <c r="E14" s="42"/>
      <c r="F14" s="66" t="s">
        <v>124</v>
      </c>
      <c r="G14" s="68"/>
      <c r="H14" s="43"/>
    </row>
    <row r="15" spans="1:8" ht="15.6">
      <c r="A15">
        <v>10</v>
      </c>
      <c r="B15" s="44" t="s">
        <v>125</v>
      </c>
      <c r="C15" s="63">
        <v>9674</v>
      </c>
      <c r="D15" s="66">
        <f t="shared" si="0"/>
        <v>94946</v>
      </c>
      <c r="E15" s="42"/>
      <c r="F15" s="66" t="s">
        <v>126</v>
      </c>
      <c r="G15" s="68"/>
      <c r="H15" s="43"/>
    </row>
    <row r="16" spans="1:8" ht="15.6">
      <c r="A16">
        <v>11</v>
      </c>
      <c r="B16" s="44" t="s">
        <v>127</v>
      </c>
      <c r="C16" s="63">
        <v>9021</v>
      </c>
      <c r="D16" s="66">
        <f t="shared" si="0"/>
        <v>103967</v>
      </c>
      <c r="E16" s="42"/>
      <c r="F16" s="66" t="s">
        <v>128</v>
      </c>
      <c r="G16" s="68"/>
      <c r="H16" s="43"/>
    </row>
    <row r="17" spans="1:8" ht="15.6">
      <c r="A17">
        <v>12</v>
      </c>
      <c r="B17" s="44" t="s">
        <v>129</v>
      </c>
      <c r="C17" s="63">
        <v>10811</v>
      </c>
      <c r="D17" s="66">
        <f t="shared" si="0"/>
        <v>114778</v>
      </c>
      <c r="E17" s="42"/>
      <c r="F17" s="66" t="s">
        <v>130</v>
      </c>
      <c r="G17" s="68"/>
      <c r="H17" s="43"/>
    </row>
    <row r="18" spans="1:8" ht="15.6">
      <c r="A18">
        <v>13</v>
      </c>
      <c r="B18" s="44" t="s">
        <v>131</v>
      </c>
      <c r="C18" s="63">
        <v>10027</v>
      </c>
      <c r="D18" s="66">
        <f t="shared" si="0"/>
        <v>124805</v>
      </c>
      <c r="E18" s="42"/>
      <c r="F18" s="66" t="s">
        <v>132</v>
      </c>
      <c r="G18" s="68"/>
      <c r="H18" s="43"/>
    </row>
    <row r="19" spans="1:8" ht="15.6">
      <c r="A19">
        <v>14</v>
      </c>
      <c r="B19" s="44" t="s">
        <v>133</v>
      </c>
      <c r="C19" s="63">
        <v>8179</v>
      </c>
      <c r="D19" s="66">
        <f t="shared" si="0"/>
        <v>132984</v>
      </c>
      <c r="E19" s="42"/>
      <c r="F19" s="71" t="s">
        <v>134</v>
      </c>
      <c r="G19" s="70"/>
      <c r="H19" s="46" t="s">
        <v>135</v>
      </c>
    </row>
    <row r="20" spans="1:8" ht="31.2">
      <c r="A20">
        <v>15</v>
      </c>
      <c r="B20" s="44" t="s">
        <v>136</v>
      </c>
      <c r="C20" s="63">
        <v>7500</v>
      </c>
      <c r="D20" s="66">
        <f t="shared" si="0"/>
        <v>140484</v>
      </c>
      <c r="E20" s="42"/>
      <c r="F20" s="42"/>
      <c r="G20" s="42"/>
      <c r="H20" s="43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7C37-3BAF-4075-917F-28A7CA0D1C46}">
  <dimension ref="A2:H20"/>
  <sheetViews>
    <sheetView showGridLines="0" topLeftCell="A4" workbookViewId="0">
      <selection activeCell="G7" sqref="G7"/>
    </sheetView>
  </sheetViews>
  <sheetFormatPr defaultRowHeight="14.4"/>
  <cols>
    <col min="2" max="2" width="11.6640625" customWidth="1"/>
    <col min="3" max="3" width="9.77734375" customWidth="1"/>
    <col min="4" max="4" width="22.88671875" bestFit="1" customWidth="1"/>
    <col min="5" max="5" width="3.88671875" customWidth="1"/>
    <col min="6" max="6" width="52.109375" customWidth="1"/>
    <col min="8" max="8" width="11.77734375" style="37" customWidth="1"/>
    <col min="9" max="9" width="10.6640625" customWidth="1"/>
  </cols>
  <sheetData>
    <row r="2" spans="1:8" ht="28.8" customHeight="1"/>
    <row r="3" spans="1:8" ht="27.6" customHeight="1">
      <c r="B3" s="38"/>
      <c r="C3" s="39">
        <v>2019</v>
      </c>
    </row>
    <row r="4" spans="1:8" ht="24.6">
      <c r="B4" s="40" t="s">
        <v>105</v>
      </c>
      <c r="C4" s="41">
        <f>SUM(C6:C20)</f>
        <v>140484</v>
      </c>
    </row>
    <row r="5" spans="1:8" ht="62.4">
      <c r="B5" s="73" t="s">
        <v>106</v>
      </c>
      <c r="C5" s="77"/>
      <c r="D5" s="74" t="s">
        <v>107</v>
      </c>
      <c r="E5" s="42"/>
      <c r="F5" s="42"/>
      <c r="G5" s="42"/>
      <c r="H5" s="43"/>
    </row>
    <row r="6" spans="1:8" ht="15.6">
      <c r="A6">
        <v>1</v>
      </c>
      <c r="B6" s="44" t="s">
        <v>108</v>
      </c>
      <c r="C6" s="78">
        <v>9032</v>
      </c>
      <c r="D6" s="74">
        <f>C6</f>
        <v>9032</v>
      </c>
      <c r="E6" s="42"/>
      <c r="F6" s="66" t="s">
        <v>109</v>
      </c>
      <c r="G6" s="68">
        <v>35</v>
      </c>
      <c r="H6" s="43"/>
    </row>
    <row r="7" spans="1:8" ht="15.6">
      <c r="A7">
        <v>2</v>
      </c>
      <c r="B7" s="45" t="s">
        <v>110</v>
      </c>
      <c r="C7" s="78">
        <v>9085</v>
      </c>
      <c r="D7" s="74">
        <f t="shared" ref="D7:D20" si="0">D6+C7</f>
        <v>18117</v>
      </c>
      <c r="E7" s="42"/>
      <c r="F7" s="66" t="s">
        <v>111</v>
      </c>
      <c r="G7" s="68">
        <v>5</v>
      </c>
      <c r="H7" s="43"/>
    </row>
    <row r="8" spans="1:8" ht="15.6">
      <c r="A8">
        <v>3</v>
      </c>
      <c r="B8" s="45" t="s">
        <v>112</v>
      </c>
      <c r="C8" s="78">
        <v>7825</v>
      </c>
      <c r="D8" s="74">
        <f t="shared" si="0"/>
        <v>25942</v>
      </c>
      <c r="E8" s="42"/>
      <c r="F8" s="66" t="s">
        <v>113</v>
      </c>
      <c r="G8" s="68">
        <v>62943</v>
      </c>
      <c r="H8" s="43"/>
    </row>
    <row r="9" spans="1:8" ht="15.6">
      <c r="A9">
        <v>4</v>
      </c>
      <c r="B9" s="44" t="s">
        <v>114</v>
      </c>
      <c r="C9" s="78">
        <v>6947</v>
      </c>
      <c r="D9" s="74">
        <f t="shared" si="0"/>
        <v>32889</v>
      </c>
      <c r="E9" s="42"/>
      <c r="F9" s="66" t="s">
        <v>115</v>
      </c>
      <c r="G9" s="68">
        <f>C13</f>
        <v>11735</v>
      </c>
      <c r="H9" s="43"/>
    </row>
    <row r="10" spans="1:8" ht="15.6">
      <c r="A10">
        <v>5</v>
      </c>
      <c r="B10" s="44" t="s">
        <v>116</v>
      </c>
      <c r="C10" s="78">
        <v>7114</v>
      </c>
      <c r="D10" s="74">
        <f t="shared" si="0"/>
        <v>40003</v>
      </c>
      <c r="E10" s="42"/>
      <c r="F10" s="69" t="s">
        <v>117</v>
      </c>
      <c r="G10" s="70">
        <f>G6+G7*(C4/2-G8)/G9</f>
        <v>38.109927567106944</v>
      </c>
      <c r="H10" s="46" t="s">
        <v>118</v>
      </c>
    </row>
    <row r="11" spans="1:8" ht="15.6">
      <c r="A11">
        <v>6</v>
      </c>
      <c r="B11" s="44" t="s">
        <v>119</v>
      </c>
      <c r="C11" s="78">
        <v>10222</v>
      </c>
      <c r="D11" s="74">
        <f t="shared" si="0"/>
        <v>50225</v>
      </c>
      <c r="E11" s="42"/>
      <c r="F11" s="42"/>
      <c r="G11" s="42"/>
      <c r="H11" s="43"/>
    </row>
    <row r="12" spans="1:8" ht="15.6">
      <c r="A12">
        <v>7</v>
      </c>
      <c r="B12" s="47" t="s">
        <v>120</v>
      </c>
      <c r="C12" s="79">
        <v>12718</v>
      </c>
      <c r="D12" s="75">
        <f t="shared" si="0"/>
        <v>62943</v>
      </c>
      <c r="E12" s="42"/>
      <c r="F12" s="42"/>
      <c r="G12" s="42"/>
      <c r="H12" s="43"/>
    </row>
    <row r="13" spans="1:8" ht="15.6">
      <c r="A13">
        <v>8</v>
      </c>
      <c r="B13" s="48" t="s">
        <v>121</v>
      </c>
      <c r="C13" s="80">
        <v>11735</v>
      </c>
      <c r="D13" s="76">
        <f t="shared" si="0"/>
        <v>74678</v>
      </c>
      <c r="E13" s="42"/>
      <c r="F13" s="66" t="s">
        <v>122</v>
      </c>
      <c r="G13" s="70">
        <f>MAX(C6:C20)</f>
        <v>12718</v>
      </c>
      <c r="H13" s="46" t="s">
        <v>156</v>
      </c>
    </row>
    <row r="14" spans="1:8" ht="15.6">
      <c r="A14">
        <v>9</v>
      </c>
      <c r="B14" s="44" t="s">
        <v>123</v>
      </c>
      <c r="C14" s="78">
        <v>10594</v>
      </c>
      <c r="D14" s="74">
        <f t="shared" si="0"/>
        <v>85272</v>
      </c>
      <c r="E14" s="42"/>
      <c r="F14" s="66" t="s">
        <v>124</v>
      </c>
      <c r="G14" s="68">
        <v>30</v>
      </c>
      <c r="H14" s="43"/>
    </row>
    <row r="15" spans="1:8" ht="15.6">
      <c r="A15">
        <v>10</v>
      </c>
      <c r="B15" s="44" t="s">
        <v>125</v>
      </c>
      <c r="C15" s="78">
        <v>9674</v>
      </c>
      <c r="D15" s="74">
        <f t="shared" si="0"/>
        <v>94946</v>
      </c>
      <c r="E15" s="42"/>
      <c r="F15" s="66" t="s">
        <v>126</v>
      </c>
      <c r="G15" s="68">
        <v>5</v>
      </c>
      <c r="H15" s="43"/>
    </row>
    <row r="16" spans="1:8" ht="15.6">
      <c r="A16">
        <v>11</v>
      </c>
      <c r="B16" s="44" t="s">
        <v>127</v>
      </c>
      <c r="C16" s="78">
        <v>9021</v>
      </c>
      <c r="D16" s="74">
        <f t="shared" si="0"/>
        <v>103967</v>
      </c>
      <c r="E16" s="42"/>
      <c r="F16" s="66" t="s">
        <v>128</v>
      </c>
      <c r="G16" s="68">
        <f>C12</f>
        <v>12718</v>
      </c>
      <c r="H16" s="43"/>
    </row>
    <row r="17" spans="1:8" ht="15.6">
      <c r="A17">
        <v>12</v>
      </c>
      <c r="B17" s="44" t="s">
        <v>129</v>
      </c>
      <c r="C17" s="78">
        <v>10811</v>
      </c>
      <c r="D17" s="74">
        <f t="shared" si="0"/>
        <v>114778</v>
      </c>
      <c r="E17" s="42"/>
      <c r="F17" s="66" t="s">
        <v>130</v>
      </c>
      <c r="G17" s="68">
        <f>C11</f>
        <v>10222</v>
      </c>
      <c r="H17" s="43"/>
    </row>
    <row r="18" spans="1:8" ht="15.6">
      <c r="A18">
        <v>13</v>
      </c>
      <c r="B18" s="44" t="s">
        <v>131</v>
      </c>
      <c r="C18" s="78">
        <v>10027</v>
      </c>
      <c r="D18" s="74">
        <f t="shared" si="0"/>
        <v>124805</v>
      </c>
      <c r="E18" s="42"/>
      <c r="F18" s="66" t="s">
        <v>132</v>
      </c>
      <c r="G18" s="68">
        <f>C13</f>
        <v>11735</v>
      </c>
      <c r="H18" s="43"/>
    </row>
    <row r="19" spans="1:8" ht="15.6">
      <c r="A19">
        <v>14</v>
      </c>
      <c r="B19" s="44" t="s">
        <v>133</v>
      </c>
      <c r="C19" s="78">
        <v>8179</v>
      </c>
      <c r="D19" s="74">
        <f t="shared" si="0"/>
        <v>132984</v>
      </c>
      <c r="E19" s="42"/>
      <c r="F19" s="71" t="s">
        <v>134</v>
      </c>
      <c r="G19" s="70">
        <f>G14+G15*(G16-G17)/((G16-G17)+(G16-G18))</f>
        <v>33.587237711986205</v>
      </c>
      <c r="H19" s="46" t="s">
        <v>135</v>
      </c>
    </row>
    <row r="20" spans="1:8" ht="31.2">
      <c r="A20">
        <v>15</v>
      </c>
      <c r="B20" s="44" t="s">
        <v>136</v>
      </c>
      <c r="C20" s="78">
        <v>7500</v>
      </c>
      <c r="D20" s="74">
        <f t="shared" si="0"/>
        <v>140484</v>
      </c>
      <c r="E20" s="42"/>
      <c r="F20" s="42"/>
      <c r="G20" s="42"/>
      <c r="H20" s="43"/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D357-E236-4459-AB27-1894FAFD76BF}">
  <dimension ref="B3:E27"/>
  <sheetViews>
    <sheetView showGridLines="0" workbookViewId="0">
      <selection activeCell="C4" sqref="C4:C16"/>
    </sheetView>
  </sheetViews>
  <sheetFormatPr defaultRowHeight="14.4"/>
  <cols>
    <col min="2" max="2" width="29.109375" bestFit="1" customWidth="1"/>
    <col min="3" max="3" width="19.21875" customWidth="1"/>
    <col min="5" max="5" width="42.88671875" bestFit="1" customWidth="1"/>
  </cols>
  <sheetData>
    <row r="3" spans="2:3" ht="72">
      <c r="B3" s="60" t="s">
        <v>137</v>
      </c>
      <c r="C3" s="81" t="s">
        <v>138</v>
      </c>
    </row>
    <row r="4" spans="2:3" ht="18">
      <c r="B4" s="82">
        <v>1</v>
      </c>
      <c r="C4" s="82">
        <v>126</v>
      </c>
    </row>
    <row r="5" spans="2:3" ht="18">
      <c r="B5" s="82">
        <v>2</v>
      </c>
      <c r="C5" s="82">
        <v>98</v>
      </c>
    </row>
    <row r="6" spans="2:3" ht="18">
      <c r="B6" s="82">
        <v>3</v>
      </c>
      <c r="C6" s="82">
        <v>135</v>
      </c>
    </row>
    <row r="7" spans="2:3" ht="18">
      <c r="B7" s="82">
        <v>4</v>
      </c>
      <c r="C7" s="82">
        <v>101</v>
      </c>
    </row>
    <row r="8" spans="2:3" ht="18">
      <c r="B8" s="82">
        <v>5</v>
      </c>
      <c r="C8" s="82">
        <v>109</v>
      </c>
    </row>
    <row r="9" spans="2:3" ht="18">
      <c r="B9" s="82">
        <v>6</v>
      </c>
      <c r="C9" s="82">
        <v>115</v>
      </c>
    </row>
    <row r="10" spans="2:3" ht="18">
      <c r="B10" s="82">
        <v>7</v>
      </c>
      <c r="C10" s="82">
        <v>104</v>
      </c>
    </row>
    <row r="11" spans="2:3" ht="18">
      <c r="B11" s="82">
        <v>8</v>
      </c>
      <c r="C11" s="82">
        <v>119</v>
      </c>
    </row>
    <row r="12" spans="2:3" ht="18">
      <c r="B12" s="82">
        <v>9</v>
      </c>
      <c r="C12" s="82">
        <v>202</v>
      </c>
    </row>
    <row r="13" spans="2:3" ht="18">
      <c r="B13" s="82">
        <v>10</v>
      </c>
      <c r="C13" s="82">
        <v>144</v>
      </c>
    </row>
    <row r="14" spans="2:3" ht="18">
      <c r="B14" s="82">
        <v>11</v>
      </c>
      <c r="C14" s="82">
        <v>95</v>
      </c>
    </row>
    <row r="15" spans="2:3" ht="18">
      <c r="B15" s="82">
        <v>12</v>
      </c>
      <c r="C15" s="82">
        <v>176</v>
      </c>
    </row>
    <row r="16" spans="2:3" ht="18">
      <c r="B16" s="82">
        <v>13</v>
      </c>
      <c r="C16" s="82">
        <v>223</v>
      </c>
    </row>
    <row r="19" spans="2:5" ht="18">
      <c r="B19" s="16" t="s">
        <v>139</v>
      </c>
      <c r="C19" s="21"/>
      <c r="E19" s="22" t="s">
        <v>140</v>
      </c>
    </row>
    <row r="20" spans="2:5" ht="18">
      <c r="B20" s="16" t="s">
        <v>117</v>
      </c>
      <c r="C20" s="21"/>
      <c r="E20" s="22" t="s">
        <v>141</v>
      </c>
    </row>
    <row r="21" spans="2:5" ht="18">
      <c r="B21" s="16" t="s">
        <v>142</v>
      </c>
      <c r="C21" s="21"/>
      <c r="E21" s="22" t="s">
        <v>143</v>
      </c>
    </row>
    <row r="22" spans="2:5" ht="18">
      <c r="B22" s="16" t="s">
        <v>144</v>
      </c>
      <c r="C22" s="21"/>
      <c r="E22" s="22" t="s">
        <v>145</v>
      </c>
    </row>
    <row r="23" spans="2:5" ht="18">
      <c r="B23" s="16" t="s">
        <v>146</v>
      </c>
      <c r="C23" s="21"/>
      <c r="E23" s="22" t="s">
        <v>147</v>
      </c>
    </row>
    <row r="24" spans="2:5" ht="18">
      <c r="B24" s="16" t="s">
        <v>148</v>
      </c>
      <c r="C24" s="21"/>
      <c r="E24" s="22" t="s">
        <v>149</v>
      </c>
    </row>
    <row r="25" spans="2:5" ht="18">
      <c r="B25" s="16" t="s">
        <v>150</v>
      </c>
      <c r="C25" s="21"/>
      <c r="E25" s="22" t="s">
        <v>151</v>
      </c>
    </row>
    <row r="26" spans="2:5" ht="18">
      <c r="B26" s="16" t="s">
        <v>152</v>
      </c>
      <c r="C26" s="21"/>
      <c r="E26" s="22" t="s">
        <v>153</v>
      </c>
    </row>
    <row r="27" spans="2:5" ht="18">
      <c r="B27" s="16" t="s">
        <v>154</v>
      </c>
      <c r="C27" s="21"/>
      <c r="E27" s="22" t="s">
        <v>155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C0A3-DEA3-4BA5-9F86-A7FCE73571F5}">
  <dimension ref="B2:K24"/>
  <sheetViews>
    <sheetView showGridLines="0" topLeftCell="A4" workbookViewId="0">
      <selection activeCell="F17" sqref="F17"/>
    </sheetView>
  </sheetViews>
  <sheetFormatPr defaultRowHeight="14.4"/>
  <cols>
    <col min="2" max="2" width="16" customWidth="1"/>
    <col min="3" max="3" width="31" bestFit="1" customWidth="1"/>
    <col min="4" max="4" width="26" bestFit="1" customWidth="1"/>
    <col min="5" max="5" width="26" customWidth="1"/>
    <col min="6" max="7" width="19.21875" bestFit="1" customWidth="1"/>
  </cols>
  <sheetData>
    <row r="2" spans="2:11" ht="26.4" customHeight="1">
      <c r="B2" s="18" t="s">
        <v>23</v>
      </c>
    </row>
    <row r="3" spans="2:11">
      <c r="B3" s="17"/>
    </row>
    <row r="4" spans="2:11" ht="54">
      <c r="B4" s="16" t="s">
        <v>0</v>
      </c>
      <c r="C4" s="16" t="s">
        <v>1</v>
      </c>
      <c r="D4" s="16" t="s">
        <v>2</v>
      </c>
      <c r="E4" s="49" t="s">
        <v>162</v>
      </c>
      <c r="F4" s="29" t="s">
        <v>84</v>
      </c>
      <c r="G4" s="29" t="s">
        <v>85</v>
      </c>
      <c r="K4" s="1"/>
    </row>
    <row r="5" spans="2:11" ht="18">
      <c r="B5" s="16">
        <v>0</v>
      </c>
      <c r="C5" s="16">
        <v>0.2</v>
      </c>
      <c r="D5" s="16">
        <v>0.8</v>
      </c>
      <c r="E5" s="16"/>
      <c r="F5" s="12"/>
      <c r="G5" s="12"/>
      <c r="K5" s="2"/>
    </row>
    <row r="6" spans="2:11" ht="18">
      <c r="B6" s="16">
        <v>1</v>
      </c>
      <c r="C6" s="16">
        <v>0.3</v>
      </c>
      <c r="D6" s="16">
        <v>1.8</v>
      </c>
      <c r="E6" s="53">
        <f>C6/$C$5</f>
        <v>1.4999999999999998</v>
      </c>
      <c r="F6" s="21"/>
      <c r="G6" s="21"/>
      <c r="K6" s="2"/>
    </row>
    <row r="7" spans="2:11" ht="18">
      <c r="B7" s="16">
        <v>2</v>
      </c>
      <c r="C7" s="16">
        <v>1.3</v>
      </c>
      <c r="D7" s="16">
        <v>2.4</v>
      </c>
      <c r="E7" s="53">
        <f t="shared" ref="E7:E12" si="0">C7/$C$5</f>
        <v>6.5</v>
      </c>
      <c r="F7" s="21"/>
      <c r="G7" s="21"/>
      <c r="K7" s="2"/>
    </row>
    <row r="8" spans="2:11" ht="18">
      <c r="B8" s="16">
        <v>3</v>
      </c>
      <c r="C8" s="16">
        <v>1.9</v>
      </c>
      <c r="D8" s="16">
        <v>2.8</v>
      </c>
      <c r="E8" s="53">
        <f t="shared" si="0"/>
        <v>9.4999999999999982</v>
      </c>
      <c r="F8" s="21"/>
      <c r="G8" s="21"/>
      <c r="K8" s="2"/>
    </row>
    <row r="9" spans="2:11" ht="18">
      <c r="B9" s="16">
        <v>4</v>
      </c>
      <c r="C9" s="16">
        <v>2.9</v>
      </c>
      <c r="D9" s="16">
        <v>3.3</v>
      </c>
      <c r="E9" s="53">
        <f t="shared" si="0"/>
        <v>14.499999999999998</v>
      </c>
      <c r="F9" s="21"/>
      <c r="G9" s="21"/>
      <c r="K9" s="2"/>
    </row>
    <row r="10" spans="2:11" ht="18">
      <c r="B10" s="16">
        <v>5</v>
      </c>
      <c r="C10" s="16">
        <v>3.8</v>
      </c>
      <c r="D10" s="16">
        <v>9.3000000000000007</v>
      </c>
      <c r="E10" s="53">
        <f t="shared" si="0"/>
        <v>18.999999999999996</v>
      </c>
      <c r="F10" s="21"/>
      <c r="G10" s="21"/>
      <c r="K10" s="2"/>
    </row>
    <row r="11" spans="2:11" ht="18">
      <c r="B11" s="16">
        <v>6</v>
      </c>
      <c r="C11" s="16">
        <v>8.1</v>
      </c>
      <c r="D11" s="16">
        <v>11.4</v>
      </c>
      <c r="E11" s="53">
        <f t="shared" si="0"/>
        <v>40.499999999999993</v>
      </c>
      <c r="F11" s="21"/>
      <c r="G11" s="21"/>
      <c r="K11" s="2"/>
    </row>
    <row r="12" spans="2:11" ht="18">
      <c r="B12" s="16" t="s">
        <v>3</v>
      </c>
      <c r="C12" s="16">
        <v>13.8</v>
      </c>
      <c r="D12" s="16">
        <v>23</v>
      </c>
      <c r="E12" s="53">
        <f t="shared" si="0"/>
        <v>69</v>
      </c>
      <c r="F12" s="21"/>
      <c r="G12" s="21"/>
      <c r="K12" s="2"/>
    </row>
    <row r="13" spans="2:11">
      <c r="D13" s="3"/>
      <c r="E13" s="3"/>
    </row>
    <row r="14" spans="2:11" ht="18">
      <c r="B14" s="5" t="s">
        <v>55</v>
      </c>
    </row>
    <row r="15" spans="2:11" ht="18">
      <c r="B15" s="16" t="s">
        <v>82</v>
      </c>
      <c r="C15" s="29"/>
      <c r="D15" s="29"/>
      <c r="E15" s="29"/>
      <c r="F15" s="21"/>
      <c r="G15" s="21"/>
    </row>
    <row r="17" spans="2:3" ht="18">
      <c r="B17" s="5"/>
      <c r="C17" s="5" t="s">
        <v>54</v>
      </c>
    </row>
    <row r="18" spans="2:3" ht="18">
      <c r="B18" s="16"/>
      <c r="C18" s="16"/>
    </row>
    <row r="19" spans="2:3" ht="18">
      <c r="B19" s="16">
        <v>2016</v>
      </c>
      <c r="C19" s="16">
        <v>1.109</v>
      </c>
    </row>
    <row r="20" spans="2:3" ht="18">
      <c r="B20" s="16">
        <v>2017</v>
      </c>
      <c r="C20" s="16">
        <v>1.0900000000000001</v>
      </c>
    </row>
    <row r="21" spans="2:3" ht="18">
      <c r="B21" s="16">
        <v>2018</v>
      </c>
      <c r="C21" s="16">
        <v>1.119</v>
      </c>
    </row>
    <row r="22" spans="2:3" ht="18">
      <c r="B22" s="16">
        <v>2019</v>
      </c>
      <c r="C22" s="16">
        <v>1.133</v>
      </c>
    </row>
    <row r="24" spans="2:3" ht="18">
      <c r="B24" s="16" t="s">
        <v>82</v>
      </c>
      <c r="C2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Стерджес</vt:lpstr>
      <vt:lpstr>Стерджес р</vt:lpstr>
      <vt:lpstr>Данные 1</vt:lpstr>
      <vt:lpstr>Данные 2</vt:lpstr>
      <vt:lpstr>Данные 3</vt:lpstr>
      <vt:lpstr>Медиана и мода инт. ряда</vt:lpstr>
      <vt:lpstr>Медиана и мода инт. ряда р</vt:lpstr>
      <vt:lpstr>Деление ряда, вариабельность</vt:lpstr>
      <vt:lpstr>Данные 4, сргеом</vt:lpstr>
      <vt:lpstr>Данные 4, сргеом р</vt:lpstr>
      <vt:lpstr>Средние</vt:lpstr>
      <vt:lpstr>Средние 5 р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Хрущ</dc:creator>
  <cp:lastModifiedBy>Игорь Хрущ</cp:lastModifiedBy>
  <dcterms:created xsi:type="dcterms:W3CDTF">2020-03-07T19:04:01Z</dcterms:created>
  <dcterms:modified xsi:type="dcterms:W3CDTF">2021-06-21T12:04:30Z</dcterms:modified>
</cp:coreProperties>
</file>