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rbanism\"/>
    </mc:Choice>
  </mc:AlternateContent>
  <xr:revisionPtr revIDLastSave="0" documentId="13_ncr:1_{ED2C7DB6-D9A8-4A05-B17B-84F5AB647048}" xr6:coauthVersionLast="47" xr6:coauthVersionMax="47" xr10:uidLastSave="{00000000-0000-0000-0000-000000000000}"/>
  <bookViews>
    <workbookView xWindow="-120" yWindow="-120" windowWidth="29040" windowHeight="15720" xr2:uid="{FEFDD235-82CE-4D9F-86D9-D9DD3DA2A29E}"/>
  </bookViews>
  <sheets>
    <sheet name="Ocjene" sheetId="1" r:id="rId1"/>
    <sheet name="Normalizirane vrijednosti" sheetId="5" r:id="rId2"/>
    <sheet name="Faktor korisničkog iskustva" sheetId="4" r:id="rId3"/>
    <sheet name="Pomoćni li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6" l="1"/>
  <c r="AD82" i="6"/>
  <c r="AD80" i="6"/>
  <c r="AD73" i="6"/>
  <c r="AD69" i="6"/>
  <c r="AC83" i="6"/>
  <c r="AC82" i="6"/>
  <c r="AC86" i="6"/>
  <c r="AB83" i="6"/>
  <c r="AB70" i="6"/>
  <c r="AB69" i="6"/>
  <c r="AA80" i="6"/>
  <c r="AA69" i="6"/>
  <c r="Z82" i="6"/>
  <c r="Y83" i="6"/>
  <c r="X83" i="6"/>
  <c r="M82" i="6"/>
  <c r="M86" i="6" s="1"/>
  <c r="T83" i="6"/>
  <c r="T69" i="6"/>
  <c r="J80" i="6"/>
  <c r="S82" i="6"/>
  <c r="U69" i="6"/>
  <c r="G69" i="6"/>
  <c r="G86" i="6" s="1"/>
  <c r="U80" i="6"/>
  <c r="G80" i="6"/>
  <c r="R83" i="6"/>
  <c r="R80" i="6"/>
  <c r="M83" i="6"/>
  <c r="M80" i="6"/>
  <c r="Q80" i="6"/>
  <c r="K73" i="6"/>
  <c r="P73" i="6"/>
  <c r="O73" i="6"/>
  <c r="O69" i="6"/>
  <c r="M69" i="6"/>
  <c r="L83" i="6"/>
  <c r="L82" i="6"/>
  <c r="L73" i="6"/>
  <c r="L70" i="6"/>
  <c r="L69" i="6"/>
  <c r="K83" i="6"/>
  <c r="J83" i="6"/>
  <c r="J69" i="6"/>
  <c r="J86" i="6" s="1"/>
  <c r="F83" i="6"/>
  <c r="F86" i="6" s="1"/>
  <c r="E82" i="6"/>
  <c r="I83" i="6"/>
  <c r="I82" i="6"/>
  <c r="I69" i="6"/>
  <c r="H73" i="6"/>
  <c r="G82" i="6"/>
  <c r="E70" i="6"/>
  <c r="E86" i="6" s="1"/>
  <c r="E69" i="6"/>
  <c r="D80" i="6"/>
  <c r="D73" i="6"/>
  <c r="D69" i="6"/>
  <c r="E83" i="6"/>
  <c r="AA83" i="6"/>
  <c r="H86" i="6"/>
  <c r="K86" i="6"/>
  <c r="L86" i="6"/>
  <c r="N86" i="6"/>
  <c r="O86" i="6"/>
  <c r="P86" i="6"/>
  <c r="Q86" i="6"/>
  <c r="R86" i="6"/>
  <c r="S86" i="6"/>
  <c r="T86" i="6"/>
  <c r="V86" i="6"/>
  <c r="W86" i="6"/>
  <c r="X86" i="6"/>
  <c r="Y86" i="6"/>
  <c r="Z86" i="6"/>
  <c r="AA86" i="6"/>
  <c r="AD83" i="6"/>
  <c r="Q83" i="6"/>
  <c r="X82" i="6"/>
  <c r="AA82" i="6"/>
  <c r="Q82" i="6"/>
  <c r="G83" i="6"/>
  <c r="O83" i="6"/>
  <c r="U83" i="6"/>
  <c r="N83" i="6"/>
  <c r="H83" i="6"/>
  <c r="W82" i="6"/>
  <c r="G70" i="6"/>
  <c r="AA73" i="6"/>
  <c r="R73" i="6"/>
  <c r="AA70" i="6"/>
  <c r="R70" i="6"/>
  <c r="X69" i="6"/>
  <c r="R69" i="6"/>
  <c r="K69" i="6"/>
  <c r="Q73" i="6"/>
  <c r="AC73" i="6"/>
  <c r="X70" i="6"/>
  <c r="Y69" i="6"/>
  <c r="Z83" i="6"/>
  <c r="P83" i="6"/>
  <c r="D83" i="6"/>
  <c r="V80" i="6"/>
  <c r="X80" i="6"/>
  <c r="Y80" i="6"/>
  <c r="Z80" i="6"/>
  <c r="I80" i="6"/>
  <c r="AB73" i="6"/>
  <c r="T73" i="6"/>
  <c r="S73" i="6"/>
  <c r="T70" i="6"/>
  <c r="Q70" i="6"/>
  <c r="S69" i="6"/>
  <c r="AC69" i="6"/>
  <c r="Z69" i="6"/>
  <c r="Q69" i="6"/>
  <c r="AB82" i="6"/>
  <c r="Y82" i="6"/>
  <c r="T82" i="6"/>
  <c r="P82" i="6"/>
  <c r="N82" i="6"/>
  <c r="J82" i="6"/>
  <c r="H82" i="6"/>
  <c r="D82" i="6"/>
  <c r="W83" i="6"/>
  <c r="AC80" i="6"/>
  <c r="AB80" i="6"/>
  <c r="T80" i="6"/>
  <c r="L80" i="6"/>
  <c r="S80" i="6"/>
  <c r="O80" i="6"/>
  <c r="N80" i="6"/>
  <c r="H80" i="6"/>
  <c r="Z73" i="6"/>
  <c r="Y73" i="6"/>
  <c r="X73" i="6"/>
  <c r="W73" i="6"/>
  <c r="V73" i="6"/>
  <c r="U73" i="6"/>
  <c r="N73" i="6"/>
  <c r="M73" i="6"/>
  <c r="J73" i="6"/>
  <c r="I73" i="6"/>
  <c r="G73" i="6"/>
  <c r="F73" i="6"/>
  <c r="E73" i="6"/>
  <c r="AD70" i="6"/>
  <c r="AC70" i="6"/>
  <c r="Y70" i="6"/>
  <c r="W70" i="6"/>
  <c r="U70" i="6"/>
  <c r="S70" i="6"/>
  <c r="P70" i="6"/>
  <c r="N70" i="6"/>
  <c r="M70" i="6"/>
  <c r="K70" i="6"/>
  <c r="J70" i="6"/>
  <c r="I70" i="6"/>
  <c r="H70" i="6"/>
  <c r="D70" i="6"/>
  <c r="W69" i="6"/>
  <c r="V69" i="6"/>
  <c r="P69" i="6"/>
  <c r="N69" i="6"/>
  <c r="H69" i="6"/>
  <c r="F69" i="6"/>
  <c r="F80" i="6"/>
  <c r="F70" i="6"/>
  <c r="E80" i="6"/>
  <c r="F82" i="6"/>
  <c r="B86" i="6"/>
  <c r="AD46" i="6"/>
  <c r="AA46" i="6"/>
  <c r="Z46" i="6"/>
  <c r="V46" i="6"/>
  <c r="U46" i="6"/>
  <c r="S46" i="6"/>
  <c r="Q46" i="6"/>
  <c r="M46" i="6"/>
  <c r="E46" i="6"/>
  <c r="D28" i="1" a="1"/>
  <c r="D18" i="1" a="1"/>
  <c r="D15" i="1" a="1"/>
  <c r="C14" i="1" a="1"/>
  <c r="D12" i="1" a="1"/>
  <c r="D6" i="1" a="1"/>
  <c r="D19" i="1" a="1"/>
  <c r="D26" i="1" a="1"/>
  <c r="D22" i="1" a="1"/>
  <c r="D24" i="1" a="1"/>
  <c r="D13" i="1" a="1"/>
  <c r="C23" i="1" a="1"/>
  <c r="D14" i="1" a="1"/>
  <c r="D11" i="1" a="1"/>
  <c r="E26" i="1" a="1"/>
  <c r="L21" i="1" a="1"/>
  <c r="D21" i="1" a="1"/>
  <c r="D23" i="1" a="1"/>
  <c r="E15" i="1" a="1"/>
  <c r="C27" i="1" a="1"/>
  <c r="D9" i="1" a="1"/>
  <c r="D29" i="1" a="1"/>
  <c r="D30" i="1" a="1"/>
  <c r="D8" i="1" a="1"/>
  <c r="D32" i="1" a="1"/>
  <c r="D7" i="1" a="1"/>
  <c r="L30" i="1" a="1"/>
  <c r="L10" i="1" a="1"/>
  <c r="D27" i="1" a="1"/>
  <c r="C13" i="1" a="1"/>
  <c r="L14" i="1" a="1"/>
  <c r="C22" i="1" a="1"/>
  <c r="C12" i="1" a="1"/>
  <c r="D10" i="1" a="1"/>
  <c r="C21" i="1" a="1"/>
  <c r="D25" i="1" a="1"/>
  <c r="C26" i="1" a="1"/>
  <c r="L27" i="1" a="1"/>
  <c r="D16" i="1" a="1"/>
  <c r="D31" i="1" a="1"/>
  <c r="D20" i="1" a="1"/>
  <c r="C8" i="1" a="1"/>
  <c r="D17" i="1" a="1"/>
  <c r="AD86" i="6" l="1"/>
  <c r="AB86" i="6"/>
  <c r="U86" i="6"/>
  <c r="I86" i="6"/>
  <c r="D86" i="6"/>
  <c r="L30" i="1"/>
  <c r="L27" i="1"/>
  <c r="L14" i="1"/>
  <c r="L21" i="1"/>
  <c r="L10" i="1"/>
  <c r="D32" i="1"/>
  <c r="D30" i="1"/>
  <c r="D31" i="1"/>
  <c r="D29" i="1"/>
  <c r="D28" i="1"/>
  <c r="D27" i="1"/>
  <c r="D26" i="1"/>
  <c r="D25" i="1"/>
  <c r="D24" i="1"/>
  <c r="D18" i="1"/>
  <c r="D11" i="1"/>
  <c r="D10" i="1"/>
  <c r="D21" i="1"/>
  <c r="D9" i="1"/>
  <c r="D14" i="1"/>
  <c r="D20" i="1"/>
  <c r="D17" i="1"/>
  <c r="D19" i="1"/>
  <c r="D8" i="1"/>
  <c r="D22" i="1"/>
  <c r="D12" i="1"/>
  <c r="D16" i="1"/>
  <c r="D13" i="1"/>
  <c r="D23" i="1"/>
  <c r="D15" i="1"/>
  <c r="D7" i="1"/>
  <c r="D6" i="1"/>
  <c r="C27" i="1"/>
  <c r="C26" i="1"/>
  <c r="C14" i="1"/>
  <c r="C21" i="1"/>
  <c r="C22" i="1"/>
  <c r="C12" i="1"/>
  <c r="C8" i="1"/>
  <c r="C13" i="1"/>
  <c r="C23" i="1"/>
  <c r="E26" i="1"/>
  <c r="E15" i="1"/>
  <c r="H50" i="6"/>
  <c r="AD51" i="6"/>
  <c r="AD50" i="6"/>
  <c r="AD49" i="6"/>
  <c r="AD48" i="6"/>
  <c r="AD47" i="6"/>
  <c r="AD45" i="6"/>
  <c r="AC48" i="6"/>
  <c r="AC47" i="6"/>
  <c r="AC51" i="6"/>
  <c r="AC50" i="6"/>
  <c r="AC49" i="6"/>
  <c r="AC46" i="6"/>
  <c r="AC45" i="6"/>
  <c r="M48" i="6"/>
  <c r="AB51" i="6"/>
  <c r="AB50" i="6"/>
  <c r="AB49" i="6"/>
  <c r="AB48" i="6"/>
  <c r="AB47" i="6"/>
  <c r="AB46" i="6"/>
  <c r="AB45" i="6"/>
  <c r="AA51" i="6"/>
  <c r="AA50" i="6"/>
  <c r="AA49" i="6"/>
  <c r="AA48" i="6"/>
  <c r="AA47" i="6"/>
  <c r="AA45" i="6"/>
  <c r="V51" i="6"/>
  <c r="Z51" i="6"/>
  <c r="Z50" i="6"/>
  <c r="Z49" i="6"/>
  <c r="Z48" i="6"/>
  <c r="Z45" i="6"/>
  <c r="Y51" i="6"/>
  <c r="Y50" i="6"/>
  <c r="Y49" i="6"/>
  <c r="Y48" i="6"/>
  <c r="Y47" i="6"/>
  <c r="Y46" i="6"/>
  <c r="X51" i="6"/>
  <c r="X50" i="6"/>
  <c r="X49" i="6"/>
  <c r="X48" i="6"/>
  <c r="X47" i="6"/>
  <c r="X46" i="6"/>
  <c r="X45" i="6"/>
  <c r="W51" i="6"/>
  <c r="W50" i="6"/>
  <c r="W49" i="6"/>
  <c r="W48" i="6"/>
  <c r="W47" i="6"/>
  <c r="W46" i="6"/>
  <c r="W45" i="6"/>
  <c r="V50" i="6"/>
  <c r="V49" i="6"/>
  <c r="V48" i="6"/>
  <c r="V47" i="6"/>
  <c r="V45" i="6"/>
  <c r="U51" i="6"/>
  <c r="U50" i="6"/>
  <c r="U49" i="6"/>
  <c r="U48" i="6"/>
  <c r="U47" i="6"/>
  <c r="U45" i="6"/>
  <c r="T51" i="6"/>
  <c r="T50" i="6"/>
  <c r="T49" i="6"/>
  <c r="T47" i="6"/>
  <c r="T46" i="6"/>
  <c r="T45" i="6"/>
  <c r="S51" i="6"/>
  <c r="S50" i="6"/>
  <c r="S49" i="6"/>
  <c r="S48" i="6"/>
  <c r="S47" i="6"/>
  <c r="S45" i="6"/>
  <c r="R51" i="6"/>
  <c r="R50" i="6"/>
  <c r="R49" i="6"/>
  <c r="R48" i="6"/>
  <c r="R47" i="6"/>
  <c r="R46" i="6"/>
  <c r="R45" i="6"/>
  <c r="Q51" i="6"/>
  <c r="Q50" i="6"/>
  <c r="Q49" i="6"/>
  <c r="Q48" i="6"/>
  <c r="Q47" i="6"/>
  <c r="Q45" i="6"/>
  <c r="P51" i="6"/>
  <c r="P50" i="6"/>
  <c r="P49" i="6"/>
  <c r="P48" i="6"/>
  <c r="P47" i="6"/>
  <c r="P46" i="6"/>
  <c r="P45" i="6"/>
  <c r="O51" i="6"/>
  <c r="O50" i="6"/>
  <c r="O49" i="6"/>
  <c r="O48" i="6"/>
  <c r="O47" i="6"/>
  <c r="O46" i="6"/>
  <c r="O45" i="6"/>
  <c r="N51" i="6"/>
  <c r="N50" i="6"/>
  <c r="N49" i="6"/>
  <c r="N48" i="6"/>
  <c r="N47" i="6"/>
  <c r="N46" i="6"/>
  <c r="N45" i="6"/>
  <c r="M51" i="6"/>
  <c r="M50" i="6"/>
  <c r="M49" i="6"/>
  <c r="M47" i="6"/>
  <c r="M45" i="6"/>
  <c r="L51" i="6"/>
  <c r="L50" i="6"/>
  <c r="L49" i="6"/>
  <c r="L48" i="6"/>
  <c r="L46" i="6"/>
  <c r="L45" i="6"/>
  <c r="K51" i="6"/>
  <c r="K50" i="6"/>
  <c r="K49" i="6"/>
  <c r="K48" i="6"/>
  <c r="K47" i="6"/>
  <c r="K45" i="6"/>
  <c r="J51" i="6"/>
  <c r="J50" i="6"/>
  <c r="J49" i="6"/>
  <c r="J48" i="6"/>
  <c r="J47" i="6"/>
  <c r="J46" i="6"/>
  <c r="J45" i="6"/>
  <c r="I51" i="6"/>
  <c r="I50" i="6"/>
  <c r="I49" i="6"/>
  <c r="I48" i="6"/>
  <c r="I47" i="6"/>
  <c r="I46" i="6"/>
  <c r="I45" i="6"/>
  <c r="H51" i="6"/>
  <c r="H49" i="6"/>
  <c r="H48" i="6"/>
  <c r="H47" i="6"/>
  <c r="H46" i="6"/>
  <c r="H45" i="6"/>
  <c r="G51" i="6"/>
  <c r="G50" i="6"/>
  <c r="G49" i="6"/>
  <c r="G48" i="6"/>
  <c r="G47" i="6"/>
  <c r="G46" i="6"/>
  <c r="G45" i="6"/>
  <c r="F51" i="6"/>
  <c r="F50" i="6"/>
  <c r="F49" i="6"/>
  <c r="F48" i="6"/>
  <c r="F47" i="6"/>
  <c r="F46" i="6"/>
  <c r="F45" i="6"/>
  <c r="E51" i="6"/>
  <c r="E50" i="6"/>
  <c r="E49" i="6"/>
  <c r="E48" i="6"/>
  <c r="E47" i="6"/>
  <c r="E45" i="6"/>
  <c r="D51" i="6"/>
  <c r="D50" i="6"/>
  <c r="D49" i="6"/>
  <c r="T48" i="6"/>
  <c r="D48" i="6"/>
  <c r="Z47" i="6"/>
  <c r="D47" i="6"/>
  <c r="K46" i="6"/>
  <c r="D46" i="6"/>
  <c r="Y45" i="6"/>
  <c r="D45" i="6"/>
  <c r="B52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D41" i="6"/>
  <c r="B41" i="6"/>
  <c r="AD19" i="6"/>
  <c r="AC19" i="6"/>
  <c r="AB19" i="6"/>
  <c r="AA19" i="6"/>
  <c r="Z19" i="6"/>
  <c r="Y19" i="6"/>
  <c r="X19" i="6"/>
  <c r="W19" i="6"/>
  <c r="V19" i="6"/>
  <c r="E19" i="6"/>
  <c r="F19" i="6"/>
  <c r="G19" i="6"/>
  <c r="H19" i="6"/>
  <c r="I19" i="6"/>
  <c r="J19" i="6"/>
  <c r="K19" i="6"/>
  <c r="L19" i="6"/>
  <c r="M19" i="6"/>
  <c r="N19" i="6"/>
  <c r="O19" i="6"/>
  <c r="Q19" i="6"/>
  <c r="R19" i="6"/>
  <c r="S19" i="6"/>
  <c r="T19" i="6"/>
  <c r="U19" i="6"/>
  <c r="D19" i="6"/>
  <c r="B19" i="6"/>
  <c r="G10" i="5" a="1"/>
  <c r="J17" i="5" a="1"/>
  <c r="G29" i="5" a="1"/>
  <c r="C17" i="1" a="1"/>
  <c r="I15" i="5" a="1"/>
  <c r="H11" i="5" a="1"/>
  <c r="I23" i="5" a="1"/>
  <c r="E18" i="1" a="1"/>
  <c r="F10" i="5" a="1"/>
  <c r="B31" i="5" a="1"/>
  <c r="F17" i="5" a="1"/>
  <c r="B22" i="5" a="1"/>
  <c r="M8" i="5" a="1"/>
  <c r="L8" i="1" a="1"/>
  <c r="I7" i="5" a="1"/>
  <c r="F11" i="5" a="1"/>
  <c r="E30" i="1" a="1"/>
  <c r="J10" i="5" a="1"/>
  <c r="G18" i="5" a="1"/>
  <c r="J19" i="5" a="1"/>
  <c r="F28" i="5" a="1"/>
  <c r="F15" i="5" a="1"/>
  <c r="M31" i="5" a="1"/>
  <c r="G6" i="5" a="1"/>
  <c r="I8" i="5" a="1"/>
  <c r="J6" i="5" a="1"/>
  <c r="F12" i="5" a="1"/>
  <c r="C28" i="1" a="1"/>
  <c r="H7" i="5" a="1"/>
  <c r="H8" i="5" a="1"/>
  <c r="B19" i="5" a="1"/>
  <c r="H9" i="5" a="1"/>
  <c r="H26" i="5" a="1"/>
  <c r="G20" i="5" a="1"/>
  <c r="I26" i="5" a="1"/>
  <c r="G24" i="5" a="1"/>
  <c r="B7" i="5" a="1"/>
  <c r="J27" i="5" a="1"/>
  <c r="J31" i="5" a="1"/>
  <c r="G21" i="5" a="1"/>
  <c r="E31" i="1" a="1"/>
  <c r="M19" i="5" a="1"/>
  <c r="H17" i="5" a="1"/>
  <c r="E19" i="1" a="1"/>
  <c r="M21" i="5" a="1"/>
  <c r="G13" i="5" a="1"/>
  <c r="E13" i="1" a="1"/>
  <c r="B12" i="5" a="1"/>
  <c r="F23" i="5" a="1"/>
  <c r="L9" i="1" a="1"/>
  <c r="E29" i="1" a="1"/>
  <c r="J26" i="5" a="1"/>
  <c r="B32" i="5" a="1"/>
  <c r="F16" i="5" a="1"/>
  <c r="I31" i="5" a="1"/>
  <c r="M6" i="5" a="1"/>
  <c r="F20" i="5" a="1"/>
  <c r="I9" i="5" a="1"/>
  <c r="J30" i="5" a="1"/>
  <c r="K8" i="5" a="1"/>
  <c r="L23" i="1" a="1"/>
  <c r="M32" i="5" a="1"/>
  <c r="J18" i="5" a="1"/>
  <c r="I19" i="5" a="1"/>
  <c r="I14" i="5" a="1"/>
  <c r="G17" i="5" a="1"/>
  <c r="K17" i="5" a="1"/>
  <c r="L17" i="1" a="1"/>
  <c r="B17" i="5" a="1"/>
  <c r="C6" i="1" a="1"/>
  <c r="B28" i="5" a="1"/>
  <c r="J20" i="5" a="1"/>
  <c r="F18" i="5" a="1"/>
  <c r="E25" i="1" a="1"/>
  <c r="G16" i="5" a="1"/>
  <c r="B29" i="5" a="1"/>
  <c r="J7" i="5" a="1"/>
  <c r="E20" i="1" a="1"/>
  <c r="H6" i="5" a="1"/>
  <c r="L15" i="1" a="1"/>
  <c r="E14" i="1" a="1"/>
  <c r="E21" i="1" a="1"/>
  <c r="M30" i="5" a="1"/>
  <c r="E8" i="1" a="1"/>
  <c r="F27" i="5" a="1"/>
  <c r="G27" i="5" a="1"/>
  <c r="K23" i="5" a="1"/>
  <c r="H18" i="5" a="1"/>
  <c r="J13" i="5" a="1"/>
  <c r="E32" i="1" a="1"/>
  <c r="M17" i="5" a="1"/>
  <c r="L26" i="1" a="1"/>
  <c r="H28" i="5" a="1"/>
  <c r="F14" i="5" a="1"/>
  <c r="J9" i="5" a="1"/>
  <c r="C24" i="1" a="1"/>
  <c r="K20" i="5" a="1"/>
  <c r="K18" i="5" a="1"/>
  <c r="G9" i="5" a="1"/>
  <c r="L24" i="1" a="1"/>
  <c r="B8" i="5" a="1"/>
  <c r="F29" i="5" a="1"/>
  <c r="G12" i="5" a="1"/>
  <c r="G22" i="5" a="1"/>
  <c r="J15" i="5" a="1"/>
  <c r="C31" i="1" a="1"/>
  <c r="B13" i="5" a="1"/>
  <c r="K28" i="5" a="1"/>
  <c r="B9" i="5" a="1"/>
  <c r="L13" i="1" a="1"/>
  <c r="B21" i="5" a="1"/>
  <c r="I24" i="5" a="1"/>
  <c r="J14" i="5" a="1"/>
  <c r="C16" i="1" a="1"/>
  <c r="H16" i="5" a="1"/>
  <c r="H27" i="5" a="1"/>
  <c r="I18" i="5" a="1"/>
  <c r="M23" i="5" a="1"/>
  <c r="H25" i="5" a="1"/>
  <c r="K29" i="5" a="1"/>
  <c r="H30" i="5" a="1"/>
  <c r="I20" i="5" a="1"/>
  <c r="M9" i="5" a="1"/>
  <c r="K24" i="5" a="1"/>
  <c r="M14" i="5" a="1"/>
  <c r="H20" i="5" a="1"/>
  <c r="I12" i="5" a="1"/>
  <c r="I21" i="5" a="1"/>
  <c r="E12" i="1" a="1"/>
  <c r="M28" i="5" a="1"/>
  <c r="M24" i="5" a="1"/>
  <c r="K15" i="5" a="1"/>
  <c r="J29" i="5" a="1"/>
  <c r="B25" i="5" a="1"/>
  <c r="M7" i="5" a="1"/>
  <c r="I28" i="5" a="1"/>
  <c r="C29" i="1" a="1"/>
  <c r="K14" i="5" a="1"/>
  <c r="M11" i="5" a="1"/>
  <c r="K21" i="5" a="1"/>
  <c r="L18" i="1" a="1"/>
  <c r="F6" i="5" a="1"/>
  <c r="E17" i="1" a="1"/>
  <c r="C9" i="1" a="1"/>
  <c r="G28" i="5" a="1"/>
  <c r="M25" i="5" a="1"/>
  <c r="F9" i="5" a="1"/>
  <c r="H13" i="5" a="1"/>
  <c r="L22" i="1" a="1"/>
  <c r="F26" i="5" a="1"/>
  <c r="B26" i="5" a="1"/>
  <c r="M18" i="5" a="1"/>
  <c r="G32" i="5" a="1"/>
  <c r="L7" i="1" a="1"/>
  <c r="C30" i="1" a="1"/>
  <c r="B14" i="5" a="1"/>
  <c r="L11" i="1" a="1"/>
  <c r="M22" i="5" a="1"/>
  <c r="L12" i="1" a="1"/>
  <c r="F32" i="5" a="1"/>
  <c r="C25" i="1" a="1"/>
  <c r="I30" i="5" a="1"/>
  <c r="M12" i="5" a="1"/>
  <c r="K13" i="5" a="1"/>
  <c r="I29" i="5" a="1"/>
  <c r="G7" i="5" a="1"/>
  <c r="L25" i="1" a="1"/>
  <c r="E23" i="1" a="1"/>
  <c r="M26" i="5" a="1"/>
  <c r="E6" i="1" a="1"/>
  <c r="J12" i="5" a="1"/>
  <c r="C32" i="1" a="1"/>
  <c r="J8" i="5" a="1"/>
  <c r="H24" i="5" a="1"/>
  <c r="K26" i="5" a="1"/>
  <c r="J23" i="5" a="1"/>
  <c r="K32" i="5" a="1"/>
  <c r="G14" i="5" a="1"/>
  <c r="H15" i="5" a="1"/>
  <c r="J11" i="5" a="1"/>
  <c r="K10" i="5" a="1"/>
  <c r="M29" i="5" a="1"/>
  <c r="M15" i="5" a="1"/>
  <c r="L16" i="1" a="1"/>
  <c r="I17" i="5" a="1"/>
  <c r="K30" i="5" a="1"/>
  <c r="B20" i="5" a="1"/>
  <c r="F31" i="5" a="1"/>
  <c r="M16" i="5" a="1"/>
  <c r="E22" i="1" a="1"/>
  <c r="L28" i="1" a="1"/>
  <c r="G31" i="5" a="1"/>
  <c r="C11" i="1" a="1"/>
  <c r="K25" i="5" a="1"/>
  <c r="H23" i="5" a="1"/>
  <c r="B16" i="5" a="1"/>
  <c r="B18" i="5" a="1"/>
  <c r="F22" i="5" a="1"/>
  <c r="H19" i="5" a="1"/>
  <c r="I6" i="5" a="1"/>
  <c r="I16" i="5" a="1"/>
  <c r="I32" i="5" a="1"/>
  <c r="F7" i="5" a="1"/>
  <c r="H21" i="5" a="1"/>
  <c r="I27" i="5" a="1"/>
  <c r="G15" i="5" a="1"/>
  <c r="K11" i="5" a="1"/>
  <c r="G26" i="5" a="1"/>
  <c r="B23" i="5" a="1"/>
  <c r="H10" i="5" a="1"/>
  <c r="K31" i="5" a="1"/>
  <c r="K7" i="5" a="1"/>
  <c r="E11" i="1" a="1"/>
  <c r="K9" i="5" a="1"/>
  <c r="I11" i="5" a="1"/>
  <c r="C20" i="1" a="1"/>
  <c r="H22" i="5" a="1"/>
  <c r="L6" i="1" a="1"/>
  <c r="J32" i="5" a="1"/>
  <c r="K12" i="5" a="1"/>
  <c r="G23" i="5" a="1"/>
  <c r="K22" i="5" a="1"/>
  <c r="L20" i="1" a="1"/>
  <c r="F24" i="5" a="1"/>
  <c r="F19" i="5" a="1"/>
  <c r="E28" i="1" a="1"/>
  <c r="F30" i="5" a="1"/>
  <c r="J25" i="5" a="1"/>
  <c r="F25" i="5" a="1"/>
  <c r="H31" i="5" a="1"/>
  <c r="F8" i="5" a="1"/>
  <c r="E27" i="1" a="1"/>
  <c r="J22" i="5" a="1"/>
  <c r="E16" i="1" a="1"/>
  <c r="J24" i="5" a="1"/>
  <c r="K19" i="5" a="1"/>
  <c r="B30" i="5" a="1"/>
  <c r="F13" i="5" a="1"/>
  <c r="M27" i="5" a="1"/>
  <c r="K27" i="5" a="1"/>
  <c r="B24" i="5" a="1"/>
  <c r="L29" i="1" a="1"/>
  <c r="J21" i="5" a="1"/>
  <c r="E24" i="1" a="1"/>
  <c r="K16" i="5" a="1"/>
  <c r="I25" i="5" a="1"/>
  <c r="C7" i="1" a="1"/>
  <c r="I22" i="5" a="1"/>
  <c r="K6" i="5" a="1"/>
  <c r="G8" i="5" a="1"/>
  <c r="G19" i="5" a="1"/>
  <c r="E9" i="1" a="1"/>
  <c r="L19" i="1" a="1"/>
  <c r="C10" i="1" a="1"/>
  <c r="J28" i="5" a="1"/>
  <c r="B6" i="5" a="1"/>
  <c r="M20" i="5" a="1"/>
  <c r="L31" i="1" a="1"/>
  <c r="G30" i="5" a="1"/>
  <c r="B10" i="5" a="1"/>
  <c r="M10" i="5" a="1"/>
  <c r="C15" i="1" a="1"/>
  <c r="H12" i="5" a="1"/>
  <c r="E10" i="1" a="1"/>
  <c r="B11" i="5" a="1"/>
  <c r="H32" i="5" a="1"/>
  <c r="E7" i="1" a="1"/>
  <c r="G25" i="5" a="1"/>
  <c r="H29" i="5" a="1"/>
  <c r="C19" i="1" a="1"/>
  <c r="M13" i="5" a="1"/>
  <c r="J16" i="5" a="1"/>
  <c r="G11" i="5" a="1"/>
  <c r="H14" i="5" a="1"/>
  <c r="B15" i="5" a="1"/>
  <c r="I10" i="5" a="1"/>
  <c r="C18" i="1" a="1"/>
  <c r="F21" i="5" a="1"/>
  <c r="B27" i="5" a="1"/>
  <c r="L32" i="1" a="1"/>
  <c r="I13" i="5" a="1"/>
  <c r="C18" i="1" l="1"/>
  <c r="C6" i="1"/>
  <c r="C30" i="1"/>
  <c r="C28" i="1"/>
  <c r="C16" i="1"/>
  <c r="C15" i="1"/>
  <c r="C11" i="1"/>
  <c r="C10" i="1"/>
  <c r="C7" i="1"/>
  <c r="C24" i="1"/>
  <c r="C9" i="1"/>
  <c r="C31" i="1"/>
  <c r="C32" i="1"/>
  <c r="C17" i="1"/>
  <c r="C25" i="1"/>
  <c r="C20" i="1"/>
  <c r="C19" i="1"/>
  <c r="E25" i="1"/>
  <c r="E7" i="1"/>
  <c r="E9" i="1"/>
  <c r="E30" i="1"/>
  <c r="E14" i="1"/>
  <c r="E21" i="1"/>
  <c r="E13" i="1"/>
  <c r="E10" i="1"/>
  <c r="E19" i="1"/>
  <c r="E23" i="1"/>
  <c r="E12" i="1"/>
  <c r="L18" i="1"/>
  <c r="C29" i="1"/>
  <c r="L20" i="1"/>
  <c r="L28" i="1"/>
  <c r="L32" i="1"/>
  <c r="L17" i="1"/>
  <c r="L24" i="1"/>
  <c r="L9" i="1"/>
  <c r="L23" i="1"/>
  <c r="L13" i="1"/>
  <c r="L12" i="1"/>
  <c r="L22" i="1"/>
  <c r="L25" i="1"/>
  <c r="L15" i="1"/>
  <c r="L8" i="1"/>
  <c r="L16" i="1"/>
  <c r="L11" i="1"/>
  <c r="L7" i="1"/>
  <c r="L26" i="1"/>
  <c r="L19" i="1"/>
  <c r="L29" i="1"/>
  <c r="L6" i="1"/>
  <c r="L31" i="1"/>
  <c r="E29" i="1"/>
  <c r="E28" i="1"/>
  <c r="E22" i="1"/>
  <c r="E20" i="1"/>
  <c r="E18" i="1"/>
  <c r="E17" i="1"/>
  <c r="E16" i="1"/>
  <c r="E11" i="1"/>
  <c r="E8" i="1"/>
  <c r="E6" i="1"/>
  <c r="E24" i="1"/>
  <c r="E31" i="1"/>
  <c r="E32" i="1"/>
  <c r="E27" i="1"/>
  <c r="AD52" i="6"/>
  <c r="M9" i="5"/>
  <c r="M22" i="5"/>
  <c r="M27" i="5"/>
  <c r="M26" i="5"/>
  <c r="M24" i="5"/>
  <c r="M8" i="5"/>
  <c r="F25" i="5"/>
  <c r="H19" i="5"/>
  <c r="I15" i="5"/>
  <c r="K10" i="5"/>
  <c r="B16" i="5"/>
  <c r="F23" i="5"/>
  <c r="H24" i="5"/>
  <c r="J8" i="5"/>
  <c r="H8" i="5"/>
  <c r="J14" i="5"/>
  <c r="H29" i="5"/>
  <c r="K23" i="5"/>
  <c r="G13" i="5"/>
  <c r="H20" i="5"/>
  <c r="I20" i="5"/>
  <c r="J28" i="5"/>
  <c r="J12" i="5"/>
  <c r="K19" i="5"/>
  <c r="K15" i="5"/>
  <c r="K6" i="5"/>
  <c r="B21" i="5"/>
  <c r="F11" i="5"/>
  <c r="G17" i="5"/>
  <c r="G27" i="5"/>
  <c r="H11" i="5"/>
  <c r="H23" i="5"/>
  <c r="I11" i="5"/>
  <c r="J27" i="5"/>
  <c r="J11" i="5"/>
  <c r="K17" i="5"/>
  <c r="K7" i="5"/>
  <c r="B22" i="5"/>
  <c r="B28" i="5"/>
  <c r="F10" i="5"/>
  <c r="G14" i="5"/>
  <c r="G26" i="5"/>
  <c r="H18" i="5"/>
  <c r="H15" i="5"/>
  <c r="I18" i="5"/>
  <c r="J26" i="5"/>
  <c r="J18" i="5"/>
  <c r="K22" i="5"/>
  <c r="M21" i="5"/>
  <c r="M13" i="5"/>
  <c r="M11" i="5"/>
  <c r="M32" i="5"/>
  <c r="J6" i="5"/>
  <c r="G18" i="5"/>
  <c r="I25" i="5"/>
  <c r="K16" i="5"/>
  <c r="F9" i="5"/>
  <c r="H26" i="5"/>
  <c r="I7" i="5"/>
  <c r="K28" i="5"/>
  <c r="B8" i="5"/>
  <c r="F30" i="5"/>
  <c r="G8" i="5"/>
  <c r="I8" i="5"/>
  <c r="K9" i="5"/>
  <c r="M6" i="5"/>
  <c r="F7" i="5"/>
  <c r="H22" i="5"/>
  <c r="J29" i="5"/>
  <c r="K29" i="5"/>
  <c r="B14" i="5"/>
  <c r="F12" i="5"/>
  <c r="H31" i="5"/>
  <c r="B12" i="5"/>
  <c r="G12" i="5"/>
  <c r="G32" i="5"/>
  <c r="H7" i="5"/>
  <c r="J24" i="5"/>
  <c r="J25" i="5"/>
  <c r="M12" i="5"/>
  <c r="B13" i="5"/>
  <c r="B19" i="5"/>
  <c r="F8" i="5"/>
  <c r="G11" i="5"/>
  <c r="G16" i="5"/>
  <c r="H17" i="5"/>
  <c r="I21" i="5"/>
  <c r="I24" i="5"/>
  <c r="J22" i="5"/>
  <c r="J31" i="5"/>
  <c r="K26" i="5"/>
  <c r="M14" i="5"/>
  <c r="B20" i="5"/>
  <c r="B26" i="5"/>
  <c r="F22" i="5"/>
  <c r="G10" i="5"/>
  <c r="G21" i="5"/>
  <c r="H9" i="5"/>
  <c r="I14" i="5"/>
  <c r="I16" i="5"/>
  <c r="J21" i="5"/>
  <c r="J23" i="5"/>
  <c r="K32" i="5"/>
  <c r="M20" i="5"/>
  <c r="M16" i="5"/>
  <c r="M30" i="5"/>
  <c r="B24" i="5"/>
  <c r="F31" i="5"/>
  <c r="H25" i="5"/>
  <c r="J16" i="5"/>
  <c r="G6" i="5"/>
  <c r="G24" i="5"/>
  <c r="I32" i="5"/>
  <c r="K25" i="5"/>
  <c r="H6" i="5"/>
  <c r="F15" i="5"/>
  <c r="H10" i="5"/>
  <c r="J30" i="5"/>
  <c r="K31" i="5"/>
  <c r="B30" i="5"/>
  <c r="F29" i="5"/>
  <c r="G22" i="5"/>
  <c r="I29" i="5"/>
  <c r="J13" i="5"/>
  <c r="F6" i="5"/>
  <c r="G20" i="5"/>
  <c r="B29" i="5"/>
  <c r="F32" i="5"/>
  <c r="H28" i="5"/>
  <c r="I17" i="5"/>
  <c r="K12" i="5"/>
  <c r="B27" i="5"/>
  <c r="B10" i="5"/>
  <c r="F21" i="5"/>
  <c r="F28" i="5"/>
  <c r="G25" i="5"/>
  <c r="G31" i="5"/>
  <c r="H21" i="5"/>
  <c r="I12" i="5"/>
  <c r="I30" i="5"/>
  <c r="J20" i="5"/>
  <c r="J15" i="5"/>
  <c r="K8" i="5"/>
  <c r="M18" i="5"/>
  <c r="B11" i="5"/>
  <c r="B17" i="5"/>
  <c r="F17" i="5"/>
  <c r="F19" i="5"/>
  <c r="G9" i="5"/>
  <c r="G23" i="5"/>
  <c r="H32" i="5"/>
  <c r="I9" i="5"/>
  <c r="I13" i="5"/>
  <c r="J19" i="5"/>
  <c r="J7" i="5"/>
  <c r="K14" i="5"/>
  <c r="M17" i="5"/>
  <c r="M28" i="5"/>
  <c r="M31" i="5"/>
  <c r="M23" i="5"/>
  <c r="M15" i="5"/>
  <c r="B18" i="5"/>
  <c r="B31" i="5"/>
  <c r="F14" i="5"/>
  <c r="F26" i="5"/>
  <c r="G30" i="5"/>
  <c r="G15" i="5"/>
  <c r="H16" i="5"/>
  <c r="I22" i="5"/>
  <c r="I27" i="5"/>
  <c r="J10" i="5"/>
  <c r="K21" i="5"/>
  <c r="K20" i="5"/>
  <c r="M29" i="5"/>
  <c r="B6" i="5"/>
  <c r="B25" i="5"/>
  <c r="B23" i="5"/>
  <c r="F20" i="5"/>
  <c r="F24" i="5"/>
  <c r="G29" i="5"/>
  <c r="G7" i="5"/>
  <c r="H30" i="5"/>
  <c r="I28" i="5"/>
  <c r="I10" i="5"/>
  <c r="J17" i="5"/>
  <c r="K30" i="5"/>
  <c r="K11" i="5"/>
  <c r="M19" i="5"/>
  <c r="I6" i="5"/>
  <c r="B9" i="5"/>
  <c r="B15" i="5"/>
  <c r="F27" i="5"/>
  <c r="F16" i="5"/>
  <c r="G28" i="5"/>
  <c r="H14" i="5"/>
  <c r="H13" i="5"/>
  <c r="I19" i="5"/>
  <c r="I31" i="5"/>
  <c r="J9" i="5"/>
  <c r="K13" i="5"/>
  <c r="K18" i="5"/>
  <c r="M10" i="5"/>
  <c r="B32" i="5"/>
  <c r="B7" i="5"/>
  <c r="F18" i="5"/>
  <c r="F13" i="5"/>
  <c r="G19" i="5"/>
  <c r="H12" i="5"/>
  <c r="H27" i="5"/>
  <c r="I26" i="5"/>
  <c r="I23" i="5"/>
  <c r="J32" i="5"/>
  <c r="K27" i="5"/>
  <c r="K24" i="5"/>
  <c r="M25" i="5"/>
  <c r="M7" i="5"/>
  <c r="T52" i="6"/>
  <c r="N52" i="6"/>
  <c r="X52" i="6"/>
  <c r="AC52" i="6"/>
  <c r="S52" i="6"/>
  <c r="R52" i="6"/>
  <c r="Q52" i="6"/>
  <c r="P52" i="6"/>
  <c r="O52" i="6"/>
  <c r="M52" i="6"/>
  <c r="H52" i="6"/>
  <c r="U52" i="6"/>
  <c r="I52" i="6"/>
  <c r="AB52" i="6"/>
  <c r="Y52" i="6"/>
  <c r="L52" i="6"/>
  <c r="K52" i="6"/>
  <c r="Z52" i="6"/>
  <c r="F52" i="6"/>
  <c r="V52" i="6"/>
  <c r="J52" i="6"/>
  <c r="AA52" i="6"/>
  <c r="G52" i="6"/>
  <c r="W52" i="6"/>
  <c r="E52" i="6"/>
  <c r="D52" i="6"/>
  <c r="C22" i="5" a="1"/>
  <c r="L21" i="5" a="1"/>
  <c r="L32" i="5" a="1"/>
  <c r="L9" i="5" a="1"/>
  <c r="E25" i="5" a="1"/>
  <c r="C23" i="5" a="1"/>
  <c r="L10" i="5" a="1"/>
  <c r="C13" i="5" a="1"/>
  <c r="L29" i="5" a="1"/>
  <c r="E22" i="5" a="1"/>
  <c r="C15" i="5" a="1"/>
  <c r="C21" i="5" a="1"/>
  <c r="C7" i="5" a="1"/>
  <c r="C12" i="5" a="1"/>
  <c r="C8" i="5" a="1"/>
  <c r="L12" i="5" a="1"/>
  <c r="E16" i="5" a="1"/>
  <c r="C28" i="5" a="1"/>
  <c r="C18" i="5" a="1"/>
  <c r="E23" i="5" a="1"/>
  <c r="L24" i="5" a="1"/>
  <c r="L30" i="5" a="1"/>
  <c r="E12" i="5" a="1"/>
  <c r="L23" i="5" a="1"/>
  <c r="L8" i="5" a="1"/>
  <c r="E14" i="5" a="1"/>
  <c r="C29" i="5" a="1"/>
  <c r="L17" i="5" a="1"/>
  <c r="C11" i="5" a="1"/>
  <c r="L14" i="5" a="1"/>
  <c r="E15" i="5" a="1"/>
  <c r="L6" i="5" a="1"/>
  <c r="E26" i="5" a="1"/>
  <c r="E7" i="5" a="1"/>
  <c r="C30" i="5" a="1"/>
  <c r="L22" i="5" a="1"/>
  <c r="E20" i="5" a="1"/>
  <c r="E27" i="5" a="1"/>
  <c r="E9" i="5" a="1"/>
  <c r="C26" i="5" a="1"/>
  <c r="E17" i="5" a="1"/>
  <c r="E21" i="5" a="1"/>
  <c r="E18" i="5" a="1"/>
  <c r="C6" i="5" a="1"/>
  <c r="C14" i="5" a="1"/>
  <c r="E29" i="5" a="1"/>
  <c r="L27" i="5" a="1"/>
  <c r="L13" i="5" a="1"/>
  <c r="E10" i="5" a="1"/>
  <c r="C27" i="5" a="1"/>
  <c r="L26" i="5" a="1"/>
  <c r="C16" i="5" a="1"/>
  <c r="C19" i="5" a="1"/>
  <c r="L31" i="5" a="1"/>
  <c r="E28" i="5" a="1"/>
  <c r="L15" i="5" a="1"/>
  <c r="E11" i="5" a="1"/>
  <c r="C31" i="5" a="1"/>
  <c r="E8" i="5" a="1"/>
  <c r="L18" i="5" a="1"/>
  <c r="C17" i="5" a="1"/>
  <c r="E24" i="5" a="1"/>
  <c r="L20" i="5" a="1"/>
  <c r="C20" i="5" a="1"/>
  <c r="L19" i="5" a="1"/>
  <c r="E30" i="5" a="1"/>
  <c r="E19" i="5" a="1"/>
  <c r="C9" i="5" a="1"/>
  <c r="L16" i="5" a="1"/>
  <c r="C32" i="5" a="1"/>
  <c r="L11" i="5" a="1"/>
  <c r="L7" i="5" a="1"/>
  <c r="C25" i="5" a="1"/>
  <c r="E31" i="5" a="1"/>
  <c r="L28" i="5" a="1"/>
  <c r="E32" i="5" a="1"/>
  <c r="E6" i="5" a="1"/>
  <c r="C10" i="5" a="1"/>
  <c r="E13" i="5" a="1"/>
  <c r="L25" i="5" a="1"/>
  <c r="E10" i="5" l="1"/>
  <c r="E13" i="5"/>
  <c r="E21" i="5"/>
  <c r="E16" i="5"/>
  <c r="E12" i="5"/>
  <c r="E27" i="5"/>
  <c r="E31" i="5"/>
  <c r="E9" i="5"/>
  <c r="E11" i="5"/>
  <c r="E30" i="5"/>
  <c r="E29" i="5"/>
  <c r="E26" i="5"/>
  <c r="E14" i="5"/>
  <c r="E17" i="5"/>
  <c r="E23" i="5"/>
  <c r="E22" i="5"/>
  <c r="E19" i="5"/>
  <c r="E24" i="5"/>
  <c r="E28" i="5"/>
  <c r="E18" i="5"/>
  <c r="E25" i="5"/>
  <c r="E20" i="5"/>
  <c r="E15" i="5"/>
  <c r="E32" i="5"/>
  <c r="E6" i="5"/>
  <c r="E7" i="5"/>
  <c r="E8" i="5"/>
  <c r="N32" i="1"/>
  <c r="N19" i="1"/>
  <c r="L16" i="5"/>
  <c r="L26" i="5"/>
  <c r="L30" i="5"/>
  <c r="L8" i="5"/>
  <c r="L29" i="5"/>
  <c r="L18" i="5"/>
  <c r="L21" i="5"/>
  <c r="L9" i="5"/>
  <c r="L14" i="5"/>
  <c r="L25" i="5"/>
  <c r="L32" i="5"/>
  <c r="L20" i="5"/>
  <c r="L7" i="5"/>
  <c r="L15" i="5"/>
  <c r="L10" i="5"/>
  <c r="L17" i="5"/>
  <c r="L13" i="5"/>
  <c r="L19" i="5"/>
  <c r="L24" i="5"/>
  <c r="L28" i="5"/>
  <c r="L27" i="5"/>
  <c r="L11" i="5"/>
  <c r="L23" i="5"/>
  <c r="L31" i="5"/>
  <c r="L12" i="5"/>
  <c r="L22" i="5"/>
  <c r="C29" i="5"/>
  <c r="C27" i="5"/>
  <c r="C18" i="5"/>
  <c r="C31" i="5"/>
  <c r="C17" i="5"/>
  <c r="C20" i="5"/>
  <c r="C15" i="5"/>
  <c r="C19" i="5"/>
  <c r="C30" i="5"/>
  <c r="C7" i="5"/>
  <c r="C12" i="5"/>
  <c r="C28" i="5"/>
  <c r="C9" i="5"/>
  <c r="C16" i="5"/>
  <c r="C11" i="5"/>
  <c r="C14" i="5"/>
  <c r="C32" i="5"/>
  <c r="C23" i="5"/>
  <c r="C22" i="5"/>
  <c r="C13" i="5"/>
  <c r="C10" i="5"/>
  <c r="C26" i="5"/>
  <c r="C25" i="5"/>
  <c r="C21" i="5"/>
  <c r="C8" i="5"/>
  <c r="C6" i="5"/>
  <c r="L6" i="5"/>
  <c r="D6" i="5" a="1"/>
  <c r="D18" i="5" a="1"/>
  <c r="D14" i="5" a="1"/>
  <c r="D7" i="5" a="1"/>
  <c r="D25" i="5" a="1"/>
  <c r="D27" i="5" a="1"/>
  <c r="D28" i="5" a="1"/>
  <c r="D8" i="5" a="1"/>
  <c r="D21" i="5" a="1"/>
  <c r="D11" i="5" a="1"/>
  <c r="D22" i="5" a="1"/>
  <c r="D16" i="5" a="1"/>
  <c r="D15" i="5" a="1"/>
  <c r="D9" i="5" a="1"/>
  <c r="D10" i="5" a="1"/>
  <c r="D29" i="5" a="1"/>
  <c r="D20" i="5" a="1"/>
  <c r="D17" i="5" a="1"/>
  <c r="D12" i="5" a="1"/>
  <c r="D26" i="5" a="1"/>
  <c r="D31" i="5" a="1"/>
  <c r="C24" i="5" a="1"/>
  <c r="D30" i="5" a="1"/>
  <c r="D13" i="5" a="1"/>
  <c r="D23" i="5" a="1"/>
  <c r="D17" i="5" l="1"/>
  <c r="B17" i="4" s="1"/>
  <c r="D21" i="5"/>
  <c r="B21" i="4" s="1"/>
  <c r="D31" i="5"/>
  <c r="B31" i="4" s="1"/>
  <c r="D22" i="5"/>
  <c r="B22" i="4" s="1"/>
  <c r="D7" i="5"/>
  <c r="B7" i="4" s="1"/>
  <c r="D14" i="5"/>
  <c r="B14" i="4" s="1"/>
  <c r="D27" i="5"/>
  <c r="B27" i="4" s="1"/>
  <c r="D20" i="5"/>
  <c r="B20" i="4" s="1"/>
  <c r="D11" i="5"/>
  <c r="B11" i="4" s="1"/>
  <c r="D29" i="5"/>
  <c r="B29" i="4" s="1"/>
  <c r="D28" i="5"/>
  <c r="B28" i="4" s="1"/>
  <c r="D9" i="5"/>
  <c r="B9" i="4" s="1"/>
  <c r="D23" i="5"/>
  <c r="B23" i="4" s="1"/>
  <c r="D15" i="5"/>
  <c r="D18" i="5"/>
  <c r="B18" i="4" s="1"/>
  <c r="D8" i="5"/>
  <c r="B8" i="4" s="1"/>
  <c r="D30" i="5"/>
  <c r="B30" i="4" s="1"/>
  <c r="D16" i="5"/>
  <c r="B16" i="4" s="1"/>
  <c r="D26" i="5"/>
  <c r="B26" i="4" s="1"/>
  <c r="D25" i="5"/>
  <c r="B25" i="4" s="1"/>
  <c r="D12" i="5"/>
  <c r="B12" i="4" s="1"/>
  <c r="D13" i="5"/>
  <c r="B13" i="4" s="1"/>
  <c r="D10" i="5"/>
  <c r="B10" i="4" s="1"/>
  <c r="C24" i="5"/>
  <c r="D6" i="5"/>
  <c r="N6" i="5" s="1"/>
  <c r="N22" i="1"/>
  <c r="N18" i="1"/>
  <c r="N25" i="1"/>
  <c r="N14" i="1"/>
  <c r="N8" i="1"/>
  <c r="N29" i="1"/>
  <c r="N21" i="1"/>
  <c r="N28" i="1"/>
  <c r="N24" i="1"/>
  <c r="N26" i="1"/>
  <c r="N9" i="1"/>
  <c r="N13" i="1"/>
  <c r="N23" i="1"/>
  <c r="N30" i="1"/>
  <c r="N31" i="1"/>
  <c r="N16" i="1"/>
  <c r="N12" i="1"/>
  <c r="N27" i="1"/>
  <c r="N10" i="1"/>
  <c r="N15" i="1"/>
  <c r="N11" i="1"/>
  <c r="N20" i="1"/>
  <c r="N7" i="1"/>
  <c r="N17" i="1"/>
  <c r="N6" i="1"/>
  <c r="D32" i="5" a="1"/>
  <c r="D24" i="5" a="1"/>
  <c r="D19" i="5" a="1"/>
  <c r="D32" i="5" l="1"/>
  <c r="B32" i="4" s="1"/>
  <c r="D19" i="5"/>
  <c r="B19" i="4" s="1"/>
  <c r="O22" i="1"/>
  <c r="O25" i="1"/>
  <c r="O23" i="1"/>
  <c r="O19" i="1"/>
  <c r="O18" i="1"/>
  <c r="O13" i="1"/>
  <c r="O12" i="1"/>
  <c r="O31" i="1"/>
  <c r="O9" i="1"/>
  <c r="O27" i="1"/>
  <c r="O28" i="1"/>
  <c r="O30" i="1"/>
  <c r="O26" i="1"/>
  <c r="O7" i="1"/>
  <c r="O20" i="1"/>
  <c r="O10" i="1"/>
  <c r="O16" i="1"/>
  <c r="O24" i="1"/>
  <c r="O17" i="1"/>
  <c r="O21" i="1"/>
  <c r="O29" i="1"/>
  <c r="O11" i="1"/>
  <c r="O8" i="1"/>
  <c r="O32" i="1"/>
  <c r="O15" i="1"/>
  <c r="O14" i="1"/>
  <c r="O6" i="1"/>
  <c r="D24" i="5"/>
  <c r="B24" i="4" s="1"/>
  <c r="N22" i="5"/>
  <c r="N11" i="5"/>
  <c r="N12" i="5"/>
  <c r="N17" i="5"/>
  <c r="N10" i="5"/>
  <c r="N8" i="5"/>
  <c r="N13" i="5"/>
  <c r="N23" i="5"/>
  <c r="N16" i="5"/>
  <c r="N9" i="5"/>
  <c r="N25" i="5"/>
  <c r="N27" i="5"/>
  <c r="N18" i="5"/>
  <c r="N31" i="5"/>
  <c r="N28" i="5"/>
  <c r="N29" i="5"/>
  <c r="B15" i="4"/>
  <c r="N15" i="5"/>
  <c r="N26" i="5"/>
  <c r="N21" i="5"/>
  <c r="N7" i="5"/>
  <c r="N14" i="5"/>
  <c r="N30" i="5"/>
  <c r="N20" i="5"/>
  <c r="B6" i="4"/>
  <c r="N32" i="5" l="1"/>
  <c r="N19" i="5"/>
  <c r="C20" i="4"/>
  <c r="C15" i="4"/>
  <c r="C24" i="4"/>
  <c r="C14" i="4"/>
  <c r="C16" i="4"/>
  <c r="C13" i="4"/>
  <c r="C25" i="4"/>
  <c r="C28" i="4"/>
  <c r="C21" i="4"/>
  <c r="C32" i="4"/>
  <c r="C11" i="4"/>
  <c r="C12" i="4"/>
  <c r="C19" i="4"/>
  <c r="C30" i="4"/>
  <c r="C26" i="4"/>
  <c r="C27" i="4"/>
  <c r="C10" i="4"/>
  <c r="C18" i="4"/>
  <c r="C17" i="4"/>
  <c r="C9" i="4"/>
  <c r="C29" i="4"/>
  <c r="C8" i="4"/>
  <c r="C23" i="4"/>
  <c r="C31" i="4"/>
  <c r="C7" i="4"/>
  <c r="C22" i="4"/>
  <c r="C6" i="4"/>
  <c r="N24" i="5"/>
  <c r="O29" i="5" l="1"/>
  <c r="O24" i="5"/>
  <c r="O6" i="5"/>
  <c r="O10" i="5"/>
  <c r="O22" i="5"/>
  <c r="O21" i="5"/>
  <c r="O13" i="5"/>
  <c r="O28" i="5"/>
  <c r="O31" i="5"/>
  <c r="O26" i="5"/>
  <c r="O20" i="5"/>
  <c r="O16" i="5"/>
  <c r="O11" i="5"/>
  <c r="O9" i="5"/>
  <c r="O30" i="5"/>
  <c r="O25" i="5"/>
  <c r="O8" i="5"/>
  <c r="O32" i="5"/>
  <c r="O27" i="5"/>
  <c r="O19" i="5"/>
  <c r="O7" i="5"/>
  <c r="O18" i="5"/>
  <c r="O23" i="5"/>
  <c r="O17" i="5"/>
  <c r="O12" i="5"/>
  <c r="O14" i="5"/>
  <c r="O1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<sst xmlns="http://schemas.openxmlformats.org/spreadsheetml/2006/main" count="375" uniqueCount="143">
  <si>
    <t>B1</t>
  </si>
  <si>
    <t>Parametri</t>
  </si>
  <si>
    <t>Bačvice</t>
  </si>
  <si>
    <t>Blatine-Škrape</t>
  </si>
  <si>
    <t>Bol</t>
  </si>
  <si>
    <t>Brda</t>
  </si>
  <si>
    <t>Grad</t>
  </si>
  <si>
    <t>Gripe</t>
  </si>
  <si>
    <t>Kocunar</t>
  </si>
  <si>
    <t>Kman</t>
  </si>
  <si>
    <t>Lokve</t>
  </si>
  <si>
    <t>Lovret</t>
  </si>
  <si>
    <t>Lučac-Manuš</t>
  </si>
  <si>
    <t>Mejaši</t>
  </si>
  <si>
    <t>Meje</t>
  </si>
  <si>
    <t>Mertojak</t>
  </si>
  <si>
    <t>Neslanovac</t>
  </si>
  <si>
    <t>Plokite</t>
  </si>
  <si>
    <t>Pujanke</t>
  </si>
  <si>
    <t>Ravne Njive</t>
  </si>
  <si>
    <t>Sirobuja</t>
  </si>
  <si>
    <t>Spinut</t>
  </si>
  <si>
    <t>Split 3</t>
  </si>
  <si>
    <t>Sućidar</t>
  </si>
  <si>
    <t>Šine</t>
  </si>
  <si>
    <t>Trstenik</t>
  </si>
  <si>
    <t>Varoš</t>
  </si>
  <si>
    <t>Visoka</t>
  </si>
  <si>
    <t>Žnjan</t>
  </si>
  <si>
    <t>G1</t>
  </si>
  <si>
    <t>Blizina uslugama</t>
  </si>
  <si>
    <t>Ponuda usluga</t>
  </si>
  <si>
    <t>Javni prijevoz</t>
  </si>
  <si>
    <t>Buka</t>
  </si>
  <si>
    <t>Zagađenost</t>
  </si>
  <si>
    <t>Infrastruktura</t>
  </si>
  <si>
    <t>Zelenilo (javno)</t>
  </si>
  <si>
    <t>Sigurnost (od prirodnih katastrofa)</t>
  </si>
  <si>
    <t>Vrtovi (privatni)</t>
  </si>
  <si>
    <t>Sigurnost (od kriminala)</t>
  </si>
  <si>
    <t>Ocjene od 1 - 10</t>
  </si>
  <si>
    <t>Normalizirane vrijednosti</t>
  </si>
  <si>
    <t>Faktor korisničkog iskustva</t>
  </si>
  <si>
    <t>Vrijednost</t>
  </si>
  <si>
    <t>Parking</t>
  </si>
  <si>
    <t>Pomoćna tablica usluga</t>
  </si>
  <si>
    <t>Usluga</t>
  </si>
  <si>
    <t>Osnovna škola</t>
  </si>
  <si>
    <t>Srednja škola</t>
  </si>
  <si>
    <t>Shopping centar</t>
  </si>
  <si>
    <t>Manja prehrambena trgovina</t>
  </si>
  <si>
    <t>Velika prehrambena trgovina</t>
  </si>
  <si>
    <t>Ordinacija</t>
  </si>
  <si>
    <t>Kulturni sadržaji</t>
  </si>
  <si>
    <t>SUMA</t>
  </si>
  <si>
    <t>Plaža</t>
  </si>
  <si>
    <t>Broj bodova (maksimalno)</t>
  </si>
  <si>
    <t>0, 1</t>
  </si>
  <si>
    <t>Dopuštene vrijednosti</t>
  </si>
  <si>
    <t>0, 0.5, 1</t>
  </si>
  <si>
    <t>0, 0.5</t>
  </si>
  <si>
    <t>Vrtić</t>
  </si>
  <si>
    <t>0. 1</t>
  </si>
  <si>
    <t>Blatine</t>
  </si>
  <si>
    <t>Crkva</t>
  </si>
  <si>
    <t>Ostale trgovine/djelatnosti</t>
  </si>
  <si>
    <t>Lučac</t>
  </si>
  <si>
    <t>Javne institucije (policija, FINA, …)</t>
  </si>
  <si>
    <t>Pomoćna tablica vrtova</t>
  </si>
  <si>
    <t>nema vrtova, kuće</t>
  </si>
  <si>
    <t>kuće s vrtom</t>
  </si>
  <si>
    <t>Sigurnost (od katastrofa)</t>
  </si>
  <si>
    <t>Neplanirana gradnja</t>
  </si>
  <si>
    <t>Pomoćna tablica neplaniranosti gradnje</t>
  </si>
  <si>
    <t>planirana gradnja</t>
  </si>
  <si>
    <t>4-6</t>
  </si>
  <si>
    <t>7-8</t>
  </si>
  <si>
    <t>9-10</t>
  </si>
  <si>
    <t>kombinirano</t>
  </si>
  <si>
    <t>postojao je plan prije, ali se nitko nije pridržavao</t>
  </si>
  <si>
    <t>neplanirano</t>
  </si>
  <si>
    <t>1-3</t>
  </si>
  <si>
    <t>Pomoćna tablica buke</t>
  </si>
  <si>
    <t>Turizam</t>
  </si>
  <si>
    <t>Industrija</t>
  </si>
  <si>
    <t>0, 0.25, 0.5</t>
  </si>
  <si>
    <t>Pomoćna tablica blizine usluga</t>
  </si>
  <si>
    <t>Dioklecijanova palača</t>
  </si>
  <si>
    <t>Izlaz "Lovrinac" na D8</t>
  </si>
  <si>
    <t>Rotor "Bilice" na D8</t>
  </si>
  <si>
    <t>Najbliža plaža</t>
  </si>
  <si>
    <t>Objašnjenje</t>
  </si>
  <si>
    <t>Ocjena je razlika maksimalnog broja bodova i kilometraže od sjedišta gradskog kotara do lokacije najkraćim putem automobilom.</t>
  </si>
  <si>
    <t>Suma</t>
  </si>
  <si>
    <t>Pomoćna tablica javnog zelenila</t>
  </si>
  <si>
    <t>1-2</t>
  </si>
  <si>
    <t>3-4</t>
  </si>
  <si>
    <t>manjak stabala bez zelenih površina</t>
  </si>
  <si>
    <t>manjak stabala s manjkom zelenih površina</t>
  </si>
  <si>
    <t>mnogo stabala s manjkom zelenih površina</t>
  </si>
  <si>
    <t>8-10</t>
  </si>
  <si>
    <t>5-7</t>
  </si>
  <si>
    <t>mnogo stabala s mnogo zelenih površina</t>
  </si>
  <si>
    <t>Ref. vrijednost - Sirobuja</t>
  </si>
  <si>
    <t>REF</t>
  </si>
  <si>
    <t>Rank</t>
  </si>
  <si>
    <t>Knjižnica</t>
  </si>
  <si>
    <t>"Stari" kampus (ETŠ Split)</t>
  </si>
  <si>
    <t>"Novi" kampus (FESB)</t>
  </si>
  <si>
    <t>MallOfSplit</t>
  </si>
  <si>
    <t>Siam Thaifood Split</t>
  </si>
  <si>
    <t>Osnovna škola Kamen-Šine</t>
  </si>
  <si>
    <t>Pomoćna tablica javnog prijevoza</t>
  </si>
  <si>
    <t>Pazar 1, Pazar 2</t>
  </si>
  <si>
    <t>Sedam Kaštela - Stadion Poljud / Skalice 2 / Park Emanuela Vidovića / Matoševa  - Stari plac</t>
  </si>
  <si>
    <t>Vukovarska - Mall of Split  1 / Vukovarska - Mall of Split 2</t>
  </si>
  <si>
    <t>Autobusna stanica / destinacija</t>
  </si>
  <si>
    <t>Strobreč, Žrnovnica, Omiš, …</t>
  </si>
  <si>
    <t>Matice Hrvatske - Đački dom 2 / Matice Hrvatske - Đački dom 1 / Matice Hrvatske - Kampus 1 / Matice Hrvatske - Kampus 2 / Bušićeva - Kampus 1 / Bušićeva - Kampus 2 / Vukovarska - Sućidar / Vukovarska - Kampus</t>
  </si>
  <si>
    <t>0, 2.5, 4.5, 5</t>
  </si>
  <si>
    <t>0, 1.5, 2.5, 3</t>
  </si>
  <si>
    <t>0, 1, 1.5, 2</t>
  </si>
  <si>
    <t xml:space="preserve">0, 0.5, 1, 1.5 </t>
  </si>
  <si>
    <t>0, 0.5, 1, 1.5</t>
  </si>
  <si>
    <t>Solin, Kaštela, Trogir, …</t>
  </si>
  <si>
    <t>Bolnica Firule 1 / Bolnica Firule 2</t>
  </si>
  <si>
    <t>0, 1.75, 3, 3.5</t>
  </si>
  <si>
    <t>Veća gradska ulica (u sredini)</t>
  </si>
  <si>
    <t>Veća gradska ulica (na rubu)</t>
  </si>
  <si>
    <t>Najbliža stanica najbližoj plaži</t>
  </si>
  <si>
    <t>Broj bodova (max. udaljenost)</t>
  </si>
  <si>
    <t>Iznimno se koristi linija 25.</t>
  </si>
  <si>
    <t>nema vrtova, visoke zgrade</t>
  </si>
  <si>
    <t>nema vrtova, niske zgrade</t>
  </si>
  <si>
    <t>vrt u prizemlju zgrade (dodaj 0.5 gornjoj kategoriji)</t>
  </si>
  <si>
    <t>pola bez, pola s vrtom (prati prethodnu raspodjelu)</t>
  </si>
  <si>
    <t>0, 0.25, 0.3, 0.5</t>
  </si>
  <si>
    <t>0, 0.07, 0.13, 0.2, 0.25</t>
  </si>
  <si>
    <r>
      <t>Udaljenost do stanice kojom prometuje linija do tražene stanice/destinacije (</t>
    </r>
    <r>
      <rPr>
        <i/>
        <u/>
        <sz val="11"/>
        <color theme="1"/>
        <rFont val="Aptos Narrow"/>
        <family val="2"/>
        <scheme val="minor"/>
      </rPr>
      <t>nula</t>
    </r>
    <r>
      <rPr>
        <i/>
        <sz val="11"/>
        <color theme="1"/>
        <rFont val="Aptos Narrow"/>
        <family val="2"/>
        <scheme val="minor"/>
      </rPr>
      <t xml:space="preserve"> - linija ne postoji, </t>
    </r>
    <r>
      <rPr>
        <i/>
        <u/>
        <sz val="11"/>
        <color theme="1"/>
        <rFont val="Aptos Narrow"/>
        <family val="2"/>
        <scheme val="minor"/>
      </rPr>
      <t>pola max. vrijednosti udaljenosti</t>
    </r>
    <r>
      <rPr>
        <i/>
        <sz val="11"/>
        <color theme="1"/>
        <rFont val="Aptos Narrow"/>
        <family val="2"/>
        <scheme val="minor"/>
      </rPr>
      <t xml:space="preserve"> - linija je u blizini, ali izvan gradskog kotara, </t>
    </r>
    <r>
      <rPr>
        <i/>
        <u/>
        <sz val="11"/>
        <color theme="1"/>
        <rFont val="Aptos Narrow"/>
        <family val="2"/>
        <scheme val="minor"/>
      </rPr>
      <t xml:space="preserve">0.5 manje od max. vrijednosti udaljenosti </t>
    </r>
    <r>
      <rPr>
        <i/>
        <sz val="11"/>
        <color theme="1"/>
        <rFont val="Aptos Narrow"/>
        <family val="2"/>
        <scheme val="minor"/>
      </rPr>
      <t xml:space="preserve">- linija je na rubu kotara (granična cesta se ubraja u oba kotara), </t>
    </r>
    <r>
      <rPr>
        <i/>
        <u/>
        <sz val="11"/>
        <color theme="1"/>
        <rFont val="Aptos Narrow"/>
        <family val="2"/>
        <scheme val="minor"/>
      </rPr>
      <t>max. vrijednost</t>
    </r>
    <r>
      <rPr>
        <i/>
        <sz val="11"/>
        <color theme="1"/>
        <rFont val="Aptos Narrow"/>
        <family val="2"/>
        <scheme val="minor"/>
      </rPr>
      <t xml:space="preserve"> udaljenosti - linija je u gradskom kotaru) se pomnoži s brojem linija za gradske kategorije. Maksimalna vrijednost udaljenosti se dobiva ako je barem jedna tražena linija u kvartu. Računaju se samo gradske linije (osim za zadnje dvije kategorije). Orijentacija linije se uzima u obzir. Linije 14 i 20 se ne računaju.</t>
    </r>
  </si>
  <si>
    <t>0, 0.25</t>
  </si>
  <si>
    <t>Igrališta (nogometno, …)</t>
  </si>
  <si>
    <t>Matematička lista Splitskih kotara</t>
  </si>
  <si>
    <t>Gradski kotari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</si>
</sst>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sz val="11"/>
      <color theme="0"/>
      <name val="Aptos Narrow"/>
      <family val="2"/>
      <scheme val="minor"/>
    </font>
    <font>
      <sz val="11"/>
      <color rgb="FF00B050"/>
      <name val="Segoe UI"/>
      <family val="2"/>
    </font>
    <font>
      <sz val="11"/>
      <color rgb="FFFF0000"/>
      <name val="Segoe UI"/>
      <family val="2"/>
    </font>
    <font>
      <i/>
      <sz val="11"/>
      <color theme="1"/>
      <name val="Segoe U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6100"/>
      <name val="Segoe UI"/>
      <family val="2"/>
    </font>
    <font>
      <b/>
      <sz val="11"/>
      <color rgb="FF9C0006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ED49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1F3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</cellStyleXfs>
  <cellXfs count="17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0" xfId="0" applyFont="1"/>
    <xf numFmtId="0" fontId="4" fillId="0" borderId="0" xfId="0" applyFont="1"/>
    <xf numFmtId="0" fontId="1" fillId="0" borderId="7" xfId="0" applyFont="1" applyBorder="1" applyAlignment="1">
      <alignment horizontal="center"/>
    </xf>
    <xf numFmtId="0" fontId="4" fillId="0" borderId="4" xfId="0" applyFont="1" applyBorder="1"/>
    <xf numFmtId="0" fontId="1" fillId="0" borderId="10" xfId="0" applyFont="1" applyBorder="1"/>
    <xf numFmtId="0" fontId="0" fillId="0" borderId="9" xfId="0" applyBorder="1"/>
    <xf numFmtId="0" fontId="9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9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1" fillId="0" borderId="0" xfId="0" applyFont="1"/>
    <xf numFmtId="0" fontId="0" fillId="0" borderId="9" xfId="0" applyBorder="1" applyAlignment="1">
      <alignment horizontal="right"/>
    </xf>
    <xf numFmtId="0" fontId="13" fillId="0" borderId="0" xfId="0" applyFont="1"/>
    <xf numFmtId="0" fontId="1" fillId="0" borderId="27" xfId="0" applyFont="1" applyBorder="1"/>
    <xf numFmtId="0" fontId="17" fillId="4" borderId="10" xfId="3" applyFont="1" applyBorder="1"/>
    <xf numFmtId="0" fontId="10" fillId="0" borderId="1" xfId="0" applyFont="1" applyBorder="1" applyAlignment="1">
      <alignment horizontal="center"/>
    </xf>
    <xf numFmtId="2" fontId="1" fillId="0" borderId="0" xfId="0" applyNumberFormat="1" applyFont="1"/>
    <xf numFmtId="2" fontId="1" fillId="0" borderId="3" xfId="0" applyNumberFormat="1" applyFont="1" applyBorder="1"/>
    <xf numFmtId="2" fontId="1" fillId="0" borderId="6" xfId="0" applyNumberFormat="1" applyFont="1" applyBorder="1"/>
    <xf numFmtId="2" fontId="1" fillId="0" borderId="25" xfId="0" applyNumberFormat="1" applyFont="1" applyBorder="1"/>
    <xf numFmtId="0" fontId="5" fillId="0" borderId="26" xfId="0" applyFont="1" applyBorder="1"/>
    <xf numFmtId="0" fontId="5" fillId="0" borderId="27" xfId="0" applyFont="1" applyBorder="1"/>
    <xf numFmtId="0" fontId="1" fillId="0" borderId="28" xfId="0" applyFont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9" fillId="0" borderId="34" xfId="0" applyFont="1" applyBorder="1"/>
    <xf numFmtId="49" fontId="0" fillId="0" borderId="32" xfId="0" applyNumberFormat="1" applyBorder="1" applyAlignment="1">
      <alignment horizontal="right"/>
    </xf>
    <xf numFmtId="49" fontId="0" fillId="0" borderId="33" xfId="0" applyNumberFormat="1" applyBorder="1" applyAlignment="1">
      <alignment horizontal="right"/>
    </xf>
    <xf numFmtId="49" fontId="0" fillId="0" borderId="31" xfId="0" applyNumberFormat="1" applyBorder="1" applyAlignment="1">
      <alignment horizontal="right"/>
    </xf>
    <xf numFmtId="0" fontId="15" fillId="4" borderId="4" xfId="3" applyFont="1" applyBorder="1"/>
    <xf numFmtId="0" fontId="1" fillId="0" borderId="5" xfId="0" applyFont="1" applyBorder="1" applyAlignment="1">
      <alignment horizontal="center"/>
    </xf>
    <xf numFmtId="4" fontId="1" fillId="0" borderId="4" xfId="0" applyNumberFormat="1" applyFont="1" applyBorder="1"/>
    <xf numFmtId="4" fontId="1" fillId="0" borderId="27" xfId="0" applyNumberFormat="1" applyFont="1" applyBorder="1"/>
    <xf numFmtId="4" fontId="17" fillId="4" borderId="4" xfId="3" applyNumberFormat="1" applyFont="1" applyBorder="1"/>
    <xf numFmtId="0" fontId="18" fillId="0" borderId="0" xfId="0" applyFont="1"/>
    <xf numFmtId="0" fontId="10" fillId="11" borderId="36" xfId="0" applyFont="1" applyFill="1" applyBorder="1"/>
    <xf numFmtId="0" fontId="1" fillId="11" borderId="35" xfId="0" applyFont="1" applyFill="1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37" xfId="0" applyBorder="1"/>
    <xf numFmtId="0" fontId="0" fillId="0" borderId="43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5" xfId="0" applyBorder="1"/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0" fillId="0" borderId="51" xfId="0" applyBorder="1"/>
    <xf numFmtId="0" fontId="1" fillId="13" borderId="10" xfId="0" applyFont="1" applyFill="1" applyBorder="1"/>
    <xf numFmtId="2" fontId="1" fillId="13" borderId="0" xfId="0" applyNumberFormat="1" applyFont="1" applyFill="1"/>
    <xf numFmtId="0" fontId="10" fillId="14" borderId="10" xfId="0" applyFont="1" applyFill="1" applyBorder="1"/>
    <xf numFmtId="2" fontId="10" fillId="14" borderId="0" xfId="0" applyNumberFormat="1" applyFont="1" applyFill="1"/>
    <xf numFmtId="0" fontId="1" fillId="0" borderId="52" xfId="0" applyFont="1" applyBorder="1"/>
    <xf numFmtId="2" fontId="10" fillId="0" borderId="53" xfId="0" applyNumberFormat="1" applyFont="1" applyBorder="1"/>
    <xf numFmtId="2" fontId="10" fillId="0" borderId="33" xfId="0" applyNumberFormat="1" applyFont="1" applyBorder="1"/>
    <xf numFmtId="2" fontId="10" fillId="0" borderId="54" xfId="0" applyNumberFormat="1" applyFont="1" applyBorder="1"/>
    <xf numFmtId="2" fontId="15" fillId="14" borderId="33" xfId="0" applyNumberFormat="1" applyFont="1" applyFill="1" applyBorder="1"/>
    <xf numFmtId="0" fontId="15" fillId="14" borderId="4" xfId="0" applyFont="1" applyFill="1" applyBorder="1"/>
    <xf numFmtId="2" fontId="14" fillId="13" borderId="33" xfId="0" applyNumberFormat="1" applyFont="1" applyFill="1" applyBorder="1"/>
    <xf numFmtId="0" fontId="14" fillId="13" borderId="4" xfId="0" applyFont="1" applyFill="1" applyBorder="1"/>
    <xf numFmtId="0" fontId="10" fillId="0" borderId="33" xfId="0" applyFont="1" applyBorder="1"/>
    <xf numFmtId="0" fontId="10" fillId="0" borderId="54" xfId="0" applyFont="1" applyBorder="1"/>
    <xf numFmtId="0" fontId="15" fillId="0" borderId="0" xfId="3" applyFont="1" applyFill="1" applyBorder="1"/>
    <xf numFmtId="2" fontId="14" fillId="0" borderId="55" xfId="2" applyNumberFormat="1" applyFont="1" applyFill="1" applyBorder="1"/>
    <xf numFmtId="0" fontId="1" fillId="0" borderId="55" xfId="0" applyFont="1" applyBorder="1"/>
    <xf numFmtId="0" fontId="8" fillId="0" borderId="0" xfId="3" applyFill="1"/>
    <xf numFmtId="0" fontId="7" fillId="0" borderId="0" xfId="2" applyFill="1"/>
    <xf numFmtId="0" fontId="14" fillId="0" borderId="55" xfId="2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0" xfId="0" applyBorder="1" applyAlignment="1">
      <alignment vertical="center"/>
    </xf>
    <xf numFmtId="0" fontId="0" fillId="0" borderId="45" xfId="0" applyBorder="1" applyAlignment="1">
      <alignment wrapText="1"/>
    </xf>
    <xf numFmtId="0" fontId="0" fillId="0" borderId="61" xfId="0" applyBorder="1" applyAlignment="1">
      <alignment vertical="center"/>
    </xf>
    <xf numFmtId="49" fontId="0" fillId="0" borderId="0" xfId="0" applyNumberFormat="1" applyAlignment="1">
      <alignment horizontal="right"/>
    </xf>
    <xf numFmtId="0" fontId="0" fillId="0" borderId="46" xfId="0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7" fillId="14" borderId="10" xfId="3" applyFont="1" applyFill="1" applyBorder="1"/>
    <xf numFmtId="0" fontId="17" fillId="14" borderId="0" xfId="3" applyFont="1" applyFill="1"/>
    <xf numFmtId="0" fontId="17" fillId="14" borderId="0" xfId="3" applyFont="1" applyFill="1" applyBorder="1"/>
    <xf numFmtId="0" fontId="17" fillId="14" borderId="4" xfId="3" applyFont="1" applyFill="1" applyBorder="1"/>
    <xf numFmtId="0" fontId="15" fillId="14" borderId="33" xfId="3" applyFont="1" applyFill="1" applyBorder="1"/>
    <xf numFmtId="0" fontId="15" fillId="14" borderId="4" xfId="3" applyFont="1" applyFill="1" applyBorder="1"/>
    <xf numFmtId="0" fontId="17" fillId="0" borderId="33" xfId="0" applyFont="1" applyBorder="1"/>
    <xf numFmtId="0" fontId="16" fillId="0" borderId="4" xfId="0" applyFont="1" applyBorder="1"/>
    <xf numFmtId="4" fontId="1" fillId="13" borderId="4" xfId="0" applyNumberFormat="1" applyFont="1" applyFill="1" applyBorder="1"/>
    <xf numFmtId="0" fontId="16" fillId="0" borderId="10" xfId="2" applyFont="1" applyFill="1" applyBorder="1"/>
    <xf numFmtId="4" fontId="16" fillId="0" borderId="4" xfId="2" applyNumberFormat="1" applyFont="1" applyFill="1" applyBorder="1"/>
    <xf numFmtId="0" fontId="16" fillId="0" borderId="4" xfId="2" applyFont="1" applyFill="1" applyBorder="1"/>
    <xf numFmtId="0" fontId="10" fillId="14" borderId="0" xfId="0" applyFont="1" applyFill="1"/>
    <xf numFmtId="0" fontId="9" fillId="0" borderId="9" xfId="0" applyFont="1" applyBorder="1"/>
    <xf numFmtId="0" fontId="18" fillId="0" borderId="0" xfId="0" applyFont="1" applyAlignment="1">
      <alignment horizontal="right" vertical="center"/>
    </xf>
    <xf numFmtId="0" fontId="1" fillId="13" borderId="0" xfId="0" applyFont="1" applyFill="1"/>
    <xf numFmtId="0" fontId="1" fillId="13" borderId="4" xfId="0" applyFont="1" applyFill="1" applyBorder="1"/>
    <xf numFmtId="0" fontId="14" fillId="13" borderId="53" xfId="0" applyFont="1" applyFill="1" applyBorder="1"/>
    <xf numFmtId="0" fontId="16" fillId="0" borderId="0" xfId="2" applyFont="1" applyFill="1"/>
    <xf numFmtId="0" fontId="16" fillId="0" borderId="0" xfId="2" applyFont="1" applyFill="1" applyBorder="1"/>
    <xf numFmtId="0" fontId="17" fillId="0" borderId="33" xfId="2" applyFont="1" applyFill="1" applyBorder="1"/>
    <xf numFmtId="0" fontId="0" fillId="0" borderId="50" xfId="0" applyBorder="1"/>
    <xf numFmtId="0" fontId="2" fillId="2" borderId="0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6" fillId="12" borderId="57" xfId="4" applyFont="1" applyFill="1" applyBorder="1" applyAlignment="1">
      <alignment horizontal="center"/>
    </xf>
    <xf numFmtId="0" fontId="6" fillId="12" borderId="58" xfId="4" applyFont="1" applyFill="1" applyBorder="1" applyAlignment="1">
      <alignment horizontal="center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12" borderId="59" xfId="4" applyFont="1" applyFill="1" applyBorder="1" applyAlignment="1">
      <alignment horizontal="center" wrapText="1"/>
    </xf>
    <xf numFmtId="0" fontId="18" fillId="12" borderId="55" xfId="4" applyFont="1" applyFill="1" applyBorder="1" applyAlignment="1">
      <alignment horizontal="center" wrapText="1"/>
    </xf>
    <xf numFmtId="0" fontId="18" fillId="12" borderId="60" xfId="4" applyFont="1" applyFill="1" applyBorder="1" applyAlignment="1">
      <alignment horizontal="center" wrapText="1"/>
    </xf>
    <xf numFmtId="0" fontId="18" fillId="12" borderId="56" xfId="4" applyFont="1" applyFill="1" applyBorder="1" applyAlignment="1">
      <alignment horizontal="center" wrapText="1"/>
    </xf>
    <xf numFmtId="0" fontId="18" fillId="12" borderId="0" xfId="4" applyFont="1" applyFill="1" applyBorder="1" applyAlignment="1">
      <alignment horizontal="center" wrapText="1"/>
    </xf>
    <xf numFmtId="0" fontId="18" fillId="12" borderId="14" xfId="4" applyFont="1" applyFill="1" applyBorder="1" applyAlignment="1">
      <alignment horizontal="center" wrapText="1"/>
    </xf>
    <xf numFmtId="0" fontId="18" fillId="12" borderId="49" xfId="4" applyFont="1" applyFill="1" applyBorder="1" applyAlignment="1">
      <alignment horizontal="center" wrapText="1"/>
    </xf>
    <xf numFmtId="0" fontId="18" fillId="12" borderId="2" xfId="4" applyFont="1" applyFill="1" applyBorder="1" applyAlignment="1">
      <alignment horizontal="center" wrapText="1"/>
    </xf>
    <xf numFmtId="0" fontId="18" fillId="12" borderId="13" xfId="4" applyFont="1" applyFill="1" applyBorder="1" applyAlignment="1">
      <alignment horizontal="center" wrapText="1"/>
    </xf>
    <xf numFmtId="0" fontId="0" fillId="0" borderId="0" xfId="0" applyAlignment="1">
      <alignment horizontal="right" vertical="center"/>
    </xf>
    <xf numFmtId="0" fontId="2" fillId="5" borderId="30" xfId="4" applyBorder="1" applyAlignment="1">
      <alignment horizontal="center"/>
    </xf>
    <xf numFmtId="0" fontId="2" fillId="5" borderId="1" xfId="4" applyBorder="1" applyAlignment="1">
      <alignment horizontal="center"/>
    </xf>
    <xf numFmtId="0" fontId="2" fillId="9" borderId="30" xfId="8" applyBorder="1" applyAlignment="1">
      <alignment horizontal="center"/>
    </xf>
    <xf numFmtId="0" fontId="2" fillId="9" borderId="1" xfId="8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10" borderId="30" xfId="4" applyFill="1" applyBorder="1" applyAlignment="1">
      <alignment horizontal="center"/>
    </xf>
    <xf numFmtId="0" fontId="2" fillId="10" borderId="1" xfId="4" applyFill="1" applyBorder="1" applyAlignment="1">
      <alignment horizontal="center"/>
    </xf>
    <xf numFmtId="0" fontId="2" fillId="7" borderId="30" xfId="6" applyBorder="1" applyAlignment="1">
      <alignment horizontal="center"/>
    </xf>
    <xf numFmtId="0" fontId="2" fillId="7" borderId="1" xfId="6" applyBorder="1" applyAlignment="1">
      <alignment horizontal="center"/>
    </xf>
    <xf numFmtId="0" fontId="2" fillId="8" borderId="30" xfId="7" applyBorder="1" applyAlignment="1">
      <alignment horizontal="center"/>
    </xf>
    <xf numFmtId="0" fontId="2" fillId="8" borderId="1" xfId="7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6" fillId="6" borderId="30" xfId="5" applyBorder="1" applyAlignment="1">
      <alignment horizontal="center"/>
    </xf>
    <xf numFmtId="0" fontId="6" fillId="6" borderId="1" xfId="5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0" xfId="0" applyBorder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9">
    <cellStyle name="40% - Isticanje3" xfId="5" builtinId="39"/>
    <cellStyle name="Dobro" xfId="2" builtinId="26"/>
    <cellStyle name="Isticanje1" xfId="1" builtinId="29"/>
    <cellStyle name="Isticanje2" xfId="4" builtinId="33"/>
    <cellStyle name="Isticanje4" xfId="6" builtinId="41"/>
    <cellStyle name="Isticanje5" xfId="7" builtinId="45"/>
    <cellStyle name="Isticanje6" xfId="8" builtinId="49"/>
    <cellStyle name="Loše" xfId="3" builtinId="27"/>
    <cellStyle name="Normalno" xfId="0" builtinId="0"/>
  </cellStyles>
  <dxfs count="0"/>
  <tableStyles count="0" defaultTableStyle="TableStyleMedium2" defaultPivotStyle="PivotStyleLight16"/>
  <colors>
    <mruColors>
      <color rgb="FF006100"/>
      <color rgb="FFC6EFCE"/>
      <color rgb="FF9C0006"/>
      <color rgb="FFFFC7CE"/>
      <color rgb="FFE1F385"/>
      <color rgb="FFED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91AD-7009-4262-9BE2-DEB0E1FDE5A2}">
  <sheetPr>
    <pageSetUpPr fitToPage="1"/>
  </sheetPr>
  <dimension ref="A1:O34"/>
  <sheetViews>
    <sheetView tabSelected="1"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25.7109375" style="1" customWidth="1"/>
    <col min="11" max="13" width="20.7109375" style="1" customWidth="1"/>
    <col min="14" max="14" width="25.7109375" style="1" customWidth="1"/>
    <col min="15" max="29" width="20.7109375" style="1" customWidth="1"/>
    <col min="30" max="16384" width="9.140625" style="1"/>
  </cols>
  <sheetData>
    <row r="1" spans="1:15" ht="16.5" customHeight="1" x14ac:dyDescent="0.3">
      <c r="A1" s="118" t="s">
        <v>141</v>
      </c>
      <c r="B1" s="118"/>
    </row>
    <row r="2" spans="1:15" ht="17.25" thickBot="1" x14ac:dyDescent="0.35">
      <c r="A2" s="2"/>
    </row>
    <row r="3" spans="1:15" ht="18" thickTop="1" thickBot="1" x14ac:dyDescent="0.35">
      <c r="A3" s="8" t="s">
        <v>142</v>
      </c>
      <c r="B3" s="119" t="s">
        <v>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29" t="s">
        <v>93</v>
      </c>
      <c r="O3" s="29" t="s">
        <v>105</v>
      </c>
    </row>
    <row r="4" spans="1:15" ht="17.25" thickTop="1" x14ac:dyDescent="0.3">
      <c r="A4" s="34" t="s">
        <v>40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0" t="s">
        <v>40</v>
      </c>
      <c r="O4" s="121"/>
    </row>
    <row r="5" spans="1:15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71</v>
      </c>
      <c r="K5" s="3" t="s">
        <v>72</v>
      </c>
      <c r="L5" s="3" t="s">
        <v>33</v>
      </c>
      <c r="M5" s="5" t="s">
        <v>34</v>
      </c>
      <c r="N5" s="122" t="s">
        <v>103</v>
      </c>
      <c r="O5" s="123"/>
    </row>
    <row r="6" spans="1:15" x14ac:dyDescent="0.3">
      <c r="A6" s="68" t="s">
        <v>2</v>
      </c>
      <c r="B6" s="111">
        <v>8</v>
      </c>
      <c r="C6" s="111" cm="1">
        <f t="array" aca="1" ref="C6" ca="1">INDIRECT("'Pomoćni list'!" &amp; ADDRESS(19, ROW(A1) + 3, 4))</f>
        <v>9</v>
      </c>
      <c r="D6" s="111" cm="1">
        <f t="array" aca="1" ref="D6" ca="1">INDIRECT("'Pomoćni list'!" &amp; ADDRESS(52, ROW(A1) + 3, 4))</f>
        <v>45.050000000000004</v>
      </c>
      <c r="E6" s="111" cm="1">
        <f t="array" aca="1" ref="E6" ca="1">INDIRECT("'Pomoćni list'!" &amp; ADDRESS(86, ROW(A1) + 3, 4))</f>
        <v>125.5</v>
      </c>
      <c r="F6" s="111">
        <v>5.5</v>
      </c>
      <c r="G6" s="111">
        <v>7</v>
      </c>
      <c r="H6" s="111">
        <v>7</v>
      </c>
      <c r="I6" s="111">
        <v>6</v>
      </c>
      <c r="J6" s="111">
        <v>5</v>
      </c>
      <c r="K6" s="111">
        <v>3</v>
      </c>
      <c r="L6" s="111" cm="1">
        <f t="array" aca="1" ref="L6" ca="1">INDIRECT("'Pomoćni list'!" &amp; ADDRESS(41, ROW(A1) + 3, 4))</f>
        <v>0.63</v>
      </c>
      <c r="M6" s="112">
        <v>1</v>
      </c>
      <c r="N6" s="113">
        <f ca="1">SUM(B6:J6)-SUM(K6:M6)</f>
        <v>213.42000000000002</v>
      </c>
      <c r="O6" s="79">
        <f ca="1">RANK(N6,$N$6:$N$32)</f>
        <v>1</v>
      </c>
    </row>
    <row r="7" spans="1:15" x14ac:dyDescent="0.3">
      <c r="A7" s="10" t="s">
        <v>3</v>
      </c>
      <c r="B7" s="1">
        <v>8</v>
      </c>
      <c r="C7" s="1" cm="1">
        <f t="array" aca="1" ref="C7" ca="1">INDIRECT("'Pomoćni list'!" &amp; ADDRESS(19, ROW(A2) + 3, 4))</f>
        <v>6.5</v>
      </c>
      <c r="D7" s="1" cm="1">
        <f t="array" aca="1" ref="D7" ca="1">INDIRECT("'Pomoćni list'!" &amp; ADDRESS(52, ROW(A2) + 3, 4))</f>
        <v>47.38</v>
      </c>
      <c r="E7" s="1" cm="1">
        <f t="array" aca="1" ref="E7" ca="1">INDIRECT("'Pomoćni list'!" &amp; ADDRESS(86, ROW(A2) + 3, 4))</f>
        <v>91</v>
      </c>
      <c r="F7" s="1">
        <v>6</v>
      </c>
      <c r="G7" s="1">
        <v>7</v>
      </c>
      <c r="H7" s="1">
        <v>8</v>
      </c>
      <c r="I7" s="1">
        <v>5</v>
      </c>
      <c r="J7" s="1">
        <v>6</v>
      </c>
      <c r="K7" s="1">
        <v>4</v>
      </c>
      <c r="L7" s="1" cm="1">
        <f t="array" aca="1" ref="L7" ca="1">INDIRECT("'Pomoćni list'!" &amp; ADDRESS(41, ROW(A2) + 3, 4))</f>
        <v>0.3</v>
      </c>
      <c r="M7" s="4">
        <v>1</v>
      </c>
      <c r="N7" s="80">
        <f t="shared" ref="N7:N32" ca="1" si="0">SUM(B7:J7)-SUM(K7:M7)</f>
        <v>179.57999999999998</v>
      </c>
      <c r="O7" s="4">
        <f t="shared" ref="O7:O32" ca="1" si="1">RANK(N7,$N$6:$N$32)</f>
        <v>9</v>
      </c>
    </row>
    <row r="8" spans="1:15" x14ac:dyDescent="0.3">
      <c r="A8" s="10" t="s">
        <v>4</v>
      </c>
      <c r="B8" s="1">
        <v>8</v>
      </c>
      <c r="C8" s="1" cm="1">
        <f t="array" aca="1" ref="C8" ca="1">INDIRECT("'Pomoćni list'!" &amp; ADDRESS(19, ROW(A3) + 3, 4))</f>
        <v>8.5</v>
      </c>
      <c r="D8" s="1" cm="1">
        <f t="array" aca="1" ref="D8" ca="1">INDIRECT("'Pomoćni list'!" &amp; ADDRESS(52, ROW(A3) + 3, 4))</f>
        <v>49.3</v>
      </c>
      <c r="E8" s="1" cm="1">
        <f t="array" aca="1" ref="E8" ca="1">INDIRECT("'Pomoćni list'!" &amp; ADDRESS(86, ROW(A3) + 3, 4))</f>
        <v>101.5</v>
      </c>
      <c r="F8" s="1">
        <v>5.5</v>
      </c>
      <c r="G8" s="1">
        <v>7</v>
      </c>
      <c r="H8" s="1">
        <v>7</v>
      </c>
      <c r="I8" s="1">
        <v>5</v>
      </c>
      <c r="J8" s="1">
        <v>6</v>
      </c>
      <c r="K8" s="1">
        <v>3</v>
      </c>
      <c r="L8" s="1" cm="1">
        <f t="array" aca="1" ref="L8" ca="1">INDIRECT("'Pomoćni list'!" &amp; ADDRESS(41, ROW(A3) + 3, 4))</f>
        <v>0.58000000000000007</v>
      </c>
      <c r="M8" s="4">
        <v>1</v>
      </c>
      <c r="N8" s="80">
        <f t="shared" ca="1" si="0"/>
        <v>193.22</v>
      </c>
      <c r="O8" s="4">
        <f t="shared" ca="1" si="1"/>
        <v>5</v>
      </c>
    </row>
    <row r="9" spans="1:15" x14ac:dyDescent="0.3">
      <c r="A9" s="10" t="s">
        <v>5</v>
      </c>
      <c r="B9" s="1">
        <v>7.5</v>
      </c>
      <c r="C9" s="1" cm="1">
        <f t="array" aca="1" ref="C9" ca="1">INDIRECT("'Pomoćni list'!" &amp; ADDRESS(19, ROW(A4) + 3, 4))</f>
        <v>5.5</v>
      </c>
      <c r="D9" s="1" cm="1">
        <f t="array" aca="1" ref="D9" ca="1">INDIRECT("'Pomoćni list'!" &amp; ADDRESS(52, ROW(A4) + 3, 4))</f>
        <v>44.500000000000007</v>
      </c>
      <c r="E9" s="1" cm="1">
        <f t="array" aca="1" ref="E9" ca="1">INDIRECT("'Pomoćni list'!" &amp; ADDRESS(86, ROW(A4) + 3, 4))</f>
        <v>45.5</v>
      </c>
      <c r="F9" s="1">
        <v>7</v>
      </c>
      <c r="G9" s="1">
        <v>6</v>
      </c>
      <c r="H9" s="1">
        <v>3</v>
      </c>
      <c r="I9" s="1">
        <v>10</v>
      </c>
      <c r="J9" s="1">
        <v>5</v>
      </c>
      <c r="K9" s="1">
        <v>7</v>
      </c>
      <c r="L9" s="1" cm="1">
        <f t="array" aca="1" ref="L9" ca="1">INDIRECT("'Pomoćni list'!" &amp; ADDRESS(41, ROW(A4) + 3, 4))</f>
        <v>0.5</v>
      </c>
      <c r="M9" s="4">
        <v>5</v>
      </c>
      <c r="N9" s="80">
        <f t="shared" ca="1" si="0"/>
        <v>121.5</v>
      </c>
      <c r="O9" s="4">
        <f t="shared" ca="1" si="1"/>
        <v>19</v>
      </c>
    </row>
    <row r="10" spans="1:15" x14ac:dyDescent="0.3">
      <c r="A10" s="10" t="s">
        <v>6</v>
      </c>
      <c r="B10" s="1">
        <v>7.5</v>
      </c>
      <c r="C10" s="1" cm="1">
        <f t="array" aca="1" ref="C10" ca="1">INDIRECT("'Pomoćni list'!" &amp; ADDRESS(19, ROW(A5) + 3, 4))</f>
        <v>7</v>
      </c>
      <c r="D10" s="1" cm="1">
        <f t="array" aca="1" ref="D10" ca="1">INDIRECT("'Pomoćni list'!" &amp; ADDRESS(52, ROW(A5) + 3, 4))</f>
        <v>46.9</v>
      </c>
      <c r="E10" s="1" cm="1">
        <f t="array" aca="1" ref="E10" ca="1">INDIRECT("'Pomoćni list'!" &amp; ADDRESS(86, ROW(A5) + 3, 4))</f>
        <v>116</v>
      </c>
      <c r="F10" s="1">
        <v>4</v>
      </c>
      <c r="G10" s="1">
        <v>6.5</v>
      </c>
      <c r="H10" s="1">
        <v>5</v>
      </c>
      <c r="I10" s="1">
        <v>2</v>
      </c>
      <c r="J10" s="1">
        <v>4</v>
      </c>
      <c r="K10" s="1">
        <v>4</v>
      </c>
      <c r="L10" s="1" cm="1">
        <f t="array" aca="1" ref="L10" ca="1">INDIRECT("'Pomoćni list'!" &amp; ADDRESS(41, ROW(A5) + 3, 4))</f>
        <v>0.75</v>
      </c>
      <c r="M10" s="4">
        <v>2</v>
      </c>
      <c r="N10" s="80">
        <f t="shared" ca="1" si="0"/>
        <v>192.15</v>
      </c>
      <c r="O10" s="4">
        <f t="shared" ca="1" si="1"/>
        <v>6</v>
      </c>
    </row>
    <row r="11" spans="1:15" x14ac:dyDescent="0.3">
      <c r="A11" s="10" t="s">
        <v>7</v>
      </c>
      <c r="B11" s="1">
        <v>8</v>
      </c>
      <c r="C11" s="1" cm="1">
        <f t="array" aca="1" ref="C11" ca="1">INDIRECT("'Pomoćni list'!" &amp; ADDRESS(19, ROW(A6) + 3, 4))</f>
        <v>6</v>
      </c>
      <c r="D11" s="1" cm="1">
        <f t="array" aca="1" ref="D11" ca="1">INDIRECT("'Pomoćni list'!" &amp; ADDRESS(52, ROW(A6) + 3, 4))</f>
        <v>50.000000000000007</v>
      </c>
      <c r="E11" s="1" cm="1">
        <f t="array" aca="1" ref="E11" ca="1">INDIRECT("'Pomoćni list'!" &amp; ADDRESS(86, ROW(A6) + 3, 4))</f>
        <v>108.5</v>
      </c>
      <c r="F11" s="1">
        <v>5.5</v>
      </c>
      <c r="G11" s="1">
        <v>7</v>
      </c>
      <c r="H11" s="1">
        <v>8</v>
      </c>
      <c r="I11" s="1">
        <v>5</v>
      </c>
      <c r="J11" s="1">
        <v>6</v>
      </c>
      <c r="K11" s="1">
        <v>3</v>
      </c>
      <c r="L11" s="1" cm="1">
        <f t="array" aca="1" ref="L11" ca="1">INDIRECT("'Pomoćni list'!" &amp; ADDRESS(41, ROW(A6) + 3, 4))</f>
        <v>0.45</v>
      </c>
      <c r="M11" s="4">
        <v>1</v>
      </c>
      <c r="N11" s="80">
        <f t="shared" ca="1" si="0"/>
        <v>199.55</v>
      </c>
      <c r="O11" s="4">
        <f t="shared" ca="1" si="1"/>
        <v>4</v>
      </c>
    </row>
    <row r="12" spans="1:15" x14ac:dyDescent="0.3">
      <c r="A12" s="10" t="s">
        <v>8</v>
      </c>
      <c r="B12" s="1">
        <v>8</v>
      </c>
      <c r="C12" s="1" cm="1">
        <f t="array" aca="1" ref="C12" ca="1">INDIRECT("'Pomoćni list'!" &amp; ADDRESS(19, ROW(A7) + 3, 4))</f>
        <v>4</v>
      </c>
      <c r="D12" s="1" cm="1">
        <f t="array" aca="1" ref="D12" ca="1">INDIRECT("'Pomoćni list'!" &amp; ADDRESS(52, ROW(A7) + 3, 4))</f>
        <v>47.300000000000004</v>
      </c>
      <c r="E12" s="1" cm="1">
        <f t="array" aca="1" ref="E12" ca="1">INDIRECT("'Pomoćni list'!" &amp; ADDRESS(86, ROW(A7) + 3, 4))</f>
        <v>40</v>
      </c>
      <c r="F12" s="1">
        <v>6</v>
      </c>
      <c r="G12" s="1">
        <v>7</v>
      </c>
      <c r="H12" s="1">
        <v>4</v>
      </c>
      <c r="I12" s="1">
        <v>5.5</v>
      </c>
      <c r="J12" s="1">
        <v>6</v>
      </c>
      <c r="K12" s="1">
        <v>5</v>
      </c>
      <c r="L12" s="1" cm="1">
        <f t="array" aca="1" ref="L12" ca="1">INDIRECT("'Pomoćni list'!" &amp; ADDRESS(41, ROW(A7) + 3, 4))</f>
        <v>0.5</v>
      </c>
      <c r="M12" s="4">
        <v>1</v>
      </c>
      <c r="N12" s="80">
        <f t="shared" ca="1" si="0"/>
        <v>121.30000000000001</v>
      </c>
      <c r="O12" s="4">
        <f t="shared" ca="1" si="1"/>
        <v>20</v>
      </c>
    </row>
    <row r="13" spans="1:15" x14ac:dyDescent="0.3">
      <c r="A13" s="10" t="s">
        <v>9</v>
      </c>
      <c r="B13" s="1">
        <v>8</v>
      </c>
      <c r="C13" s="1" cm="1">
        <f t="array" aca="1" ref="C13" ca="1">INDIRECT("'Pomoćni list'!" &amp; ADDRESS(19, ROW(A8) + 3, 4))</f>
        <v>6</v>
      </c>
      <c r="D13" s="1" cm="1">
        <f t="array" aca="1" ref="D13" ca="1">INDIRECT("'Pomoćni list'!" &amp; ADDRESS(52, ROW(A8) + 3, 4))</f>
        <v>44.4</v>
      </c>
      <c r="E13" s="1" cm="1">
        <f t="array" aca="1" ref="E13" ca="1">INDIRECT("'Pomoćni list'!" &amp; ADDRESS(86, ROW(A8) + 3, 4))</f>
        <v>27.5</v>
      </c>
      <c r="F13" s="1">
        <v>6</v>
      </c>
      <c r="G13" s="1">
        <v>7</v>
      </c>
      <c r="H13" s="1">
        <v>4</v>
      </c>
      <c r="I13" s="1">
        <v>5</v>
      </c>
      <c r="J13" s="1">
        <v>6</v>
      </c>
      <c r="K13" s="1">
        <v>5</v>
      </c>
      <c r="L13" s="1" cm="1">
        <f t="array" aca="1" ref="L13" ca="1">INDIRECT("'Pomoćni list'!" &amp; ADDRESS(41, ROW(A8) + 3, 4))</f>
        <v>0.5</v>
      </c>
      <c r="M13" s="4">
        <v>1</v>
      </c>
      <c r="N13" s="80">
        <f t="shared" ca="1" si="0"/>
        <v>107.4</v>
      </c>
      <c r="O13" s="4">
        <f t="shared" ca="1" si="1"/>
        <v>24</v>
      </c>
    </row>
    <row r="14" spans="1:15" x14ac:dyDescent="0.3">
      <c r="A14" s="10" t="s">
        <v>10</v>
      </c>
      <c r="B14" s="1">
        <v>8</v>
      </c>
      <c r="C14" s="1" cm="1">
        <f t="array" aca="1" ref="C14" ca="1">INDIRECT("'Pomoćni list'!" &amp; ADDRESS(19, ROW(A9) + 3, 4))</f>
        <v>6.5</v>
      </c>
      <c r="D14" s="1" cm="1">
        <f t="array" aca="1" ref="D14" ca="1">INDIRECT("'Pomoćni list'!" &amp; ADDRESS(52, ROW(A9) + 3, 4))</f>
        <v>47.300000000000011</v>
      </c>
      <c r="E14" s="1" cm="1">
        <f t="array" aca="1" ref="E14" ca="1">INDIRECT("'Pomoćni list'!" &amp; ADDRESS(86, ROW(A9) + 3, 4))</f>
        <v>48.5</v>
      </c>
      <c r="F14" s="1">
        <v>5</v>
      </c>
      <c r="G14" s="1">
        <v>7</v>
      </c>
      <c r="H14" s="1">
        <v>9</v>
      </c>
      <c r="I14" s="1">
        <v>2</v>
      </c>
      <c r="J14" s="1">
        <v>6</v>
      </c>
      <c r="K14" s="1">
        <v>1</v>
      </c>
      <c r="L14" s="1" cm="1">
        <f t="array" aca="1" ref="L14" ca="1">INDIRECT("'Pomoćni list'!" &amp; ADDRESS(41, ROW(A9) + 3, 4))</f>
        <v>0.25</v>
      </c>
      <c r="M14" s="4">
        <v>1</v>
      </c>
      <c r="N14" s="80">
        <f t="shared" ca="1" si="0"/>
        <v>137.05000000000001</v>
      </c>
      <c r="O14" s="4">
        <f t="shared" ca="1" si="1"/>
        <v>15</v>
      </c>
    </row>
    <row r="15" spans="1:15" x14ac:dyDescent="0.3">
      <c r="A15" s="10" t="s">
        <v>11</v>
      </c>
      <c r="B15" s="1">
        <v>8</v>
      </c>
      <c r="C15" s="1" cm="1">
        <f t="array" aca="1" ref="C15" ca="1">INDIRECT("'Pomoćni list'!" &amp; ADDRESS(19, ROW(A10) + 3, 4))</f>
        <v>9.5</v>
      </c>
      <c r="D15" s="1" cm="1">
        <f t="array" aca="1" ref="D15" ca="1">INDIRECT("'Pomoćni list'!" &amp; ADDRESS(52, ROW(A10) + 3, 4))</f>
        <v>45.800000000000004</v>
      </c>
      <c r="E15" s="1" cm="1">
        <f t="array" aca="1" ref="E15" ca="1">INDIRECT("'Pomoćni list'!" &amp; ADDRESS(86, ROW(A10) + 3, 4))</f>
        <v>98.5</v>
      </c>
      <c r="F15" s="1">
        <v>5</v>
      </c>
      <c r="G15" s="1">
        <v>7</v>
      </c>
      <c r="H15" s="1">
        <v>10</v>
      </c>
      <c r="I15" s="1">
        <v>2</v>
      </c>
      <c r="J15" s="1">
        <v>5</v>
      </c>
      <c r="K15" s="1">
        <v>2.5</v>
      </c>
      <c r="L15" s="1" cm="1">
        <f t="array" aca="1" ref="L15" ca="1">INDIRECT("'Pomoćni list'!" &amp; ADDRESS(41, ROW(A10) + 3, 4))</f>
        <v>0.51</v>
      </c>
      <c r="M15" s="4">
        <v>1.05</v>
      </c>
      <c r="N15" s="80">
        <f t="shared" ca="1" si="0"/>
        <v>186.74</v>
      </c>
      <c r="O15" s="4">
        <f t="shared" ca="1" si="1"/>
        <v>7</v>
      </c>
    </row>
    <row r="16" spans="1:15" x14ac:dyDescent="0.3">
      <c r="A16" s="10" t="s">
        <v>12</v>
      </c>
      <c r="B16" s="1">
        <v>8</v>
      </c>
      <c r="C16" s="1" cm="1">
        <f t="array" aca="1" ref="C16" ca="1">INDIRECT("'Pomoćni list'!" &amp; ADDRESS(19, ROW(A11) + 3, 4))</f>
        <v>7.5</v>
      </c>
      <c r="D16" s="1" cm="1">
        <f t="array" aca="1" ref="D16" ca="1">INDIRECT("'Pomoćni list'!" &amp; ADDRESS(52, ROW(A11) + 3, 4))</f>
        <v>48.300000000000004</v>
      </c>
      <c r="E16" s="1" cm="1">
        <f t="array" aca="1" ref="E16" ca="1">INDIRECT("'Pomoćni list'!" &amp; ADDRESS(86, ROW(A11) + 3, 4))</f>
        <v>116</v>
      </c>
      <c r="F16" s="1">
        <v>4</v>
      </c>
      <c r="G16" s="1">
        <v>7</v>
      </c>
      <c r="H16" s="1">
        <v>6</v>
      </c>
      <c r="I16" s="1">
        <v>6</v>
      </c>
      <c r="J16" s="1">
        <v>5</v>
      </c>
      <c r="K16" s="1">
        <v>5</v>
      </c>
      <c r="L16" s="1" cm="1">
        <f t="array" aca="1" ref="L16" ca="1">INDIRECT("'Pomoćni list'!" &amp; ADDRESS(41, ROW(A11) + 3, 4))</f>
        <v>0.5</v>
      </c>
      <c r="M16" s="4">
        <v>1</v>
      </c>
      <c r="N16" s="80">
        <f t="shared" ca="1" si="0"/>
        <v>201.3</v>
      </c>
      <c r="O16" s="4">
        <f t="shared" ca="1" si="1"/>
        <v>3</v>
      </c>
    </row>
    <row r="17" spans="1:15" x14ac:dyDescent="0.3">
      <c r="A17" s="10" t="s">
        <v>13</v>
      </c>
      <c r="B17" s="1">
        <v>7.5</v>
      </c>
      <c r="C17" s="1" cm="1">
        <f t="array" aca="1" ref="C17" ca="1">INDIRECT("'Pomoćni list'!" &amp; ADDRESS(19, ROW(A12) + 3, 4))</f>
        <v>8</v>
      </c>
      <c r="D17" s="1" cm="1">
        <f t="array" aca="1" ref="D17" ca="1">INDIRECT("'Pomoćni list'!" &amp; ADDRESS(52, ROW(A12) + 3, 4))</f>
        <v>43.8</v>
      </c>
      <c r="E17" s="1" cm="1">
        <f t="array" aca="1" ref="E17" ca="1">INDIRECT("'Pomoćni list'!" &amp; ADDRESS(86, ROW(A12) + 3, 4))</f>
        <v>72.5</v>
      </c>
      <c r="F17" s="1">
        <v>7</v>
      </c>
      <c r="G17" s="1">
        <v>6</v>
      </c>
      <c r="H17" s="1">
        <v>3.5</v>
      </c>
      <c r="I17" s="1">
        <v>10</v>
      </c>
      <c r="J17" s="1">
        <v>8</v>
      </c>
      <c r="K17" s="1">
        <v>8</v>
      </c>
      <c r="L17" s="1" cm="1">
        <f t="array" aca="1" ref="L17" ca="1">INDIRECT("'Pomoćni list'!" &amp; ADDRESS(41, ROW(A12) + 3, 4))</f>
        <v>0.75</v>
      </c>
      <c r="M17" s="4">
        <v>3</v>
      </c>
      <c r="N17" s="80">
        <f t="shared" ca="1" si="0"/>
        <v>154.55000000000001</v>
      </c>
      <c r="O17" s="4">
        <f t="shared" ca="1" si="1"/>
        <v>12</v>
      </c>
    </row>
    <row r="18" spans="1:15" x14ac:dyDescent="0.3">
      <c r="A18" s="10" t="s">
        <v>14</v>
      </c>
      <c r="B18" s="1">
        <v>8</v>
      </c>
      <c r="C18" s="1" cm="1">
        <f t="array" aca="1" ref="C18" ca="1">INDIRECT("'Pomoćni list'!" &amp; ADDRESS(19, ROW(A13) + 3, 4))</f>
        <v>7</v>
      </c>
      <c r="D18" s="1" cm="1">
        <f t="array" aca="1" ref="D18" ca="1">INDIRECT("'Pomoćni list'!" &amp; ADDRESS(52, ROW(A13) + 3, 4))</f>
        <v>34.15</v>
      </c>
      <c r="E18" s="1" cm="1">
        <f t="array" aca="1" ref="E18" ca="1">INDIRECT("'Pomoćni list'!" &amp; ADDRESS(86, ROW(A13) + 3, 4))</f>
        <v>37</v>
      </c>
      <c r="F18" s="1">
        <v>5.5</v>
      </c>
      <c r="G18" s="1">
        <v>7</v>
      </c>
      <c r="H18" s="1">
        <v>10</v>
      </c>
      <c r="I18" s="1">
        <v>5.5</v>
      </c>
      <c r="J18" s="1">
        <v>5.5</v>
      </c>
      <c r="K18" s="1">
        <v>3</v>
      </c>
      <c r="L18" s="1" cm="1">
        <f t="array" aca="1" ref="L18" ca="1">INDIRECT("'Pomoćni list'!" &amp; ADDRESS(41, ROW(A13) + 3, 4))</f>
        <v>0.43</v>
      </c>
      <c r="M18" s="4">
        <v>1</v>
      </c>
      <c r="N18" s="80">
        <f t="shared" ca="1" si="0"/>
        <v>115.22</v>
      </c>
      <c r="O18" s="4">
        <f t="shared" ca="1" si="1"/>
        <v>21</v>
      </c>
    </row>
    <row r="19" spans="1:15" x14ac:dyDescent="0.3">
      <c r="A19" s="10" t="s">
        <v>15</v>
      </c>
      <c r="B19" s="1">
        <v>8</v>
      </c>
      <c r="C19" s="1" cm="1">
        <f t="array" aca="1" ref="C19" ca="1">INDIRECT("'Pomoćni list'!" &amp; ADDRESS(19, ROW(A14) + 3, 4))</f>
        <v>7.5</v>
      </c>
      <c r="D19" s="1" cm="1">
        <f t="array" aca="1" ref="D19" ca="1">INDIRECT("'Pomoćni list'!" &amp; ADDRESS(52, ROW(A14) + 3, 4))</f>
        <v>49.35</v>
      </c>
      <c r="E19" s="1" cm="1">
        <f t="array" aca="1" ref="E19" ca="1">INDIRECT("'Pomoćni list'!" &amp; ADDRESS(86, ROW(A14) + 3, 4))</f>
        <v>82</v>
      </c>
      <c r="F19" s="1">
        <v>5</v>
      </c>
      <c r="G19" s="1">
        <v>7</v>
      </c>
      <c r="H19" s="1">
        <v>8.5</v>
      </c>
      <c r="I19" s="1">
        <v>8</v>
      </c>
      <c r="J19" s="1">
        <v>5</v>
      </c>
      <c r="K19" s="1">
        <v>2.5</v>
      </c>
      <c r="L19" s="1" cm="1">
        <f t="array" aca="1" ref="L19" ca="1">INDIRECT("'Pomoćni list'!" &amp; ADDRESS(41, ROW(A14) + 3, 4))</f>
        <v>0.5</v>
      </c>
      <c r="M19" s="4">
        <v>1</v>
      </c>
      <c r="N19" s="80">
        <f ca="1">SUM(B19:J19)-SUM(K19:M19)</f>
        <v>176.35</v>
      </c>
      <c r="O19" s="4">
        <f t="shared" ca="1" si="1"/>
        <v>10</v>
      </c>
    </row>
    <row r="20" spans="1:15" x14ac:dyDescent="0.3">
      <c r="A20" s="10" t="s">
        <v>16</v>
      </c>
      <c r="B20" s="1">
        <v>7.5</v>
      </c>
      <c r="C20" s="1" cm="1">
        <f t="array" aca="1" ref="C20" ca="1">INDIRECT("'Pomoćni list'!" &amp; ADDRESS(19, ROW(A15) + 3, 4))</f>
        <v>4</v>
      </c>
      <c r="D20" s="1" cm="1">
        <f t="array" aca="1" ref="D20" ca="1">INDIRECT("'Pomoćni list'!" &amp; ADDRESS(52, ROW(A15) + 3, 4))</f>
        <v>46.4</v>
      </c>
      <c r="E20" s="1" cm="1">
        <f t="array" aca="1" ref="E20" ca="1">INDIRECT("'Pomoćni list'!" &amp; ADDRESS(86, ROW(A15) + 3, 4))</f>
        <v>61</v>
      </c>
      <c r="F20" s="1">
        <v>7</v>
      </c>
      <c r="G20" s="1">
        <v>6</v>
      </c>
      <c r="H20" s="1">
        <v>3.5</v>
      </c>
      <c r="I20" s="1">
        <v>10</v>
      </c>
      <c r="J20" s="1">
        <v>5</v>
      </c>
      <c r="K20" s="1">
        <v>7</v>
      </c>
      <c r="L20" s="1" cm="1">
        <f t="array" aca="1" ref="L20" ca="1">INDIRECT("'Pomoćni list'!" &amp; ADDRESS(41, ROW(A15) + 3, 4))</f>
        <v>0.57000000000000006</v>
      </c>
      <c r="M20" s="4">
        <v>2.5</v>
      </c>
      <c r="N20" s="80">
        <f t="shared" ca="1" si="0"/>
        <v>140.33000000000001</v>
      </c>
      <c r="O20" s="4">
        <f t="shared" ca="1" si="1"/>
        <v>14</v>
      </c>
    </row>
    <row r="21" spans="1:15" x14ac:dyDescent="0.3">
      <c r="A21" s="10" t="s">
        <v>17</v>
      </c>
      <c r="B21" s="1">
        <v>8</v>
      </c>
      <c r="C21" s="1" cm="1">
        <f t="array" aca="1" ref="C21" ca="1">INDIRECT("'Pomoćni list'!" &amp; ADDRESS(19, ROW(A16) + 3, 4))</f>
        <v>6.5</v>
      </c>
      <c r="D21" s="1" cm="1">
        <f t="array" aca="1" ref="D21" ca="1">INDIRECT("'Pomoćni list'!" &amp; ADDRESS(52, ROW(A16) + 3, 4))</f>
        <v>48</v>
      </c>
      <c r="E21" s="1" cm="1">
        <f t="array" aca="1" ref="E21" ca="1">INDIRECT("'Pomoćni list'!" &amp; ADDRESS(86, ROW(A16) + 3, 4))</f>
        <v>20</v>
      </c>
      <c r="F21" s="1">
        <v>5</v>
      </c>
      <c r="G21" s="1">
        <v>7</v>
      </c>
      <c r="H21" s="1">
        <v>9</v>
      </c>
      <c r="I21" s="1">
        <v>2</v>
      </c>
      <c r="J21" s="1">
        <v>6</v>
      </c>
      <c r="K21" s="1">
        <v>1</v>
      </c>
      <c r="L21" s="1" cm="1">
        <f t="array" aca="1" ref="L21" ca="1">INDIRECT("'Pomoćni list'!" &amp; ADDRESS(41, ROW(A16) + 3, 4))</f>
        <v>0.25</v>
      </c>
      <c r="M21" s="4">
        <v>1</v>
      </c>
      <c r="N21" s="80">
        <f t="shared" ca="1" si="0"/>
        <v>109.25</v>
      </c>
      <c r="O21" s="4">
        <f t="shared" ca="1" si="1"/>
        <v>23</v>
      </c>
    </row>
    <row r="22" spans="1:15" x14ac:dyDescent="0.3">
      <c r="A22" s="10" t="s">
        <v>18</v>
      </c>
      <c r="B22" s="1">
        <v>8</v>
      </c>
      <c r="C22" s="1" cm="1">
        <f t="array" aca="1" ref="C22" ca="1">INDIRECT("'Pomoćni list'!" &amp; ADDRESS(19, ROW(A17) + 3, 4))</f>
        <v>5.5</v>
      </c>
      <c r="D22" s="1" cm="1">
        <f t="array" aca="1" ref="D22" ca="1">INDIRECT("'Pomoćni list'!" &amp; ADDRESS(52, ROW(A17) + 3, 4))</f>
        <v>49.699999999999996</v>
      </c>
      <c r="E22" s="1" cm="1">
        <f t="array" aca="1" ref="E22" ca="1">INDIRECT("'Pomoćni list'!" &amp; ADDRESS(86, ROW(A17) + 3, 4))</f>
        <v>53</v>
      </c>
      <c r="F22" s="1">
        <v>6</v>
      </c>
      <c r="G22" s="1">
        <v>7</v>
      </c>
      <c r="H22" s="1">
        <v>8</v>
      </c>
      <c r="I22" s="1">
        <v>5</v>
      </c>
      <c r="J22" s="1">
        <v>7</v>
      </c>
      <c r="K22" s="1">
        <v>4</v>
      </c>
      <c r="L22" s="1" cm="1">
        <f t="array" aca="1" ref="L22" ca="1">INDIRECT("'Pomoćni list'!" &amp; ADDRESS(41, ROW(A17) + 3, 4))</f>
        <v>0.3</v>
      </c>
      <c r="M22" s="4">
        <v>1</v>
      </c>
      <c r="N22" s="80">
        <f t="shared" ca="1" si="0"/>
        <v>143.89999999999998</v>
      </c>
      <c r="O22" s="4">
        <f t="shared" ca="1" si="1"/>
        <v>13</v>
      </c>
    </row>
    <row r="23" spans="1:15" x14ac:dyDescent="0.3">
      <c r="A23" s="10" t="s">
        <v>19</v>
      </c>
      <c r="B23" s="1">
        <v>8</v>
      </c>
      <c r="C23" s="1" cm="1">
        <f t="array" aca="1" ref="C23" ca="1">INDIRECT("'Pomoćni list'!" &amp; ADDRESS(19, ROW(A18) + 3, 4))</f>
        <v>7.5</v>
      </c>
      <c r="D23" s="1" cm="1">
        <f t="array" aca="1" ref="D23" ca="1">INDIRECT("'Pomoćni list'!" &amp; ADDRESS(52, ROW(A18) + 3, 4))</f>
        <v>46.3</v>
      </c>
      <c r="E23" s="1" cm="1">
        <f t="array" aca="1" ref="E23" ca="1">INDIRECT("'Pomoćni list'!" &amp; ADDRESS(86, ROW(A18) + 3, 4))</f>
        <v>43.5</v>
      </c>
      <c r="F23" s="1">
        <v>5</v>
      </c>
      <c r="G23" s="1">
        <v>7</v>
      </c>
      <c r="H23" s="1">
        <v>9</v>
      </c>
      <c r="I23" s="1">
        <v>2</v>
      </c>
      <c r="J23" s="1">
        <v>6</v>
      </c>
      <c r="K23" s="1">
        <v>1.5</v>
      </c>
      <c r="L23" s="1" cm="1">
        <f t="array" aca="1" ref="L23" ca="1">INDIRECT("'Pomoćni list'!" &amp; ADDRESS(41, ROW(A18) + 3, 4))</f>
        <v>0.5</v>
      </c>
      <c r="M23" s="4">
        <v>1.2</v>
      </c>
      <c r="N23" s="80">
        <f t="shared" ca="1" si="0"/>
        <v>131.10000000000002</v>
      </c>
      <c r="O23" s="4">
        <f t="shared" ca="1" si="1"/>
        <v>18</v>
      </c>
    </row>
    <row r="24" spans="1:15" x14ac:dyDescent="0.3">
      <c r="A24" s="96" t="s">
        <v>20</v>
      </c>
      <c r="B24" s="97">
        <v>7.5</v>
      </c>
      <c r="C24" s="97" cm="1">
        <f t="array" aca="1" ref="C24" ca="1">INDIRECT("'Pomoćni list'!" &amp; ADDRESS(19, ROW(A19) + 3, 4))</f>
        <v>4.5</v>
      </c>
      <c r="D24" s="97" cm="1">
        <f t="array" aca="1" ref="D24" ca="1">INDIRECT("'Pomoćni list'!" &amp; ADDRESS(52, ROW(A19) + 3, 4))</f>
        <v>35.950000000000003</v>
      </c>
      <c r="E24" s="108" cm="1">
        <f t="array" aca="1" ref="E24" ca="1">INDIRECT("'Pomoćni list'!" &amp; ADDRESS(86, ROW(A19) + 3, 4))</f>
        <v>11</v>
      </c>
      <c r="F24" s="97">
        <v>7</v>
      </c>
      <c r="G24" s="97">
        <v>4</v>
      </c>
      <c r="H24" s="97">
        <v>2</v>
      </c>
      <c r="I24" s="97">
        <v>3</v>
      </c>
      <c r="J24" s="97">
        <v>6</v>
      </c>
      <c r="K24" s="97">
        <v>10</v>
      </c>
      <c r="L24" s="98" cm="1">
        <f t="array" aca="1" ref="L24" ca="1">INDIRECT("'Pomoćni list'!" &amp; ADDRESS(41, ROW(A19) + 3, 4))</f>
        <v>0.75</v>
      </c>
      <c r="M24" s="99">
        <v>4</v>
      </c>
      <c r="N24" s="100">
        <f t="shared" ca="1" si="0"/>
        <v>66.2</v>
      </c>
      <c r="O24" s="101">
        <f t="shared" ca="1" si="1"/>
        <v>27</v>
      </c>
    </row>
    <row r="25" spans="1:15" x14ac:dyDescent="0.3">
      <c r="A25" s="10" t="s">
        <v>21</v>
      </c>
      <c r="B25" s="1">
        <v>8</v>
      </c>
      <c r="C25" s="1" cm="1">
        <f t="array" aca="1" ref="C25" ca="1">INDIRECT("'Pomoćni list'!" &amp; ADDRESS(19, ROW(A20) + 3, 4))</f>
        <v>7.5</v>
      </c>
      <c r="D25" s="1" cm="1">
        <f t="array" aca="1" ref="D25" ca="1">INDIRECT("'Pomoćni list'!" &amp; ADDRESS(52, ROW(A20) + 3, 4))</f>
        <v>42.8</v>
      </c>
      <c r="E25" s="1" cm="1">
        <f t="array" aca="1" ref="E25" ca="1">INDIRECT("'Pomoćni list'!" &amp; ADDRESS(86, ROW(A20) + 3, 4))</f>
        <v>52</v>
      </c>
      <c r="F25" s="1">
        <v>5</v>
      </c>
      <c r="G25" s="1">
        <v>7</v>
      </c>
      <c r="H25" s="1">
        <v>9</v>
      </c>
      <c r="I25" s="1">
        <v>2</v>
      </c>
      <c r="J25" s="1">
        <v>5</v>
      </c>
      <c r="K25" s="1">
        <v>1</v>
      </c>
      <c r="L25" s="1" cm="1">
        <f t="array" aca="1" ref="L25" ca="1">INDIRECT("'Pomoćni list'!" &amp; ADDRESS(41, ROW(A20) + 3, 4))</f>
        <v>0.51</v>
      </c>
      <c r="M25" s="4">
        <v>1</v>
      </c>
      <c r="N25" s="80">
        <f t="shared" ca="1" si="0"/>
        <v>135.79000000000002</v>
      </c>
      <c r="O25" s="4">
        <f t="shared" ca="1" si="1"/>
        <v>16</v>
      </c>
    </row>
    <row r="26" spans="1:15" x14ac:dyDescent="0.3">
      <c r="A26" s="105" t="s">
        <v>22</v>
      </c>
      <c r="B26" s="114">
        <v>8</v>
      </c>
      <c r="C26" s="114" cm="1">
        <f t="array" aca="1" ref="C26" ca="1">INDIRECT("'Pomoćni list'!" &amp; ADDRESS(19, ROW(A21) + 3, 4))</f>
        <v>7.5</v>
      </c>
      <c r="D26" s="114" cm="1">
        <f t="array" aca="1" ref="D26" ca="1">INDIRECT("'Pomoćni list'!" &amp; ADDRESS(52, ROW(A21) + 3, 4))</f>
        <v>51.249999999999993</v>
      </c>
      <c r="E26" s="114" cm="1">
        <f t="array" aca="1" ref="E26" ca="1">INDIRECT("'Pomoćni list'!" &amp; ADDRESS(86, ROW(A21) + 3, 4))</f>
        <v>110.5</v>
      </c>
      <c r="F26" s="114">
        <v>5</v>
      </c>
      <c r="G26" s="114">
        <v>7</v>
      </c>
      <c r="H26" s="114">
        <v>8.5</v>
      </c>
      <c r="I26" s="114">
        <v>8</v>
      </c>
      <c r="J26" s="114">
        <v>5</v>
      </c>
      <c r="K26" s="114">
        <v>2.5</v>
      </c>
      <c r="L26" s="115" cm="1">
        <f t="array" aca="1" ref="L26" ca="1">INDIRECT("'Pomoćni list'!" &amp; ADDRESS(41, ROW(A21) + 3, 4))</f>
        <v>0.43</v>
      </c>
      <c r="M26" s="107">
        <v>1</v>
      </c>
      <c r="N26" s="116">
        <f t="shared" ca="1" si="0"/>
        <v>206.82</v>
      </c>
      <c r="O26" s="107">
        <f t="shared" ca="1" si="1"/>
        <v>2</v>
      </c>
    </row>
    <row r="27" spans="1:15" x14ac:dyDescent="0.3">
      <c r="A27" s="10" t="s">
        <v>23</v>
      </c>
      <c r="B27" s="1">
        <v>8</v>
      </c>
      <c r="C27" s="1" cm="1">
        <f t="array" aca="1" ref="C27" ca="1">INDIRECT("'Pomoćni list'!" &amp; ADDRESS(19, ROW(A22) + 3, 4))</f>
        <v>6</v>
      </c>
      <c r="D27" s="1" cm="1">
        <f t="array" aca="1" ref="D27" ca="1">INDIRECT("'Pomoćni list'!" &amp; ADDRESS(52, ROW(A22) + 3, 4))</f>
        <v>51.75</v>
      </c>
      <c r="E27" s="1" cm="1">
        <f t="array" aca="1" ref="E27" ca="1">INDIRECT("'Pomoćni list'!" &amp; ADDRESS(86, ROW(A22) + 3, 4))</f>
        <v>41.5</v>
      </c>
      <c r="F27" s="1">
        <v>6</v>
      </c>
      <c r="G27" s="1">
        <v>7</v>
      </c>
      <c r="H27" s="1">
        <v>4</v>
      </c>
      <c r="I27" s="1">
        <v>5.5</v>
      </c>
      <c r="J27" s="1">
        <v>8</v>
      </c>
      <c r="K27" s="1">
        <v>5</v>
      </c>
      <c r="L27" s="1" cm="1">
        <f t="array" aca="1" ref="L27" ca="1">INDIRECT("'Pomoćni list'!" &amp; ADDRESS(41, ROW(A22) + 3, 4))</f>
        <v>0.25</v>
      </c>
      <c r="M27" s="4">
        <v>1</v>
      </c>
      <c r="N27" s="80">
        <f t="shared" ca="1" si="0"/>
        <v>131.5</v>
      </c>
      <c r="O27" s="4">
        <f t="shared" ca="1" si="1"/>
        <v>17</v>
      </c>
    </row>
    <row r="28" spans="1:15" x14ac:dyDescent="0.3">
      <c r="A28" s="10" t="s">
        <v>24</v>
      </c>
      <c r="B28" s="1">
        <v>7.5</v>
      </c>
      <c r="C28" s="1" cm="1">
        <f t="array" aca="1" ref="C28" ca="1">INDIRECT("'Pomoćni list'!" &amp; ADDRESS(19, ROW(A23) + 3, 4))</f>
        <v>4.5</v>
      </c>
      <c r="D28" s="1" cm="1">
        <f t="array" aca="1" ref="D28" ca="1">INDIRECT("'Pomoćni list'!" &amp; ADDRESS(52, ROW(A23) + 3, 4))</f>
        <v>32.25</v>
      </c>
      <c r="E28" s="1" cm="1">
        <f t="array" aca="1" ref="E28" ca="1">INDIRECT("'Pomoćni list'!" &amp; ADDRESS(86, ROW(A23) + 3, 4))</f>
        <v>13</v>
      </c>
      <c r="F28" s="1">
        <v>7</v>
      </c>
      <c r="G28" s="1">
        <v>4</v>
      </c>
      <c r="H28" s="1">
        <v>2</v>
      </c>
      <c r="I28" s="1">
        <v>10</v>
      </c>
      <c r="J28" s="1">
        <v>6</v>
      </c>
      <c r="K28" s="1">
        <v>10</v>
      </c>
      <c r="L28" s="1" cm="1">
        <f t="array" aca="1" ref="L28" ca="1">INDIRECT("'Pomoćni list'!" &amp; ADDRESS(41, ROW(A23) + 3, 4))</f>
        <v>0.5</v>
      </c>
      <c r="M28" s="4">
        <v>3</v>
      </c>
      <c r="N28" s="80">
        <f t="shared" ca="1" si="0"/>
        <v>72.75</v>
      </c>
      <c r="O28" s="4">
        <f t="shared" ca="1" si="1"/>
        <v>26</v>
      </c>
    </row>
    <row r="29" spans="1:15" x14ac:dyDescent="0.3">
      <c r="A29" s="10" t="s">
        <v>25</v>
      </c>
      <c r="B29" s="1">
        <v>8</v>
      </c>
      <c r="C29" s="1" cm="1">
        <f t="array" aca="1" ref="C29" ca="1">INDIRECT("'Pomoćni list'!" &amp; ADDRESS(19, ROW(A24) + 3, 4))</f>
        <v>7</v>
      </c>
      <c r="D29" s="1" cm="1">
        <f t="array" aca="1" ref="D29" ca="1">INDIRECT("'Pomoćni list'!" &amp; ADDRESS(52, ROW(A24) + 3, 4))</f>
        <v>50.05</v>
      </c>
      <c r="E29" s="1" cm="1">
        <f t="array" aca="1" ref="E29" ca="1">INDIRECT("'Pomoćni list'!" &amp; ADDRESS(86, ROW(A24) + 3, 4))</f>
        <v>92.5</v>
      </c>
      <c r="F29" s="1">
        <v>5</v>
      </c>
      <c r="G29" s="1">
        <v>7</v>
      </c>
      <c r="H29" s="1">
        <v>7</v>
      </c>
      <c r="I29" s="1">
        <v>8</v>
      </c>
      <c r="J29" s="1">
        <v>5</v>
      </c>
      <c r="K29" s="1">
        <v>2.5</v>
      </c>
      <c r="L29" s="1" cm="1">
        <f t="array" aca="1" ref="L29" ca="1">INDIRECT("'Pomoćni list'!" &amp; ADDRESS(41, ROW(A24) + 3, 4))</f>
        <v>0.5</v>
      </c>
      <c r="M29" s="4">
        <v>1</v>
      </c>
      <c r="N29" s="80">
        <f t="shared" ca="1" si="0"/>
        <v>185.55</v>
      </c>
      <c r="O29" s="4">
        <f t="shared" ca="1" si="1"/>
        <v>8</v>
      </c>
    </row>
    <row r="30" spans="1:15" x14ac:dyDescent="0.3">
      <c r="A30" s="10" t="s">
        <v>26</v>
      </c>
      <c r="B30" s="1">
        <v>7.5</v>
      </c>
      <c r="C30" s="1" cm="1">
        <f t="array" aca="1" ref="C30" ca="1">INDIRECT("'Pomoćni list'!" &amp; ADDRESS(19, ROW(A25) + 3, 4))</f>
        <v>5.5</v>
      </c>
      <c r="D30" s="1" cm="1">
        <f t="array" aca="1" ref="D30" ca="1">INDIRECT("'Pomoćni list'!" &amp; ADDRESS(52, ROW(A25) + 3, 4))</f>
        <v>30.249999999999996</v>
      </c>
      <c r="E30" s="1" cm="1">
        <f t="array" aca="1" ref="E30" ca="1">INDIRECT("'Pomoćni list'!" &amp; ADDRESS(86, ROW(A25) + 3, 4))</f>
        <v>32.5</v>
      </c>
      <c r="F30" s="1">
        <v>4</v>
      </c>
      <c r="G30" s="1">
        <v>6.5</v>
      </c>
      <c r="H30" s="1">
        <v>6</v>
      </c>
      <c r="I30" s="1">
        <v>2</v>
      </c>
      <c r="J30" s="1">
        <v>4</v>
      </c>
      <c r="K30" s="1">
        <v>6</v>
      </c>
      <c r="L30" s="1" cm="1">
        <f t="array" aca="1" ref="L30" ca="1">INDIRECT("'Pomoćni list'!" &amp; ADDRESS(41, ROW(A25) + 3, 4))</f>
        <v>0.75</v>
      </c>
      <c r="M30" s="4">
        <v>2</v>
      </c>
      <c r="N30" s="102">
        <f t="shared" ca="1" si="0"/>
        <v>89.5</v>
      </c>
      <c r="O30" s="103">
        <f t="shared" ca="1" si="1"/>
        <v>25</v>
      </c>
    </row>
    <row r="31" spans="1:15" x14ac:dyDescent="0.3">
      <c r="A31" s="10" t="s">
        <v>27</v>
      </c>
      <c r="B31" s="1">
        <v>7.5</v>
      </c>
      <c r="C31" s="1" cm="1">
        <f t="array" aca="1" ref="C31" ca="1">INDIRECT("'Pomoćni list'!" &amp; ADDRESS(19, ROW(A26) + 3, 4))</f>
        <v>7.5</v>
      </c>
      <c r="D31" s="1" cm="1">
        <f t="array" aca="1" ref="D31" ca="1">INDIRECT("'Pomoćni list'!" &amp; ADDRESS(52, ROW(A26) + 3, 4))</f>
        <v>51.600000000000009</v>
      </c>
      <c r="E31" s="1" cm="1">
        <f t="array" aca="1" ref="E31" ca="1">INDIRECT("'Pomoćni list'!" &amp; ADDRESS(86, ROW(A26) + 3, 4))</f>
        <v>81.5</v>
      </c>
      <c r="F31" s="1">
        <v>7</v>
      </c>
      <c r="G31" s="1">
        <v>6</v>
      </c>
      <c r="H31" s="1">
        <v>3</v>
      </c>
      <c r="I31" s="1">
        <v>10</v>
      </c>
      <c r="J31" s="1">
        <v>8</v>
      </c>
      <c r="K31" s="1">
        <v>7</v>
      </c>
      <c r="L31" s="1" cm="1">
        <f t="array" aca="1" ref="L31" ca="1">INDIRECT("'Pomoćni list'!" &amp; ADDRESS(41, ROW(A26) + 3, 4))</f>
        <v>0.5</v>
      </c>
      <c r="M31" s="4">
        <v>1</v>
      </c>
      <c r="N31" s="80">
        <f t="shared" ca="1" si="0"/>
        <v>173.60000000000002</v>
      </c>
      <c r="O31" s="4">
        <f t="shared" ca="1" si="1"/>
        <v>11</v>
      </c>
    </row>
    <row r="32" spans="1:15" ht="17.25" thickBot="1" x14ac:dyDescent="0.35">
      <c r="A32" s="27" t="s">
        <v>28</v>
      </c>
      <c r="B32" s="3">
        <v>8</v>
      </c>
      <c r="C32" s="3" cm="1">
        <f t="array" aca="1" ref="C32" ca="1">INDIRECT("'Pomoćni list'!" &amp; ADDRESS(19, ROW(A27) + 3, 4))</f>
        <v>8</v>
      </c>
      <c r="D32" s="3" cm="1">
        <f t="array" aca="1" ref="D32" ca="1">INDIRECT("'Pomoćni list'!" &amp; ADDRESS(52, ROW(A27) + 3, 4))</f>
        <v>46.550000000000004</v>
      </c>
      <c r="E32" s="3" cm="1">
        <f t="array" aca="1" ref="E32" ca="1">INDIRECT("'Pomoćni list'!" &amp; ADDRESS(86, ROW(A27) + 3, 4))</f>
        <v>38.5</v>
      </c>
      <c r="F32" s="3">
        <v>5</v>
      </c>
      <c r="G32" s="3">
        <v>5</v>
      </c>
      <c r="H32" s="3">
        <v>4.5</v>
      </c>
      <c r="I32" s="3">
        <v>2</v>
      </c>
      <c r="J32" s="3">
        <v>5</v>
      </c>
      <c r="K32" s="3">
        <v>8.5</v>
      </c>
      <c r="L32" s="3" cm="1">
        <f t="array" aca="1" ref="L32" ca="1">INDIRECT("'Pomoćni list'!" &amp; ADDRESS(41, ROW(A27) + 3, 4))</f>
        <v>0.37</v>
      </c>
      <c r="M32" s="5">
        <v>1</v>
      </c>
      <c r="N32" s="81">
        <f t="shared" ca="1" si="0"/>
        <v>112.68</v>
      </c>
      <c r="O32" s="5">
        <f t="shared" ca="1" si="1"/>
        <v>22</v>
      </c>
    </row>
    <row r="33" spans="13:15" x14ac:dyDescent="0.3">
      <c r="M33" s="87"/>
      <c r="N33" s="87"/>
      <c r="O33" s="84"/>
    </row>
    <row r="34" spans="13:15" x14ac:dyDescent="0.3">
      <c r="M34" s="82"/>
      <c r="N34" s="82"/>
    </row>
  </sheetData>
  <mergeCells count="4">
    <mergeCell ref="A1:B1"/>
    <mergeCell ref="B3:M3"/>
    <mergeCell ref="N4:O4"/>
    <mergeCell ref="N5:O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AF84-0C4E-415B-8243-D9D3090674CA}">
  <sheetPr>
    <pageSetUpPr fitToPage="1"/>
  </sheetPr>
  <dimension ref="A1:P34"/>
  <sheetViews>
    <sheetView zoomScaleNormal="100" workbookViewId="0">
      <selection activeCell="B23" sqref="B23"/>
    </sheetView>
  </sheetViews>
  <sheetFormatPr defaultRowHeight="16.5" x14ac:dyDescent="0.3"/>
  <cols>
    <col min="1" max="2" width="25.7109375" style="1" customWidth="1"/>
    <col min="3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20.7109375" style="1" customWidth="1"/>
    <col min="10" max="10" width="35.5703125" style="1" customWidth="1"/>
    <col min="11" max="13" width="20.7109375" style="1" customWidth="1"/>
    <col min="14" max="14" width="25.7109375" style="1" customWidth="1"/>
    <col min="15" max="29" width="20.7109375" style="1" customWidth="1"/>
    <col min="30" max="16384" width="9.140625" style="1"/>
  </cols>
  <sheetData>
    <row r="1" spans="1:16" ht="16.5" customHeight="1" x14ac:dyDescent="0.3">
      <c r="A1" s="118" t="s">
        <v>141</v>
      </c>
      <c r="B1" s="118"/>
    </row>
    <row r="2" spans="1:16" ht="17.25" thickBot="1" x14ac:dyDescent="0.35">
      <c r="A2" s="2"/>
    </row>
    <row r="3" spans="1:16" ht="18" thickTop="1" thickBot="1" x14ac:dyDescent="0.35">
      <c r="A3" s="8" t="s">
        <v>142</v>
      </c>
      <c r="B3" s="119" t="s">
        <v>1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29" t="s">
        <v>93</v>
      </c>
      <c r="O3" s="29" t="s">
        <v>105</v>
      </c>
    </row>
    <row r="4" spans="1:16" ht="17.25" thickTop="1" x14ac:dyDescent="0.3">
      <c r="A4" s="34" t="s">
        <v>41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7" t="s">
        <v>0</v>
      </c>
      <c r="L4" s="7" t="s">
        <v>0</v>
      </c>
      <c r="M4" s="9" t="s">
        <v>0</v>
      </c>
      <c r="N4" s="120" t="s">
        <v>41</v>
      </c>
      <c r="O4" s="121"/>
    </row>
    <row r="5" spans="1:16" ht="17.25" thickBot="1" x14ac:dyDescent="0.35">
      <c r="A5" s="35" t="s">
        <v>103</v>
      </c>
      <c r="B5" s="3" t="s">
        <v>39</v>
      </c>
      <c r="C5" s="3" t="s">
        <v>31</v>
      </c>
      <c r="D5" s="3" t="s">
        <v>30</v>
      </c>
      <c r="E5" s="3" t="s">
        <v>32</v>
      </c>
      <c r="F5" s="3" t="s">
        <v>44</v>
      </c>
      <c r="G5" s="3" t="s">
        <v>35</v>
      </c>
      <c r="H5" s="3" t="s">
        <v>36</v>
      </c>
      <c r="I5" s="3" t="s">
        <v>38</v>
      </c>
      <c r="J5" s="3" t="s">
        <v>37</v>
      </c>
      <c r="K5" s="3" t="s">
        <v>72</v>
      </c>
      <c r="L5" s="3" t="s">
        <v>33</v>
      </c>
      <c r="M5" s="5" t="s">
        <v>34</v>
      </c>
      <c r="N5" s="122" t="s">
        <v>103</v>
      </c>
      <c r="O5" s="123"/>
    </row>
    <row r="6" spans="1:16" x14ac:dyDescent="0.3">
      <c r="A6" s="10" t="s">
        <v>2</v>
      </c>
      <c r="B6" s="30" cm="1">
        <f t="array" aca="1" ref="B6" ca="1">Ocjene!B6/INDIRECT("Ocjene!" &amp; CHAR(66 + COLUMN(A1) - 1) &amp; $A$34)</f>
        <v>1.0666666666666667</v>
      </c>
      <c r="C6" s="30" cm="1">
        <f t="array" aca="1" ref="C6" ca="1">Ocjene!C6/INDIRECT("Ocjene!" &amp; CHAR(66 + COLUMN(B1) - 1) &amp; $A$34)</f>
        <v>2</v>
      </c>
      <c r="D6" s="30" cm="1">
        <f t="array" aca="1" ref="D6" ca="1">Ocjene!D6/INDIRECT("Ocjene!" &amp; CHAR(66 + COLUMN(C1) - 1) &amp; $A$34)</f>
        <v>1.2531293463143254</v>
      </c>
      <c r="E6" s="30" cm="1">
        <f t="array" aca="1" ref="E6" ca="1">Ocjene!E6/INDIRECT("Ocjene!" &amp; CHAR(66 + COLUMN(D1) - 1) &amp; $A$34)</f>
        <v>11.409090909090908</v>
      </c>
      <c r="F6" s="30" cm="1">
        <f t="array" aca="1" ref="F6" ca="1">Ocjene!F6/INDIRECT("Ocjene!" &amp; CHAR(66 + COLUMN(E1) - 1) &amp; $A$34)</f>
        <v>0.7857142857142857</v>
      </c>
      <c r="G6" s="30" cm="1">
        <f t="array" aca="1" ref="G6" ca="1">Ocjene!G6/INDIRECT("Ocjene!" &amp; CHAR(66 + COLUMN(F1) - 1) &amp; $A$34)</f>
        <v>1.75</v>
      </c>
      <c r="H6" s="30" cm="1">
        <f t="array" aca="1" ref="H6" ca="1">Ocjene!H6/INDIRECT("Ocjene!" &amp; CHAR(66 + COLUMN(G1) - 1) &amp; $A$34)</f>
        <v>3.5</v>
      </c>
      <c r="I6" s="30" cm="1">
        <f t="array" aca="1" ref="I6" ca="1">Ocjene!I6/INDIRECT("Ocjene!" &amp; CHAR(66 + COLUMN(H1) - 1) &amp; $A$34)</f>
        <v>2</v>
      </c>
      <c r="J6" s="30" cm="1">
        <f t="array" aca="1" ref="J6" ca="1">Ocjene!J6/INDIRECT("Ocjene!" &amp; CHAR(66 + COLUMN(I1) - 1) &amp; $A$34)</f>
        <v>0.83333333333333337</v>
      </c>
      <c r="K6" s="30" cm="1">
        <f t="array" aca="1" ref="K6" ca="1">Ocjene!K6/INDIRECT("Ocjene!" &amp; CHAR(66 + COLUMN(J1) - 1) &amp; $A$34)</f>
        <v>0.3</v>
      </c>
      <c r="L6" s="30" cm="1">
        <f t="array" aca="1" ref="L6" ca="1">Ocjene!L6/INDIRECT("Ocjene!" &amp; CHAR(66 + COLUMN(K1) - 1) &amp; $A$34)</f>
        <v>0.84</v>
      </c>
      <c r="M6" s="30" cm="1">
        <f t="array" aca="1" ref="M6" ca="1">Ocjene!M6/INDIRECT("Ocjene!" &amp; CHAR(66 + COLUMN(L1) - 1) &amp; $A$34)</f>
        <v>0.25</v>
      </c>
      <c r="N6" s="73">
        <f t="shared" ref="N6:N32" ca="1" si="0">SUM(B6:J6) - SUM(K6:M6)</f>
        <v>23.207934541119517</v>
      </c>
      <c r="O6" s="72">
        <f ca="1">RANK(N6,$N$6:$N$32)</f>
        <v>2</v>
      </c>
    </row>
    <row r="7" spans="1:16" x14ac:dyDescent="0.3">
      <c r="A7" s="10" t="s">
        <v>3</v>
      </c>
      <c r="B7" s="30" cm="1">
        <f t="array" aca="1" ref="B7" ca="1">Ocjene!B7/INDIRECT("Ocjene!" &amp; CHAR(66 + COLUMN(A2) - 1) &amp; $A$34)</f>
        <v>1.0666666666666667</v>
      </c>
      <c r="C7" s="30" cm="1">
        <f t="array" aca="1" ref="C7" ca="1">Ocjene!C7/INDIRECT("Ocjene!" &amp; CHAR(66 + COLUMN(B2) - 1) &amp; $A$34)</f>
        <v>1.4444444444444444</v>
      </c>
      <c r="D7" s="30" cm="1">
        <f t="array" aca="1" ref="D7" ca="1">Ocjene!D7/INDIRECT("Ocjene!" &amp; CHAR(66 + COLUMN(C2) - 1) &amp; $A$34)</f>
        <v>1.3179415855354659</v>
      </c>
      <c r="E7" s="30" cm="1">
        <f t="array" aca="1" ref="E7" ca="1">Ocjene!E7/INDIRECT("Ocjene!" &amp; CHAR(66 + COLUMN(D2) - 1) &amp; $A$34)</f>
        <v>8.2727272727272734</v>
      </c>
      <c r="F7" s="30" cm="1">
        <f t="array" aca="1" ref="F7" ca="1">Ocjene!F7/INDIRECT("Ocjene!" &amp; CHAR(66 + COLUMN(E2) - 1) &amp; $A$34)</f>
        <v>0.8571428571428571</v>
      </c>
      <c r="G7" s="30" cm="1">
        <f t="array" aca="1" ref="G7" ca="1">Ocjene!G7/INDIRECT("Ocjene!" &amp; CHAR(66 + COLUMN(F2) - 1) &amp; $A$34)</f>
        <v>1.75</v>
      </c>
      <c r="H7" s="30" cm="1">
        <f t="array" aca="1" ref="H7" ca="1">Ocjene!H7/INDIRECT("Ocjene!" &amp; CHAR(66 + COLUMN(G2) - 1) &amp; $A$34)</f>
        <v>4</v>
      </c>
      <c r="I7" s="30" cm="1">
        <f t="array" aca="1" ref="I7" ca="1">Ocjene!I7/INDIRECT("Ocjene!" &amp; CHAR(66 + COLUMN(H2) - 1) &amp; $A$34)</f>
        <v>1.6666666666666667</v>
      </c>
      <c r="J7" s="30" cm="1">
        <f t="array" aca="1" ref="J7" ca="1">Ocjene!J7/INDIRECT("Ocjene!" &amp; CHAR(66 + COLUMN(I2) - 1) &amp; $A$34)</f>
        <v>1</v>
      </c>
      <c r="K7" s="30" cm="1">
        <f t="array" aca="1" ref="K7" ca="1">Ocjene!K7/INDIRECT("Ocjene!" &amp; CHAR(66 + COLUMN(J2) - 1) &amp; $A$34)</f>
        <v>0.4</v>
      </c>
      <c r="L7" s="30" cm="1">
        <f t="array" aca="1" ref="L7" ca="1">Ocjene!L7/INDIRECT("Ocjene!" &amp; CHAR(66 + COLUMN(K2) - 1) &amp; $A$34)</f>
        <v>0.39999999999999997</v>
      </c>
      <c r="M7" s="30" cm="1">
        <f t="array" aca="1" ref="M7" ca="1">Ocjene!M7/INDIRECT("Ocjene!" &amp; CHAR(66 + COLUMN(L2) - 1) &amp; $A$34)</f>
        <v>0.25</v>
      </c>
      <c r="N7" s="74">
        <f t="shared" ca="1" si="0"/>
        <v>20.325589493183376</v>
      </c>
      <c r="O7" s="4">
        <f t="shared" ref="O7:O32" ca="1" si="1">RANK(N7,$N$6:$N$32)</f>
        <v>9</v>
      </c>
    </row>
    <row r="8" spans="1:16" x14ac:dyDescent="0.3">
      <c r="A8" s="10" t="s">
        <v>4</v>
      </c>
      <c r="B8" s="30" cm="1">
        <f t="array" aca="1" ref="B8" ca="1">Ocjene!B8/INDIRECT("Ocjene!" &amp; CHAR(66 + COLUMN(A3) - 1) &amp; $A$34)</f>
        <v>1.0666666666666667</v>
      </c>
      <c r="C8" s="30" cm="1">
        <f t="array" aca="1" ref="C8" ca="1">Ocjene!C8/INDIRECT("Ocjene!" &amp; CHAR(66 + COLUMN(B3) - 1) &amp; $A$34)</f>
        <v>1.8888888888888888</v>
      </c>
      <c r="D8" s="30" cm="1">
        <f t="array" aca="1" ref="D8" ca="1">Ocjene!D8/INDIRECT("Ocjene!" &amp; CHAR(66 + COLUMN(C3) - 1) &amp; $A$34)</f>
        <v>1.3713490959666201</v>
      </c>
      <c r="E8" s="30" cm="1">
        <f t="array" aca="1" ref="E8" ca="1">Ocjene!E8/INDIRECT("Ocjene!" &amp; CHAR(66 + COLUMN(D3) - 1) &amp; $A$34)</f>
        <v>9.2272727272727266</v>
      </c>
      <c r="F8" s="30" cm="1">
        <f t="array" aca="1" ref="F8" ca="1">Ocjene!F8/INDIRECT("Ocjene!" &amp; CHAR(66 + COLUMN(E3) - 1) &amp; $A$34)</f>
        <v>0.7857142857142857</v>
      </c>
      <c r="G8" s="30" cm="1">
        <f t="array" aca="1" ref="G8" ca="1">Ocjene!G8/INDIRECT("Ocjene!" &amp; CHAR(66 + COLUMN(F3) - 1) &amp; $A$34)</f>
        <v>1.75</v>
      </c>
      <c r="H8" s="30" cm="1">
        <f t="array" aca="1" ref="H8" ca="1">Ocjene!H8/INDIRECT("Ocjene!" &amp; CHAR(66 + COLUMN(G3) - 1) &amp; $A$34)</f>
        <v>3.5</v>
      </c>
      <c r="I8" s="30" cm="1">
        <f t="array" aca="1" ref="I8" ca="1">Ocjene!I8/INDIRECT("Ocjene!" &amp; CHAR(66 + COLUMN(H3) - 1) &amp; $A$34)</f>
        <v>1.6666666666666667</v>
      </c>
      <c r="J8" s="30" cm="1">
        <f t="array" aca="1" ref="J8" ca="1">Ocjene!J8/INDIRECT("Ocjene!" &amp; CHAR(66 + COLUMN(I3) - 1) &amp; $A$34)</f>
        <v>1</v>
      </c>
      <c r="K8" s="30" cm="1">
        <f t="array" aca="1" ref="K8" ca="1">Ocjene!K8/INDIRECT("Ocjene!" &amp; CHAR(66 + COLUMN(J3) - 1) &amp; $A$34)</f>
        <v>0.3</v>
      </c>
      <c r="L8" s="30" cm="1">
        <f t="array" aca="1" ref="L8" ca="1">Ocjene!L8/INDIRECT("Ocjene!" &amp; CHAR(66 + COLUMN(K3) - 1) &amp; $A$34)</f>
        <v>0.77333333333333343</v>
      </c>
      <c r="M8" s="30" cm="1">
        <f t="array" aca="1" ref="M8" ca="1">Ocjene!M8/INDIRECT("Ocjene!" &amp; CHAR(66 + COLUMN(L3) - 1) &amp; $A$34)</f>
        <v>0.25</v>
      </c>
      <c r="N8" s="74">
        <f t="shared" ca="1" si="0"/>
        <v>20.933224997842522</v>
      </c>
      <c r="O8" s="4">
        <f t="shared" ca="1" si="1"/>
        <v>6</v>
      </c>
    </row>
    <row r="9" spans="1:16" x14ac:dyDescent="0.3">
      <c r="A9" s="10" t="s">
        <v>5</v>
      </c>
      <c r="B9" s="30" cm="1">
        <f t="array" aca="1" ref="B9" ca="1">Ocjene!B9/INDIRECT("Ocjene!" &amp; CHAR(66 + COLUMN(A4) - 1) &amp; $A$34)</f>
        <v>1</v>
      </c>
      <c r="C9" s="30" cm="1">
        <f t="array" aca="1" ref="C9" ca="1">Ocjene!C9/INDIRECT("Ocjene!" &amp; CHAR(66 + COLUMN(B4) - 1) &amp; $A$34)</f>
        <v>1.2222222222222223</v>
      </c>
      <c r="D9" s="30" cm="1">
        <f t="array" aca="1" ref="D9" ca="1">Ocjene!D9/INDIRECT("Ocjene!" &amp; CHAR(66 + COLUMN(C4) - 1) &amp; $A$34)</f>
        <v>1.2378303198887344</v>
      </c>
      <c r="E9" s="30" cm="1">
        <f t="array" aca="1" ref="E9" ca="1">Ocjene!E9/INDIRECT("Ocjene!" &amp; CHAR(66 + COLUMN(D4) - 1) &amp; $A$34)</f>
        <v>4.1363636363636367</v>
      </c>
      <c r="F9" s="30" cm="1">
        <f t="array" aca="1" ref="F9" ca="1">Ocjene!F9/INDIRECT("Ocjene!" &amp; CHAR(66 + COLUMN(E4) - 1) &amp; $A$34)</f>
        <v>1</v>
      </c>
      <c r="G9" s="30" cm="1">
        <f t="array" aca="1" ref="G9" ca="1">Ocjene!G9/INDIRECT("Ocjene!" &amp; CHAR(66 + COLUMN(F4) - 1) &amp; $A$34)</f>
        <v>1.5</v>
      </c>
      <c r="H9" s="30" cm="1">
        <f t="array" aca="1" ref="H9" ca="1">Ocjene!H9/INDIRECT("Ocjene!" &amp; CHAR(66 + COLUMN(G4) - 1) &amp; $A$34)</f>
        <v>1.5</v>
      </c>
      <c r="I9" s="30" cm="1">
        <f t="array" aca="1" ref="I9" ca="1">Ocjene!I9/INDIRECT("Ocjene!" &amp; CHAR(66 + COLUMN(H4) - 1) &amp; $A$34)</f>
        <v>3.3333333333333335</v>
      </c>
      <c r="J9" s="30" cm="1">
        <f t="array" aca="1" ref="J9" ca="1">Ocjene!J9/INDIRECT("Ocjene!" &amp; CHAR(66 + COLUMN(I4) - 1) &amp; $A$34)</f>
        <v>0.83333333333333337</v>
      </c>
      <c r="K9" s="30" cm="1">
        <f t="array" aca="1" ref="K9" ca="1">Ocjene!K9/INDIRECT("Ocjene!" &amp; CHAR(66 + COLUMN(J4) - 1) &amp; $A$34)</f>
        <v>0.7</v>
      </c>
      <c r="L9" s="30" cm="1">
        <f t="array" aca="1" ref="L9" ca="1">Ocjene!L9/INDIRECT("Ocjene!" &amp; CHAR(66 + COLUMN(K4) - 1) &amp; $A$34)</f>
        <v>0.66666666666666663</v>
      </c>
      <c r="M9" s="30" cm="1">
        <f t="array" aca="1" ref="M9" ca="1">Ocjene!M9/INDIRECT("Ocjene!" &amp; CHAR(66 + COLUMN(L4) - 1) &amp; $A$34)</f>
        <v>1.25</v>
      </c>
      <c r="N9" s="74">
        <f t="shared" ca="1" si="0"/>
        <v>13.146416178474594</v>
      </c>
      <c r="O9" s="4">
        <f t="shared" ca="1" si="1"/>
        <v>21</v>
      </c>
    </row>
    <row r="10" spans="1:16" x14ac:dyDescent="0.3">
      <c r="A10" s="10" t="s">
        <v>6</v>
      </c>
      <c r="B10" s="30" cm="1">
        <f t="array" aca="1" ref="B10" ca="1">Ocjene!B10/INDIRECT("Ocjene!" &amp; CHAR(66 + COLUMN(A5) - 1) &amp; $A$34)</f>
        <v>1</v>
      </c>
      <c r="C10" s="30" cm="1">
        <f t="array" aca="1" ref="C10" ca="1">Ocjene!C10/INDIRECT("Ocjene!" &amp; CHAR(66 + COLUMN(B5) - 1) &amp; $A$34)</f>
        <v>1.5555555555555556</v>
      </c>
      <c r="D10" s="30" cm="1">
        <f t="array" aca="1" ref="D10" ca="1">Ocjene!D10/INDIRECT("Ocjene!" &amp; CHAR(66 + COLUMN(C5) - 1) &amp; $A$34)</f>
        <v>1.3045897079276771</v>
      </c>
      <c r="E10" s="30" cm="1">
        <f t="array" aca="1" ref="E10" ca="1">Ocjene!E10/INDIRECT("Ocjene!" &amp; CHAR(66 + COLUMN(D5) - 1) &amp; $A$34)</f>
        <v>10.545454545454545</v>
      </c>
      <c r="F10" s="30" cm="1">
        <f t="array" aca="1" ref="F10" ca="1">Ocjene!F10/INDIRECT("Ocjene!" &amp; CHAR(66 + COLUMN(E5) - 1) &amp; $A$34)</f>
        <v>0.5714285714285714</v>
      </c>
      <c r="G10" s="30" cm="1">
        <f t="array" aca="1" ref="G10" ca="1">Ocjene!G10/INDIRECT("Ocjene!" &amp; CHAR(66 + COLUMN(F5) - 1) &amp; $A$34)</f>
        <v>1.625</v>
      </c>
      <c r="H10" s="30" cm="1">
        <f t="array" aca="1" ref="H10" ca="1">Ocjene!H10/INDIRECT("Ocjene!" &amp; CHAR(66 + COLUMN(G5) - 1) &amp; $A$34)</f>
        <v>2.5</v>
      </c>
      <c r="I10" s="30" cm="1">
        <f t="array" aca="1" ref="I10" ca="1">Ocjene!I10/INDIRECT("Ocjene!" &amp; CHAR(66 + COLUMN(H5) - 1) &amp; $A$34)</f>
        <v>0.66666666666666663</v>
      </c>
      <c r="J10" s="30" cm="1">
        <f t="array" aca="1" ref="J10" ca="1">Ocjene!J10/INDIRECT("Ocjene!" &amp; CHAR(66 + COLUMN(I5) - 1) &amp; $A$34)</f>
        <v>0.66666666666666663</v>
      </c>
      <c r="K10" s="30" cm="1">
        <f t="array" aca="1" ref="K10" ca="1">Ocjene!K10/INDIRECT("Ocjene!" &amp; CHAR(66 + COLUMN(J5) - 1) &amp; $A$34)</f>
        <v>0.4</v>
      </c>
      <c r="L10" s="30" cm="1">
        <f t="array" aca="1" ref="L10" ca="1">Ocjene!L10/INDIRECT("Ocjene!" &amp; CHAR(66 + COLUMN(K5) - 1) &amp; $A$34)</f>
        <v>1</v>
      </c>
      <c r="M10" s="30" cm="1">
        <f t="array" aca="1" ref="M10" ca="1">Ocjene!M10/INDIRECT("Ocjene!" &amp; CHAR(66 + COLUMN(L5) - 1) &amp; $A$34)</f>
        <v>0.5</v>
      </c>
      <c r="N10" s="74">
        <f t="shared" ca="1" si="0"/>
        <v>18.535361713699686</v>
      </c>
      <c r="O10" s="4">
        <f t="shared" ca="1" si="1"/>
        <v>11</v>
      </c>
    </row>
    <row r="11" spans="1:16" x14ac:dyDescent="0.3">
      <c r="A11" s="10" t="s">
        <v>7</v>
      </c>
      <c r="B11" s="30" cm="1">
        <f t="array" aca="1" ref="B11" ca="1">Ocjene!B11/INDIRECT("Ocjene!" &amp; CHAR(66 + COLUMN(A6) - 1) &amp; $A$34)</f>
        <v>1.0666666666666667</v>
      </c>
      <c r="C11" s="30" cm="1">
        <f t="array" aca="1" ref="C11" ca="1">Ocjene!C11/INDIRECT("Ocjene!" &amp; CHAR(66 + COLUMN(B6) - 1) &amp; $A$34)</f>
        <v>1.3333333333333333</v>
      </c>
      <c r="D11" s="30" cm="1">
        <f t="array" aca="1" ref="D11" ca="1">Ocjene!D11/INDIRECT("Ocjene!" &amp; CHAR(66 + COLUMN(C6) - 1) &amp; $A$34)</f>
        <v>1.3908205841446455</v>
      </c>
      <c r="E11" s="30" cm="1">
        <f t="array" aca="1" ref="E11" ca="1">Ocjene!E11/INDIRECT("Ocjene!" &amp; CHAR(66 + COLUMN(D6) - 1) &amp; $A$34)</f>
        <v>9.8636363636363633</v>
      </c>
      <c r="F11" s="30" cm="1">
        <f t="array" aca="1" ref="F11" ca="1">Ocjene!F11/INDIRECT("Ocjene!" &amp; CHAR(66 + COLUMN(E6) - 1) &amp; $A$34)</f>
        <v>0.7857142857142857</v>
      </c>
      <c r="G11" s="30" cm="1">
        <f t="array" aca="1" ref="G11" ca="1">Ocjene!G11/INDIRECT("Ocjene!" &amp; CHAR(66 + COLUMN(F6) - 1) &amp; $A$34)</f>
        <v>1.75</v>
      </c>
      <c r="H11" s="30" cm="1">
        <f t="array" aca="1" ref="H11" ca="1">Ocjene!H11/INDIRECT("Ocjene!" &amp; CHAR(66 + COLUMN(G6) - 1) &amp; $A$34)</f>
        <v>4</v>
      </c>
      <c r="I11" s="30" cm="1">
        <f t="array" aca="1" ref="I11" ca="1">Ocjene!I11/INDIRECT("Ocjene!" &amp; CHAR(66 + COLUMN(H6) - 1) &amp; $A$34)</f>
        <v>1.6666666666666667</v>
      </c>
      <c r="J11" s="30" cm="1">
        <f t="array" aca="1" ref="J11" ca="1">Ocjene!J11/INDIRECT("Ocjene!" &amp; CHAR(66 + COLUMN(I6) - 1) &amp; $A$34)</f>
        <v>1</v>
      </c>
      <c r="K11" s="30" cm="1">
        <f t="array" aca="1" ref="K11" ca="1">Ocjene!K11/INDIRECT("Ocjene!" &amp; CHAR(66 + COLUMN(J6) - 1) &amp; $A$34)</f>
        <v>0.3</v>
      </c>
      <c r="L11" s="30" cm="1">
        <f t="array" aca="1" ref="L11" ca="1">Ocjene!L11/INDIRECT("Ocjene!" &amp; CHAR(66 + COLUMN(K6) - 1) &amp; $A$34)</f>
        <v>0.6</v>
      </c>
      <c r="M11" s="30" cm="1">
        <f t="array" aca="1" ref="M11" ca="1">Ocjene!M11/INDIRECT("Ocjene!" &amp; CHAR(66 + COLUMN(L6) - 1) &amp; $A$34)</f>
        <v>0.25</v>
      </c>
      <c r="N11" s="74">
        <f t="shared" ca="1" si="0"/>
        <v>21.706837900161965</v>
      </c>
      <c r="O11" s="4">
        <f t="shared" ca="1" si="1"/>
        <v>3</v>
      </c>
    </row>
    <row r="12" spans="1:16" x14ac:dyDescent="0.3">
      <c r="A12" s="10" t="s">
        <v>8</v>
      </c>
      <c r="B12" s="30" cm="1">
        <f t="array" aca="1" ref="B12" ca="1">Ocjene!B12/INDIRECT("Ocjene!" &amp; CHAR(66 + COLUMN(A7) - 1) &amp; $A$34)</f>
        <v>1.0666666666666667</v>
      </c>
      <c r="C12" s="30" cm="1">
        <f t="array" aca="1" ref="C12" ca="1">Ocjene!C12/INDIRECT("Ocjene!" &amp; CHAR(66 + COLUMN(B7) - 1) &amp; $A$34)</f>
        <v>0.88888888888888884</v>
      </c>
      <c r="D12" s="30" cm="1">
        <f t="array" aca="1" ref="D12" ca="1">Ocjene!D12/INDIRECT("Ocjene!" &amp; CHAR(66 + COLUMN(C7) - 1) &amp; $A$34)</f>
        <v>1.3157162726008345</v>
      </c>
      <c r="E12" s="30" cm="1">
        <f t="array" aca="1" ref="E12" ca="1">Ocjene!E12/INDIRECT("Ocjene!" &amp; CHAR(66 + COLUMN(D7) - 1) &amp; $A$34)</f>
        <v>3.6363636363636362</v>
      </c>
      <c r="F12" s="30" cm="1">
        <f t="array" aca="1" ref="F12" ca="1">Ocjene!F12/INDIRECT("Ocjene!" &amp; CHAR(66 + COLUMN(E7) - 1) &amp; $A$34)</f>
        <v>0.8571428571428571</v>
      </c>
      <c r="G12" s="30" cm="1">
        <f t="array" aca="1" ref="G12" ca="1">Ocjene!G12/INDIRECT("Ocjene!" &amp; CHAR(66 + COLUMN(F7) - 1) &amp; $A$34)</f>
        <v>1.75</v>
      </c>
      <c r="H12" s="30" cm="1">
        <f t="array" aca="1" ref="H12" ca="1">Ocjene!H12/INDIRECT("Ocjene!" &amp; CHAR(66 + COLUMN(G7) - 1) &amp; $A$34)</f>
        <v>2</v>
      </c>
      <c r="I12" s="30" cm="1">
        <f t="array" aca="1" ref="I12" ca="1">Ocjene!I12/INDIRECT("Ocjene!" &amp; CHAR(66 + COLUMN(H7) - 1) &amp; $A$34)</f>
        <v>1.8333333333333333</v>
      </c>
      <c r="J12" s="30" cm="1">
        <f t="array" aca="1" ref="J12" ca="1">Ocjene!J12/INDIRECT("Ocjene!" &amp; CHAR(66 + COLUMN(I7) - 1) &amp; $A$34)</f>
        <v>1</v>
      </c>
      <c r="K12" s="30" cm="1">
        <f t="array" aca="1" ref="K12" ca="1">Ocjene!K12/INDIRECT("Ocjene!" &amp; CHAR(66 + COLUMN(J7) - 1) &amp; $A$34)</f>
        <v>0.5</v>
      </c>
      <c r="L12" s="30" cm="1">
        <f t="array" aca="1" ref="L12" ca="1">Ocjene!L12/INDIRECT("Ocjene!" &amp; CHAR(66 + COLUMN(K7) - 1) &amp; $A$34)</f>
        <v>0.66666666666666663</v>
      </c>
      <c r="M12" s="30" cm="1">
        <f t="array" aca="1" ref="M12" ca="1">Ocjene!M12/INDIRECT("Ocjene!" &amp; CHAR(66 + COLUMN(L7) - 1) &amp; $A$34)</f>
        <v>0.25</v>
      </c>
      <c r="N12" s="74">
        <f t="shared" ca="1" si="0"/>
        <v>12.931444988329552</v>
      </c>
      <c r="O12" s="4">
        <f t="shared" ca="1" si="1"/>
        <v>22</v>
      </c>
    </row>
    <row r="13" spans="1:16" x14ac:dyDescent="0.3">
      <c r="A13" s="10" t="s">
        <v>9</v>
      </c>
      <c r="B13" s="30" cm="1">
        <f t="array" aca="1" ref="B13" ca="1">Ocjene!B13/INDIRECT("Ocjene!" &amp; CHAR(66 + COLUMN(A8) - 1) &amp; $A$34)</f>
        <v>1.0666666666666667</v>
      </c>
      <c r="C13" s="30" cm="1">
        <f t="array" aca="1" ref="C13" ca="1">Ocjene!C13/INDIRECT("Ocjene!" &amp; CHAR(66 + COLUMN(B8) - 1) &amp; $A$34)</f>
        <v>1.3333333333333333</v>
      </c>
      <c r="D13" s="30" cm="1">
        <f t="array" aca="1" ref="D13" ca="1">Ocjene!D13/INDIRECT("Ocjene!" &amp; CHAR(66 + COLUMN(C8) - 1) &amp; $A$34)</f>
        <v>1.2350486787204449</v>
      </c>
      <c r="E13" s="30" cm="1">
        <f t="array" aca="1" ref="E13" ca="1">Ocjene!E13/INDIRECT("Ocjene!" &amp; CHAR(66 + COLUMN(D8) - 1) &amp; $A$34)</f>
        <v>2.5</v>
      </c>
      <c r="F13" s="30" cm="1">
        <f t="array" aca="1" ref="F13" ca="1">Ocjene!F13/INDIRECT("Ocjene!" &amp; CHAR(66 + COLUMN(E8) - 1) &amp; $A$34)</f>
        <v>0.8571428571428571</v>
      </c>
      <c r="G13" s="30" cm="1">
        <f t="array" aca="1" ref="G13" ca="1">Ocjene!G13/INDIRECT("Ocjene!" &amp; CHAR(66 + COLUMN(F8) - 1) &amp; $A$34)</f>
        <v>1.75</v>
      </c>
      <c r="H13" s="30" cm="1">
        <f t="array" aca="1" ref="H13" ca="1">Ocjene!H13/INDIRECT("Ocjene!" &amp; CHAR(66 + COLUMN(G8) - 1) &amp; $A$34)</f>
        <v>2</v>
      </c>
      <c r="I13" s="30" cm="1">
        <f t="array" aca="1" ref="I13" ca="1">Ocjene!I13/INDIRECT("Ocjene!" &amp; CHAR(66 + COLUMN(H8) - 1) &amp; $A$34)</f>
        <v>1.6666666666666667</v>
      </c>
      <c r="J13" s="30" cm="1">
        <f t="array" aca="1" ref="J13" ca="1">Ocjene!J13/INDIRECT("Ocjene!" &amp; CHAR(66 + COLUMN(I8) - 1) &amp; $A$34)</f>
        <v>1</v>
      </c>
      <c r="K13" s="30" cm="1">
        <f t="array" aca="1" ref="K13" ca="1">Ocjene!K13/INDIRECT("Ocjene!" &amp; CHAR(66 + COLUMN(J8) - 1) &amp; $A$34)</f>
        <v>0.5</v>
      </c>
      <c r="L13" s="30" cm="1">
        <f t="array" aca="1" ref="L13" ca="1">Ocjene!L13/INDIRECT("Ocjene!" &amp; CHAR(66 + COLUMN(K8) - 1) &amp; $A$34)</f>
        <v>0.66666666666666663</v>
      </c>
      <c r="M13" s="30" cm="1">
        <f t="array" aca="1" ref="M13" ca="1">Ocjene!M13/INDIRECT("Ocjene!" &amp; CHAR(66 + COLUMN(L8) - 1) &amp; $A$34)</f>
        <v>0.25</v>
      </c>
      <c r="N13" s="74">
        <f t="shared" ca="1" si="0"/>
        <v>11.992191535863302</v>
      </c>
      <c r="O13" s="4">
        <f t="shared" ca="1" si="1"/>
        <v>23</v>
      </c>
    </row>
    <row r="14" spans="1:16" x14ac:dyDescent="0.3">
      <c r="A14" s="10" t="s">
        <v>10</v>
      </c>
      <c r="B14" s="30" cm="1">
        <f t="array" aca="1" ref="B14" ca="1">Ocjene!B14/INDIRECT("Ocjene!" &amp; CHAR(66 + COLUMN(A9) - 1) &amp; $A$34)</f>
        <v>1.0666666666666667</v>
      </c>
      <c r="C14" s="30" cm="1">
        <f t="array" aca="1" ref="C14" ca="1">Ocjene!C14/INDIRECT("Ocjene!" &amp; CHAR(66 + COLUMN(B9) - 1) &amp; $A$34)</f>
        <v>1.4444444444444444</v>
      </c>
      <c r="D14" s="30" cm="1">
        <f t="array" aca="1" ref="D14" ca="1">Ocjene!D14/INDIRECT("Ocjene!" &amp; CHAR(66 + COLUMN(C9) - 1) &amp; $A$34)</f>
        <v>1.3157162726008347</v>
      </c>
      <c r="E14" s="30" cm="1">
        <f t="array" aca="1" ref="E14" ca="1">Ocjene!E14/INDIRECT("Ocjene!" &amp; CHAR(66 + COLUMN(D9) - 1) &amp; $A$34)</f>
        <v>4.4090909090909092</v>
      </c>
      <c r="F14" s="30" cm="1">
        <f t="array" aca="1" ref="F14" ca="1">Ocjene!F14/INDIRECT("Ocjene!" &amp; CHAR(66 + COLUMN(E9) - 1) &amp; $A$34)</f>
        <v>0.7142857142857143</v>
      </c>
      <c r="G14" s="30" cm="1">
        <f t="array" aca="1" ref="G14" ca="1">Ocjene!G14/INDIRECT("Ocjene!" &amp; CHAR(66 + COLUMN(F9) - 1) &amp; $A$34)</f>
        <v>1.75</v>
      </c>
      <c r="H14" s="30" cm="1">
        <f t="array" aca="1" ref="H14" ca="1">Ocjene!H14/INDIRECT("Ocjene!" &amp; CHAR(66 + COLUMN(G9) - 1) &amp; $A$34)</f>
        <v>4.5</v>
      </c>
      <c r="I14" s="30" cm="1">
        <f t="array" aca="1" ref="I14" ca="1">Ocjene!I14/INDIRECT("Ocjene!" &amp; CHAR(66 + COLUMN(H9) - 1) &amp; $A$34)</f>
        <v>0.66666666666666663</v>
      </c>
      <c r="J14" s="30" cm="1">
        <f t="array" aca="1" ref="J14" ca="1">Ocjene!J14/INDIRECT("Ocjene!" &amp; CHAR(66 + COLUMN(I9) - 1) &amp; $A$34)</f>
        <v>1</v>
      </c>
      <c r="K14" s="30" cm="1">
        <f t="array" aca="1" ref="K14" ca="1">Ocjene!K14/INDIRECT("Ocjene!" &amp; CHAR(66 + COLUMN(J9) - 1) &amp; $A$34)</f>
        <v>0.1</v>
      </c>
      <c r="L14" s="30" cm="1">
        <f t="array" aca="1" ref="L14" ca="1">Ocjene!L14/INDIRECT("Ocjene!" &amp; CHAR(66 + COLUMN(K9) - 1) &amp; $A$34)</f>
        <v>0.33333333333333331</v>
      </c>
      <c r="M14" s="30" cm="1">
        <f t="array" aca="1" ref="M14" ca="1">Ocjene!M14/INDIRECT("Ocjene!" &amp; CHAR(66 + COLUMN(L9) - 1) &amp; $A$34)</f>
        <v>0.25</v>
      </c>
      <c r="N14" s="74">
        <f t="shared" ca="1" si="0"/>
        <v>16.1835373404219</v>
      </c>
      <c r="O14" s="4">
        <f t="shared" ca="1" si="1"/>
        <v>14</v>
      </c>
    </row>
    <row r="15" spans="1:16" x14ac:dyDescent="0.3">
      <c r="A15" s="10" t="s">
        <v>11</v>
      </c>
      <c r="B15" s="30" cm="1">
        <f t="array" aca="1" ref="B15" ca="1">Ocjene!B15/INDIRECT("Ocjene!" &amp; CHAR(66 + COLUMN(A10) - 1) &amp; $A$34)</f>
        <v>1.0666666666666667</v>
      </c>
      <c r="C15" s="30" cm="1">
        <f t="array" aca="1" ref="C15" ca="1">Ocjene!C15/INDIRECT("Ocjene!" &amp; CHAR(66 + COLUMN(B10) - 1) &amp; $A$34)</f>
        <v>2.1111111111111112</v>
      </c>
      <c r="D15" s="30" cm="1">
        <f t="array" aca="1" ref="D15" ca="1">Ocjene!D15/INDIRECT("Ocjene!" &amp; CHAR(66 + COLUMN(C10) - 1) &amp; $A$34)</f>
        <v>1.2739916550764951</v>
      </c>
      <c r="E15" s="30" cm="1">
        <f t="array" aca="1" ref="E15" ca="1">Ocjene!E15/INDIRECT("Ocjene!" &amp; CHAR(66 + COLUMN(D10) - 1) &amp; $A$34)</f>
        <v>8.954545454545455</v>
      </c>
      <c r="F15" s="30" cm="1">
        <f t="array" aca="1" ref="F15" ca="1">Ocjene!F15/INDIRECT("Ocjene!" &amp; CHAR(66 + COLUMN(E10) - 1) &amp; $A$34)</f>
        <v>0.7142857142857143</v>
      </c>
      <c r="G15" s="30" cm="1">
        <f t="array" aca="1" ref="G15" ca="1">Ocjene!G15/INDIRECT("Ocjene!" &amp; CHAR(66 + COLUMN(F10) - 1) &amp; $A$34)</f>
        <v>1.75</v>
      </c>
      <c r="H15" s="30" cm="1">
        <f t="array" aca="1" ref="H15" ca="1">Ocjene!H15/INDIRECT("Ocjene!" &amp; CHAR(66 + COLUMN(G10) - 1) &amp; $A$34)</f>
        <v>5</v>
      </c>
      <c r="I15" s="30" cm="1">
        <f t="array" aca="1" ref="I15" ca="1">Ocjene!I15/INDIRECT("Ocjene!" &amp; CHAR(66 + COLUMN(H10) - 1) &amp; $A$34)</f>
        <v>0.66666666666666663</v>
      </c>
      <c r="J15" s="30" cm="1">
        <f t="array" aca="1" ref="J15" ca="1">Ocjene!J15/INDIRECT("Ocjene!" &amp; CHAR(66 + COLUMN(I10) - 1) &amp; $A$34)</f>
        <v>0.83333333333333337</v>
      </c>
      <c r="K15" s="30" cm="1">
        <f t="array" aca="1" ref="K15" ca="1">Ocjene!K15/INDIRECT("Ocjene!" &amp; CHAR(66 + COLUMN(J10) - 1) &amp; $A$34)</f>
        <v>0.25</v>
      </c>
      <c r="L15" s="30" cm="1">
        <f t="array" aca="1" ref="L15" ca="1">Ocjene!L15/INDIRECT("Ocjene!" &amp; CHAR(66 + COLUMN(K10) - 1) &amp; $A$34)</f>
        <v>0.68</v>
      </c>
      <c r="M15" s="30" cm="1">
        <f t="array" aca="1" ref="M15" ca="1">Ocjene!M15/INDIRECT("Ocjene!" &amp; CHAR(66 + COLUMN(L10) - 1) &amp; $A$34)</f>
        <v>0.26250000000000001</v>
      </c>
      <c r="N15" s="74">
        <f t="shared" ca="1" si="0"/>
        <v>21.17810060168544</v>
      </c>
      <c r="O15" s="4">
        <f t="shared" ca="1" si="1"/>
        <v>5</v>
      </c>
    </row>
    <row r="16" spans="1:16" x14ac:dyDescent="0.3">
      <c r="A16" s="10" t="s">
        <v>12</v>
      </c>
      <c r="B16" s="30" cm="1">
        <f t="array" aca="1" ref="B16" ca="1">Ocjene!B16/INDIRECT("Ocjene!" &amp; CHAR(66 + COLUMN(A11) - 1) &amp; $A$34)</f>
        <v>1.0666666666666667</v>
      </c>
      <c r="C16" s="30" cm="1">
        <f t="array" aca="1" ref="C16" ca="1">Ocjene!C16/INDIRECT("Ocjene!" &amp; CHAR(66 + COLUMN(B11) - 1) &amp; $A$34)</f>
        <v>1.6666666666666667</v>
      </c>
      <c r="D16" s="30" cm="1">
        <f t="array" aca="1" ref="D16" ca="1">Ocjene!D16/INDIRECT("Ocjene!" &amp; CHAR(66 + COLUMN(C11) - 1) &amp; $A$34)</f>
        <v>1.3435326842837274</v>
      </c>
      <c r="E16" s="30" cm="1">
        <f t="array" aca="1" ref="E16" ca="1">Ocjene!E16/INDIRECT("Ocjene!" &amp; CHAR(66 + COLUMN(D11) - 1) &amp; $A$34)</f>
        <v>10.545454545454545</v>
      </c>
      <c r="F16" s="30" cm="1">
        <f t="array" aca="1" ref="F16" ca="1">Ocjene!F16/INDIRECT("Ocjene!" &amp; CHAR(66 + COLUMN(E11) - 1) &amp; $A$34)</f>
        <v>0.5714285714285714</v>
      </c>
      <c r="G16" s="30" cm="1">
        <f t="array" aca="1" ref="G16" ca="1">Ocjene!G16/INDIRECT("Ocjene!" &amp; CHAR(66 + COLUMN(F11) - 1) &amp; $A$34)</f>
        <v>1.75</v>
      </c>
      <c r="H16" s="30" cm="1">
        <f t="array" aca="1" ref="H16" ca="1">Ocjene!H16/INDIRECT("Ocjene!" &amp; CHAR(66 + COLUMN(G11) - 1) &amp; $A$34)</f>
        <v>3</v>
      </c>
      <c r="I16" s="30" cm="1">
        <f t="array" aca="1" ref="I16" ca="1">Ocjene!I16/INDIRECT("Ocjene!" &amp; CHAR(66 + COLUMN(H11) - 1) &amp; $A$34)</f>
        <v>2</v>
      </c>
      <c r="J16" s="30" cm="1">
        <f t="array" aca="1" ref="J16" ca="1">Ocjene!J16/INDIRECT("Ocjene!" &amp; CHAR(66 + COLUMN(I11) - 1) &amp; $A$34)</f>
        <v>0.83333333333333337</v>
      </c>
      <c r="K16" s="30" cm="1">
        <f t="array" aca="1" ref="K16" ca="1">Ocjene!K16/INDIRECT("Ocjene!" &amp; CHAR(66 + COLUMN(J11) - 1) &amp; $A$34)</f>
        <v>0.5</v>
      </c>
      <c r="L16" s="30" cm="1">
        <f t="array" aca="1" ref="L16" ca="1">Ocjene!L16/INDIRECT("Ocjene!" &amp; CHAR(66 + COLUMN(K11) - 1) &amp; $A$34)</f>
        <v>0.66666666666666663</v>
      </c>
      <c r="M16" s="30" cm="1">
        <f t="array" aca="1" ref="M16" ca="1">Ocjene!M16/INDIRECT("Ocjene!" &amp; CHAR(66 + COLUMN(L11) - 1) &amp; $A$34)</f>
        <v>0.25</v>
      </c>
      <c r="N16" s="74">
        <f t="shared" ca="1" si="0"/>
        <v>21.360415801166841</v>
      </c>
      <c r="O16" s="4">
        <f t="shared" ca="1" si="1"/>
        <v>4</v>
      </c>
      <c r="P16" s="85"/>
    </row>
    <row r="17" spans="1:16" x14ac:dyDescent="0.3">
      <c r="A17" s="10" t="s">
        <v>13</v>
      </c>
      <c r="B17" s="30" cm="1">
        <f t="array" aca="1" ref="B17" ca="1">Ocjene!B17/INDIRECT("Ocjene!" &amp; CHAR(66 + COLUMN(A12) - 1) &amp; $A$34)</f>
        <v>1</v>
      </c>
      <c r="C17" s="30" cm="1">
        <f t="array" aca="1" ref="C17" ca="1">Ocjene!C17/INDIRECT("Ocjene!" &amp; CHAR(66 + COLUMN(B12) - 1) &amp; $A$34)</f>
        <v>1.7777777777777777</v>
      </c>
      <c r="D17" s="30" cm="1">
        <f t="array" aca="1" ref="D17" ca="1">Ocjene!D17/INDIRECT("Ocjene!" &amp; CHAR(66 + COLUMN(C12) - 1) &amp; $A$34)</f>
        <v>1.2183588317107092</v>
      </c>
      <c r="E17" s="30" cm="1">
        <f t="array" aca="1" ref="E17" ca="1">Ocjene!E17/INDIRECT("Ocjene!" &amp; CHAR(66 + COLUMN(D12) - 1) &amp; $A$34)</f>
        <v>6.5909090909090908</v>
      </c>
      <c r="F17" s="30" cm="1">
        <f t="array" aca="1" ref="F17" ca="1">Ocjene!F17/INDIRECT("Ocjene!" &amp; CHAR(66 + COLUMN(E12) - 1) &amp; $A$34)</f>
        <v>1</v>
      </c>
      <c r="G17" s="30" cm="1">
        <f t="array" aca="1" ref="G17" ca="1">Ocjene!G17/INDIRECT("Ocjene!" &amp; CHAR(66 + COLUMN(F12) - 1) &amp; $A$34)</f>
        <v>1.5</v>
      </c>
      <c r="H17" s="30" cm="1">
        <f t="array" aca="1" ref="H17" ca="1">Ocjene!H17/INDIRECT("Ocjene!" &amp; CHAR(66 + COLUMN(G12) - 1) &amp; $A$34)</f>
        <v>1.75</v>
      </c>
      <c r="I17" s="30" cm="1">
        <f t="array" aca="1" ref="I17" ca="1">Ocjene!I17/INDIRECT("Ocjene!" &amp; CHAR(66 + COLUMN(H12) - 1) &amp; $A$34)</f>
        <v>3.3333333333333335</v>
      </c>
      <c r="J17" s="30" cm="1">
        <f t="array" aca="1" ref="J17" ca="1">Ocjene!J17/INDIRECT("Ocjene!" &amp; CHAR(66 + COLUMN(I12) - 1) &amp; $A$34)</f>
        <v>1.3333333333333333</v>
      </c>
      <c r="K17" s="30" cm="1">
        <f t="array" aca="1" ref="K17" ca="1">Ocjene!K17/INDIRECT("Ocjene!" &amp; CHAR(66 + COLUMN(J12) - 1) &amp; $A$34)</f>
        <v>0.8</v>
      </c>
      <c r="L17" s="30" cm="1">
        <f t="array" aca="1" ref="L17" ca="1">Ocjene!L17/INDIRECT("Ocjene!" &amp; CHAR(66 + COLUMN(K12) - 1) &amp; $A$34)</f>
        <v>1</v>
      </c>
      <c r="M17" s="30" cm="1">
        <f t="array" aca="1" ref="M17" ca="1">Ocjene!M17/INDIRECT("Ocjene!" &amp; CHAR(66 + COLUMN(L12) - 1) &amp; $A$34)</f>
        <v>0.75</v>
      </c>
      <c r="N17" s="74">
        <f t="shared" ca="1" si="0"/>
        <v>16.953712367064242</v>
      </c>
      <c r="O17" s="4">
        <f t="shared" ca="1" si="1"/>
        <v>12</v>
      </c>
      <c r="P17" s="86"/>
    </row>
    <row r="18" spans="1:16" x14ac:dyDescent="0.3">
      <c r="A18" s="10" t="s">
        <v>14</v>
      </c>
      <c r="B18" s="30" cm="1">
        <f t="array" aca="1" ref="B18" ca="1">Ocjene!B18/INDIRECT("Ocjene!" &amp; CHAR(66 + COLUMN(A13) - 1) &amp; $A$34)</f>
        <v>1.0666666666666667</v>
      </c>
      <c r="C18" s="30" cm="1">
        <f t="array" aca="1" ref="C18" ca="1">Ocjene!C18/INDIRECT("Ocjene!" &amp; CHAR(66 + COLUMN(B13) - 1) &amp; $A$34)</f>
        <v>1.5555555555555556</v>
      </c>
      <c r="D18" s="30" cm="1">
        <f t="array" aca="1" ref="D18" ca="1">Ocjene!D18/INDIRECT("Ocjene!" &amp; CHAR(66 + COLUMN(C13) - 1) &amp; $A$34)</f>
        <v>0.94993045897079265</v>
      </c>
      <c r="E18" s="30" cm="1">
        <f t="array" aca="1" ref="E18" ca="1">Ocjene!E18/INDIRECT("Ocjene!" &amp; CHAR(66 + COLUMN(D13) - 1) &amp; $A$34)</f>
        <v>3.3636363636363638</v>
      </c>
      <c r="F18" s="30" cm="1">
        <f t="array" aca="1" ref="F18" ca="1">Ocjene!F18/INDIRECT("Ocjene!" &amp; CHAR(66 + COLUMN(E13) - 1) &amp; $A$34)</f>
        <v>0.7857142857142857</v>
      </c>
      <c r="G18" s="30" cm="1">
        <f t="array" aca="1" ref="G18" ca="1">Ocjene!G18/INDIRECT("Ocjene!" &amp; CHAR(66 + COLUMN(F13) - 1) &amp; $A$34)</f>
        <v>1.75</v>
      </c>
      <c r="H18" s="30" cm="1">
        <f t="array" aca="1" ref="H18" ca="1">Ocjene!H18/INDIRECT("Ocjene!" &amp; CHAR(66 + COLUMN(G13) - 1) &amp; $A$34)</f>
        <v>5</v>
      </c>
      <c r="I18" s="30" cm="1">
        <f t="array" aca="1" ref="I18" ca="1">Ocjene!I18/INDIRECT("Ocjene!" &amp; CHAR(66 + COLUMN(H13) - 1) &amp; $A$34)</f>
        <v>1.8333333333333333</v>
      </c>
      <c r="J18" s="30" cm="1">
        <f t="array" aca="1" ref="J18" ca="1">Ocjene!J18/INDIRECT("Ocjene!" &amp; CHAR(66 + COLUMN(I13) - 1) &amp; $A$34)</f>
        <v>0.91666666666666663</v>
      </c>
      <c r="K18" s="30" cm="1">
        <f t="array" aca="1" ref="K18" ca="1">Ocjene!K18/INDIRECT("Ocjene!" &amp; CHAR(66 + COLUMN(J13) - 1) &amp; $A$34)</f>
        <v>0.3</v>
      </c>
      <c r="L18" s="30" cm="1">
        <f t="array" aca="1" ref="L18" ca="1">Ocjene!L18/INDIRECT("Ocjene!" &amp; CHAR(66 + COLUMN(K13) - 1) &amp; $A$34)</f>
        <v>0.57333333333333336</v>
      </c>
      <c r="M18" s="30" cm="1">
        <f t="array" aca="1" ref="M18" ca="1">Ocjene!M18/INDIRECT("Ocjene!" &amp; CHAR(66 + COLUMN(L13) - 1) &amp; $A$34)</f>
        <v>0.25</v>
      </c>
      <c r="N18" s="74">
        <f t="shared" ca="1" si="0"/>
        <v>16.098169997210331</v>
      </c>
      <c r="O18" s="4">
        <f t="shared" ca="1" si="1"/>
        <v>15</v>
      </c>
    </row>
    <row r="19" spans="1:16" x14ac:dyDescent="0.3">
      <c r="A19" s="10" t="s">
        <v>15</v>
      </c>
      <c r="B19" s="30" cm="1">
        <f t="array" aca="1" ref="B19" ca="1">Ocjene!B19/INDIRECT("Ocjene!" &amp; CHAR(66 + COLUMN(A14) - 1) &amp; $A$34)</f>
        <v>1.0666666666666667</v>
      </c>
      <c r="C19" s="30" cm="1">
        <f t="array" aca="1" ref="C19" ca="1">Ocjene!C19/INDIRECT("Ocjene!" &amp; CHAR(66 + COLUMN(B14) - 1) &amp; $A$34)</f>
        <v>1.6666666666666667</v>
      </c>
      <c r="D19" s="30" cm="1">
        <f t="array" aca="1" ref="D19" ca="1">Ocjene!D19/INDIRECT("Ocjene!" &amp; CHAR(66 + COLUMN(C14) - 1) &amp; $A$34)</f>
        <v>1.3727399165507648</v>
      </c>
      <c r="E19" s="30" cm="1">
        <f t="array" aca="1" ref="E19" ca="1">Ocjene!E19/INDIRECT("Ocjene!" &amp; CHAR(66 + COLUMN(D14) - 1) &amp; $A$34)</f>
        <v>7.4545454545454541</v>
      </c>
      <c r="F19" s="30" cm="1">
        <f t="array" aca="1" ref="F19" ca="1">Ocjene!F19/INDIRECT("Ocjene!" &amp; CHAR(66 + COLUMN(E14) - 1) &amp; $A$34)</f>
        <v>0.7142857142857143</v>
      </c>
      <c r="G19" s="30" cm="1">
        <f t="array" aca="1" ref="G19" ca="1">Ocjene!G19/INDIRECT("Ocjene!" &amp; CHAR(66 + COLUMN(F14) - 1) &amp; $A$34)</f>
        <v>1.75</v>
      </c>
      <c r="H19" s="30" cm="1">
        <f t="array" aca="1" ref="H19" ca="1">Ocjene!H19/INDIRECT("Ocjene!" &amp; CHAR(66 + COLUMN(G14) - 1) &amp; $A$34)</f>
        <v>4.25</v>
      </c>
      <c r="I19" s="30" cm="1">
        <f t="array" aca="1" ref="I19" ca="1">Ocjene!I19/INDIRECT("Ocjene!" &amp; CHAR(66 + COLUMN(H14) - 1) &amp; $A$34)</f>
        <v>2.6666666666666665</v>
      </c>
      <c r="J19" s="30" cm="1">
        <f t="array" aca="1" ref="J19" ca="1">Ocjene!J19/INDIRECT("Ocjene!" &amp; CHAR(66 + COLUMN(I14) - 1) &amp; $A$34)</f>
        <v>0.83333333333333337</v>
      </c>
      <c r="K19" s="30" cm="1">
        <f t="array" aca="1" ref="K19" ca="1">Ocjene!K19/INDIRECT("Ocjene!" &amp; CHAR(66 + COLUMN(J14) - 1) &amp; $A$34)</f>
        <v>0.25</v>
      </c>
      <c r="L19" s="30" cm="1">
        <f t="array" aca="1" ref="L19" ca="1">Ocjene!L19/INDIRECT("Ocjene!" &amp; CHAR(66 + COLUMN(K14) - 1) &amp; $A$34)</f>
        <v>0.66666666666666663</v>
      </c>
      <c r="M19" s="30" cm="1">
        <f t="array" aca="1" ref="M19" ca="1">Ocjene!M19/INDIRECT("Ocjene!" &amp; CHAR(66 + COLUMN(L14) - 1) &amp; $A$34)</f>
        <v>0.25</v>
      </c>
      <c r="N19" s="74">
        <f t="shared" ca="1" si="0"/>
        <v>20.608237752048598</v>
      </c>
      <c r="O19" s="4">
        <f t="shared" ca="1" si="1"/>
        <v>8</v>
      </c>
    </row>
    <row r="20" spans="1:16" x14ac:dyDescent="0.3">
      <c r="A20" s="10" t="s">
        <v>16</v>
      </c>
      <c r="B20" s="30" cm="1">
        <f t="array" aca="1" ref="B20" ca="1">Ocjene!B20/INDIRECT("Ocjene!" &amp; CHAR(66 + COLUMN(A15) - 1) &amp; $A$34)</f>
        <v>1</v>
      </c>
      <c r="C20" s="30" cm="1">
        <f t="array" aca="1" ref="C20" ca="1">Ocjene!C20/INDIRECT("Ocjene!" &amp; CHAR(66 + COLUMN(B15) - 1) &amp; $A$34)</f>
        <v>0.88888888888888884</v>
      </c>
      <c r="D20" s="30" cm="1">
        <f t="array" aca="1" ref="D20" ca="1">Ocjene!D20/INDIRECT("Ocjene!" &amp; CHAR(66 + COLUMN(C15) - 1) &amp; $A$34)</f>
        <v>1.2906815020862308</v>
      </c>
      <c r="E20" s="30" cm="1">
        <f t="array" aca="1" ref="E20" ca="1">Ocjene!E20/INDIRECT("Ocjene!" &amp; CHAR(66 + COLUMN(D15) - 1) &amp; $A$34)</f>
        <v>5.5454545454545459</v>
      </c>
      <c r="F20" s="30" cm="1">
        <f t="array" aca="1" ref="F20" ca="1">Ocjene!F20/INDIRECT("Ocjene!" &amp; CHAR(66 + COLUMN(E15) - 1) &amp; $A$34)</f>
        <v>1</v>
      </c>
      <c r="G20" s="30" cm="1">
        <f t="array" aca="1" ref="G20" ca="1">Ocjene!G20/INDIRECT("Ocjene!" &amp; CHAR(66 + COLUMN(F15) - 1) &amp; $A$34)</f>
        <v>1.5</v>
      </c>
      <c r="H20" s="30" cm="1">
        <f t="array" aca="1" ref="H20" ca="1">Ocjene!H20/INDIRECT("Ocjene!" &amp; CHAR(66 + COLUMN(G15) - 1) &amp; $A$34)</f>
        <v>1.75</v>
      </c>
      <c r="I20" s="30" cm="1">
        <f t="array" aca="1" ref="I20" ca="1">Ocjene!I20/INDIRECT("Ocjene!" &amp; CHAR(66 + COLUMN(H15) - 1) &amp; $A$34)</f>
        <v>3.3333333333333335</v>
      </c>
      <c r="J20" s="30" cm="1">
        <f t="array" aca="1" ref="J20" ca="1">Ocjene!J20/INDIRECT("Ocjene!" &amp; CHAR(66 + COLUMN(I15) - 1) &amp; $A$34)</f>
        <v>0.83333333333333337</v>
      </c>
      <c r="K20" s="30" cm="1">
        <f t="array" aca="1" ref="K20" ca="1">Ocjene!K20/INDIRECT("Ocjene!" &amp; CHAR(66 + COLUMN(J15) - 1) &amp; $A$34)</f>
        <v>0.7</v>
      </c>
      <c r="L20" s="30" cm="1">
        <f t="array" aca="1" ref="L20" ca="1">Ocjene!L20/INDIRECT("Ocjene!" &amp; CHAR(66 + COLUMN(K15) - 1) &amp; $A$34)</f>
        <v>0.76000000000000012</v>
      </c>
      <c r="M20" s="30" cm="1">
        <f t="array" aca="1" ref="M20" ca="1">Ocjene!M20/INDIRECT("Ocjene!" &amp; CHAR(66 + COLUMN(L15) - 1) &amp; $A$34)</f>
        <v>0.625</v>
      </c>
      <c r="N20" s="74">
        <f t="shared" ca="1" si="0"/>
        <v>15.056691603096329</v>
      </c>
      <c r="O20" s="4">
        <f t="shared" ca="1" si="1"/>
        <v>18</v>
      </c>
    </row>
    <row r="21" spans="1:16" x14ac:dyDescent="0.3">
      <c r="A21" s="10" t="s">
        <v>17</v>
      </c>
      <c r="B21" s="30" cm="1">
        <f t="array" aca="1" ref="B21" ca="1">Ocjene!B21/INDIRECT("Ocjene!" &amp; CHAR(66 + COLUMN(A16) - 1) &amp; $A$34)</f>
        <v>1.0666666666666667</v>
      </c>
      <c r="C21" s="30" cm="1">
        <f t="array" aca="1" ref="C21" ca="1">Ocjene!C21/INDIRECT("Ocjene!" &amp; CHAR(66 + COLUMN(B16) - 1) &amp; $A$34)</f>
        <v>1.4444444444444444</v>
      </c>
      <c r="D21" s="30" cm="1">
        <f t="array" aca="1" ref="D21" ca="1">Ocjene!D21/INDIRECT("Ocjene!" &amp; CHAR(66 + COLUMN(C16) - 1) &amp; $A$34)</f>
        <v>1.3351877607788594</v>
      </c>
      <c r="E21" s="30" cm="1">
        <f t="array" aca="1" ref="E21" ca="1">Ocjene!E21/INDIRECT("Ocjene!" &amp; CHAR(66 + COLUMN(D16) - 1) &amp; $A$34)</f>
        <v>1.8181818181818181</v>
      </c>
      <c r="F21" s="30" cm="1">
        <f t="array" aca="1" ref="F21" ca="1">Ocjene!F21/INDIRECT("Ocjene!" &amp; CHAR(66 + COLUMN(E16) - 1) &amp; $A$34)</f>
        <v>0.7142857142857143</v>
      </c>
      <c r="G21" s="30" cm="1">
        <f t="array" aca="1" ref="G21" ca="1">Ocjene!G21/INDIRECT("Ocjene!" &amp; CHAR(66 + COLUMN(F16) - 1) &amp; $A$34)</f>
        <v>1.75</v>
      </c>
      <c r="H21" s="30" cm="1">
        <f t="array" aca="1" ref="H21" ca="1">Ocjene!H21/INDIRECT("Ocjene!" &amp; CHAR(66 + COLUMN(G16) - 1) &amp; $A$34)</f>
        <v>4.5</v>
      </c>
      <c r="I21" s="30" cm="1">
        <f t="array" aca="1" ref="I21" ca="1">Ocjene!I21/INDIRECT("Ocjene!" &amp; CHAR(66 + COLUMN(H16) - 1) &amp; $A$34)</f>
        <v>0.66666666666666663</v>
      </c>
      <c r="J21" s="30" cm="1">
        <f t="array" aca="1" ref="J21" ca="1">Ocjene!J21/INDIRECT("Ocjene!" &amp; CHAR(66 + COLUMN(I16) - 1) &amp; $A$34)</f>
        <v>1</v>
      </c>
      <c r="K21" s="30" cm="1">
        <f t="array" aca="1" ref="K21" ca="1">Ocjene!K21/INDIRECT("Ocjene!" &amp; CHAR(66 + COLUMN(J16) - 1) &amp; $A$34)</f>
        <v>0.1</v>
      </c>
      <c r="L21" s="30" cm="1">
        <f t="array" aca="1" ref="L21" ca="1">Ocjene!L21/INDIRECT("Ocjene!" &amp; CHAR(66 + COLUMN(K16) - 1) &amp; $A$34)</f>
        <v>0.33333333333333331</v>
      </c>
      <c r="M21" s="30" cm="1">
        <f t="array" aca="1" ref="M21" ca="1">Ocjene!M21/INDIRECT("Ocjene!" &amp; CHAR(66 + COLUMN(L16) - 1) &amp; $A$34)</f>
        <v>0.25</v>
      </c>
      <c r="N21" s="74">
        <f t="shared" ca="1" si="0"/>
        <v>13.612099737690835</v>
      </c>
      <c r="O21" s="4">
        <f t="shared" ca="1" si="1"/>
        <v>20</v>
      </c>
    </row>
    <row r="22" spans="1:16" x14ac:dyDescent="0.3">
      <c r="A22" s="10" t="s">
        <v>18</v>
      </c>
      <c r="B22" s="30" cm="1">
        <f t="array" aca="1" ref="B22" ca="1">Ocjene!B22/INDIRECT("Ocjene!" &amp; CHAR(66 + COLUMN(A17) - 1) &amp; $A$34)</f>
        <v>1.0666666666666667</v>
      </c>
      <c r="C22" s="30" cm="1">
        <f t="array" aca="1" ref="C22" ca="1">Ocjene!C22/INDIRECT("Ocjene!" &amp; CHAR(66 + COLUMN(B17) - 1) &amp; $A$34)</f>
        <v>1.2222222222222223</v>
      </c>
      <c r="D22" s="30" cm="1">
        <f t="array" aca="1" ref="D22" ca="1">Ocjene!D22/INDIRECT("Ocjene!" &amp; CHAR(66 + COLUMN(C17) - 1) &amp; $A$34)</f>
        <v>1.3824756606397772</v>
      </c>
      <c r="E22" s="30" cm="1">
        <f t="array" aca="1" ref="E22" ca="1">Ocjene!E22/INDIRECT("Ocjene!" &amp; CHAR(66 + COLUMN(D17) - 1) &amp; $A$34)</f>
        <v>4.8181818181818183</v>
      </c>
      <c r="F22" s="30" cm="1">
        <f t="array" aca="1" ref="F22" ca="1">Ocjene!F22/INDIRECT("Ocjene!" &amp; CHAR(66 + COLUMN(E17) - 1) &amp; $A$34)</f>
        <v>0.8571428571428571</v>
      </c>
      <c r="G22" s="30" cm="1">
        <f t="array" aca="1" ref="G22" ca="1">Ocjene!G22/INDIRECT("Ocjene!" &amp; CHAR(66 + COLUMN(F17) - 1) &amp; $A$34)</f>
        <v>1.75</v>
      </c>
      <c r="H22" s="30" cm="1">
        <f t="array" aca="1" ref="H22" ca="1">Ocjene!H22/INDIRECT("Ocjene!" &amp; CHAR(66 + COLUMN(G17) - 1) &amp; $A$34)</f>
        <v>4</v>
      </c>
      <c r="I22" s="30" cm="1">
        <f t="array" aca="1" ref="I22" ca="1">Ocjene!I22/INDIRECT("Ocjene!" &amp; CHAR(66 + COLUMN(H17) - 1) &amp; $A$34)</f>
        <v>1.6666666666666667</v>
      </c>
      <c r="J22" s="30" cm="1">
        <f t="array" aca="1" ref="J22" ca="1">Ocjene!J22/INDIRECT("Ocjene!" &amp; CHAR(66 + COLUMN(I17) - 1) &amp; $A$34)</f>
        <v>1.1666666666666667</v>
      </c>
      <c r="K22" s="30" cm="1">
        <f t="array" aca="1" ref="K22" ca="1">Ocjene!K22/INDIRECT("Ocjene!" &amp; CHAR(66 + COLUMN(J17) - 1) &amp; $A$34)</f>
        <v>0.4</v>
      </c>
      <c r="L22" s="30" cm="1">
        <f t="array" aca="1" ref="L22" ca="1">Ocjene!L22/INDIRECT("Ocjene!" &amp; CHAR(66 + COLUMN(K17) - 1) &amp; $A$34)</f>
        <v>0.39999999999999997</v>
      </c>
      <c r="M22" s="30" cm="1">
        <f t="array" aca="1" ref="M22" ca="1">Ocjene!M22/INDIRECT("Ocjene!" &amp; CHAR(66 + COLUMN(L17) - 1) &amp; $A$34)</f>
        <v>0.25</v>
      </c>
      <c r="N22" s="74">
        <f t="shared" ca="1" si="0"/>
        <v>16.880022558186678</v>
      </c>
      <c r="O22" s="4">
        <f t="shared" ca="1" si="1"/>
        <v>13</v>
      </c>
    </row>
    <row r="23" spans="1:16" x14ac:dyDescent="0.3">
      <c r="A23" s="10" t="s">
        <v>19</v>
      </c>
      <c r="B23" s="30" cm="1">
        <f t="array" aca="1" ref="B23" ca="1">Ocjene!B23/INDIRECT("Ocjene!" &amp; CHAR(66 + COLUMN(A18) - 1) &amp; $A$34)</f>
        <v>1.0666666666666667</v>
      </c>
      <c r="C23" s="30" cm="1">
        <f t="array" aca="1" ref="C23" ca="1">Ocjene!C23/INDIRECT("Ocjene!" &amp; CHAR(66 + COLUMN(B18) - 1) &amp; $A$34)</f>
        <v>1.6666666666666667</v>
      </c>
      <c r="D23" s="30" cm="1">
        <f t="array" aca="1" ref="D23" ca="1">Ocjene!D23/INDIRECT("Ocjene!" &amp; CHAR(66 + COLUMN(C18) - 1) &amp; $A$34)</f>
        <v>1.2878998609179415</v>
      </c>
      <c r="E23" s="30" cm="1">
        <f t="array" aca="1" ref="E23" ca="1">Ocjene!E23/INDIRECT("Ocjene!" &amp; CHAR(66 + COLUMN(D18) - 1) &amp; $A$34)</f>
        <v>3.9545454545454546</v>
      </c>
      <c r="F23" s="30" cm="1">
        <f t="array" aca="1" ref="F23" ca="1">Ocjene!F23/INDIRECT("Ocjene!" &amp; CHAR(66 + COLUMN(E18) - 1) &amp; $A$34)</f>
        <v>0.7142857142857143</v>
      </c>
      <c r="G23" s="30" cm="1">
        <f t="array" aca="1" ref="G23" ca="1">Ocjene!G23/INDIRECT("Ocjene!" &amp; CHAR(66 + COLUMN(F18) - 1) &amp; $A$34)</f>
        <v>1.75</v>
      </c>
      <c r="H23" s="30" cm="1">
        <f t="array" aca="1" ref="H23" ca="1">Ocjene!H23/INDIRECT("Ocjene!" &amp; CHAR(66 + COLUMN(G18) - 1) &amp; $A$34)</f>
        <v>4.5</v>
      </c>
      <c r="I23" s="30" cm="1">
        <f t="array" aca="1" ref="I23" ca="1">Ocjene!I23/INDIRECT("Ocjene!" &amp; CHAR(66 + COLUMN(H18) - 1) &amp; $A$34)</f>
        <v>0.66666666666666663</v>
      </c>
      <c r="J23" s="30" cm="1">
        <f t="array" aca="1" ref="J23" ca="1">Ocjene!J23/INDIRECT("Ocjene!" &amp; CHAR(66 + COLUMN(I18) - 1) &amp; $A$34)</f>
        <v>1</v>
      </c>
      <c r="K23" s="30" cm="1">
        <f t="array" aca="1" ref="K23" ca="1">Ocjene!K23/INDIRECT("Ocjene!" &amp; CHAR(66 + COLUMN(J18) - 1) &amp; $A$34)</f>
        <v>0.15</v>
      </c>
      <c r="L23" s="30" cm="1">
        <f t="array" aca="1" ref="L23" ca="1">Ocjene!L23/INDIRECT("Ocjene!" &amp; CHAR(66 + COLUMN(K18) - 1) &amp; $A$34)</f>
        <v>0.66666666666666663</v>
      </c>
      <c r="M23" s="30" cm="1">
        <f t="array" aca="1" ref="M23" ca="1">Ocjene!M23/INDIRECT("Ocjene!" &amp; CHAR(66 + COLUMN(L18) - 1) &amp; $A$34)</f>
        <v>0.3</v>
      </c>
      <c r="N23" s="74">
        <f t="shared" ca="1" si="0"/>
        <v>15.490064363082443</v>
      </c>
      <c r="O23" s="4">
        <f t="shared" ca="1" si="1"/>
        <v>17</v>
      </c>
    </row>
    <row r="24" spans="1:16" x14ac:dyDescent="0.3">
      <c r="A24" s="70" t="s">
        <v>20</v>
      </c>
      <c r="B24" s="71" cm="1">
        <f t="array" aca="1" ref="B24" ca="1">Ocjene!B24/INDIRECT("Ocjene!" &amp; CHAR(66 + COLUMN(A19) - 1) &amp; $A$34)</f>
        <v>1</v>
      </c>
      <c r="C24" s="71" cm="1">
        <f t="array" aca="1" ref="C24" ca="1">Ocjene!C24/INDIRECT("Ocjene!" &amp; CHAR(66 + COLUMN(B19) - 1) &amp; $A$34)</f>
        <v>1</v>
      </c>
      <c r="D24" s="71" cm="1">
        <f t="array" aca="1" ref="D24" ca="1">Ocjene!D24/INDIRECT("Ocjene!" &amp; CHAR(66 + COLUMN(C19) - 1) &amp; $A$34)</f>
        <v>1</v>
      </c>
      <c r="E24" s="71" cm="1">
        <f t="array" aca="1" ref="E24" ca="1">Ocjene!E24/INDIRECT("Ocjene!" &amp; CHAR(66 + COLUMN(D19) - 1) &amp; $A$34)</f>
        <v>1</v>
      </c>
      <c r="F24" s="71" cm="1">
        <f t="array" aca="1" ref="F24" ca="1">Ocjene!F24/INDIRECT("Ocjene!" &amp; CHAR(66 + COLUMN(E19) - 1) &amp; $A$34)</f>
        <v>1</v>
      </c>
      <c r="G24" s="71" cm="1">
        <f t="array" aca="1" ref="G24" ca="1">Ocjene!G24/INDIRECT("Ocjene!" &amp; CHAR(66 + COLUMN(F19) - 1) &amp; $A$34)</f>
        <v>1</v>
      </c>
      <c r="H24" s="71" cm="1">
        <f t="array" aca="1" ref="H24" ca="1">Ocjene!H24/INDIRECT("Ocjene!" &amp; CHAR(66 + COLUMN(G19) - 1) &amp; $A$34)</f>
        <v>1</v>
      </c>
      <c r="I24" s="71" cm="1">
        <f t="array" aca="1" ref="I24" ca="1">Ocjene!I24/INDIRECT("Ocjene!" &amp; CHAR(66 + COLUMN(H19) - 1) &amp; $A$34)</f>
        <v>1</v>
      </c>
      <c r="J24" s="71" cm="1">
        <f t="array" aca="1" ref="J24" ca="1">Ocjene!J24/INDIRECT("Ocjene!" &amp; CHAR(66 + COLUMN(I19) - 1) &amp; $A$34)</f>
        <v>1</v>
      </c>
      <c r="K24" s="71" cm="1">
        <f t="array" aca="1" ref="K24" ca="1">Ocjene!K24/INDIRECT("Ocjene!" &amp; CHAR(66 + COLUMN(J19) - 1) &amp; $A$34)</f>
        <v>1</v>
      </c>
      <c r="L24" s="71" cm="1">
        <f t="array" aca="1" ref="L24" ca="1">Ocjene!L24/INDIRECT("Ocjene!" &amp; CHAR(66 + COLUMN(K19) - 1) &amp; $A$34)</f>
        <v>1</v>
      </c>
      <c r="M24" s="71" cm="1">
        <f t="array" aca="1" ref="M24" ca="1">Ocjene!M24/INDIRECT("Ocjene!" &amp; CHAR(66 + COLUMN(L19) - 1) &amp; $A$34)</f>
        <v>1</v>
      </c>
      <c r="N24" s="76">
        <f t="shared" ca="1" si="0"/>
        <v>6</v>
      </c>
      <c r="O24" s="77">
        <f t="shared" ca="1" si="1"/>
        <v>27</v>
      </c>
    </row>
    <row r="25" spans="1:16" x14ac:dyDescent="0.3">
      <c r="A25" s="10" t="s">
        <v>21</v>
      </c>
      <c r="B25" s="30" cm="1">
        <f t="array" aca="1" ref="B25" ca="1">Ocjene!B25/INDIRECT("Ocjene!" &amp; CHAR(66 + COLUMN(A20) - 1) &amp; $A$34)</f>
        <v>1.0666666666666667</v>
      </c>
      <c r="C25" s="30" cm="1">
        <f t="array" aca="1" ref="C25" ca="1">Ocjene!C25/INDIRECT("Ocjene!" &amp; CHAR(66 + COLUMN(B20) - 1) &amp; $A$34)</f>
        <v>1.6666666666666667</v>
      </c>
      <c r="D25" s="30" cm="1">
        <f t="array" aca="1" ref="D25" ca="1">Ocjene!D25/INDIRECT("Ocjene!" &amp; CHAR(66 + COLUMN(C20) - 1) &amp; $A$34)</f>
        <v>1.1905424200278163</v>
      </c>
      <c r="E25" s="30" cm="1">
        <f t="array" aca="1" ref="E25" ca="1">Ocjene!E25/INDIRECT("Ocjene!" &amp; CHAR(66 + COLUMN(D20) - 1) &amp; $A$34)</f>
        <v>4.7272727272727275</v>
      </c>
      <c r="F25" s="30" cm="1">
        <f t="array" aca="1" ref="F25" ca="1">Ocjene!F25/INDIRECT("Ocjene!" &amp; CHAR(66 + COLUMN(E20) - 1) &amp; $A$34)</f>
        <v>0.7142857142857143</v>
      </c>
      <c r="G25" s="30" cm="1">
        <f t="array" aca="1" ref="G25" ca="1">Ocjene!G25/INDIRECT("Ocjene!" &amp; CHAR(66 + COLUMN(F20) - 1) &amp; $A$34)</f>
        <v>1.75</v>
      </c>
      <c r="H25" s="30" cm="1">
        <f t="array" aca="1" ref="H25" ca="1">Ocjene!H25/INDIRECT("Ocjene!" &amp; CHAR(66 + COLUMN(G20) - 1) &amp; $A$34)</f>
        <v>4.5</v>
      </c>
      <c r="I25" s="30" cm="1">
        <f t="array" aca="1" ref="I25" ca="1">Ocjene!I25/INDIRECT("Ocjene!" &amp; CHAR(66 + COLUMN(H20) - 1) &amp; $A$34)</f>
        <v>0.66666666666666663</v>
      </c>
      <c r="J25" s="30" cm="1">
        <f t="array" aca="1" ref="J25" ca="1">Ocjene!J25/INDIRECT("Ocjene!" &amp; CHAR(66 + COLUMN(I20) - 1) &amp; $A$34)</f>
        <v>0.83333333333333337</v>
      </c>
      <c r="K25" s="30" cm="1">
        <f t="array" aca="1" ref="K25" ca="1">Ocjene!K25/INDIRECT("Ocjene!" &amp; CHAR(66 + COLUMN(J20) - 1) &amp; $A$34)</f>
        <v>0.1</v>
      </c>
      <c r="L25" s="30" cm="1">
        <f t="array" aca="1" ref="L25" ca="1">Ocjene!L25/INDIRECT("Ocjene!" &amp; CHAR(66 + COLUMN(K20) - 1) &amp; $A$34)</f>
        <v>0.68</v>
      </c>
      <c r="M25" s="30" cm="1">
        <f t="array" aca="1" ref="M25" ca="1">Ocjene!M25/INDIRECT("Ocjene!" &amp; CHAR(66 + COLUMN(L20) - 1) &amp; $A$34)</f>
        <v>0.25</v>
      </c>
      <c r="N25" s="74">
        <f t="shared" ca="1" si="0"/>
        <v>16.085434194919589</v>
      </c>
      <c r="O25" s="4">
        <f t="shared" ca="1" si="1"/>
        <v>16</v>
      </c>
    </row>
    <row r="26" spans="1:16" x14ac:dyDescent="0.3">
      <c r="A26" s="68" t="s">
        <v>22</v>
      </c>
      <c r="B26" s="69" cm="1">
        <f t="array" aca="1" ref="B26" ca="1">Ocjene!B26/INDIRECT("Ocjene!" &amp; CHAR(66 + COLUMN(A21) - 1) &amp; $A$34)</f>
        <v>1.0666666666666667</v>
      </c>
      <c r="C26" s="69" cm="1">
        <f t="array" aca="1" ref="C26" ca="1">Ocjene!C26/INDIRECT("Ocjene!" &amp; CHAR(66 + COLUMN(B21) - 1) &amp; $A$34)</f>
        <v>1.6666666666666667</v>
      </c>
      <c r="D26" s="69" cm="1">
        <f t="array" aca="1" ref="D26" ca="1">Ocjene!D26/INDIRECT("Ocjene!" &amp; CHAR(66 + COLUMN(C21) - 1) &amp; $A$34)</f>
        <v>1.4255910987482612</v>
      </c>
      <c r="E26" s="69" cm="1">
        <f t="array" aca="1" ref="E26" ca="1">Ocjene!E26/INDIRECT("Ocjene!" &amp; CHAR(66 + COLUMN(D21) - 1) &amp; $A$34)</f>
        <v>10.045454545454545</v>
      </c>
      <c r="F26" s="69" cm="1">
        <f t="array" aca="1" ref="F26" ca="1">Ocjene!F26/INDIRECT("Ocjene!" &amp; CHAR(66 + COLUMN(E21) - 1) &amp; $A$34)</f>
        <v>0.7142857142857143</v>
      </c>
      <c r="G26" s="69" cm="1">
        <f t="array" aca="1" ref="G26" ca="1">Ocjene!G26/INDIRECT("Ocjene!" &amp; CHAR(66 + COLUMN(F21) - 1) &amp; $A$34)</f>
        <v>1.75</v>
      </c>
      <c r="H26" s="69" cm="1">
        <f t="array" aca="1" ref="H26" ca="1">Ocjene!H26/INDIRECT("Ocjene!" &amp; CHAR(66 + COLUMN(G21) - 1) &amp; $A$34)</f>
        <v>4.25</v>
      </c>
      <c r="I26" s="69" cm="1">
        <f t="array" aca="1" ref="I26" ca="1">Ocjene!I26/INDIRECT("Ocjene!" &amp; CHAR(66 + COLUMN(H21) - 1) &amp; $A$34)</f>
        <v>2.6666666666666665</v>
      </c>
      <c r="J26" s="69" cm="1">
        <f t="array" aca="1" ref="J26" ca="1">Ocjene!J26/INDIRECT("Ocjene!" &amp; CHAR(66 + COLUMN(I21) - 1) &amp; $A$34)</f>
        <v>0.83333333333333337</v>
      </c>
      <c r="K26" s="69" cm="1">
        <f t="array" aca="1" ref="K26" ca="1">Ocjene!K26/INDIRECT("Ocjene!" &amp; CHAR(66 + COLUMN(J21) - 1) &amp; $A$34)</f>
        <v>0.25</v>
      </c>
      <c r="L26" s="69" cm="1">
        <f t="array" aca="1" ref="L26" ca="1">Ocjene!L26/INDIRECT("Ocjene!" &amp; CHAR(66 + COLUMN(K21) - 1) &amp; $A$34)</f>
        <v>0.57333333333333336</v>
      </c>
      <c r="M26" s="69" cm="1">
        <f t="array" aca="1" ref="M26" ca="1">Ocjene!M26/INDIRECT("Ocjene!" &amp; CHAR(66 + COLUMN(L21) - 1) &amp; $A$34)</f>
        <v>0.25</v>
      </c>
      <c r="N26" s="78">
        <f t="shared" ca="1" si="0"/>
        <v>23.345331358488519</v>
      </c>
      <c r="O26" s="79">
        <f t="shared" ca="1" si="1"/>
        <v>1</v>
      </c>
    </row>
    <row r="27" spans="1:16" x14ac:dyDescent="0.3">
      <c r="A27" s="10" t="s">
        <v>23</v>
      </c>
      <c r="B27" s="30" cm="1">
        <f t="array" aca="1" ref="B27" ca="1">Ocjene!B27/INDIRECT("Ocjene!" &amp; CHAR(66 + COLUMN(A22) - 1) &amp; $A$34)</f>
        <v>1.0666666666666667</v>
      </c>
      <c r="C27" s="30" cm="1">
        <f t="array" aca="1" ref="C27" ca="1">Ocjene!C27/INDIRECT("Ocjene!" &amp; CHAR(66 + COLUMN(B22) - 1) &amp; $A$34)</f>
        <v>1.3333333333333333</v>
      </c>
      <c r="D27" s="30" cm="1">
        <f t="array" aca="1" ref="D27" ca="1">Ocjene!D27/INDIRECT("Ocjene!" &amp; CHAR(66 + COLUMN(C22) - 1) &amp; $A$34)</f>
        <v>1.4394993045897078</v>
      </c>
      <c r="E27" s="30" cm="1">
        <f t="array" aca="1" ref="E27" ca="1">Ocjene!E27/INDIRECT("Ocjene!" &amp; CHAR(66 + COLUMN(D22) - 1) &amp; $A$34)</f>
        <v>3.7727272727272729</v>
      </c>
      <c r="F27" s="30" cm="1">
        <f t="array" aca="1" ref="F27" ca="1">Ocjene!F27/INDIRECT("Ocjene!" &amp; CHAR(66 + COLUMN(E22) - 1) &amp; $A$34)</f>
        <v>0.8571428571428571</v>
      </c>
      <c r="G27" s="30" cm="1">
        <f t="array" aca="1" ref="G27" ca="1">Ocjene!G27/INDIRECT("Ocjene!" &amp; CHAR(66 + COLUMN(F22) - 1) &amp; $A$34)</f>
        <v>1.75</v>
      </c>
      <c r="H27" s="30" cm="1">
        <f t="array" aca="1" ref="H27" ca="1">Ocjene!H27/INDIRECT("Ocjene!" &amp; CHAR(66 + COLUMN(G22) - 1) &amp; $A$34)</f>
        <v>2</v>
      </c>
      <c r="I27" s="30" cm="1">
        <f t="array" aca="1" ref="I27" ca="1">Ocjene!I27/INDIRECT("Ocjene!" &amp; CHAR(66 + COLUMN(H22) - 1) &amp; $A$34)</f>
        <v>1.8333333333333333</v>
      </c>
      <c r="J27" s="30" cm="1">
        <f t="array" aca="1" ref="J27" ca="1">Ocjene!J27/INDIRECT("Ocjene!" &amp; CHAR(66 + COLUMN(I22) - 1) &amp; $A$34)</f>
        <v>1.3333333333333333</v>
      </c>
      <c r="K27" s="30" cm="1">
        <f t="array" aca="1" ref="K27" ca="1">Ocjene!K27/INDIRECT("Ocjene!" &amp; CHAR(66 + COLUMN(J22) - 1) &amp; $A$34)</f>
        <v>0.5</v>
      </c>
      <c r="L27" s="30" cm="1">
        <f t="array" aca="1" ref="L27" ca="1">Ocjene!L27/INDIRECT("Ocjene!" &amp; CHAR(66 + COLUMN(K22) - 1) &amp; $A$34)</f>
        <v>0.33333333333333331</v>
      </c>
      <c r="M27" s="30" cm="1">
        <f t="array" aca="1" ref="M27" ca="1">Ocjene!M27/INDIRECT("Ocjene!" &amp; CHAR(66 + COLUMN(L22) - 1) &amp; $A$34)</f>
        <v>0.25</v>
      </c>
      <c r="N27" s="74">
        <f t="shared" ca="1" si="0"/>
        <v>14.302702767793171</v>
      </c>
      <c r="O27" s="4">
        <f t="shared" ca="1" si="1"/>
        <v>19</v>
      </c>
    </row>
    <row r="28" spans="1:16" x14ac:dyDescent="0.3">
      <c r="A28" s="10" t="s">
        <v>24</v>
      </c>
      <c r="B28" s="30" cm="1">
        <f t="array" aca="1" ref="B28" ca="1">Ocjene!B28/INDIRECT("Ocjene!" &amp; CHAR(66 + COLUMN(A23) - 1) &amp; $A$34)</f>
        <v>1</v>
      </c>
      <c r="C28" s="30" cm="1">
        <f t="array" aca="1" ref="C28" ca="1">Ocjene!C28/INDIRECT("Ocjene!" &amp; CHAR(66 + COLUMN(B23) - 1) &amp; $A$34)</f>
        <v>1</v>
      </c>
      <c r="D28" s="30" cm="1">
        <f t="array" aca="1" ref="D28" ca="1">Ocjene!D28/INDIRECT("Ocjene!" &amp; CHAR(66 + COLUMN(C23) - 1) &amp; $A$34)</f>
        <v>0.89707927677329613</v>
      </c>
      <c r="E28" s="30" cm="1">
        <f t="array" aca="1" ref="E28" ca="1">Ocjene!E28/INDIRECT("Ocjene!" &amp; CHAR(66 + COLUMN(D23) - 1) &amp; $A$34)</f>
        <v>1.1818181818181819</v>
      </c>
      <c r="F28" s="30" cm="1">
        <f t="array" aca="1" ref="F28" ca="1">Ocjene!F28/INDIRECT("Ocjene!" &amp; CHAR(66 + COLUMN(E23) - 1) &amp; $A$34)</f>
        <v>1</v>
      </c>
      <c r="G28" s="30" cm="1">
        <f t="array" aca="1" ref="G28" ca="1">Ocjene!G28/INDIRECT("Ocjene!" &amp; CHAR(66 + COLUMN(F23) - 1) &amp; $A$34)</f>
        <v>1</v>
      </c>
      <c r="H28" s="30" cm="1">
        <f t="array" aca="1" ref="H28" ca="1">Ocjene!H28/INDIRECT("Ocjene!" &amp; CHAR(66 + COLUMN(G23) - 1) &amp; $A$34)</f>
        <v>1</v>
      </c>
      <c r="I28" s="30" cm="1">
        <f t="array" aca="1" ref="I28" ca="1">Ocjene!I28/INDIRECT("Ocjene!" &amp; CHAR(66 + COLUMN(H23) - 1) &amp; $A$34)</f>
        <v>3.3333333333333335</v>
      </c>
      <c r="J28" s="30" cm="1">
        <f t="array" aca="1" ref="J28" ca="1">Ocjene!J28/INDIRECT("Ocjene!" &amp; CHAR(66 + COLUMN(I23) - 1) &amp; $A$34)</f>
        <v>1</v>
      </c>
      <c r="K28" s="30" cm="1">
        <f t="array" aca="1" ref="K28" ca="1">Ocjene!K28/INDIRECT("Ocjene!" &amp; CHAR(66 + COLUMN(J23) - 1) &amp; $A$34)</f>
        <v>1</v>
      </c>
      <c r="L28" s="30" cm="1">
        <f t="array" aca="1" ref="L28" ca="1">Ocjene!L28/INDIRECT("Ocjene!" &amp; CHAR(66 + COLUMN(K23) - 1) &amp; $A$34)</f>
        <v>0.66666666666666663</v>
      </c>
      <c r="M28" s="30" cm="1">
        <f t="array" aca="1" ref="M28" ca="1">Ocjene!M28/INDIRECT("Ocjene!" &amp; CHAR(66 + COLUMN(L23) - 1) &amp; $A$34)</f>
        <v>0.75</v>
      </c>
      <c r="N28" s="74">
        <f t="shared" ca="1" si="0"/>
        <v>8.9955641252581451</v>
      </c>
      <c r="O28" s="4">
        <f t="shared" ca="1" si="1"/>
        <v>26</v>
      </c>
    </row>
    <row r="29" spans="1:16" x14ac:dyDescent="0.3">
      <c r="A29" s="10" t="s">
        <v>25</v>
      </c>
      <c r="B29" s="30" cm="1">
        <f t="array" aca="1" ref="B29" ca="1">Ocjene!B29/INDIRECT("Ocjene!" &amp; CHAR(66 + COLUMN(A24) - 1) &amp; $A$34)</f>
        <v>1.0666666666666667</v>
      </c>
      <c r="C29" s="30" cm="1">
        <f t="array" aca="1" ref="C29" ca="1">Ocjene!C29/INDIRECT("Ocjene!" &amp; CHAR(66 + COLUMN(B24) - 1) &amp; $A$34)</f>
        <v>1.5555555555555556</v>
      </c>
      <c r="D29" s="30" cm="1">
        <f t="array" aca="1" ref="D29" ca="1">Ocjene!D29/INDIRECT("Ocjene!" &amp; CHAR(66 + COLUMN(C24) - 1) &amp; $A$34)</f>
        <v>1.3922114047287899</v>
      </c>
      <c r="E29" s="30" cm="1">
        <f t="array" aca="1" ref="E29" ca="1">Ocjene!E29/INDIRECT("Ocjene!" &amp; CHAR(66 + COLUMN(D24) - 1) &amp; $A$34)</f>
        <v>8.4090909090909083</v>
      </c>
      <c r="F29" s="30" cm="1">
        <f t="array" aca="1" ref="F29" ca="1">Ocjene!F29/INDIRECT("Ocjene!" &amp; CHAR(66 + COLUMN(E24) - 1) &amp; $A$34)</f>
        <v>0.7142857142857143</v>
      </c>
      <c r="G29" s="30" cm="1">
        <f t="array" aca="1" ref="G29" ca="1">Ocjene!G29/INDIRECT("Ocjene!" &amp; CHAR(66 + COLUMN(F24) - 1) &amp; $A$34)</f>
        <v>1.75</v>
      </c>
      <c r="H29" s="30" cm="1">
        <f t="array" aca="1" ref="H29" ca="1">Ocjene!H29/INDIRECT("Ocjene!" &amp; CHAR(66 + COLUMN(G24) - 1) &amp; $A$34)</f>
        <v>3.5</v>
      </c>
      <c r="I29" s="30" cm="1">
        <f t="array" aca="1" ref="I29" ca="1">Ocjene!I29/INDIRECT("Ocjene!" &amp; CHAR(66 + COLUMN(H24) - 1) &amp; $A$34)</f>
        <v>2.6666666666666665</v>
      </c>
      <c r="J29" s="30" cm="1">
        <f t="array" aca="1" ref="J29" ca="1">Ocjene!J29/INDIRECT("Ocjene!" &amp; CHAR(66 + COLUMN(I24) - 1) &amp; $A$34)</f>
        <v>0.83333333333333337</v>
      </c>
      <c r="K29" s="30" cm="1">
        <f t="array" aca="1" ref="K29" ca="1">Ocjene!K29/INDIRECT("Ocjene!" &amp; CHAR(66 + COLUMN(J24) - 1) &amp; $A$34)</f>
        <v>0.25</v>
      </c>
      <c r="L29" s="30" cm="1">
        <f t="array" aca="1" ref="L29" ca="1">Ocjene!L29/INDIRECT("Ocjene!" &amp; CHAR(66 + COLUMN(K24) - 1) &amp; $A$34)</f>
        <v>0.66666666666666663</v>
      </c>
      <c r="M29" s="30" cm="1">
        <f t="array" aca="1" ref="M29" ca="1">Ocjene!M29/INDIRECT("Ocjene!" &amp; CHAR(66 + COLUMN(L24) - 1) &amp; $A$34)</f>
        <v>0.25</v>
      </c>
      <c r="N29" s="74">
        <f t="shared" ca="1" si="0"/>
        <v>20.721143583660965</v>
      </c>
      <c r="O29" s="4">
        <f t="shared" ca="1" si="1"/>
        <v>7</v>
      </c>
    </row>
    <row r="30" spans="1:16" x14ac:dyDescent="0.3">
      <c r="A30" s="10" t="s">
        <v>26</v>
      </c>
      <c r="B30" s="30" cm="1">
        <f t="array" aca="1" ref="B30" ca="1">Ocjene!B30/INDIRECT("Ocjene!" &amp; CHAR(66 + COLUMN(A25) - 1) &amp; $A$34)</f>
        <v>1</v>
      </c>
      <c r="C30" s="30" cm="1">
        <f t="array" aca="1" ref="C30" ca="1">Ocjene!C30/INDIRECT("Ocjene!" &amp; CHAR(66 + COLUMN(B25) - 1) &amp; $A$34)</f>
        <v>1.2222222222222223</v>
      </c>
      <c r="D30" s="30" cm="1">
        <f t="array" aca="1" ref="D30" ca="1">Ocjene!D30/INDIRECT("Ocjene!" &amp; CHAR(66 + COLUMN(C25) - 1) &amp; $A$34)</f>
        <v>0.84144645340751023</v>
      </c>
      <c r="E30" s="30" cm="1">
        <f t="array" aca="1" ref="E30" ca="1">Ocjene!E30/INDIRECT("Ocjene!" &amp; CHAR(66 + COLUMN(D25) - 1) &amp; $A$34)</f>
        <v>2.9545454545454546</v>
      </c>
      <c r="F30" s="30" cm="1">
        <f t="array" aca="1" ref="F30" ca="1">Ocjene!F30/INDIRECT("Ocjene!" &amp; CHAR(66 + COLUMN(E25) - 1) &amp; $A$34)</f>
        <v>0.5714285714285714</v>
      </c>
      <c r="G30" s="30" cm="1">
        <f t="array" aca="1" ref="G30" ca="1">Ocjene!G30/INDIRECT("Ocjene!" &amp; CHAR(66 + COLUMN(F25) - 1) &amp; $A$34)</f>
        <v>1.625</v>
      </c>
      <c r="H30" s="30" cm="1">
        <f t="array" aca="1" ref="H30" ca="1">Ocjene!H30/INDIRECT("Ocjene!" &amp; CHAR(66 + COLUMN(G25) - 1) &amp; $A$34)</f>
        <v>3</v>
      </c>
      <c r="I30" s="30" cm="1">
        <f t="array" aca="1" ref="I30" ca="1">Ocjene!I30/INDIRECT("Ocjene!" &amp; CHAR(66 + COLUMN(H25) - 1) &amp; $A$34)</f>
        <v>0.66666666666666663</v>
      </c>
      <c r="J30" s="30" cm="1">
        <f t="array" aca="1" ref="J30" ca="1">Ocjene!J30/INDIRECT("Ocjene!" &amp; CHAR(66 + COLUMN(I25) - 1) &amp; $A$34)</f>
        <v>0.66666666666666663</v>
      </c>
      <c r="K30" s="30" cm="1">
        <f t="array" aca="1" ref="K30" ca="1">Ocjene!K30/INDIRECT("Ocjene!" &amp; CHAR(66 + COLUMN(J25) - 1) &amp; $A$34)</f>
        <v>0.6</v>
      </c>
      <c r="L30" s="30" cm="1">
        <f t="array" aca="1" ref="L30" ca="1">Ocjene!L30/INDIRECT("Ocjene!" &amp; CHAR(66 + COLUMN(K25) - 1) &amp; $A$34)</f>
        <v>1</v>
      </c>
      <c r="M30" s="30" cm="1">
        <f t="array" aca="1" ref="M30" ca="1">Ocjene!M30/INDIRECT("Ocjene!" &amp; CHAR(66 + COLUMN(L25) - 1) &amp; $A$34)</f>
        <v>0.5</v>
      </c>
      <c r="N30" s="74">
        <f t="shared" ca="1" si="0"/>
        <v>10.44797603493709</v>
      </c>
      <c r="O30" s="4">
        <f t="shared" ca="1" si="1"/>
        <v>25</v>
      </c>
    </row>
    <row r="31" spans="1:16" x14ac:dyDescent="0.3">
      <c r="A31" s="10" t="s">
        <v>27</v>
      </c>
      <c r="B31" s="30" cm="1">
        <f t="array" aca="1" ref="B31" ca="1">Ocjene!B31/INDIRECT("Ocjene!" &amp; CHAR(66 + COLUMN(A26) - 1) &amp; $A$34)</f>
        <v>1</v>
      </c>
      <c r="C31" s="30" cm="1">
        <f t="array" aca="1" ref="C31" ca="1">Ocjene!C31/INDIRECT("Ocjene!" &amp; CHAR(66 + COLUMN(B26) - 1) &amp; $A$34)</f>
        <v>1.6666666666666667</v>
      </c>
      <c r="D31" s="30" cm="1">
        <f t="array" aca="1" ref="D31" ca="1">Ocjene!D31/INDIRECT("Ocjene!" &amp; CHAR(66 + COLUMN(C26) - 1) &amp; $A$34)</f>
        <v>1.4353268428372741</v>
      </c>
      <c r="E31" s="30" cm="1">
        <f t="array" aca="1" ref="E31" ca="1">Ocjene!E31/INDIRECT("Ocjene!" &amp; CHAR(66 + COLUMN(D26) - 1) &amp; $A$34)</f>
        <v>7.4090909090909092</v>
      </c>
      <c r="F31" s="30" cm="1">
        <f t="array" aca="1" ref="F31" ca="1">Ocjene!F31/INDIRECT("Ocjene!" &amp; CHAR(66 + COLUMN(E26) - 1) &amp; $A$34)</f>
        <v>1</v>
      </c>
      <c r="G31" s="30" cm="1">
        <f t="array" aca="1" ref="G31" ca="1">Ocjene!G31/INDIRECT("Ocjene!" &amp; CHAR(66 + COLUMN(F26) - 1) &amp; $A$34)</f>
        <v>1.5</v>
      </c>
      <c r="H31" s="30" cm="1">
        <f t="array" aca="1" ref="H31" ca="1">Ocjene!H31/INDIRECT("Ocjene!" &amp; CHAR(66 + COLUMN(G26) - 1) &amp; $A$34)</f>
        <v>1.5</v>
      </c>
      <c r="I31" s="30" cm="1">
        <f t="array" aca="1" ref="I31" ca="1">Ocjene!I31/INDIRECT("Ocjene!" &amp; CHAR(66 + COLUMN(H26) - 1) &amp; $A$34)</f>
        <v>3.3333333333333335</v>
      </c>
      <c r="J31" s="30" cm="1">
        <f t="array" aca="1" ref="J31" ca="1">Ocjene!J31/INDIRECT("Ocjene!" &amp; CHAR(66 + COLUMN(I26) - 1) &amp; $A$34)</f>
        <v>1.3333333333333333</v>
      </c>
      <c r="K31" s="30" cm="1">
        <f t="array" aca="1" ref="K31" ca="1">Ocjene!K31/INDIRECT("Ocjene!" &amp; CHAR(66 + COLUMN(J26) - 1) &amp; $A$34)</f>
        <v>0.7</v>
      </c>
      <c r="L31" s="30" cm="1">
        <f t="array" aca="1" ref="L31" ca="1">Ocjene!L31/INDIRECT("Ocjene!" &amp; CHAR(66 + COLUMN(K26) - 1) &amp; $A$34)</f>
        <v>0.66666666666666663</v>
      </c>
      <c r="M31" s="30" cm="1">
        <f t="array" aca="1" ref="M31" ca="1">Ocjene!M31/INDIRECT("Ocjene!" &amp; CHAR(66 + COLUMN(L26) - 1) &amp; $A$34)</f>
        <v>0.25</v>
      </c>
      <c r="N31" s="74">
        <f t="shared" ca="1" si="0"/>
        <v>18.561084418594849</v>
      </c>
      <c r="O31" s="4">
        <f t="shared" ca="1" si="1"/>
        <v>10</v>
      </c>
    </row>
    <row r="32" spans="1:16" ht="17.25" thickBot="1" x14ac:dyDescent="0.35">
      <c r="A32" s="10" t="s">
        <v>28</v>
      </c>
      <c r="B32" s="33" cm="1">
        <f t="array" aca="1" ref="B32" ca="1">Ocjene!B32/INDIRECT("Ocjene!" &amp; CHAR(66 + COLUMN(A27) - 1) &amp; $A$34)</f>
        <v>1.0666666666666667</v>
      </c>
      <c r="C32" s="31" cm="1">
        <f t="array" aca="1" ref="C32" ca="1">Ocjene!C32/INDIRECT("Ocjene!" &amp; CHAR(66 + COLUMN(B27) - 1) &amp; $A$34)</f>
        <v>1.7777777777777777</v>
      </c>
      <c r="D32" s="31" cm="1">
        <f t="array" aca="1" ref="D32" ca="1">Ocjene!D32/INDIRECT("Ocjene!" &amp; CHAR(66 + COLUMN(C27) - 1) &amp; $A$34)</f>
        <v>1.2948539638386649</v>
      </c>
      <c r="E32" s="31" cm="1">
        <f t="array" aca="1" ref="E32" ca="1">Ocjene!E32/INDIRECT("Ocjene!" &amp; CHAR(66 + COLUMN(D27) - 1) &amp; $A$34)</f>
        <v>3.5</v>
      </c>
      <c r="F32" s="31" cm="1">
        <f t="array" aca="1" ref="F32" ca="1">Ocjene!F32/INDIRECT("Ocjene!" &amp; CHAR(66 + COLUMN(E27) - 1) &amp; $A$34)</f>
        <v>0.7142857142857143</v>
      </c>
      <c r="G32" s="31" cm="1">
        <f t="array" aca="1" ref="G32" ca="1">Ocjene!G32/INDIRECT("Ocjene!" &amp; CHAR(66 + COLUMN(F27) - 1) &amp; $A$34)</f>
        <v>1.25</v>
      </c>
      <c r="H32" s="31" cm="1">
        <f t="array" aca="1" ref="H32" ca="1">Ocjene!H32/INDIRECT("Ocjene!" &amp; CHAR(66 + COLUMN(G27) - 1) &amp; $A$34)</f>
        <v>2.25</v>
      </c>
      <c r="I32" s="31" cm="1">
        <f t="array" aca="1" ref="I32" ca="1">Ocjene!I32/INDIRECT("Ocjene!" &amp; CHAR(66 + COLUMN(H27) - 1) &amp; $A$34)</f>
        <v>0.66666666666666663</v>
      </c>
      <c r="J32" s="31" cm="1">
        <f t="array" aca="1" ref="J32" ca="1">Ocjene!J32/INDIRECT("Ocjene!" &amp; CHAR(66 + COLUMN(I27) - 1) &amp; $A$34)</f>
        <v>0.83333333333333337</v>
      </c>
      <c r="K32" s="31" cm="1">
        <f t="array" aca="1" ref="K32" ca="1">Ocjene!K32/INDIRECT("Ocjene!" &amp; CHAR(66 + COLUMN(J27) - 1) &amp; $A$34)</f>
        <v>0.85</v>
      </c>
      <c r="L32" s="31" cm="1">
        <f t="array" aca="1" ref="L32" ca="1">Ocjene!L32/INDIRECT("Ocjene!" &amp; CHAR(66 + COLUMN(K27) - 1) &amp; $A$34)</f>
        <v>0.49333333333333335</v>
      </c>
      <c r="M32" s="32" cm="1">
        <f t="array" aca="1" ref="M32" ca="1">Ocjene!M32/INDIRECT("Ocjene!" &amp; CHAR(66 + COLUMN(L27) - 1) &amp; $A$34)</f>
        <v>0.25</v>
      </c>
      <c r="N32" s="75">
        <f t="shared" ca="1" si="0"/>
        <v>11.760250789235489</v>
      </c>
      <c r="O32" s="5">
        <f t="shared" ca="1" si="1"/>
        <v>24</v>
      </c>
    </row>
    <row r="33" spans="1:15" x14ac:dyDescent="0.3">
      <c r="A33" s="49" t="s">
        <v>104</v>
      </c>
      <c r="M33" s="87"/>
      <c r="N33" s="83"/>
      <c r="O33" s="84"/>
    </row>
    <row r="34" spans="1:15" ht="17.25" thickBot="1" x14ac:dyDescent="0.35">
      <c r="A34" s="50">
        <v>24</v>
      </c>
      <c r="M34" s="82"/>
      <c r="N34" s="82"/>
    </row>
  </sheetData>
  <mergeCells count="4">
    <mergeCell ref="A1:B1"/>
    <mergeCell ref="B3:M3"/>
    <mergeCell ref="N4:O4"/>
    <mergeCell ref="N5:O5"/>
  </mergeCells>
  <pageMargins left="0.7" right="0.7" top="0.75" bottom="0.75" header="0.3" footer="0.3"/>
  <pageSetup paperSize="8"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EA91-4025-49D9-B929-DC53D854CF44}">
  <dimension ref="A1:L32"/>
  <sheetViews>
    <sheetView zoomScaleNormal="100" workbookViewId="0">
      <selection activeCell="C23" sqref="C23"/>
    </sheetView>
  </sheetViews>
  <sheetFormatPr defaultRowHeight="16.5" x14ac:dyDescent="0.3"/>
  <cols>
    <col min="1" max="1" width="25.7109375" style="1" customWidth="1"/>
    <col min="2" max="3" width="30.7109375" style="1" customWidth="1"/>
    <col min="4" max="4" width="20.7109375" style="1" customWidth="1"/>
    <col min="5" max="5" width="20.5703125" style="1" customWidth="1"/>
    <col min="6" max="7" width="20.7109375" style="1" customWidth="1"/>
    <col min="8" max="8" width="20.5703125" style="1" customWidth="1"/>
    <col min="9" max="9" width="35.7109375" style="1" customWidth="1"/>
    <col min="10" max="29" width="20.7109375" style="1" customWidth="1"/>
    <col min="30" max="16384" width="9.140625" style="1"/>
  </cols>
  <sheetData>
    <row r="1" spans="1:12" ht="16.5" customHeight="1" x14ac:dyDescent="0.3">
      <c r="A1" s="118" t="s">
        <v>141</v>
      </c>
      <c r="B1" s="118"/>
    </row>
    <row r="2" spans="1:12" ht="17.25" thickBot="1" x14ac:dyDescent="0.35">
      <c r="A2" s="2"/>
      <c r="B2" s="2"/>
    </row>
    <row r="3" spans="1:12" ht="18" thickTop="1" thickBot="1" x14ac:dyDescent="0.35">
      <c r="A3" s="36" t="s">
        <v>142</v>
      </c>
      <c r="B3" s="8" t="s">
        <v>43</v>
      </c>
      <c r="C3" s="44" t="s">
        <v>105</v>
      </c>
    </row>
    <row r="4" spans="1:12" ht="17.25" thickTop="1" x14ac:dyDescent="0.3">
      <c r="A4" s="120" t="s">
        <v>42</v>
      </c>
      <c r="B4" s="124"/>
      <c r="C4" s="121"/>
      <c r="D4" s="6"/>
      <c r="E4" s="6"/>
      <c r="F4" s="6"/>
      <c r="G4" s="6"/>
      <c r="H4" s="6"/>
      <c r="I4" s="6"/>
      <c r="J4" s="7"/>
      <c r="K4" s="7"/>
      <c r="L4" s="7"/>
    </row>
    <row r="5" spans="1:12" ht="17.25" thickBot="1" x14ac:dyDescent="0.35">
      <c r="A5" s="122" t="s">
        <v>103</v>
      </c>
      <c r="B5" s="125"/>
      <c r="C5" s="123"/>
    </row>
    <row r="6" spans="1:12" x14ac:dyDescent="0.3">
      <c r="A6" s="10" t="s">
        <v>2</v>
      </c>
      <c r="B6" s="45">
        <f ca="1">PRODUCT('Normalizirane vrijednosti'!B6:J6) / PRODUCT('Normalizirane vrijednosti'!K6:M6)</f>
        <v>3883.1539003073535</v>
      </c>
      <c r="C6" s="4">
        <f ca="1">RANK(B6,B$6:B$32)</f>
        <v>7</v>
      </c>
    </row>
    <row r="7" spans="1:12" x14ac:dyDescent="0.3">
      <c r="A7" s="10" t="s">
        <v>3</v>
      </c>
      <c r="B7" s="45">
        <f ca="1">PRODUCT('Normalizirane vrijednosti'!B7:J7) / PRODUCT('Normalizirane vrijednosti'!K7:M7)</f>
        <v>4199.6630186894445</v>
      </c>
      <c r="C7" s="4">
        <f t="shared" ref="C7:C32" ca="1" si="0">RANK(B7,B$6:B$32)</f>
        <v>4</v>
      </c>
    </row>
    <row r="8" spans="1:12" x14ac:dyDescent="0.3">
      <c r="A8" s="10" t="s">
        <v>4</v>
      </c>
      <c r="B8" s="45">
        <f ca="1">PRODUCT('Normalizirane vrijednosti'!B8:J8) / PRODUCT('Normalizirane vrijednosti'!K8:M8)</f>
        <v>3525.7215954944272</v>
      </c>
      <c r="C8" s="4">
        <f t="shared" ca="1" si="0"/>
        <v>8</v>
      </c>
    </row>
    <row r="9" spans="1:12" x14ac:dyDescent="0.3">
      <c r="A9" s="10" t="s">
        <v>5</v>
      </c>
      <c r="B9" s="45">
        <f ca="1">PRODUCT('Normalizirane vrijednosti'!B9:J9) / PRODUCT('Normalizirane vrijednosti'!K9:M9)</f>
        <v>67.049142327306456</v>
      </c>
      <c r="C9" s="4">
        <f t="shared" ca="1" si="0"/>
        <v>24</v>
      </c>
    </row>
    <row r="10" spans="1:12" x14ac:dyDescent="0.3">
      <c r="A10" s="10" t="s">
        <v>6</v>
      </c>
      <c r="B10" s="45">
        <f ca="1">PRODUCT('Normalizirane vrijednosti'!B10:J10) / PRODUCT('Normalizirane vrijednosti'!K10:M10)</f>
        <v>110.39962287064741</v>
      </c>
      <c r="C10" s="4">
        <f t="shared" ca="1" si="0"/>
        <v>22</v>
      </c>
    </row>
    <row r="11" spans="1:12" x14ac:dyDescent="0.3">
      <c r="A11" s="10" t="s">
        <v>7</v>
      </c>
      <c r="B11" s="45">
        <f ca="1">PRODUCT('Normalizirane vrijednosti'!B11:J11) / PRODUCT('Normalizirane vrijednosti'!K11:M11)</f>
        <v>3974.4272165845337</v>
      </c>
      <c r="C11" s="4">
        <f t="shared" ca="1" si="0"/>
        <v>6</v>
      </c>
    </row>
    <row r="12" spans="1:12" x14ac:dyDescent="0.3">
      <c r="A12" s="10" t="s">
        <v>8</v>
      </c>
      <c r="B12" s="45">
        <f ca="1">PRODUCT('Normalizirane vrijednosti'!B12:J12) / PRODUCT('Normalizirane vrijednosti'!K12:M12)</f>
        <v>299.39854736516764</v>
      </c>
      <c r="C12" s="4">
        <f t="shared" ca="1" si="0"/>
        <v>18</v>
      </c>
    </row>
    <row r="13" spans="1:12" x14ac:dyDescent="0.3">
      <c r="A13" s="10" t="s">
        <v>9</v>
      </c>
      <c r="B13" s="45">
        <f ca="1">PRODUCT('Normalizirane vrijednosti'!B13:J13) / PRODUCT('Normalizirane vrijednosti'!K13:M13)</f>
        <v>263.47705146036157</v>
      </c>
      <c r="C13" s="4">
        <f t="shared" ca="1" si="0"/>
        <v>20</v>
      </c>
    </row>
    <row r="14" spans="1:12" x14ac:dyDescent="0.3">
      <c r="A14" s="10" t="s">
        <v>10</v>
      </c>
      <c r="B14" s="45">
        <f ca="1">PRODUCT('Normalizirane vrijednosti'!B14:J14) / PRODUCT('Normalizirane vrijednosti'!K14:M14)</f>
        <v>4022.1047751506735</v>
      </c>
      <c r="C14" s="4">
        <f t="shared" ca="1" si="0"/>
        <v>5</v>
      </c>
    </row>
    <row r="15" spans="1:12" x14ac:dyDescent="0.3">
      <c r="A15" s="10" t="s">
        <v>11</v>
      </c>
      <c r="B15" s="45">
        <f ca="1">PRODUCT('Normalizirane vrijednosti'!B15:J15) / PRODUCT('Normalizirane vrijednosti'!K15:M15)</f>
        <v>1998.8455003196491</v>
      </c>
      <c r="C15" s="4">
        <f t="shared" ca="1" si="0"/>
        <v>10</v>
      </c>
    </row>
    <row r="16" spans="1:12" x14ac:dyDescent="0.3">
      <c r="A16" s="10" t="s">
        <v>12</v>
      </c>
      <c r="B16" s="45">
        <f ca="1">PRODUCT('Normalizirane vrijednosti'!B16:J16) / PRODUCT('Normalizirane vrijednosti'!K16:M16)</f>
        <v>1511.2707042609686</v>
      </c>
      <c r="C16" s="4">
        <f t="shared" ca="1" si="0"/>
        <v>14</v>
      </c>
    </row>
    <row r="17" spans="1:3" x14ac:dyDescent="0.3">
      <c r="A17" s="10" t="s">
        <v>13</v>
      </c>
      <c r="B17" s="45">
        <f ca="1">PRODUCT('Normalizirane vrijednosti'!B17:J17) / PRODUCT('Normalizirane vrijednosti'!K17:M17)</f>
        <v>277.58343752780468</v>
      </c>
      <c r="C17" s="4">
        <f t="shared" ca="1" si="0"/>
        <v>19</v>
      </c>
    </row>
    <row r="18" spans="1:3" x14ac:dyDescent="0.3">
      <c r="A18" s="10" t="s">
        <v>14</v>
      </c>
      <c r="B18" s="45">
        <f ca="1">PRODUCT('Normalizirane vrijednosti'!B18:J18) / PRODUCT('Normalizirane vrijednosti'!K18:M18)</f>
        <v>1424.5320439126069</v>
      </c>
      <c r="C18" s="4">
        <f t="shared" ca="1" si="0"/>
        <v>15</v>
      </c>
    </row>
    <row r="19" spans="1:3" x14ac:dyDescent="0.3">
      <c r="A19" s="105" t="s">
        <v>15</v>
      </c>
      <c r="B19" s="106">
        <f ca="1">PRODUCT('Normalizirane vrijednosti'!B19:J19) / PRODUCT('Normalizirane vrijednosti'!K19:M19)</f>
        <v>5154.4766159508845</v>
      </c>
      <c r="C19" s="107">
        <f t="shared" ca="1" si="0"/>
        <v>2</v>
      </c>
    </row>
    <row r="20" spans="1:3" x14ac:dyDescent="0.3">
      <c r="A20" s="10" t="s">
        <v>16</v>
      </c>
      <c r="B20" s="45">
        <f ca="1">PRODUCT('Normalizirane vrijednosti'!B20:J20) / PRODUCT('Normalizirane vrijednosti'!K20:M20)</f>
        <v>139.52077197813233</v>
      </c>
      <c r="C20" s="4">
        <f t="shared" ca="1" si="0"/>
        <v>21</v>
      </c>
    </row>
    <row r="21" spans="1:3" x14ac:dyDescent="0.3">
      <c r="A21" s="10" t="s">
        <v>17</v>
      </c>
      <c r="B21" s="45">
        <f ca="1">PRODUCT('Normalizirane vrijednosti'!B21:J21) / PRODUCT('Normalizirane vrijednosti'!K21:M21)</f>
        <v>1683.1457832848653</v>
      </c>
      <c r="C21" s="4">
        <f t="shared" ca="1" si="0"/>
        <v>12</v>
      </c>
    </row>
    <row r="22" spans="1:3" x14ac:dyDescent="0.3">
      <c r="A22" s="10" t="s">
        <v>18</v>
      </c>
      <c r="B22" s="45">
        <f ca="1">PRODUCT('Normalizirane vrijednosti'!B22:J22) / PRODUCT('Normalizirane vrijednosti'!K22:M22)</f>
        <v>2532.8319510980614</v>
      </c>
      <c r="C22" s="4">
        <f t="shared" ca="1" si="0"/>
        <v>9</v>
      </c>
    </row>
    <row r="23" spans="1:3" x14ac:dyDescent="0.3">
      <c r="A23" s="10" t="s">
        <v>19</v>
      </c>
      <c r="B23" s="45">
        <f ca="1">PRODUCT('Normalizirane vrijednosti'!B23:J23) / PRODUCT('Normalizirane vrijednosti'!K23:M23)</f>
        <v>1131.7907868672821</v>
      </c>
      <c r="C23" s="4">
        <f t="shared" ca="1" si="0"/>
        <v>17</v>
      </c>
    </row>
    <row r="24" spans="1:3" x14ac:dyDescent="0.3">
      <c r="A24" s="28" t="s">
        <v>20</v>
      </c>
      <c r="B24" s="47">
        <f ca="1">PRODUCT('Normalizirane vrijednosti'!B24:J24) / PRODUCT('Normalizirane vrijednosti'!K24:M24)</f>
        <v>1</v>
      </c>
      <c r="C24" s="43">
        <f t="shared" ca="1" si="0"/>
        <v>27</v>
      </c>
    </row>
    <row r="25" spans="1:3" x14ac:dyDescent="0.3">
      <c r="A25" s="10" t="s">
        <v>21</v>
      </c>
      <c r="B25" s="45">
        <f ca="1">PRODUCT('Normalizirane vrijednosti'!B25:J25) / PRODUCT('Normalizirane vrijednosti'!K25:M25)</f>
        <v>1839.2218015878327</v>
      </c>
      <c r="C25" s="4">
        <f t="shared" ca="1" si="0"/>
        <v>11</v>
      </c>
    </row>
    <row r="26" spans="1:3" x14ac:dyDescent="0.3">
      <c r="A26" s="68" t="s">
        <v>22</v>
      </c>
      <c r="B26" s="104">
        <f ca="1">PRODUCT('Normalizirane vrijednosti'!B26:J26) / PRODUCT('Normalizirane vrijednosti'!K26:M26)</f>
        <v>8387.6685584483857</v>
      </c>
      <c r="C26" s="79">
        <f t="shared" ca="1" si="0"/>
        <v>1</v>
      </c>
    </row>
    <row r="27" spans="1:3" x14ac:dyDescent="0.3">
      <c r="A27" s="10" t="s">
        <v>23</v>
      </c>
      <c r="B27" s="45">
        <f ca="1">PRODUCT('Normalizirane vrijednosti'!B27:J27) / PRODUCT('Normalizirane vrijednosti'!K27:M27)</f>
        <v>1359.3991655076493</v>
      </c>
      <c r="C27" s="4">
        <f t="shared" ca="1" si="0"/>
        <v>16</v>
      </c>
    </row>
    <row r="28" spans="1:3" x14ac:dyDescent="0.3">
      <c r="A28" s="10" t="s">
        <v>24</v>
      </c>
      <c r="B28" s="45">
        <f ca="1">PRODUCT('Normalizirane vrijednosti'!B28:J28) / PRODUCT('Normalizirane vrijednosti'!K28:M28)</f>
        <v>7.067897332153243</v>
      </c>
      <c r="C28" s="4">
        <f t="shared" ca="1" si="0"/>
        <v>26</v>
      </c>
    </row>
    <row r="29" spans="1:3" x14ac:dyDescent="0.3">
      <c r="A29" s="10" t="s">
        <v>25</v>
      </c>
      <c r="B29" s="45">
        <f ca="1">PRODUCT('Normalizirane vrijednosti'!B29:J29) / PRODUCT('Normalizirane vrijednosti'!K29:M29)</f>
        <v>4532.5778258555256</v>
      </c>
      <c r="C29" s="4">
        <f t="shared" ca="1" si="0"/>
        <v>3</v>
      </c>
    </row>
    <row r="30" spans="1:3" x14ac:dyDescent="0.3">
      <c r="A30" s="10" t="s">
        <v>26</v>
      </c>
      <c r="B30" s="45">
        <f ca="1">PRODUCT('Normalizirane vrijednosti'!B30:J30) / PRODUCT('Normalizirane vrijednosti'!K30:M30)</f>
        <v>12.540075011099582</v>
      </c>
      <c r="C30" s="4">
        <f t="shared" ca="1" si="0"/>
        <v>25</v>
      </c>
    </row>
    <row r="31" spans="1:3" x14ac:dyDescent="0.3">
      <c r="A31" s="10" t="s">
        <v>27</v>
      </c>
      <c r="B31" s="45">
        <f ca="1">PRODUCT('Normalizirane vrijednosti'!B31:J31) / PRODUCT('Normalizirane vrijednosti'!K31:M31)</f>
        <v>1519.2095804056862</v>
      </c>
      <c r="C31" s="4">
        <f t="shared" ca="1" si="0"/>
        <v>13</v>
      </c>
    </row>
    <row r="32" spans="1:3" ht="17.25" thickBot="1" x14ac:dyDescent="0.35">
      <c r="A32" s="27" t="s">
        <v>28</v>
      </c>
      <c r="B32" s="46">
        <f ca="1">PRODUCT('Normalizirane vrijednosti'!B32:J32) / PRODUCT('Normalizirane vrijednosti'!K32:M32)</f>
        <v>91.492949220184755</v>
      </c>
      <c r="C32" s="27">
        <f t="shared" ca="1" si="0"/>
        <v>23</v>
      </c>
    </row>
  </sheetData>
  <mergeCells count="3">
    <mergeCell ref="A1:B1"/>
    <mergeCell ref="A4:C4"/>
    <mergeCell ref="A5:C5"/>
  </mergeCells>
  <pageMargins left="0.7" right="0.7" top="0.75" bottom="0.75" header="0.3" footer="0.3"/>
  <pageSetup paperSize="9" fitToHeight="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3064-E6BF-4CEA-8A62-4C2045F3A088}">
  <sheetPr>
    <pageSetUpPr fitToPage="1"/>
  </sheetPr>
  <dimension ref="A1:AD87"/>
  <sheetViews>
    <sheetView zoomScaleNormal="100" workbookViewId="0">
      <selection activeCell="D20" sqref="D20"/>
    </sheetView>
  </sheetViews>
  <sheetFormatPr defaultRowHeight="15" x14ac:dyDescent="0.25"/>
  <cols>
    <col min="1" max="3" width="30.7109375" customWidth="1"/>
    <col min="4" max="4" width="11.42578125" customWidth="1"/>
    <col min="18" max="18" width="11.7109375" customWidth="1"/>
    <col min="21" max="21" width="11.7109375" customWidth="1"/>
  </cols>
  <sheetData>
    <row r="1" spans="1:30" x14ac:dyDescent="0.25">
      <c r="A1" s="118" t="s">
        <v>141</v>
      </c>
      <c r="B1" s="118"/>
    </row>
    <row r="2" spans="1:30" ht="15.75" thickBot="1" x14ac:dyDescent="0.3"/>
    <row r="3" spans="1:30" ht="16.5" thickTop="1" thickBot="1" x14ac:dyDescent="0.3">
      <c r="A3" s="152" t="s">
        <v>45</v>
      </c>
      <c r="B3" s="153"/>
      <c r="C3" s="153"/>
    </row>
    <row r="4" spans="1:30" ht="16.5" thickTop="1" thickBot="1" x14ac:dyDescent="0.3">
      <c r="A4" s="67" t="s">
        <v>46</v>
      </c>
      <c r="B4" s="17" t="s">
        <v>56</v>
      </c>
      <c r="C4" s="16" t="s">
        <v>58</v>
      </c>
      <c r="D4" t="s">
        <v>2</v>
      </c>
      <c r="E4" t="s">
        <v>63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66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</row>
    <row r="5" spans="1:30" ht="15.75" thickTop="1" x14ac:dyDescent="0.25">
      <c r="A5" s="37" t="s">
        <v>61</v>
      </c>
      <c r="B5" s="18">
        <v>1</v>
      </c>
      <c r="C5" s="23" t="s">
        <v>62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24">
        <v>0.5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5">
      <c r="A6" s="38" t="s">
        <v>47</v>
      </c>
      <c r="B6" s="19">
        <v>1</v>
      </c>
      <c r="C6" s="13" t="s">
        <v>57</v>
      </c>
      <c r="D6">
        <v>1</v>
      </c>
      <c r="E6">
        <v>1</v>
      </c>
      <c r="F6">
        <v>1</v>
      </c>
      <c r="G6">
        <v>1</v>
      </c>
      <c r="H6">
        <v>1</v>
      </c>
      <c r="I6" s="24">
        <v>0.5</v>
      </c>
      <c r="J6" s="24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 s="24">
        <v>0.5</v>
      </c>
      <c r="S6">
        <v>1</v>
      </c>
      <c r="T6">
        <v>1</v>
      </c>
      <c r="U6" s="24">
        <v>0.5</v>
      </c>
      <c r="V6" s="24">
        <v>0.5</v>
      </c>
      <c r="W6">
        <v>1</v>
      </c>
      <c r="X6">
        <v>1</v>
      </c>
      <c r="Y6">
        <v>1</v>
      </c>
      <c r="Z6">
        <v>1</v>
      </c>
      <c r="AA6">
        <v>1</v>
      </c>
      <c r="AB6" s="24">
        <v>0.5</v>
      </c>
      <c r="AC6">
        <v>1</v>
      </c>
      <c r="AD6">
        <v>1</v>
      </c>
    </row>
    <row r="7" spans="1:30" x14ac:dyDescent="0.25">
      <c r="A7" s="38" t="s">
        <v>48</v>
      </c>
      <c r="B7" s="19">
        <v>0.5</v>
      </c>
      <c r="C7" s="13" t="s">
        <v>60</v>
      </c>
      <c r="D7">
        <v>0.5</v>
      </c>
      <c r="E7">
        <v>0</v>
      </c>
      <c r="F7">
        <v>0.5</v>
      </c>
      <c r="G7">
        <v>0</v>
      </c>
      <c r="H7">
        <v>0.5</v>
      </c>
      <c r="I7">
        <v>0</v>
      </c>
      <c r="J7">
        <v>0</v>
      </c>
      <c r="K7">
        <v>0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24">
        <v>1</v>
      </c>
      <c r="X7" s="24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s="38" t="s">
        <v>50</v>
      </c>
      <c r="B8" s="19">
        <v>1</v>
      </c>
      <c r="C8" s="13" t="s">
        <v>59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s="38" t="s">
        <v>51</v>
      </c>
      <c r="B9" s="19">
        <v>0.5</v>
      </c>
      <c r="C9" s="13" t="s">
        <v>60</v>
      </c>
      <c r="D9">
        <v>0.5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0.5</v>
      </c>
      <c r="N9">
        <v>0</v>
      </c>
      <c r="O9">
        <v>0.5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 s="24">
        <v>0.5</v>
      </c>
      <c r="W9">
        <v>0</v>
      </c>
      <c r="X9">
        <v>0.5</v>
      </c>
      <c r="Y9">
        <v>0</v>
      </c>
      <c r="Z9">
        <v>0</v>
      </c>
      <c r="AA9">
        <v>0.5</v>
      </c>
      <c r="AB9">
        <v>0</v>
      </c>
      <c r="AC9">
        <v>0.5</v>
      </c>
      <c r="AD9">
        <v>0.5</v>
      </c>
    </row>
    <row r="10" spans="1:30" x14ac:dyDescent="0.25">
      <c r="A10" s="38" t="s">
        <v>65</v>
      </c>
      <c r="B10" s="19">
        <v>1</v>
      </c>
      <c r="C10" s="13" t="s">
        <v>59</v>
      </c>
      <c r="D10">
        <v>1</v>
      </c>
      <c r="E10">
        <v>1</v>
      </c>
      <c r="F10">
        <v>1</v>
      </c>
      <c r="G10">
        <v>0.5</v>
      </c>
      <c r="H10">
        <v>1</v>
      </c>
      <c r="I10">
        <v>1</v>
      </c>
      <c r="J10">
        <v>0.5</v>
      </c>
      <c r="K10">
        <v>1</v>
      </c>
      <c r="L10">
        <v>1</v>
      </c>
      <c r="M10">
        <v>1</v>
      </c>
      <c r="N10">
        <v>1</v>
      </c>
      <c r="O10">
        <v>1</v>
      </c>
      <c r="P10">
        <v>0.5</v>
      </c>
      <c r="Q10">
        <v>1</v>
      </c>
      <c r="R10">
        <v>0.5</v>
      </c>
      <c r="S10">
        <v>1</v>
      </c>
      <c r="T10">
        <v>1</v>
      </c>
      <c r="U10">
        <v>1</v>
      </c>
      <c r="V10">
        <v>0.5</v>
      </c>
      <c r="W10">
        <v>0.5</v>
      </c>
      <c r="X10">
        <v>1</v>
      </c>
      <c r="Y10">
        <v>1</v>
      </c>
      <c r="Z10">
        <v>0.5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s="38" t="s">
        <v>49</v>
      </c>
      <c r="B11" s="19">
        <v>0.5</v>
      </c>
      <c r="C11" s="13" t="s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0.5</v>
      </c>
      <c r="N11">
        <v>0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s="38" t="s">
        <v>52</v>
      </c>
      <c r="B12" s="19">
        <v>1</v>
      </c>
      <c r="C12" s="13" t="s">
        <v>57</v>
      </c>
      <c r="D12">
        <v>1</v>
      </c>
      <c r="E12">
        <v>1</v>
      </c>
      <c r="F12">
        <v>1</v>
      </c>
      <c r="G12" s="24">
        <v>0.5</v>
      </c>
      <c r="H12">
        <v>0</v>
      </c>
      <c r="I12" s="24">
        <v>0.5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 x14ac:dyDescent="0.25">
      <c r="A13" s="38" t="s">
        <v>64</v>
      </c>
      <c r="B13" s="19">
        <v>0.5</v>
      </c>
      <c r="C13" s="13" t="s">
        <v>60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</v>
      </c>
      <c r="T13">
        <v>0.5</v>
      </c>
      <c r="U13">
        <v>0.5</v>
      </c>
      <c r="V13">
        <v>0.5</v>
      </c>
      <c r="W13">
        <v>0.5</v>
      </c>
      <c r="X13">
        <v>0</v>
      </c>
      <c r="Y13">
        <v>0.5</v>
      </c>
      <c r="Z13">
        <v>0</v>
      </c>
      <c r="AA13">
        <v>0.5</v>
      </c>
      <c r="AB13">
        <v>0.5</v>
      </c>
      <c r="AC13">
        <v>0.5</v>
      </c>
      <c r="AD13">
        <v>0.5</v>
      </c>
    </row>
    <row r="14" spans="1:30" x14ac:dyDescent="0.25">
      <c r="A14" s="38" t="s">
        <v>67</v>
      </c>
      <c r="B14" s="19">
        <v>0.5</v>
      </c>
      <c r="C14" s="22" t="s">
        <v>60</v>
      </c>
      <c r="D14">
        <v>0.5</v>
      </c>
      <c r="E14">
        <v>0</v>
      </c>
      <c r="F14">
        <v>0.5</v>
      </c>
      <c r="G14">
        <v>0</v>
      </c>
      <c r="H14">
        <v>0.5</v>
      </c>
      <c r="I14">
        <v>0.5</v>
      </c>
      <c r="J14">
        <v>0</v>
      </c>
      <c r="K14">
        <v>0</v>
      </c>
      <c r="L14">
        <v>0</v>
      </c>
      <c r="M14">
        <v>0.5</v>
      </c>
      <c r="N14">
        <v>0.5</v>
      </c>
      <c r="O14">
        <v>0.5</v>
      </c>
      <c r="P14">
        <v>0.5</v>
      </c>
      <c r="Q14">
        <v>0</v>
      </c>
      <c r="R14">
        <v>0</v>
      </c>
      <c r="S14">
        <v>0</v>
      </c>
      <c r="T14">
        <v>0</v>
      </c>
      <c r="U14">
        <v>0.5</v>
      </c>
      <c r="V14">
        <v>0</v>
      </c>
      <c r="W14">
        <v>0.5</v>
      </c>
      <c r="X14">
        <v>0.5</v>
      </c>
      <c r="Y14">
        <v>0</v>
      </c>
      <c r="Z14">
        <v>0</v>
      </c>
      <c r="AA14">
        <v>0.5</v>
      </c>
      <c r="AB14">
        <v>0</v>
      </c>
      <c r="AC14">
        <v>0.5</v>
      </c>
      <c r="AD14">
        <v>0.5</v>
      </c>
    </row>
    <row r="15" spans="1:30" x14ac:dyDescent="0.25">
      <c r="A15" s="38" t="s">
        <v>106</v>
      </c>
      <c r="B15" s="14">
        <v>0.5</v>
      </c>
      <c r="C15" s="13" t="s">
        <v>60</v>
      </c>
      <c r="D15">
        <v>0.5</v>
      </c>
      <c r="E15">
        <v>0</v>
      </c>
      <c r="F15">
        <v>0.5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0.5</v>
      </c>
      <c r="N15">
        <v>0</v>
      </c>
      <c r="O15">
        <v>0.5</v>
      </c>
      <c r="P15">
        <v>0.5</v>
      </c>
      <c r="Q15">
        <v>0</v>
      </c>
      <c r="R15">
        <v>0</v>
      </c>
      <c r="S15" s="24">
        <v>0.5</v>
      </c>
      <c r="T15">
        <v>0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</v>
      </c>
      <c r="AA15">
        <v>0.5</v>
      </c>
      <c r="AB15">
        <v>0</v>
      </c>
      <c r="AC15">
        <v>0</v>
      </c>
      <c r="AD15">
        <v>0</v>
      </c>
    </row>
    <row r="16" spans="1:30" x14ac:dyDescent="0.25">
      <c r="A16" s="38" t="s">
        <v>53</v>
      </c>
      <c r="B16" s="19">
        <v>0.5</v>
      </c>
      <c r="C16" s="13" t="s">
        <v>60</v>
      </c>
      <c r="D16">
        <v>0</v>
      </c>
      <c r="E16">
        <v>0</v>
      </c>
      <c r="F16">
        <v>0.5</v>
      </c>
      <c r="G16">
        <v>0</v>
      </c>
      <c r="H16" s="24">
        <v>1</v>
      </c>
      <c r="I16">
        <v>0.5</v>
      </c>
      <c r="J16">
        <v>0</v>
      </c>
      <c r="K16">
        <v>0</v>
      </c>
      <c r="L16">
        <v>0</v>
      </c>
      <c r="M16">
        <v>0.5</v>
      </c>
      <c r="N16">
        <v>0.5</v>
      </c>
      <c r="O16">
        <v>0</v>
      </c>
      <c r="P16">
        <v>0.5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0.5</v>
      </c>
      <c r="AC16">
        <v>0</v>
      </c>
      <c r="AD16">
        <v>0</v>
      </c>
    </row>
    <row r="17" spans="1:30" x14ac:dyDescent="0.25">
      <c r="A17" s="38" t="s">
        <v>140</v>
      </c>
      <c r="B17" s="19">
        <v>1</v>
      </c>
      <c r="C17" s="13" t="s">
        <v>59</v>
      </c>
      <c r="D17">
        <v>1</v>
      </c>
      <c r="E17">
        <v>1</v>
      </c>
      <c r="F17">
        <v>1</v>
      </c>
      <c r="G17">
        <v>1</v>
      </c>
      <c r="H17">
        <v>0</v>
      </c>
      <c r="I17">
        <v>0.5</v>
      </c>
      <c r="J17">
        <v>1</v>
      </c>
      <c r="K17">
        <v>0.5</v>
      </c>
      <c r="L17">
        <v>1</v>
      </c>
      <c r="M17">
        <v>1</v>
      </c>
      <c r="N17">
        <v>1</v>
      </c>
      <c r="O17">
        <v>0.5</v>
      </c>
      <c r="P17">
        <v>0.5</v>
      </c>
      <c r="Q17" s="24">
        <v>1</v>
      </c>
      <c r="R17">
        <v>0.5</v>
      </c>
      <c r="S17">
        <v>1</v>
      </c>
      <c r="T17">
        <v>1</v>
      </c>
      <c r="U17">
        <v>1</v>
      </c>
      <c r="V17">
        <v>0.5</v>
      </c>
      <c r="W17">
        <v>1</v>
      </c>
      <c r="X17">
        <v>1</v>
      </c>
      <c r="Y17">
        <v>0.5</v>
      </c>
      <c r="Z17">
        <v>1</v>
      </c>
      <c r="AA17">
        <v>0.5</v>
      </c>
      <c r="AB17">
        <v>0.5</v>
      </c>
      <c r="AC17">
        <v>1</v>
      </c>
      <c r="AD17">
        <v>1</v>
      </c>
    </row>
    <row r="18" spans="1:30" x14ac:dyDescent="0.25">
      <c r="A18" s="38" t="s">
        <v>55</v>
      </c>
      <c r="B18" s="19">
        <v>0.5</v>
      </c>
      <c r="C18" s="13" t="s">
        <v>60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</v>
      </c>
      <c r="AB18">
        <v>0.5</v>
      </c>
      <c r="AC18">
        <v>0</v>
      </c>
      <c r="AD18">
        <v>0.5</v>
      </c>
    </row>
    <row r="19" spans="1:30" ht="15.75" thickBot="1" x14ac:dyDescent="0.3">
      <c r="A19" s="39" t="s">
        <v>54</v>
      </c>
      <c r="B19" s="20">
        <f>SUM(B5:B18)</f>
        <v>10</v>
      </c>
      <c r="C19" s="21"/>
      <c r="D19" s="12">
        <f t="shared" ref="D19:T19" si="0">SUM(D5:D18)</f>
        <v>9</v>
      </c>
      <c r="E19" s="12">
        <f t="shared" si="0"/>
        <v>6.5</v>
      </c>
      <c r="F19" s="12">
        <f t="shared" si="0"/>
        <v>8.5</v>
      </c>
      <c r="G19" s="12">
        <f t="shared" si="0"/>
        <v>5.5</v>
      </c>
      <c r="H19" s="12">
        <f t="shared" si="0"/>
        <v>7</v>
      </c>
      <c r="I19" s="12">
        <f t="shared" si="0"/>
        <v>6</v>
      </c>
      <c r="J19" s="12">
        <f t="shared" si="0"/>
        <v>4</v>
      </c>
      <c r="K19" s="12">
        <f t="shared" si="0"/>
        <v>6</v>
      </c>
      <c r="L19" s="12">
        <f t="shared" si="0"/>
        <v>6.5</v>
      </c>
      <c r="M19" s="12">
        <f t="shared" si="0"/>
        <v>9.5</v>
      </c>
      <c r="N19" s="12">
        <f t="shared" si="0"/>
        <v>7.5</v>
      </c>
      <c r="O19" s="12">
        <f t="shared" si="0"/>
        <v>8</v>
      </c>
      <c r="P19" s="12">
        <f>SUM(P5:P18)</f>
        <v>7</v>
      </c>
      <c r="Q19" s="12">
        <f t="shared" si="0"/>
        <v>7.5</v>
      </c>
      <c r="R19" s="12">
        <f t="shared" si="0"/>
        <v>4</v>
      </c>
      <c r="S19" s="12">
        <f t="shared" si="0"/>
        <v>6.5</v>
      </c>
      <c r="T19" s="12">
        <f t="shared" si="0"/>
        <v>5.5</v>
      </c>
      <c r="U19" s="12">
        <f t="shared" ref="U19:AD19" si="1">SUM(U5:U18)</f>
        <v>7.5</v>
      </c>
      <c r="V19" s="12">
        <f t="shared" si="1"/>
        <v>4.5</v>
      </c>
      <c r="W19" s="12">
        <f t="shared" si="1"/>
        <v>7.5</v>
      </c>
      <c r="X19" s="12">
        <f t="shared" si="1"/>
        <v>7.5</v>
      </c>
      <c r="Y19" s="12">
        <f t="shared" si="1"/>
        <v>6</v>
      </c>
      <c r="Z19" s="12">
        <f t="shared" si="1"/>
        <v>4.5</v>
      </c>
      <c r="AA19" s="12">
        <f t="shared" si="1"/>
        <v>7</v>
      </c>
      <c r="AB19" s="12">
        <f t="shared" si="1"/>
        <v>5.5</v>
      </c>
      <c r="AC19" s="12">
        <f t="shared" si="1"/>
        <v>7.5</v>
      </c>
      <c r="AD19" s="12">
        <f t="shared" si="1"/>
        <v>8</v>
      </c>
    </row>
    <row r="20" spans="1:30" ht="16.5" thickTop="1" thickBot="1" x14ac:dyDescent="0.3"/>
    <row r="21" spans="1:30" ht="16.5" thickTop="1" thickBot="1" x14ac:dyDescent="0.3">
      <c r="A21" s="154" t="s">
        <v>68</v>
      </c>
      <c r="B21" s="155"/>
      <c r="C21" s="155"/>
    </row>
    <row r="22" spans="1:30" ht="15.75" thickTop="1" x14ac:dyDescent="0.25">
      <c r="A22" s="40">
        <v>1</v>
      </c>
      <c r="B22" s="156" t="s">
        <v>132</v>
      </c>
      <c r="C22" s="157"/>
    </row>
    <row r="23" spans="1:30" x14ac:dyDescent="0.25">
      <c r="A23" s="41">
        <v>2</v>
      </c>
      <c r="B23" s="169" t="s">
        <v>133</v>
      </c>
      <c r="C23" s="128"/>
    </row>
    <row r="24" spans="1:30" x14ac:dyDescent="0.25">
      <c r="A24" s="41">
        <v>3</v>
      </c>
      <c r="B24" s="127" t="s">
        <v>69</v>
      </c>
      <c r="C24" s="128"/>
    </row>
    <row r="25" spans="1:30" x14ac:dyDescent="0.25">
      <c r="A25" s="41" t="s">
        <v>75</v>
      </c>
      <c r="B25" s="127" t="s">
        <v>135</v>
      </c>
      <c r="C25" s="128"/>
    </row>
    <row r="26" spans="1:30" x14ac:dyDescent="0.25">
      <c r="A26" s="41" t="s">
        <v>76</v>
      </c>
      <c r="B26" s="127" t="s">
        <v>134</v>
      </c>
      <c r="C26" s="128"/>
    </row>
    <row r="27" spans="1:30" ht="15.75" thickBot="1" x14ac:dyDescent="0.3">
      <c r="A27" s="42" t="s">
        <v>77</v>
      </c>
      <c r="B27" s="140" t="s">
        <v>70</v>
      </c>
      <c r="C27" s="141"/>
    </row>
    <row r="28" spans="1:30" ht="16.5" thickTop="1" thickBot="1" x14ac:dyDescent="0.3"/>
    <row r="29" spans="1:30" ht="16.5" thickTop="1" thickBot="1" x14ac:dyDescent="0.3">
      <c r="A29" s="160" t="s">
        <v>73</v>
      </c>
      <c r="B29" s="161"/>
      <c r="C29" s="161"/>
    </row>
    <row r="30" spans="1:30" ht="15.75" thickTop="1" x14ac:dyDescent="0.25">
      <c r="A30" s="40" t="s">
        <v>81</v>
      </c>
      <c r="B30" s="156" t="s">
        <v>74</v>
      </c>
      <c r="C30" s="157"/>
    </row>
    <row r="31" spans="1:30" x14ac:dyDescent="0.25">
      <c r="A31" s="41" t="s">
        <v>75</v>
      </c>
      <c r="B31" s="127" t="s">
        <v>78</v>
      </c>
      <c r="C31" s="128"/>
    </row>
    <row r="32" spans="1:30" x14ac:dyDescent="0.25">
      <c r="A32" s="41" t="s">
        <v>76</v>
      </c>
      <c r="B32" s="127" t="s">
        <v>79</v>
      </c>
      <c r="C32" s="128"/>
    </row>
    <row r="33" spans="1:30" ht="15.75" thickBot="1" x14ac:dyDescent="0.3">
      <c r="A33" s="42" t="s">
        <v>77</v>
      </c>
      <c r="B33" s="140" t="s">
        <v>80</v>
      </c>
      <c r="C33" s="141"/>
    </row>
    <row r="34" spans="1:30" ht="16.5" thickTop="1" thickBot="1" x14ac:dyDescent="0.3">
      <c r="A34" s="25"/>
      <c r="B34" s="156"/>
      <c r="C34" s="156"/>
    </row>
    <row r="35" spans="1:30" ht="16.5" thickTop="1" thickBot="1" x14ac:dyDescent="0.3">
      <c r="A35" s="158" t="s">
        <v>82</v>
      </c>
      <c r="B35" s="159"/>
      <c r="C35" s="159"/>
    </row>
    <row r="36" spans="1:30" ht="16.5" thickTop="1" thickBot="1" x14ac:dyDescent="0.3">
      <c r="A36" s="67" t="s">
        <v>46</v>
      </c>
      <c r="B36" s="17" t="s">
        <v>56</v>
      </c>
      <c r="C36" s="16" t="s">
        <v>58</v>
      </c>
      <c r="D36" t="s">
        <v>2</v>
      </c>
      <c r="E36" t="s">
        <v>63</v>
      </c>
      <c r="F36" t="s">
        <v>4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66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18</v>
      </c>
      <c r="U36" t="s">
        <v>19</v>
      </c>
      <c r="V36" t="s">
        <v>20</v>
      </c>
      <c r="W36" t="s">
        <v>21</v>
      </c>
      <c r="X36" t="s">
        <v>22</v>
      </c>
      <c r="Y36" t="s">
        <v>23</v>
      </c>
      <c r="Z36" t="s">
        <v>24</v>
      </c>
      <c r="AA36" t="s">
        <v>25</v>
      </c>
      <c r="AB36" t="s">
        <v>26</v>
      </c>
      <c r="AC36" t="s">
        <v>27</v>
      </c>
      <c r="AD36" t="s">
        <v>28</v>
      </c>
    </row>
    <row r="37" spans="1:30" ht="15.75" thickTop="1" x14ac:dyDescent="0.25">
      <c r="A37" s="37" t="s">
        <v>128</v>
      </c>
      <c r="B37" s="18">
        <v>0.5</v>
      </c>
      <c r="C37" s="23" t="s">
        <v>136</v>
      </c>
      <c r="D37">
        <v>0.25</v>
      </c>
      <c r="E37">
        <v>0.3</v>
      </c>
      <c r="F37">
        <v>0.25</v>
      </c>
      <c r="G37">
        <v>0.25</v>
      </c>
      <c r="H37">
        <v>0.25</v>
      </c>
      <c r="I37">
        <v>0.25</v>
      </c>
      <c r="J37">
        <v>0.5</v>
      </c>
      <c r="K37">
        <v>0.5</v>
      </c>
      <c r="L37">
        <v>0.25</v>
      </c>
      <c r="M37">
        <v>0.25</v>
      </c>
      <c r="N37">
        <v>0.25</v>
      </c>
      <c r="O37">
        <v>0.5</v>
      </c>
      <c r="P37">
        <v>0</v>
      </c>
      <c r="Q37">
        <v>0.5</v>
      </c>
      <c r="R37">
        <v>0.5</v>
      </c>
      <c r="S37">
        <v>0.25</v>
      </c>
      <c r="T37">
        <v>0.3</v>
      </c>
      <c r="U37">
        <v>0.5</v>
      </c>
      <c r="V37">
        <v>0.5</v>
      </c>
      <c r="W37">
        <v>0.25</v>
      </c>
      <c r="X37">
        <v>0.3</v>
      </c>
      <c r="Y37">
        <v>0.25</v>
      </c>
      <c r="Z37">
        <v>0.5</v>
      </c>
      <c r="AA37">
        <v>0.5</v>
      </c>
      <c r="AB37">
        <v>0.25</v>
      </c>
      <c r="AC37">
        <v>0.5</v>
      </c>
      <c r="AD37">
        <v>0.3</v>
      </c>
    </row>
    <row r="38" spans="1:30" x14ac:dyDescent="0.25">
      <c r="A38" s="38" t="s">
        <v>127</v>
      </c>
      <c r="B38" s="19">
        <v>0.25</v>
      </c>
      <c r="C38" s="13" t="s">
        <v>137</v>
      </c>
      <c r="D38">
        <v>0.13</v>
      </c>
      <c r="E38">
        <v>0</v>
      </c>
      <c r="F38">
        <v>0.2</v>
      </c>
      <c r="G38">
        <v>0</v>
      </c>
      <c r="H38">
        <v>0</v>
      </c>
      <c r="I38">
        <v>0.2</v>
      </c>
      <c r="J38">
        <v>0</v>
      </c>
      <c r="K38">
        <v>0</v>
      </c>
      <c r="L38">
        <v>0</v>
      </c>
      <c r="M38">
        <v>0.13</v>
      </c>
      <c r="N38">
        <v>0</v>
      </c>
      <c r="O38">
        <v>0.25</v>
      </c>
      <c r="P38" s="24">
        <v>0.18</v>
      </c>
      <c r="Q38">
        <v>0</v>
      </c>
      <c r="R38">
        <v>7.0000000000000007E-2</v>
      </c>
      <c r="S38">
        <v>0</v>
      </c>
      <c r="T38">
        <v>0</v>
      </c>
      <c r="U38">
        <v>0</v>
      </c>
      <c r="V38">
        <v>0</v>
      </c>
      <c r="W38">
        <v>0.13</v>
      </c>
      <c r="X38">
        <v>0.13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7.0000000000000007E-2</v>
      </c>
    </row>
    <row r="39" spans="1:30" x14ac:dyDescent="0.25">
      <c r="A39" s="38" t="s">
        <v>83</v>
      </c>
      <c r="B39" s="19">
        <v>0.5</v>
      </c>
      <c r="C39" s="13" t="s">
        <v>85</v>
      </c>
      <c r="D39">
        <v>0.25</v>
      </c>
      <c r="E39">
        <v>0</v>
      </c>
      <c r="F39">
        <v>0.13</v>
      </c>
      <c r="G39">
        <v>0</v>
      </c>
      <c r="H39">
        <v>0.5</v>
      </c>
      <c r="I39">
        <v>0</v>
      </c>
      <c r="J39">
        <v>0</v>
      </c>
      <c r="K39">
        <v>0</v>
      </c>
      <c r="L39">
        <v>0</v>
      </c>
      <c r="M39">
        <v>0.13</v>
      </c>
      <c r="N39">
        <v>0.25</v>
      </c>
      <c r="O39">
        <v>0</v>
      </c>
      <c r="P39">
        <v>0.25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0.13</v>
      </c>
      <c r="X39">
        <v>0</v>
      </c>
      <c r="Y39">
        <v>0</v>
      </c>
      <c r="Z39">
        <v>0</v>
      </c>
      <c r="AA39">
        <v>0</v>
      </c>
      <c r="AB39">
        <v>0.5</v>
      </c>
      <c r="AC39">
        <v>0</v>
      </c>
      <c r="AD39">
        <v>0</v>
      </c>
    </row>
    <row r="40" spans="1:30" x14ac:dyDescent="0.25">
      <c r="A40" s="38" t="s">
        <v>84</v>
      </c>
      <c r="B40" s="19">
        <v>0.25</v>
      </c>
      <c r="C40" s="13" t="s">
        <v>139</v>
      </c>
      <c r="D40">
        <v>0</v>
      </c>
      <c r="E40">
        <v>0</v>
      </c>
      <c r="F40">
        <v>0</v>
      </c>
      <c r="G40">
        <v>0.25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0.25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ht="15.75" thickBot="1" x14ac:dyDescent="0.3">
      <c r="A41" s="39" t="s">
        <v>54</v>
      </c>
      <c r="B41" s="20">
        <f>SUM(B37:B40)</f>
        <v>1.5</v>
      </c>
      <c r="C41" s="21"/>
      <c r="D41" s="12">
        <f>SUM(D37:D40)</f>
        <v>0.63</v>
      </c>
      <c r="E41" s="12">
        <f t="shared" ref="E41:AD41" si="2">SUM(E37:E40)</f>
        <v>0.3</v>
      </c>
      <c r="F41" s="12">
        <f t="shared" si="2"/>
        <v>0.58000000000000007</v>
      </c>
      <c r="G41" s="12">
        <f t="shared" si="2"/>
        <v>0.5</v>
      </c>
      <c r="H41" s="12">
        <f t="shared" si="2"/>
        <v>0.75</v>
      </c>
      <c r="I41" s="12">
        <f t="shared" si="2"/>
        <v>0.45</v>
      </c>
      <c r="J41" s="12">
        <f t="shared" si="2"/>
        <v>0.5</v>
      </c>
      <c r="K41" s="12">
        <f t="shared" si="2"/>
        <v>0.5</v>
      </c>
      <c r="L41" s="12">
        <f t="shared" si="2"/>
        <v>0.25</v>
      </c>
      <c r="M41" s="12">
        <f t="shared" si="2"/>
        <v>0.51</v>
      </c>
      <c r="N41" s="12">
        <f t="shared" si="2"/>
        <v>0.5</v>
      </c>
      <c r="O41" s="12">
        <f t="shared" si="2"/>
        <v>0.75</v>
      </c>
      <c r="P41" s="12">
        <f t="shared" si="2"/>
        <v>0.43</v>
      </c>
      <c r="Q41" s="12">
        <f t="shared" si="2"/>
        <v>0.5</v>
      </c>
      <c r="R41" s="12">
        <f t="shared" si="2"/>
        <v>0.57000000000000006</v>
      </c>
      <c r="S41" s="12">
        <f t="shared" si="2"/>
        <v>0.25</v>
      </c>
      <c r="T41" s="12">
        <f t="shared" si="2"/>
        <v>0.3</v>
      </c>
      <c r="U41" s="12">
        <f t="shared" si="2"/>
        <v>0.5</v>
      </c>
      <c r="V41" s="12">
        <f t="shared" si="2"/>
        <v>0.75</v>
      </c>
      <c r="W41" s="12">
        <f t="shared" si="2"/>
        <v>0.51</v>
      </c>
      <c r="X41" s="12">
        <f t="shared" si="2"/>
        <v>0.43</v>
      </c>
      <c r="Y41" s="12">
        <f t="shared" si="2"/>
        <v>0.25</v>
      </c>
      <c r="Z41" s="12">
        <f t="shared" si="2"/>
        <v>0.5</v>
      </c>
      <c r="AA41" s="12">
        <f t="shared" si="2"/>
        <v>0.5</v>
      </c>
      <c r="AB41" s="12">
        <f t="shared" si="2"/>
        <v>0.75</v>
      </c>
      <c r="AC41" s="12">
        <f t="shared" si="2"/>
        <v>0.5</v>
      </c>
      <c r="AD41" s="12">
        <f t="shared" si="2"/>
        <v>0.37</v>
      </c>
    </row>
    <row r="42" spans="1:30" ht="16.5" thickTop="1" thickBot="1" x14ac:dyDescent="0.3">
      <c r="A42" s="12"/>
      <c r="B42" s="109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16.5" thickTop="1" thickBot="1" x14ac:dyDescent="0.3">
      <c r="A43" s="162" t="s">
        <v>86</v>
      </c>
      <c r="B43" s="163"/>
      <c r="C43" s="163"/>
    </row>
    <row r="44" spans="1:30" ht="16.5" thickTop="1" thickBot="1" x14ac:dyDescent="0.3">
      <c r="A44" s="67" t="s">
        <v>46</v>
      </c>
      <c r="B44" s="17" t="s">
        <v>56</v>
      </c>
      <c r="C44" s="16" t="s">
        <v>91</v>
      </c>
      <c r="D44" t="s">
        <v>2</v>
      </c>
      <c r="E44" t="s">
        <v>63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66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  <c r="W44" t="s">
        <v>21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</row>
    <row r="45" spans="1:30" ht="15.75" thickTop="1" x14ac:dyDescent="0.25">
      <c r="A45" s="37" t="s">
        <v>107</v>
      </c>
      <c r="B45" s="18">
        <v>20</v>
      </c>
      <c r="C45" s="164" t="s">
        <v>92</v>
      </c>
      <c r="D45">
        <f>B45-3.3</f>
        <v>16.7</v>
      </c>
      <c r="E45">
        <f>B45-3</f>
        <v>17</v>
      </c>
      <c r="F45">
        <f>B45-1.6</f>
        <v>18.399999999999999</v>
      </c>
      <c r="G45">
        <f>B45-3.5</f>
        <v>16.5</v>
      </c>
      <c r="H45">
        <f>B45-2.7</f>
        <v>17.3</v>
      </c>
      <c r="I45">
        <f>B45-2.4</f>
        <v>17.600000000000001</v>
      </c>
      <c r="J45">
        <f>B45-3.3</f>
        <v>16.7</v>
      </c>
      <c r="K45">
        <f>B45-2.7</f>
        <v>17.3</v>
      </c>
      <c r="L45">
        <f>B45-2.7</f>
        <v>17.3</v>
      </c>
      <c r="M45">
        <f>B45-0.8</f>
        <v>19.2</v>
      </c>
      <c r="N45">
        <f>B45-2.4</f>
        <v>17.600000000000001</v>
      </c>
      <c r="O45">
        <f>B45-5.9</f>
        <v>14.1</v>
      </c>
      <c r="P45">
        <f>B45-2.8</f>
        <v>17.2</v>
      </c>
      <c r="Q45">
        <f>B45-5.1</f>
        <v>14.9</v>
      </c>
      <c r="R45">
        <f>B45-4</f>
        <v>16</v>
      </c>
      <c r="S45">
        <f>B45-2.3</f>
        <v>17.7</v>
      </c>
      <c r="T45">
        <f>B45-4.4</f>
        <v>15.6</v>
      </c>
      <c r="U45">
        <f>B45-3.6</f>
        <v>16.399999999999999</v>
      </c>
      <c r="V45">
        <f>B45-7.8</f>
        <v>12.2</v>
      </c>
      <c r="W45">
        <f>B45-1.4</f>
        <v>18.600000000000001</v>
      </c>
      <c r="X45">
        <f>B45-3.8</f>
        <v>16.2</v>
      </c>
      <c r="Y45">
        <f>B45-3.3</f>
        <v>16.7</v>
      </c>
      <c r="Z45">
        <f>B45-8.7</f>
        <v>11.3</v>
      </c>
      <c r="AA45">
        <f>B45-4.5</f>
        <v>15.5</v>
      </c>
      <c r="AB45">
        <f>B45-3.6</f>
        <v>16.399999999999999</v>
      </c>
      <c r="AC45">
        <f>B45-4.1</f>
        <v>15.9</v>
      </c>
      <c r="AD45">
        <f>B45-5.2</f>
        <v>14.8</v>
      </c>
    </row>
    <row r="46" spans="1:30" x14ac:dyDescent="0.25">
      <c r="A46" s="38" t="s">
        <v>108</v>
      </c>
      <c r="B46" s="19">
        <v>15</v>
      </c>
      <c r="C46" s="165"/>
      <c r="D46">
        <f>B46-3</f>
        <v>12</v>
      </c>
      <c r="E46">
        <f>B46-2.3</f>
        <v>12.7</v>
      </c>
      <c r="F46">
        <f>B46-2.5</f>
        <v>12.5</v>
      </c>
      <c r="G46">
        <f>B46-2.5</f>
        <v>12.5</v>
      </c>
      <c r="H46">
        <f>B46-3.1</f>
        <v>11.9</v>
      </c>
      <c r="I46">
        <f>B46-1.8</f>
        <v>13.2</v>
      </c>
      <c r="J46">
        <f>B46-1.8</f>
        <v>13.2</v>
      </c>
      <c r="K46">
        <f>B46-3</f>
        <v>12</v>
      </c>
      <c r="L46">
        <f>B46-1.8</f>
        <v>13.2</v>
      </c>
      <c r="M46">
        <f>B46-4</f>
        <v>11</v>
      </c>
      <c r="N46">
        <f>B46-2.4</f>
        <v>12.6</v>
      </c>
      <c r="O46">
        <f>B46-3</f>
        <v>12</v>
      </c>
      <c r="P46">
        <f>B46-6.3</f>
        <v>8.6999999999999993</v>
      </c>
      <c r="Q46">
        <f>B46-1.75</f>
        <v>13.25</v>
      </c>
      <c r="R46">
        <f>B46-2</f>
        <v>13</v>
      </c>
      <c r="S46">
        <f>B46-2.1</f>
        <v>12.9</v>
      </c>
      <c r="T46">
        <f>B46-2</f>
        <v>13</v>
      </c>
      <c r="U46">
        <f>B46-2.3</f>
        <v>12.7</v>
      </c>
      <c r="V46">
        <f>B46-4.25</f>
        <v>10.75</v>
      </c>
      <c r="W46">
        <f>B46-4.3</f>
        <v>10.7</v>
      </c>
      <c r="X46">
        <f>B46-0.95</f>
        <v>14.05</v>
      </c>
      <c r="Y46">
        <f>B46-0.85</f>
        <v>14.15</v>
      </c>
      <c r="Z46">
        <f>B46-5.25</f>
        <v>9.75</v>
      </c>
      <c r="AA46">
        <f>B46-1.45</f>
        <v>13.55</v>
      </c>
      <c r="AB46">
        <f>B46-7.1</f>
        <v>7.9</v>
      </c>
      <c r="AC46">
        <f>B46-0.7</f>
        <v>14.3</v>
      </c>
      <c r="AD46">
        <f>B46-1.85</f>
        <v>13.15</v>
      </c>
    </row>
    <row r="47" spans="1:30" x14ac:dyDescent="0.25">
      <c r="A47" s="38" t="s">
        <v>109</v>
      </c>
      <c r="B47" s="19">
        <v>8</v>
      </c>
      <c r="C47" s="165"/>
      <c r="D47">
        <f>B47-4.5</f>
        <v>3.5</v>
      </c>
      <c r="E47">
        <f>B47-3.6</f>
        <v>4.4000000000000004</v>
      </c>
      <c r="F47">
        <f>B47-3.2</f>
        <v>4.8</v>
      </c>
      <c r="G47">
        <f>B47-2.9</f>
        <v>5.0999999999999996</v>
      </c>
      <c r="H47">
        <f>B47-4.2</f>
        <v>3.8</v>
      </c>
      <c r="I47">
        <f>B47-3.2</f>
        <v>4.8</v>
      </c>
      <c r="J47">
        <f>B47-2.6</f>
        <v>5.4</v>
      </c>
      <c r="K47">
        <f>B47-3.7</f>
        <v>4.3</v>
      </c>
      <c r="L47">
        <v>3.2</v>
      </c>
      <c r="M47">
        <f>B47-4.2</f>
        <v>3.8</v>
      </c>
      <c r="N47">
        <f>B47-3.8</f>
        <v>4.2</v>
      </c>
      <c r="O47">
        <f>B47-1.4</f>
        <v>6.6</v>
      </c>
      <c r="P47">
        <f>B47-7</f>
        <v>1</v>
      </c>
      <c r="Q47">
        <f>B47-1.7</f>
        <v>6.3</v>
      </c>
      <c r="R47">
        <f>B47-2.2</f>
        <v>5.8</v>
      </c>
      <c r="S47">
        <f>B47-3.1</f>
        <v>4.9000000000000004</v>
      </c>
      <c r="T47">
        <f>B47-1.2</f>
        <v>6.8</v>
      </c>
      <c r="U47">
        <f>B47-2.6</f>
        <v>5.4</v>
      </c>
      <c r="V47">
        <f>B47-3.5</f>
        <v>4.5</v>
      </c>
      <c r="W47">
        <f>B47-5</f>
        <v>3</v>
      </c>
      <c r="X47">
        <f>B47-2.1</f>
        <v>5.9</v>
      </c>
      <c r="Y47">
        <f>B47-1.6</f>
        <v>6.4</v>
      </c>
      <c r="Z47">
        <f>B47-4.5</f>
        <v>3.5</v>
      </c>
      <c r="AA47">
        <f>B47-2.3</f>
        <v>5.7</v>
      </c>
      <c r="AB47">
        <f>B47-7.8</f>
        <v>0.20000000000000018</v>
      </c>
      <c r="AC47">
        <f>B47-1.9</f>
        <v>6.1</v>
      </c>
      <c r="AD47">
        <f>B47-2.8</f>
        <v>5.2</v>
      </c>
    </row>
    <row r="48" spans="1:30" x14ac:dyDescent="0.25">
      <c r="A48" s="38" t="s">
        <v>87</v>
      </c>
      <c r="B48" s="19">
        <v>5</v>
      </c>
      <c r="C48" s="165"/>
      <c r="D48">
        <f>B48-1.6</f>
        <v>3.4</v>
      </c>
      <c r="E48">
        <f>B48-1.9</f>
        <v>3.1</v>
      </c>
      <c r="F48">
        <f>B48-1.5</f>
        <v>3.5</v>
      </c>
      <c r="G48">
        <f>B48-3.9</f>
        <v>1.1000000000000001</v>
      </c>
      <c r="H48">
        <f>B48-0</f>
        <v>5</v>
      </c>
      <c r="I48">
        <f>B48-1.3</f>
        <v>3.7</v>
      </c>
      <c r="J48">
        <f>B48-3.3</f>
        <v>1.7000000000000002</v>
      </c>
      <c r="K48">
        <f>B48-2.9</f>
        <v>2.1</v>
      </c>
      <c r="L48">
        <f>B48-1.9</f>
        <v>3.1</v>
      </c>
      <c r="M48">
        <f>B48-0.3</f>
        <v>4.7</v>
      </c>
      <c r="N48">
        <f>B48-0.9</f>
        <v>4.0999999999999996</v>
      </c>
      <c r="O48" s="24">
        <f>B48-5.7</f>
        <v>-0.70000000000000018</v>
      </c>
      <c r="P48">
        <f>B48-1.5</f>
        <v>3.5</v>
      </c>
      <c r="Q48">
        <f>B48-4</f>
        <v>1</v>
      </c>
      <c r="R48">
        <f>B48-4.3</f>
        <v>0.70000000000000018</v>
      </c>
      <c r="S48">
        <f>B48-2.4</f>
        <v>2.6</v>
      </c>
      <c r="T48">
        <f>B48-1.6</f>
        <v>3.4</v>
      </c>
      <c r="U48">
        <f>B48-3.7</f>
        <v>1.2999999999999998</v>
      </c>
      <c r="V48" s="24">
        <f>B48-6.5</f>
        <v>-1.5</v>
      </c>
      <c r="W48">
        <f>B48-0.6</f>
        <v>4.4000000000000004</v>
      </c>
      <c r="X48">
        <f>B48-2.7</f>
        <v>2.2999999999999998</v>
      </c>
      <c r="Y48">
        <f>B48-3.1</f>
        <v>1.9</v>
      </c>
      <c r="Z48" s="24">
        <f>B48-7.5</f>
        <v>-2.5</v>
      </c>
      <c r="AA48">
        <f>B48-3.1</f>
        <v>1.9</v>
      </c>
      <c r="AB48">
        <f>B48-0.45</f>
        <v>4.55</v>
      </c>
      <c r="AC48">
        <f>B48-3.1</f>
        <v>1.9</v>
      </c>
      <c r="AD48">
        <f>B48-4.1</f>
        <v>0.90000000000000036</v>
      </c>
    </row>
    <row r="49" spans="1:30" x14ac:dyDescent="0.25">
      <c r="A49" s="38" t="s">
        <v>88</v>
      </c>
      <c r="B49" s="19">
        <v>7</v>
      </c>
      <c r="C49" s="165"/>
      <c r="D49">
        <f>B49-4.3</f>
        <v>2.7</v>
      </c>
      <c r="E49">
        <f>B49-3.6</f>
        <v>3.4</v>
      </c>
      <c r="F49">
        <f>B49-4</f>
        <v>3</v>
      </c>
      <c r="G49">
        <f>B49-3.4</f>
        <v>3.6</v>
      </c>
      <c r="H49">
        <f>B49-4.4</f>
        <v>2.5999999999999996</v>
      </c>
      <c r="I49">
        <f>B49-3.4</f>
        <v>3.6</v>
      </c>
      <c r="J49">
        <f>B49-3.5</f>
        <v>3.5</v>
      </c>
      <c r="K49">
        <f>B49-4.2</f>
        <v>2.8</v>
      </c>
      <c r="L49">
        <f>B49-3.3</f>
        <v>3.7</v>
      </c>
      <c r="M49">
        <f>B49-5.1</f>
        <v>1.9000000000000004</v>
      </c>
      <c r="N49">
        <f>B49-4</f>
        <v>3</v>
      </c>
      <c r="O49">
        <f>B49-1.1</f>
        <v>5.9</v>
      </c>
      <c r="P49" s="24">
        <f>B49-7.8</f>
        <v>-0.79999999999999982</v>
      </c>
      <c r="Q49">
        <f>B49-1.4</f>
        <v>5.6</v>
      </c>
      <c r="R49">
        <f>B49-2.7</f>
        <v>4.3</v>
      </c>
      <c r="S49">
        <f>B49-4.1</f>
        <v>2.9000000000000004</v>
      </c>
      <c r="T49">
        <f>B49-3.1</f>
        <v>3.9</v>
      </c>
      <c r="U49">
        <f>B49-3.1</f>
        <v>3.9</v>
      </c>
      <c r="V49">
        <f>B49-2</f>
        <v>5</v>
      </c>
      <c r="W49">
        <f>B49-6.3</f>
        <v>0.70000000000000018</v>
      </c>
      <c r="X49">
        <f>B49-2.1</f>
        <v>4.9000000000000004</v>
      </c>
      <c r="Y49">
        <f>B49-2.4</f>
        <v>4.5999999999999996</v>
      </c>
      <c r="Z49">
        <f>B49-3</f>
        <v>4</v>
      </c>
      <c r="AA49">
        <f>B49-2.1</f>
        <v>4.9000000000000004</v>
      </c>
      <c r="AB49" s="24">
        <f>B49-8.6</f>
        <v>-1.5999999999999996</v>
      </c>
      <c r="AC49">
        <f>B49-1.9</f>
        <v>5.0999999999999996</v>
      </c>
      <c r="AD49">
        <f>B49-2.5</f>
        <v>4.5</v>
      </c>
    </row>
    <row r="50" spans="1:30" x14ac:dyDescent="0.25">
      <c r="A50" s="38" t="s">
        <v>89</v>
      </c>
      <c r="B50" s="19">
        <v>7</v>
      </c>
      <c r="C50" s="165"/>
      <c r="D50" s="26">
        <f>B50-5.7</f>
        <v>1.2999999999999998</v>
      </c>
      <c r="E50" s="26">
        <f>B50-5</f>
        <v>2</v>
      </c>
      <c r="F50" s="26">
        <f>B50-4.4</f>
        <v>2.5999999999999996</v>
      </c>
      <c r="G50" s="26">
        <f>B50-3.3</f>
        <v>3.7</v>
      </c>
      <c r="H50" s="26">
        <f>B50-5.6</f>
        <v>1.4000000000000004</v>
      </c>
      <c r="I50">
        <f>B50-4.8</f>
        <v>2.2000000000000002</v>
      </c>
      <c r="J50">
        <f>B50-3.4</f>
        <v>3.6</v>
      </c>
      <c r="K50">
        <f>B50-4.1</f>
        <v>2.9000000000000004</v>
      </c>
      <c r="L50">
        <f>B50-4.8</f>
        <v>2.2000000000000002</v>
      </c>
      <c r="M50">
        <f>B50-5.5</f>
        <v>1.5</v>
      </c>
      <c r="N50">
        <f>B50-5.2</f>
        <v>1.7999999999999998</v>
      </c>
      <c r="O50">
        <f>B50-4.2</f>
        <v>2.8</v>
      </c>
      <c r="P50" s="24">
        <f>B50-7.6</f>
        <v>-0.59999999999999964</v>
      </c>
      <c r="Q50">
        <f>B50-2.9</f>
        <v>4.0999999999999996</v>
      </c>
      <c r="R50">
        <f>B50-2.6</f>
        <v>4.4000000000000004</v>
      </c>
      <c r="S50">
        <f>B50-3.9</f>
        <v>3.1</v>
      </c>
      <c r="T50">
        <f>B50-2.9</f>
        <v>4.0999999999999996</v>
      </c>
      <c r="U50">
        <f>B50-3</f>
        <v>4</v>
      </c>
      <c r="V50">
        <f>B50-4.7</f>
        <v>2.2999999999999998</v>
      </c>
      <c r="W50">
        <f>B50-6.2</f>
        <v>0.79999999999999982</v>
      </c>
      <c r="X50">
        <f>B50-3.5</f>
        <v>3.5</v>
      </c>
      <c r="Y50">
        <f>B50-3.2</f>
        <v>3.8</v>
      </c>
      <c r="Z50">
        <f>B50-5.7</f>
        <v>1.2999999999999998</v>
      </c>
      <c r="AA50">
        <f>B50-3.6</f>
        <v>3.4</v>
      </c>
      <c r="AB50" s="24">
        <f>B50-8.4</f>
        <v>-1.4000000000000004</v>
      </c>
      <c r="AC50">
        <f>B50-3.3</f>
        <v>3.7</v>
      </c>
      <c r="AD50">
        <f>B50-4</f>
        <v>3</v>
      </c>
    </row>
    <row r="51" spans="1:30" x14ac:dyDescent="0.25">
      <c r="A51" s="38" t="s">
        <v>90</v>
      </c>
      <c r="B51" s="19">
        <v>6</v>
      </c>
      <c r="C51" s="166"/>
      <c r="D51">
        <f>B51-0.55</f>
        <v>5.45</v>
      </c>
      <c r="E51">
        <f>B51-1.22</f>
        <v>4.78</v>
      </c>
      <c r="F51">
        <f>B51-1.5</f>
        <v>4.5</v>
      </c>
      <c r="G51">
        <f>B51-4</f>
        <v>2</v>
      </c>
      <c r="H51">
        <f>B51-1.1</f>
        <v>4.9000000000000004</v>
      </c>
      <c r="I51">
        <f>B51-1.1</f>
        <v>4.9000000000000004</v>
      </c>
      <c r="J51">
        <f>B51-2.8</f>
        <v>3.2</v>
      </c>
      <c r="K51">
        <f>B51-3</f>
        <v>3</v>
      </c>
      <c r="L51">
        <f>B51-1.4</f>
        <v>4.5999999999999996</v>
      </c>
      <c r="M51">
        <f>B51-2.3</f>
        <v>3.7</v>
      </c>
      <c r="N51">
        <f>B51-1</f>
        <v>5</v>
      </c>
      <c r="O51">
        <f>B51-2.9</f>
        <v>3.1</v>
      </c>
      <c r="P51">
        <f>B51-0.85</f>
        <v>5.15</v>
      </c>
      <c r="Q51">
        <f>B51-1.8</f>
        <v>4.2</v>
      </c>
      <c r="R51">
        <f>B51-3.8</f>
        <v>2.2000000000000002</v>
      </c>
      <c r="S51">
        <f>B51-2.1</f>
        <v>3.9</v>
      </c>
      <c r="T51">
        <f>B51-3.1</f>
        <v>2.9</v>
      </c>
      <c r="U51">
        <f>B51-3.4</f>
        <v>2.6</v>
      </c>
      <c r="V51">
        <f>B51-3.3</f>
        <v>2.7</v>
      </c>
      <c r="W51">
        <f>B51-1.4</f>
        <v>4.5999999999999996</v>
      </c>
      <c r="X51">
        <f>B51-1.6</f>
        <v>4.4000000000000004</v>
      </c>
      <c r="Y51">
        <f>B51-1.8</f>
        <v>4.2</v>
      </c>
      <c r="Z51">
        <f>B51-1.1</f>
        <v>4.9000000000000004</v>
      </c>
      <c r="AA51">
        <f>B51-0.9</f>
        <v>5.0999999999999996</v>
      </c>
      <c r="AB51">
        <f>B51-1.8</f>
        <v>4.2</v>
      </c>
      <c r="AC51">
        <f>B51-1.4</f>
        <v>4.5999999999999996</v>
      </c>
      <c r="AD51">
        <f>B51-1</f>
        <v>5</v>
      </c>
    </row>
    <row r="52" spans="1:30" ht="15.75" thickBot="1" x14ac:dyDescent="0.3">
      <c r="A52" s="39" t="s">
        <v>54</v>
      </c>
      <c r="B52" s="20">
        <f>SUM(B45:B51)</f>
        <v>68</v>
      </c>
      <c r="C52" s="15"/>
      <c r="D52" s="12">
        <f>SUM(D45:D51)</f>
        <v>45.050000000000004</v>
      </c>
      <c r="E52" s="12">
        <f t="shared" ref="E52:AD52" si="3">SUM(E45:E51)</f>
        <v>47.38</v>
      </c>
      <c r="F52" s="12">
        <f t="shared" si="3"/>
        <v>49.3</v>
      </c>
      <c r="G52" s="12">
        <f t="shared" si="3"/>
        <v>44.500000000000007</v>
      </c>
      <c r="H52" s="12">
        <f t="shared" si="3"/>
        <v>46.9</v>
      </c>
      <c r="I52" s="12">
        <f t="shared" si="3"/>
        <v>50.000000000000007</v>
      </c>
      <c r="J52" s="12">
        <f t="shared" si="3"/>
        <v>47.300000000000004</v>
      </c>
      <c r="K52" s="12">
        <f t="shared" si="3"/>
        <v>44.4</v>
      </c>
      <c r="L52" s="12">
        <f t="shared" si="3"/>
        <v>47.300000000000011</v>
      </c>
      <c r="M52" s="12">
        <f t="shared" si="3"/>
        <v>45.800000000000004</v>
      </c>
      <c r="N52" s="12">
        <f t="shared" si="3"/>
        <v>48.300000000000004</v>
      </c>
      <c r="O52" s="12">
        <f t="shared" si="3"/>
        <v>43.8</v>
      </c>
      <c r="P52" s="12">
        <f t="shared" si="3"/>
        <v>34.15</v>
      </c>
      <c r="Q52" s="12">
        <f t="shared" si="3"/>
        <v>49.35</v>
      </c>
      <c r="R52" s="12">
        <f t="shared" si="3"/>
        <v>46.4</v>
      </c>
      <c r="S52" s="12">
        <f t="shared" si="3"/>
        <v>48</v>
      </c>
      <c r="T52" s="12">
        <f t="shared" si="3"/>
        <v>49.699999999999996</v>
      </c>
      <c r="U52" s="12">
        <f t="shared" si="3"/>
        <v>46.3</v>
      </c>
      <c r="V52" s="12">
        <f t="shared" si="3"/>
        <v>35.950000000000003</v>
      </c>
      <c r="W52" s="12">
        <f t="shared" si="3"/>
        <v>42.8</v>
      </c>
      <c r="X52" s="12">
        <f t="shared" si="3"/>
        <v>51.249999999999993</v>
      </c>
      <c r="Y52" s="12">
        <f t="shared" si="3"/>
        <v>51.75</v>
      </c>
      <c r="Z52" s="12">
        <f t="shared" si="3"/>
        <v>32.25</v>
      </c>
      <c r="AA52" s="12">
        <f t="shared" si="3"/>
        <v>50.05</v>
      </c>
      <c r="AB52" s="12">
        <f t="shared" si="3"/>
        <v>30.249999999999996</v>
      </c>
      <c r="AC52" s="12">
        <f t="shared" si="3"/>
        <v>51.600000000000009</v>
      </c>
      <c r="AD52" s="12">
        <f t="shared" si="3"/>
        <v>46.550000000000004</v>
      </c>
    </row>
    <row r="53" spans="1:30" ht="15.75" customHeight="1" thickTop="1" thickBot="1" x14ac:dyDescent="0.3">
      <c r="H53" s="126" t="s">
        <v>110</v>
      </c>
      <c r="Z53" s="126" t="s">
        <v>111</v>
      </c>
    </row>
    <row r="54" spans="1:30" ht="15.75" thickBot="1" x14ac:dyDescent="0.3">
      <c r="H54" s="126"/>
      <c r="Z54" s="126"/>
    </row>
    <row r="55" spans="1:30" ht="16.5" thickTop="1" thickBot="1" x14ac:dyDescent="0.3">
      <c r="A55" s="167" t="s">
        <v>94</v>
      </c>
      <c r="B55" s="168"/>
      <c r="C55" s="168"/>
      <c r="H55" s="126"/>
      <c r="Z55" s="126"/>
    </row>
    <row r="56" spans="1:30" ht="15.75" thickTop="1" x14ac:dyDescent="0.25">
      <c r="A56" s="40" t="s">
        <v>95</v>
      </c>
      <c r="B56" s="156" t="s">
        <v>97</v>
      </c>
      <c r="C56" s="157"/>
      <c r="Z56" s="126"/>
    </row>
    <row r="57" spans="1:30" x14ac:dyDescent="0.25">
      <c r="A57" s="41" t="s">
        <v>96</v>
      </c>
      <c r="B57" s="127" t="s">
        <v>98</v>
      </c>
      <c r="C57" s="128"/>
    </row>
    <row r="58" spans="1:30" x14ac:dyDescent="0.25">
      <c r="A58" s="41" t="s">
        <v>101</v>
      </c>
      <c r="B58" s="127" t="s">
        <v>99</v>
      </c>
      <c r="C58" s="128"/>
    </row>
    <row r="59" spans="1:30" ht="15.75" customHeight="1" thickBot="1" x14ac:dyDescent="0.3">
      <c r="A59" s="42" t="s">
        <v>100</v>
      </c>
      <c r="B59" s="140" t="s">
        <v>102</v>
      </c>
      <c r="C59" s="141"/>
    </row>
    <row r="60" spans="1:30" ht="15.75" customHeight="1" thickTop="1" thickBot="1" x14ac:dyDescent="0.3">
      <c r="A60" s="93"/>
      <c r="B60" s="88"/>
      <c r="C60" s="88"/>
    </row>
    <row r="61" spans="1:30" ht="16.5" thickTop="1" thickBot="1" x14ac:dyDescent="0.3">
      <c r="A61" s="129" t="s">
        <v>112</v>
      </c>
      <c r="B61" s="130"/>
      <c r="C61" s="130"/>
    </row>
    <row r="62" spans="1:30" ht="15" customHeight="1" x14ac:dyDescent="0.25">
      <c r="A62" s="142" t="s">
        <v>138</v>
      </c>
      <c r="B62" s="143"/>
      <c r="C62" s="144"/>
    </row>
    <row r="63" spans="1:30" ht="15" customHeight="1" x14ac:dyDescent="0.25">
      <c r="A63" s="145"/>
      <c r="B63" s="146"/>
      <c r="C63" s="147"/>
      <c r="D63" s="117"/>
    </row>
    <row r="64" spans="1:30" ht="15" customHeight="1" x14ac:dyDescent="0.25">
      <c r="A64" s="145"/>
      <c r="B64" s="146"/>
      <c r="C64" s="147"/>
      <c r="D64" s="117"/>
    </row>
    <row r="65" spans="1:30" ht="15" customHeight="1" x14ac:dyDescent="0.25">
      <c r="A65" s="145"/>
      <c r="B65" s="146"/>
      <c r="C65" s="147"/>
      <c r="D65" s="117"/>
      <c r="Z65" s="126" t="s">
        <v>131</v>
      </c>
    </row>
    <row r="66" spans="1:30" x14ac:dyDescent="0.25">
      <c r="A66" s="145"/>
      <c r="B66" s="146"/>
      <c r="C66" s="147"/>
      <c r="D66" s="117"/>
      <c r="Z66" s="126"/>
    </row>
    <row r="67" spans="1:30" ht="15.75" thickBot="1" x14ac:dyDescent="0.3">
      <c r="A67" s="148"/>
      <c r="B67" s="149"/>
      <c r="C67" s="150"/>
      <c r="D67" s="117"/>
      <c r="Z67" s="126"/>
    </row>
    <row r="68" spans="1:30" ht="16.5" thickTop="1" thickBot="1" x14ac:dyDescent="0.3">
      <c r="A68" s="67" t="s">
        <v>116</v>
      </c>
      <c r="B68" s="17" t="s">
        <v>130</v>
      </c>
      <c r="C68" s="16" t="s">
        <v>58</v>
      </c>
      <c r="D68" t="s">
        <v>2</v>
      </c>
      <c r="E68" t="s">
        <v>63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66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</row>
    <row r="69" spans="1:30" ht="15.75" thickTop="1" x14ac:dyDescent="0.25">
      <c r="A69" s="52" t="s">
        <v>113</v>
      </c>
      <c r="B69" s="64">
        <v>5</v>
      </c>
      <c r="C69" s="55" t="s">
        <v>119</v>
      </c>
      <c r="D69" s="61">
        <f>5*14</f>
        <v>70</v>
      </c>
      <c r="E69" s="61">
        <f>4.5*10</f>
        <v>45</v>
      </c>
      <c r="F69" s="61">
        <f>5*10</f>
        <v>50</v>
      </c>
      <c r="G69" s="61">
        <f>5*5</f>
        <v>25</v>
      </c>
      <c r="H69" s="61">
        <f>4.5*14</f>
        <v>63</v>
      </c>
      <c r="I69" s="61">
        <f>5*11</f>
        <v>55</v>
      </c>
      <c r="J69" s="61">
        <f>4.5*4</f>
        <v>18</v>
      </c>
      <c r="K69" s="61">
        <f>4.5*4</f>
        <v>18</v>
      </c>
      <c r="L69" s="61">
        <f>4.5*4</f>
        <v>18</v>
      </c>
      <c r="M69" s="61">
        <f>5*10</f>
        <v>50</v>
      </c>
      <c r="N69" s="61">
        <f>4.5*14</f>
        <v>63</v>
      </c>
      <c r="O69" s="61">
        <f>5*8</f>
        <v>40</v>
      </c>
      <c r="P69" s="61">
        <f>5*2</f>
        <v>10</v>
      </c>
      <c r="Q69" s="61">
        <f>5*7</f>
        <v>35</v>
      </c>
      <c r="R69" s="61">
        <f>4.5*8</f>
        <v>36</v>
      </c>
      <c r="S69" s="61">
        <f>4.5*2</f>
        <v>9</v>
      </c>
      <c r="T69" s="61">
        <f>5*5</f>
        <v>25</v>
      </c>
      <c r="U69" s="61">
        <f>5*5</f>
        <v>25</v>
      </c>
      <c r="V69" s="61">
        <f>5*1</f>
        <v>5</v>
      </c>
      <c r="W69" s="61">
        <f>4.5*4</f>
        <v>18</v>
      </c>
      <c r="X69" s="61">
        <f>5*9</f>
        <v>45</v>
      </c>
      <c r="Y69" s="61">
        <f>4.5*4</f>
        <v>18</v>
      </c>
      <c r="Z69" s="61">
        <f>4.5*1</f>
        <v>4.5</v>
      </c>
      <c r="AA69" s="61">
        <f>5*7</f>
        <v>35</v>
      </c>
      <c r="AB69" s="62">
        <f>4.5*1+2.5*1</f>
        <v>7</v>
      </c>
      <c r="AC69" s="61">
        <f>4.5*8</f>
        <v>36</v>
      </c>
      <c r="AD69" s="61">
        <f>5*3</f>
        <v>15</v>
      </c>
    </row>
    <row r="70" spans="1:30" ht="15" customHeight="1" x14ac:dyDescent="0.25">
      <c r="A70" s="131" t="s">
        <v>114</v>
      </c>
      <c r="B70" s="134">
        <v>3</v>
      </c>
      <c r="C70" s="137" t="s">
        <v>120</v>
      </c>
      <c r="D70" s="176">
        <f>3*4</f>
        <v>12</v>
      </c>
      <c r="E70" s="151">
        <f>2.5*4</f>
        <v>10</v>
      </c>
      <c r="F70" s="151">
        <f>2.5*5</f>
        <v>12.5</v>
      </c>
      <c r="G70" s="151">
        <f>2.5*2</f>
        <v>5</v>
      </c>
      <c r="H70" s="151">
        <f>2.5*4</f>
        <v>10</v>
      </c>
      <c r="I70" s="151">
        <f>2.5*4</f>
        <v>10</v>
      </c>
      <c r="J70" s="151">
        <f>2.5*2</f>
        <v>5</v>
      </c>
      <c r="K70" s="151">
        <f>2.5*1</f>
        <v>2.5</v>
      </c>
      <c r="L70" s="151">
        <f>2.5*2</f>
        <v>5</v>
      </c>
      <c r="M70" s="151">
        <f>3*5</f>
        <v>15</v>
      </c>
      <c r="N70" s="151">
        <f>2.5*4</f>
        <v>10</v>
      </c>
      <c r="O70" s="151">
        <v>0</v>
      </c>
      <c r="P70" s="151">
        <f>3*3</f>
        <v>9</v>
      </c>
      <c r="Q70" s="151">
        <f>3*3</f>
        <v>9</v>
      </c>
      <c r="R70" s="151">
        <f>2.5*1</f>
        <v>2.5</v>
      </c>
      <c r="S70" s="151">
        <f>2.5*1</f>
        <v>2.5</v>
      </c>
      <c r="T70" s="151">
        <f>3*2</f>
        <v>6</v>
      </c>
      <c r="U70" s="151">
        <f>3*1</f>
        <v>3</v>
      </c>
      <c r="V70" s="151">
        <v>0</v>
      </c>
      <c r="W70" s="151">
        <f>2.5*5</f>
        <v>12.5</v>
      </c>
      <c r="X70" s="151">
        <f>3*4</f>
        <v>12</v>
      </c>
      <c r="Y70" s="151">
        <f>2.5*2</f>
        <v>5</v>
      </c>
      <c r="Z70" s="151">
        <v>0</v>
      </c>
      <c r="AA70" s="151">
        <f>3*4</f>
        <v>12</v>
      </c>
      <c r="AB70" s="177">
        <f>2.5*1+1.5*2</f>
        <v>5.5</v>
      </c>
      <c r="AC70" s="151">
        <f>2.5*3</f>
        <v>7.5</v>
      </c>
      <c r="AD70" s="151">
        <f>2.5*2</f>
        <v>5</v>
      </c>
    </row>
    <row r="71" spans="1:30" x14ac:dyDescent="0.25">
      <c r="A71" s="132"/>
      <c r="B71" s="135"/>
      <c r="C71" s="138"/>
      <c r="D71" s="176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77"/>
      <c r="AC71" s="151"/>
      <c r="AD71" s="151"/>
    </row>
    <row r="72" spans="1:30" x14ac:dyDescent="0.25">
      <c r="A72" s="133"/>
      <c r="B72" s="136"/>
      <c r="C72" s="139"/>
      <c r="D72" s="176"/>
      <c r="E72" s="151"/>
      <c r="F72" s="151"/>
      <c r="G72" s="151"/>
      <c r="H72" s="151"/>
      <c r="I72" s="151"/>
      <c r="J72" s="151"/>
      <c r="K72" s="151"/>
      <c r="L72" s="151"/>
      <c r="M72" s="151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77"/>
      <c r="AC72" s="151"/>
      <c r="AD72" s="151"/>
    </row>
    <row r="73" spans="1:30" ht="15" customHeight="1" x14ac:dyDescent="0.25">
      <c r="A73" s="131" t="s">
        <v>118</v>
      </c>
      <c r="B73" s="170">
        <v>3</v>
      </c>
      <c r="C73" s="173" t="s">
        <v>120</v>
      </c>
      <c r="D73" s="176">
        <f>2.5*4</f>
        <v>10</v>
      </c>
      <c r="E73" s="151">
        <f>2.5*4</f>
        <v>10</v>
      </c>
      <c r="F73" s="151">
        <f>2.5*4</f>
        <v>10</v>
      </c>
      <c r="G73" s="151">
        <f>2.5*1</f>
        <v>2.5</v>
      </c>
      <c r="H73" s="151">
        <f>2.5*5</f>
        <v>12.5</v>
      </c>
      <c r="I73" s="151">
        <f>3*5</f>
        <v>15</v>
      </c>
      <c r="J73" s="151">
        <f>2.5*1</f>
        <v>2.5</v>
      </c>
      <c r="K73" s="151">
        <f>1.5*2</f>
        <v>3</v>
      </c>
      <c r="L73" s="151">
        <f>2.5*5</f>
        <v>12.5</v>
      </c>
      <c r="M73" s="151">
        <f>3*2</f>
        <v>6</v>
      </c>
      <c r="N73" s="151">
        <f>2.5*5</f>
        <v>12.5</v>
      </c>
      <c r="O73" s="151">
        <f>3*3</f>
        <v>9</v>
      </c>
      <c r="P73" s="151">
        <f>1.5*2</f>
        <v>3</v>
      </c>
      <c r="Q73" s="151">
        <f>2.5*2</f>
        <v>5</v>
      </c>
      <c r="R73" s="151">
        <f>2.5*1</f>
        <v>2.5</v>
      </c>
      <c r="S73" s="151">
        <f>2.5*2</f>
        <v>5</v>
      </c>
      <c r="T73" s="151">
        <f>3*3</f>
        <v>9</v>
      </c>
      <c r="U73" s="151">
        <f>3*1</f>
        <v>3</v>
      </c>
      <c r="V73" s="151">
        <f>3*1</f>
        <v>3</v>
      </c>
      <c r="W73" s="151">
        <f>2.5*2</f>
        <v>5</v>
      </c>
      <c r="X73" s="151">
        <f>3*5</f>
        <v>15</v>
      </c>
      <c r="Y73" s="151">
        <f>2.5*4</f>
        <v>10</v>
      </c>
      <c r="Z73" s="151">
        <f>1.5*1</f>
        <v>1.5</v>
      </c>
      <c r="AA73" s="151">
        <f>3*3</f>
        <v>9</v>
      </c>
      <c r="AB73" s="151">
        <f>1.5*5</f>
        <v>7.5</v>
      </c>
      <c r="AC73" s="151">
        <f>2.5*3</f>
        <v>7.5</v>
      </c>
      <c r="AD73" s="151">
        <f>2.5*1</f>
        <v>2.5</v>
      </c>
    </row>
    <row r="74" spans="1:30" x14ac:dyDescent="0.25">
      <c r="A74" s="132"/>
      <c r="B74" s="171"/>
      <c r="C74" s="174"/>
      <c r="D74" s="176"/>
      <c r="E74" s="151"/>
      <c r="F74" s="151"/>
      <c r="G74" s="151"/>
      <c r="H74" s="151"/>
      <c r="I74" s="151"/>
      <c r="J74" s="151"/>
      <c r="K74" s="151"/>
      <c r="L74" s="151"/>
      <c r="M74" s="151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</row>
    <row r="75" spans="1:30" x14ac:dyDescent="0.25">
      <c r="A75" s="132"/>
      <c r="B75" s="171"/>
      <c r="C75" s="174"/>
      <c r="D75" s="176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</row>
    <row r="76" spans="1:30" x14ac:dyDescent="0.25">
      <c r="A76" s="132"/>
      <c r="B76" s="171"/>
      <c r="C76" s="174"/>
      <c r="D76" s="176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</row>
    <row r="77" spans="1:30" x14ac:dyDescent="0.25">
      <c r="A77" s="132"/>
      <c r="B77" s="171"/>
      <c r="C77" s="174"/>
      <c r="D77" s="176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</row>
    <row r="78" spans="1:30" x14ac:dyDescent="0.25">
      <c r="A78" s="132"/>
      <c r="B78" s="171"/>
      <c r="C78" s="174"/>
      <c r="D78" s="176"/>
      <c r="E78" s="151"/>
      <c r="F78" s="151"/>
      <c r="G78" s="151"/>
      <c r="H78" s="151"/>
      <c r="I78" s="151"/>
      <c r="J78" s="151"/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</row>
    <row r="79" spans="1:30" ht="15" customHeight="1" x14ac:dyDescent="0.25">
      <c r="A79" s="133"/>
      <c r="B79" s="172"/>
      <c r="C79" s="175"/>
      <c r="D79" s="176"/>
      <c r="E79" s="151"/>
      <c r="F79" s="151"/>
      <c r="G79" s="151"/>
      <c r="H79" s="151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</row>
    <row r="80" spans="1:30" x14ac:dyDescent="0.25">
      <c r="A80" s="131" t="s">
        <v>115</v>
      </c>
      <c r="B80" s="134">
        <v>2</v>
      </c>
      <c r="C80" s="137" t="s">
        <v>121</v>
      </c>
      <c r="D80" s="176">
        <f>1.5*1</f>
        <v>1.5</v>
      </c>
      <c r="E80" s="151">
        <f>1.5*1</f>
        <v>1.5</v>
      </c>
      <c r="F80" s="151">
        <f>1.5*1</f>
        <v>1.5</v>
      </c>
      <c r="G80" s="151">
        <f>1*1</f>
        <v>1</v>
      </c>
      <c r="H80" s="151">
        <f>1.5*2</f>
        <v>3</v>
      </c>
      <c r="I80" s="151">
        <f>2*2</f>
        <v>4</v>
      </c>
      <c r="J80" s="151">
        <f>1*3</f>
        <v>3</v>
      </c>
      <c r="K80" s="151">
        <v>0</v>
      </c>
      <c r="L80" s="151">
        <f>1.5*2</f>
        <v>3</v>
      </c>
      <c r="M80" s="151">
        <f>1*2</f>
        <v>2</v>
      </c>
      <c r="N80" s="151">
        <f>1.5*2</f>
        <v>3</v>
      </c>
      <c r="O80" s="151">
        <f>2*2</f>
        <v>4</v>
      </c>
      <c r="P80" s="151">
        <v>0</v>
      </c>
      <c r="Q80" s="151">
        <f>1*2</f>
        <v>2</v>
      </c>
      <c r="R80" s="151">
        <f>1*1</f>
        <v>1</v>
      </c>
      <c r="S80" s="151">
        <f>1.5*1</f>
        <v>1.5</v>
      </c>
      <c r="T80" s="151">
        <f>1.5*2</f>
        <v>3</v>
      </c>
      <c r="U80" s="151">
        <f>1*1</f>
        <v>1</v>
      </c>
      <c r="V80" s="151">
        <f>2*1</f>
        <v>2</v>
      </c>
      <c r="W80" s="151">
        <v>0</v>
      </c>
      <c r="X80" s="151">
        <f>2*2</f>
        <v>4</v>
      </c>
      <c r="Y80" s="151">
        <f>1.5*2</f>
        <v>3</v>
      </c>
      <c r="Z80" s="151">
        <f>1.5*1</f>
        <v>1.5</v>
      </c>
      <c r="AA80" s="151">
        <f>1*2</f>
        <v>2</v>
      </c>
      <c r="AB80" s="151">
        <f>1*2</f>
        <v>2</v>
      </c>
      <c r="AC80" s="151">
        <f>1.5*2</f>
        <v>3</v>
      </c>
      <c r="AD80" s="151">
        <f>1*2</f>
        <v>2</v>
      </c>
    </row>
    <row r="81" spans="1:30" x14ac:dyDescent="0.25">
      <c r="A81" s="133"/>
      <c r="B81" s="136"/>
      <c r="C81" s="139"/>
      <c r="D81" s="176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  <c r="P81" s="151"/>
      <c r="Q81" s="151"/>
      <c r="R81" s="151"/>
      <c r="S81" s="151"/>
      <c r="T81" s="151"/>
      <c r="U81" s="151"/>
      <c r="V81" s="151"/>
      <c r="W81" s="151"/>
      <c r="X81" s="151"/>
      <c r="Y81" s="151"/>
      <c r="Z81" s="151"/>
      <c r="AA81" s="151"/>
      <c r="AB81" s="151"/>
      <c r="AC81" s="151"/>
      <c r="AD81" s="151"/>
    </row>
    <row r="82" spans="1:30" ht="15" customHeight="1" x14ac:dyDescent="0.25">
      <c r="A82" s="91" t="s">
        <v>129</v>
      </c>
      <c r="B82" s="94">
        <v>2</v>
      </c>
      <c r="C82" s="92" t="s">
        <v>121</v>
      </c>
      <c r="D82" s="90">
        <f>2*1</f>
        <v>2</v>
      </c>
      <c r="E82" s="89">
        <f>1.5*1</f>
        <v>1.5</v>
      </c>
      <c r="F82" s="89">
        <f>1.5*1</f>
        <v>1.5</v>
      </c>
      <c r="G82" s="95">
        <f>1*1</f>
        <v>1</v>
      </c>
      <c r="H82" s="89">
        <f>1.5*1</f>
        <v>1.5</v>
      </c>
      <c r="I82" s="89">
        <f>1.5*1</f>
        <v>1.5</v>
      </c>
      <c r="J82" s="89">
        <f>1.5*1</f>
        <v>1.5</v>
      </c>
      <c r="K82" s="89">
        <v>0</v>
      </c>
      <c r="L82" s="89">
        <f>1.5*2</f>
        <v>3</v>
      </c>
      <c r="M82" s="89">
        <f>2*3</f>
        <v>6</v>
      </c>
      <c r="N82" s="89">
        <f>1.5*1</f>
        <v>1.5</v>
      </c>
      <c r="O82" s="89">
        <v>0</v>
      </c>
      <c r="P82" s="89">
        <f>2*4</f>
        <v>8</v>
      </c>
      <c r="Q82" s="89">
        <f>2*4</f>
        <v>8</v>
      </c>
      <c r="R82" s="89">
        <v>0</v>
      </c>
      <c r="S82" s="95">
        <f>1.5*1</f>
        <v>1.5</v>
      </c>
      <c r="T82" s="89">
        <f>1.5*1</f>
        <v>1.5</v>
      </c>
      <c r="U82" s="89">
        <v>0</v>
      </c>
      <c r="V82" s="89">
        <v>0</v>
      </c>
      <c r="W82" s="89">
        <f>1.5*3</f>
        <v>4.5</v>
      </c>
      <c r="X82" s="89">
        <f>2*4</f>
        <v>8</v>
      </c>
      <c r="Y82" s="89">
        <f>1.5*1</f>
        <v>1.5</v>
      </c>
      <c r="Z82" s="89">
        <f>1.5*1</f>
        <v>1.5</v>
      </c>
      <c r="AA82" s="89">
        <f>2*4</f>
        <v>8</v>
      </c>
      <c r="AB82" s="89">
        <f>1.5*2</f>
        <v>3</v>
      </c>
      <c r="AC82" s="89">
        <f>1.5*3</f>
        <v>4.5</v>
      </c>
      <c r="AD82" s="89">
        <f>2*3</f>
        <v>6</v>
      </c>
    </row>
    <row r="83" spans="1:30" x14ac:dyDescent="0.25">
      <c r="A83" s="53" t="s">
        <v>125</v>
      </c>
      <c r="B83" s="54">
        <v>3.5</v>
      </c>
      <c r="C83" s="59" t="s">
        <v>126</v>
      </c>
      <c r="D83" s="60">
        <f>3.5*8</f>
        <v>28</v>
      </c>
      <c r="E83" s="60">
        <f>3*7</f>
        <v>21</v>
      </c>
      <c r="F83" s="60">
        <f>3*8</f>
        <v>24</v>
      </c>
      <c r="G83" s="110">
        <f>3.5*3</f>
        <v>10.5</v>
      </c>
      <c r="H83" s="60">
        <f>3*8</f>
        <v>24</v>
      </c>
      <c r="I83" s="60">
        <f>3*7</f>
        <v>21</v>
      </c>
      <c r="J83" s="110">
        <f>3*3</f>
        <v>9</v>
      </c>
      <c r="K83" s="60">
        <f>3*1</f>
        <v>3</v>
      </c>
      <c r="L83" s="60">
        <f>3*2</f>
        <v>6</v>
      </c>
      <c r="M83" s="60">
        <f>3.5*5</f>
        <v>17.5</v>
      </c>
      <c r="N83" s="60">
        <f>3*8</f>
        <v>24</v>
      </c>
      <c r="O83" s="61">
        <f>3.5*5</f>
        <v>17.5</v>
      </c>
      <c r="P83" s="61">
        <f>3.5*2</f>
        <v>7</v>
      </c>
      <c r="Q83" s="61">
        <f>3.5*6</f>
        <v>21</v>
      </c>
      <c r="R83" s="63">
        <f>3*6</f>
        <v>18</v>
      </c>
      <c r="S83" s="61">
        <v>0</v>
      </c>
      <c r="T83" s="61">
        <f>3.5*2</f>
        <v>7</v>
      </c>
      <c r="U83" s="63">
        <f>3.5*3</f>
        <v>10.5</v>
      </c>
      <c r="V83" s="61">
        <v>0</v>
      </c>
      <c r="W83" s="61">
        <f>3*4</f>
        <v>12</v>
      </c>
      <c r="X83" s="61">
        <f>3.5*7</f>
        <v>24.5</v>
      </c>
      <c r="Y83" s="61">
        <f>3*1</f>
        <v>3</v>
      </c>
      <c r="Z83" s="61">
        <f>3*1</f>
        <v>3</v>
      </c>
      <c r="AA83" s="61">
        <f>3.5*7</f>
        <v>24.5</v>
      </c>
      <c r="AB83" s="62">
        <f>3*1+1.75*2</f>
        <v>6.5</v>
      </c>
      <c r="AC83" s="61">
        <f>3*7</f>
        <v>21</v>
      </c>
      <c r="AD83" s="61">
        <f>3.5*2</f>
        <v>7</v>
      </c>
    </row>
    <row r="84" spans="1:30" x14ac:dyDescent="0.25">
      <c r="A84" s="57" t="s">
        <v>117</v>
      </c>
      <c r="B84" s="65">
        <v>1.5</v>
      </c>
      <c r="C84" s="58" t="s">
        <v>122</v>
      </c>
      <c r="D84" s="61">
        <v>1</v>
      </c>
      <c r="E84" s="61">
        <v>1</v>
      </c>
      <c r="F84" s="61">
        <v>1</v>
      </c>
      <c r="G84" s="61">
        <v>0</v>
      </c>
      <c r="H84" s="61">
        <v>1</v>
      </c>
      <c r="I84" s="61">
        <v>1</v>
      </c>
      <c r="J84" s="61">
        <v>0</v>
      </c>
      <c r="K84" s="61">
        <v>0</v>
      </c>
      <c r="L84" s="61">
        <v>0.5</v>
      </c>
      <c r="M84" s="61">
        <v>1</v>
      </c>
      <c r="N84" s="61">
        <v>1</v>
      </c>
      <c r="O84" s="61">
        <v>1</v>
      </c>
      <c r="P84" s="61">
        <v>0</v>
      </c>
      <c r="Q84" s="61">
        <v>1</v>
      </c>
      <c r="R84" s="61">
        <v>0</v>
      </c>
      <c r="S84" s="61">
        <v>0</v>
      </c>
      <c r="T84" s="63">
        <v>0.5</v>
      </c>
      <c r="U84" s="61">
        <v>0</v>
      </c>
      <c r="V84" s="61">
        <v>1</v>
      </c>
      <c r="W84" s="61">
        <v>0</v>
      </c>
      <c r="X84" s="61">
        <v>1</v>
      </c>
      <c r="Y84" s="63">
        <v>0.5</v>
      </c>
      <c r="Z84" s="61">
        <v>1</v>
      </c>
      <c r="AA84" s="61">
        <v>1</v>
      </c>
      <c r="AB84" s="61">
        <v>0.5</v>
      </c>
      <c r="AC84" s="61">
        <v>1</v>
      </c>
      <c r="AD84" s="61">
        <v>1</v>
      </c>
    </row>
    <row r="85" spans="1:30" x14ac:dyDescent="0.25">
      <c r="A85" s="38" t="s">
        <v>124</v>
      </c>
      <c r="B85" s="51">
        <v>1.5</v>
      </c>
      <c r="C85" s="56" t="s">
        <v>123</v>
      </c>
      <c r="D85">
        <v>1</v>
      </c>
      <c r="E85">
        <v>1</v>
      </c>
      <c r="F85">
        <v>1</v>
      </c>
      <c r="G85" s="48">
        <v>0.5</v>
      </c>
      <c r="H85">
        <v>1</v>
      </c>
      <c r="I85">
        <v>1</v>
      </c>
      <c r="J85">
        <v>1</v>
      </c>
      <c r="K85">
        <v>1</v>
      </c>
      <c r="L85">
        <v>0.5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0.5</v>
      </c>
      <c r="T85">
        <v>1</v>
      </c>
      <c r="U85">
        <v>1</v>
      </c>
      <c r="V85">
        <v>0</v>
      </c>
      <c r="W85">
        <v>0</v>
      </c>
      <c r="X85">
        <v>1</v>
      </c>
      <c r="Y85">
        <v>0.5</v>
      </c>
      <c r="Z85">
        <v>0</v>
      </c>
      <c r="AA85">
        <v>1</v>
      </c>
      <c r="AB85">
        <v>0.5</v>
      </c>
      <c r="AC85">
        <v>1</v>
      </c>
      <c r="AD85">
        <v>0</v>
      </c>
    </row>
    <row r="86" spans="1:30" ht="15.75" thickBot="1" x14ac:dyDescent="0.3">
      <c r="A86" s="39" t="s">
        <v>54</v>
      </c>
      <c r="B86" s="66">
        <f>SUM(B69:B85)</f>
        <v>21.5</v>
      </c>
      <c r="C86" s="21"/>
      <c r="D86" s="12">
        <f>SUM(D69:D85)</f>
        <v>125.5</v>
      </c>
      <c r="E86" s="12">
        <f t="shared" ref="E86:AD86" si="4">SUM(E69:E85)</f>
        <v>91</v>
      </c>
      <c r="F86" s="12">
        <f t="shared" si="4"/>
        <v>101.5</v>
      </c>
      <c r="G86" s="12">
        <f t="shared" si="4"/>
        <v>45.5</v>
      </c>
      <c r="H86" s="12">
        <f t="shared" si="4"/>
        <v>116</v>
      </c>
      <c r="I86" s="12">
        <f t="shared" si="4"/>
        <v>108.5</v>
      </c>
      <c r="J86" s="12">
        <f t="shared" si="4"/>
        <v>40</v>
      </c>
      <c r="K86" s="12">
        <f t="shared" si="4"/>
        <v>27.5</v>
      </c>
      <c r="L86" s="12">
        <f t="shared" si="4"/>
        <v>48.5</v>
      </c>
      <c r="M86" s="12">
        <f t="shared" si="4"/>
        <v>98.5</v>
      </c>
      <c r="N86" s="12">
        <f t="shared" si="4"/>
        <v>116</v>
      </c>
      <c r="O86" s="12">
        <f t="shared" si="4"/>
        <v>72.5</v>
      </c>
      <c r="P86" s="12">
        <f t="shared" si="4"/>
        <v>37</v>
      </c>
      <c r="Q86" s="12">
        <f t="shared" si="4"/>
        <v>82</v>
      </c>
      <c r="R86" s="12">
        <f t="shared" si="4"/>
        <v>61</v>
      </c>
      <c r="S86" s="12">
        <f t="shared" si="4"/>
        <v>20</v>
      </c>
      <c r="T86" s="12">
        <f t="shared" si="4"/>
        <v>53</v>
      </c>
      <c r="U86" s="12">
        <f t="shared" si="4"/>
        <v>43.5</v>
      </c>
      <c r="V86" s="12">
        <f t="shared" si="4"/>
        <v>11</v>
      </c>
      <c r="W86" s="12">
        <f t="shared" si="4"/>
        <v>52</v>
      </c>
      <c r="X86" s="12">
        <f t="shared" si="4"/>
        <v>110.5</v>
      </c>
      <c r="Y86" s="12">
        <f t="shared" si="4"/>
        <v>41.5</v>
      </c>
      <c r="Z86" s="12">
        <f t="shared" si="4"/>
        <v>13</v>
      </c>
      <c r="AA86" s="12">
        <f t="shared" si="4"/>
        <v>92.5</v>
      </c>
      <c r="AB86" s="12">
        <f t="shared" si="4"/>
        <v>32.5</v>
      </c>
      <c r="AC86" s="12">
        <f t="shared" si="4"/>
        <v>81.5</v>
      </c>
      <c r="AD86" s="12">
        <f t="shared" si="4"/>
        <v>38.5</v>
      </c>
    </row>
    <row r="87" spans="1:30" ht="15.75" thickTop="1" x14ac:dyDescent="0.25"/>
  </sheetData>
  <mergeCells count="118">
    <mergeCell ref="AD70:AD72"/>
    <mergeCell ref="AD73:AD79"/>
    <mergeCell ref="AD80:AD81"/>
    <mergeCell ref="AB80:AB81"/>
    <mergeCell ref="AC70:AC72"/>
    <mergeCell ref="AC73:AC79"/>
    <mergeCell ref="AC80:AC81"/>
    <mergeCell ref="AB70:AB72"/>
    <mergeCell ref="AB73:AB79"/>
    <mergeCell ref="AA70:AA72"/>
    <mergeCell ref="AA73:AA79"/>
    <mergeCell ref="AA80:AA81"/>
    <mergeCell ref="Z70:Z72"/>
    <mergeCell ref="Z73:Z79"/>
    <mergeCell ref="Z80:Z81"/>
    <mergeCell ref="Y70:Y72"/>
    <mergeCell ref="Y73:Y79"/>
    <mergeCell ref="Y80:Y81"/>
    <mergeCell ref="X73:X79"/>
    <mergeCell ref="X80:X81"/>
    <mergeCell ref="W70:W72"/>
    <mergeCell ref="W73:W79"/>
    <mergeCell ref="W80:W81"/>
    <mergeCell ref="V70:V72"/>
    <mergeCell ref="V73:V79"/>
    <mergeCell ref="V80:V81"/>
    <mergeCell ref="U73:U79"/>
    <mergeCell ref="U80:U81"/>
    <mergeCell ref="T73:T79"/>
    <mergeCell ref="T80:T81"/>
    <mergeCell ref="S70:S72"/>
    <mergeCell ref="S73:S79"/>
    <mergeCell ref="S80:S81"/>
    <mergeCell ref="R73:R79"/>
    <mergeCell ref="R80:R81"/>
    <mergeCell ref="Q70:Q72"/>
    <mergeCell ref="Q73:Q79"/>
    <mergeCell ref="Q80:Q81"/>
    <mergeCell ref="P73:P79"/>
    <mergeCell ref="P80:P81"/>
    <mergeCell ref="J73:J79"/>
    <mergeCell ref="K73:K79"/>
    <mergeCell ref="L73:L79"/>
    <mergeCell ref="O70:O72"/>
    <mergeCell ref="O73:O79"/>
    <mergeCell ref="O80:O81"/>
    <mergeCell ref="N70:N72"/>
    <mergeCell ref="N73:N79"/>
    <mergeCell ref="N80:N81"/>
    <mergeCell ref="M70:M72"/>
    <mergeCell ref="M80:M81"/>
    <mergeCell ref="M73:M79"/>
    <mergeCell ref="L80:L81"/>
    <mergeCell ref="J70:J72"/>
    <mergeCell ref="J80:J81"/>
    <mergeCell ref="K80:K81"/>
    <mergeCell ref="I73:I79"/>
    <mergeCell ref="D73:D79"/>
    <mergeCell ref="E73:E79"/>
    <mergeCell ref="F73:F79"/>
    <mergeCell ref="G73:G79"/>
    <mergeCell ref="H73:H79"/>
    <mergeCell ref="H70:H72"/>
    <mergeCell ref="H80:H81"/>
    <mergeCell ref="I70:I72"/>
    <mergeCell ref="I80:I81"/>
    <mergeCell ref="F70:F72"/>
    <mergeCell ref="A80:A81"/>
    <mergeCell ref="B80:B81"/>
    <mergeCell ref="C80:C81"/>
    <mergeCell ref="A73:A79"/>
    <mergeCell ref="B73:B79"/>
    <mergeCell ref="C73:C79"/>
    <mergeCell ref="F80:F81"/>
    <mergeCell ref="G70:G72"/>
    <mergeCell ref="G80:G81"/>
    <mergeCell ref="D70:D72"/>
    <mergeCell ref="D80:D81"/>
    <mergeCell ref="E80:E81"/>
    <mergeCell ref="E70:E72"/>
    <mergeCell ref="H53:H55"/>
    <mergeCell ref="Z53:Z56"/>
    <mergeCell ref="A1:B1"/>
    <mergeCell ref="A3:C3"/>
    <mergeCell ref="A21:C21"/>
    <mergeCell ref="B25:C25"/>
    <mergeCell ref="B22:C22"/>
    <mergeCell ref="B24:C24"/>
    <mergeCell ref="B26:C26"/>
    <mergeCell ref="B34:C34"/>
    <mergeCell ref="A35:C35"/>
    <mergeCell ref="B27:C27"/>
    <mergeCell ref="A29:C29"/>
    <mergeCell ref="B30:C30"/>
    <mergeCell ref="B31:C31"/>
    <mergeCell ref="B32:C32"/>
    <mergeCell ref="B33:C33"/>
    <mergeCell ref="A43:C43"/>
    <mergeCell ref="C45:C51"/>
    <mergeCell ref="A55:C55"/>
    <mergeCell ref="B56:C56"/>
    <mergeCell ref="B23:C23"/>
    <mergeCell ref="Z65:Z67"/>
    <mergeCell ref="B57:C57"/>
    <mergeCell ref="A61:C61"/>
    <mergeCell ref="A70:A72"/>
    <mergeCell ref="B70:B72"/>
    <mergeCell ref="C70:C72"/>
    <mergeCell ref="B58:C58"/>
    <mergeCell ref="B59:C59"/>
    <mergeCell ref="A62:C67"/>
    <mergeCell ref="L70:L72"/>
    <mergeCell ref="K70:K72"/>
    <mergeCell ref="R70:R72"/>
    <mergeCell ref="U70:U72"/>
    <mergeCell ref="X70:X72"/>
    <mergeCell ref="P70:P72"/>
    <mergeCell ref="T70:T72"/>
  </mergeCells>
  <phoneticPr fontId="12" type="noConversion"/>
  <pageMargins left="0.7" right="0.7" top="0.75" bottom="0.75" header="0.3" footer="0.3"/>
  <pageSetup paperSize="8" scale="54" fitToWidth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4</vt:i4>
      </vt:variant>
    </vt:vector>
  </HeadingPairs>
  <TitlesOfParts>
    <vt:vector size="4" baseType="lpstr">
      <vt:lpstr>Ocjene</vt:lpstr>
      <vt:lpstr>Normalizirane vrijednosti</vt:lpstr>
      <vt:lpstr>Faktor korisničkog iskustva</vt:lpstr>
      <vt:lpstr>Pomoćni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Bartulin</dc:creator>
  <cp:lastModifiedBy>Andrej Bartulin</cp:lastModifiedBy>
  <cp:lastPrinted>2025-03-09T19:46:43Z</cp:lastPrinted>
  <dcterms:created xsi:type="dcterms:W3CDTF">2025-02-21T19:57:32Z</dcterms:created>
  <dcterms:modified xsi:type="dcterms:W3CDTF">2025-03-09T19:48:22Z</dcterms:modified>
</cp:coreProperties>
</file>